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codeName="ThisWorkbook" hidePivotFieldList="1" autoCompressPictures="0"/>
  <bookViews>
    <workbookView xWindow="0" yWindow="0" windowWidth="12240" windowHeight="9240" firstSheet="7" activeTab="11"/>
  </bookViews>
  <sheets>
    <sheet name="Agen " sheetId="15" r:id="rId1"/>
    <sheet name="Bayonne" sheetId="2" r:id="rId2"/>
    <sheet name="Bordeaux" sheetId="3" r:id="rId3"/>
    <sheet name="Brive" sheetId="4" r:id="rId4"/>
    <sheet name="Castres" sheetId="5" r:id="rId5"/>
    <sheet name="Clermont" sheetId="6" r:id="rId6"/>
    <sheet name="La Rochelle" sheetId="7" r:id="rId7"/>
    <sheet name="Lyon " sheetId="8" r:id="rId8"/>
    <sheet name="Montpellier" sheetId="9" r:id="rId9"/>
    <sheet name="Paris" sheetId="10" r:id="rId10"/>
    <sheet name="Pau" sheetId="11" r:id="rId11"/>
    <sheet name="Racing 92" sheetId="12" r:id="rId12"/>
    <sheet name="toulon" sheetId="13" r:id="rId13"/>
    <sheet name="toulouse" sheetId="14" r:id="rId14"/>
    <sheet name="resultat" sheetId="19" r:id="rId15"/>
    <sheet name="Feuil1" sheetId="18" r:id="rId16"/>
    <sheet name="5 ans" sheetId="20" r:id="rId17"/>
  </sheets>
  <definedNames>
    <definedName name="_xlnm._FilterDatabase" localSheetId="16" hidden="1">'5 ans'!$A$1:$AP$141</definedName>
    <definedName name="Equipe">'Racing 92'!$A$1</definedName>
    <definedName name="journee1">#REF!</definedName>
    <definedName name="journee10">#REF!</definedName>
    <definedName name="journee11">#REF!</definedName>
    <definedName name="journee12">#REF!</definedName>
    <definedName name="journee13">#REF!</definedName>
    <definedName name="journee14">#REF!</definedName>
    <definedName name="journee15">#REF!</definedName>
    <definedName name="journee16">#REF!</definedName>
    <definedName name="journee17">#REF!</definedName>
    <definedName name="journee18">#REF!</definedName>
    <definedName name="journee19">#REF!</definedName>
    <definedName name="journee2">#REF!</definedName>
    <definedName name="journee20">#REF!</definedName>
    <definedName name="journee21">#REF!</definedName>
    <definedName name="journee22">#REF!</definedName>
    <definedName name="journee23">#REF!</definedName>
    <definedName name="journee24">#REF!</definedName>
    <definedName name="journee25">#REF!</definedName>
    <definedName name="journee26">#REF!</definedName>
    <definedName name="journee3">#REF!</definedName>
    <definedName name="journee4">#REF!</definedName>
    <definedName name="journee5">#REF!</definedName>
    <definedName name="journee6">#REF!</definedName>
    <definedName name="journee7">#REF!</definedName>
    <definedName name="journee8">#REF!</definedName>
    <definedName name="journee9">#REF!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2" l="1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E8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G2" i="19"/>
  <c r="H2" i="19"/>
  <c r="G3" i="19"/>
  <c r="H3" i="19"/>
  <c r="G4" i="19"/>
  <c r="H4" i="19"/>
  <c r="G5" i="19"/>
  <c r="H5" i="19"/>
  <c r="G6" i="19"/>
  <c r="H6" i="19"/>
  <c r="G7" i="19"/>
  <c r="H7" i="19"/>
  <c r="G8" i="19"/>
  <c r="H8" i="19"/>
  <c r="G9" i="19"/>
  <c r="H9" i="19"/>
  <c r="G10" i="19"/>
  <c r="H10" i="19"/>
  <c r="G11" i="19"/>
  <c r="H11" i="19"/>
  <c r="G12" i="19"/>
  <c r="H12" i="19"/>
  <c r="G13" i="19"/>
  <c r="H13" i="19"/>
  <c r="G14" i="19"/>
  <c r="H14" i="19"/>
  <c r="G15" i="19"/>
  <c r="H15" i="19"/>
  <c r="G16" i="19"/>
  <c r="H16" i="19"/>
  <c r="G17" i="19"/>
  <c r="H17" i="19"/>
  <c r="G18" i="19"/>
  <c r="H18" i="19"/>
  <c r="G19" i="19"/>
  <c r="H19" i="19"/>
  <c r="G20" i="19"/>
  <c r="H20" i="19"/>
  <c r="G21" i="19"/>
  <c r="H21" i="19"/>
  <c r="G22" i="19"/>
  <c r="H22" i="19"/>
  <c r="G23" i="19"/>
  <c r="H23" i="19"/>
  <c r="G24" i="19"/>
  <c r="H24" i="19"/>
  <c r="G25" i="19"/>
  <c r="H25" i="19"/>
  <c r="G26" i="19"/>
  <c r="H26" i="19"/>
  <c r="G27" i="19"/>
  <c r="H27" i="19"/>
  <c r="G28" i="19"/>
  <c r="H28" i="19"/>
  <c r="G29" i="19"/>
  <c r="H29" i="19"/>
  <c r="G30" i="19"/>
  <c r="H30" i="19"/>
  <c r="G31" i="19"/>
  <c r="H31" i="19"/>
  <c r="G32" i="19"/>
  <c r="H32" i="19"/>
  <c r="G33" i="19"/>
  <c r="H33" i="19"/>
  <c r="G34" i="19"/>
  <c r="H34" i="19"/>
  <c r="G35" i="19"/>
  <c r="H35" i="19"/>
  <c r="G36" i="19"/>
  <c r="H36" i="19"/>
  <c r="G37" i="19"/>
  <c r="H37" i="19"/>
  <c r="G38" i="19"/>
  <c r="H38" i="19"/>
  <c r="G39" i="19"/>
  <c r="H39" i="19"/>
  <c r="G40" i="19"/>
  <c r="H40" i="19"/>
  <c r="G41" i="19"/>
  <c r="H41" i="19"/>
  <c r="G42" i="19"/>
  <c r="H42" i="19"/>
  <c r="G43" i="19"/>
  <c r="H43" i="19"/>
  <c r="G44" i="19"/>
  <c r="H44" i="19"/>
  <c r="G45" i="19"/>
  <c r="H45" i="19"/>
  <c r="G46" i="19"/>
  <c r="H46" i="19"/>
  <c r="G47" i="19"/>
  <c r="H47" i="19"/>
  <c r="G48" i="19"/>
  <c r="H48" i="19"/>
  <c r="G49" i="19"/>
  <c r="H49" i="19"/>
  <c r="G50" i="19"/>
  <c r="H50" i="19"/>
  <c r="G51" i="19"/>
  <c r="H51" i="19"/>
  <c r="G52" i="19"/>
  <c r="H52" i="19"/>
  <c r="G53" i="19"/>
  <c r="H53" i="19"/>
  <c r="G54" i="19"/>
  <c r="H54" i="19"/>
  <c r="G55" i="19"/>
  <c r="H55" i="19"/>
  <c r="G56" i="19"/>
  <c r="H56" i="19"/>
  <c r="G57" i="19"/>
  <c r="H57" i="19"/>
  <c r="G58" i="19"/>
  <c r="H58" i="19"/>
  <c r="G59" i="19"/>
  <c r="H59" i="19"/>
  <c r="G60" i="19"/>
  <c r="H60" i="19"/>
  <c r="G61" i="19"/>
  <c r="H61" i="19"/>
  <c r="G62" i="19"/>
  <c r="H62" i="19"/>
  <c r="G63" i="19"/>
  <c r="H63" i="19"/>
  <c r="G64" i="19"/>
  <c r="H64" i="19"/>
  <c r="G65" i="19"/>
  <c r="H65" i="19"/>
  <c r="G66" i="19"/>
  <c r="H66" i="19"/>
  <c r="G67" i="19"/>
  <c r="H67" i="19"/>
  <c r="G68" i="19"/>
  <c r="H68" i="19"/>
  <c r="G69" i="19"/>
  <c r="H69" i="19"/>
  <c r="G70" i="19"/>
  <c r="H70" i="19"/>
  <c r="G71" i="19"/>
  <c r="H71" i="19"/>
  <c r="G72" i="19"/>
  <c r="H72" i="19"/>
  <c r="G73" i="19"/>
  <c r="H73" i="19"/>
  <c r="G74" i="19"/>
  <c r="H74" i="19"/>
  <c r="G75" i="19"/>
  <c r="H75" i="19"/>
  <c r="G76" i="19"/>
  <c r="H76" i="19"/>
  <c r="G77" i="19"/>
  <c r="H77" i="19"/>
  <c r="G78" i="19"/>
  <c r="H78" i="19"/>
  <c r="G79" i="19"/>
  <c r="H79" i="19"/>
  <c r="G80" i="19"/>
  <c r="H80" i="19"/>
  <c r="G81" i="19"/>
  <c r="H81" i="19"/>
  <c r="G82" i="19"/>
  <c r="H82" i="19"/>
  <c r="G83" i="19"/>
  <c r="H83" i="19"/>
  <c r="G84" i="19"/>
  <c r="H84" i="19"/>
  <c r="G85" i="19"/>
  <c r="H85" i="19"/>
  <c r="G86" i="19"/>
  <c r="H86" i="19"/>
  <c r="G87" i="19"/>
  <c r="H87" i="19"/>
  <c r="G88" i="19"/>
  <c r="H88" i="19"/>
  <c r="G89" i="19"/>
  <c r="H89" i="19"/>
  <c r="G90" i="19"/>
  <c r="H90" i="19"/>
  <c r="G91" i="19"/>
  <c r="H91" i="19"/>
  <c r="G92" i="19"/>
  <c r="H92" i="19"/>
  <c r="G93" i="19"/>
  <c r="H93" i="19"/>
  <c r="G94" i="19"/>
  <c r="H94" i="19"/>
  <c r="G95" i="19"/>
  <c r="H95" i="19"/>
  <c r="G96" i="19"/>
  <c r="H96" i="19"/>
  <c r="G97" i="19"/>
  <c r="H97" i="19"/>
  <c r="G98" i="19"/>
  <c r="H98" i="19"/>
  <c r="G99" i="19"/>
  <c r="H99" i="19"/>
  <c r="G100" i="19"/>
  <c r="H100" i="19"/>
  <c r="G101" i="19"/>
  <c r="H101" i="19"/>
  <c r="G102" i="19"/>
  <c r="H102" i="19"/>
  <c r="G103" i="19"/>
  <c r="H103" i="19"/>
  <c r="G104" i="19"/>
  <c r="H104" i="19"/>
  <c r="G105" i="19"/>
  <c r="H105" i="19"/>
  <c r="G106" i="19"/>
  <c r="H106" i="19"/>
  <c r="G107" i="19"/>
  <c r="H107" i="19"/>
  <c r="G108" i="19"/>
  <c r="H108" i="19"/>
  <c r="G109" i="19"/>
  <c r="H109" i="19"/>
  <c r="G110" i="19"/>
  <c r="H110" i="19"/>
  <c r="G111" i="19"/>
  <c r="H111" i="19"/>
  <c r="G112" i="19"/>
  <c r="H112" i="19"/>
  <c r="G113" i="19"/>
  <c r="H113" i="19"/>
  <c r="G114" i="19"/>
  <c r="H114" i="19"/>
  <c r="G115" i="19"/>
  <c r="H115" i="19"/>
  <c r="G116" i="19"/>
  <c r="H116" i="19"/>
  <c r="G117" i="19"/>
  <c r="H117" i="19"/>
  <c r="G118" i="19"/>
  <c r="H118" i="19"/>
  <c r="G119" i="19"/>
  <c r="H119" i="19"/>
  <c r="G120" i="19"/>
  <c r="H120" i="19"/>
  <c r="G121" i="19"/>
  <c r="H121" i="19"/>
  <c r="G122" i="19"/>
  <c r="H122" i="19"/>
  <c r="G123" i="19"/>
  <c r="H123" i="19"/>
  <c r="G124" i="19"/>
  <c r="H124" i="19"/>
  <c r="G125" i="19"/>
  <c r="H125" i="19"/>
  <c r="G126" i="19"/>
  <c r="H126" i="19"/>
  <c r="G127" i="19"/>
  <c r="H127" i="19"/>
  <c r="G128" i="19"/>
  <c r="H128" i="19"/>
  <c r="G129" i="19"/>
  <c r="H129" i="19"/>
  <c r="G130" i="19"/>
  <c r="H130" i="19"/>
  <c r="G131" i="19"/>
  <c r="H131" i="19"/>
  <c r="G132" i="19"/>
  <c r="H132" i="19"/>
  <c r="G133" i="19"/>
  <c r="H133" i="19"/>
  <c r="G134" i="19"/>
  <c r="H134" i="19"/>
  <c r="G135" i="19"/>
  <c r="H135" i="19"/>
  <c r="G136" i="19"/>
  <c r="H136" i="19"/>
  <c r="G137" i="19"/>
  <c r="H137" i="19"/>
  <c r="G138" i="19"/>
  <c r="H138" i="19"/>
  <c r="G139" i="19"/>
  <c r="H139" i="19"/>
  <c r="G140" i="19"/>
  <c r="H140" i="19"/>
  <c r="G141" i="19"/>
  <c r="H141" i="19"/>
  <c r="G142" i="19"/>
  <c r="H142" i="19"/>
  <c r="G143" i="19"/>
  <c r="H143" i="19"/>
  <c r="G144" i="19"/>
  <c r="H144" i="19"/>
  <c r="G145" i="19"/>
  <c r="H145" i="19"/>
  <c r="G146" i="19"/>
  <c r="H146" i="19"/>
  <c r="G147" i="19"/>
  <c r="H147" i="19"/>
  <c r="G148" i="19"/>
  <c r="H148" i="19"/>
  <c r="G149" i="19"/>
  <c r="H149" i="19"/>
  <c r="G150" i="19"/>
  <c r="H150" i="19"/>
  <c r="G151" i="19"/>
  <c r="H151" i="19"/>
  <c r="G152" i="19"/>
  <c r="H152" i="19"/>
  <c r="G153" i="19"/>
  <c r="H153" i="19"/>
  <c r="G154" i="19"/>
  <c r="H154" i="19"/>
  <c r="G155" i="19"/>
  <c r="H155" i="19"/>
  <c r="G156" i="19"/>
  <c r="H156" i="19"/>
  <c r="G157" i="19"/>
  <c r="H157" i="19"/>
  <c r="G158" i="19"/>
  <c r="H158" i="19"/>
  <c r="G159" i="19"/>
  <c r="H159" i="19"/>
  <c r="G160" i="19"/>
  <c r="H160" i="19"/>
  <c r="G161" i="19"/>
  <c r="H161" i="19"/>
  <c r="G162" i="19"/>
  <c r="H162" i="19"/>
  <c r="G163" i="19"/>
  <c r="H163" i="19"/>
  <c r="G164" i="19"/>
  <c r="H164" i="19"/>
  <c r="G165" i="19"/>
  <c r="H165" i="19"/>
  <c r="G166" i="19"/>
  <c r="H166" i="19"/>
  <c r="G167" i="19"/>
  <c r="H167" i="19"/>
  <c r="G168" i="19"/>
  <c r="H168" i="19"/>
  <c r="G169" i="19"/>
  <c r="H169" i="19"/>
  <c r="G170" i="19"/>
  <c r="H170" i="19"/>
  <c r="G171" i="19"/>
  <c r="H171" i="19"/>
  <c r="G172" i="19"/>
  <c r="H172" i="19"/>
  <c r="G173" i="19"/>
  <c r="H173" i="19"/>
  <c r="G174" i="19"/>
  <c r="H174" i="19"/>
  <c r="G175" i="19"/>
  <c r="H175" i="19"/>
  <c r="G176" i="19"/>
  <c r="H176" i="19"/>
  <c r="G177" i="19"/>
  <c r="H177" i="19"/>
  <c r="G178" i="19"/>
  <c r="H178" i="19"/>
  <c r="G179" i="19"/>
  <c r="H179" i="19"/>
  <c r="G180" i="19"/>
  <c r="H180" i="19"/>
  <c r="G181" i="19"/>
  <c r="H181" i="19"/>
  <c r="G182" i="19"/>
  <c r="H182" i="19"/>
  <c r="G183" i="19"/>
  <c r="H183" i="19"/>
  <c r="U8" i="12"/>
  <c r="U33" i="12"/>
  <c r="U9" i="12"/>
  <c r="U10" i="12"/>
  <c r="U11" i="12"/>
  <c r="U12" i="12"/>
  <c r="U13" i="12"/>
  <c r="U14" i="12"/>
  <c r="U15" i="12"/>
  <c r="U16" i="12"/>
  <c r="U17" i="12"/>
  <c r="U18" i="12"/>
  <c r="U19" i="12"/>
  <c r="U20" i="12"/>
  <c r="U21" i="12"/>
  <c r="U22" i="12"/>
  <c r="U23" i="12"/>
  <c r="U24" i="12"/>
  <c r="U25" i="12"/>
  <c r="U26" i="12"/>
  <c r="U27" i="12"/>
  <c r="U28" i="12"/>
  <c r="U29" i="12"/>
  <c r="U30" i="12"/>
  <c r="U31" i="12"/>
  <c r="U32" i="12"/>
  <c r="C53" i="5"/>
  <c r="D53" i="5"/>
  <c r="E53" i="5"/>
  <c r="F53" i="5"/>
  <c r="G53" i="5"/>
  <c r="I53" i="5"/>
  <c r="H53" i="5"/>
  <c r="J53" i="5"/>
  <c r="C54" i="5"/>
  <c r="D54" i="5"/>
  <c r="F54" i="5"/>
  <c r="E54" i="5"/>
  <c r="G54" i="5"/>
  <c r="H54" i="5"/>
  <c r="I54" i="5"/>
  <c r="J54" i="5"/>
  <c r="C55" i="5"/>
  <c r="D55" i="5"/>
  <c r="E55" i="5"/>
  <c r="F55" i="5"/>
  <c r="K55" i="5"/>
  <c r="G55" i="5"/>
  <c r="I55" i="5"/>
  <c r="H55" i="5"/>
  <c r="J55" i="5"/>
  <c r="C56" i="5"/>
  <c r="D56" i="5"/>
  <c r="F56" i="5"/>
  <c r="E56" i="5"/>
  <c r="G56" i="5"/>
  <c r="H56" i="5"/>
  <c r="I56" i="5"/>
  <c r="J56" i="5"/>
  <c r="C57" i="5"/>
  <c r="D57" i="5"/>
  <c r="E57" i="5"/>
  <c r="F57" i="5"/>
  <c r="G57" i="5"/>
  <c r="I57" i="5"/>
  <c r="H57" i="5"/>
  <c r="J57" i="5"/>
  <c r="C58" i="5"/>
  <c r="D58" i="5"/>
  <c r="F58" i="5"/>
  <c r="E58" i="5"/>
  <c r="G58" i="5"/>
  <c r="H58" i="5"/>
  <c r="I58" i="5"/>
  <c r="J58" i="5"/>
  <c r="C59" i="5"/>
  <c r="D59" i="5"/>
  <c r="E59" i="5"/>
  <c r="F59" i="5"/>
  <c r="K59" i="5"/>
  <c r="G59" i="5"/>
  <c r="I59" i="5"/>
  <c r="H59" i="5"/>
  <c r="J59" i="5"/>
  <c r="C60" i="5"/>
  <c r="D60" i="5"/>
  <c r="F60" i="5"/>
  <c r="E60" i="5"/>
  <c r="G60" i="5"/>
  <c r="H60" i="5"/>
  <c r="I60" i="5"/>
  <c r="J60" i="5"/>
  <c r="C61" i="5"/>
  <c r="D61" i="5"/>
  <c r="E61" i="5"/>
  <c r="F61" i="5"/>
  <c r="G61" i="5"/>
  <c r="I61" i="5"/>
  <c r="H61" i="5"/>
  <c r="J61" i="5"/>
  <c r="C62" i="5"/>
  <c r="D62" i="5"/>
  <c r="F62" i="5"/>
  <c r="E62" i="5"/>
  <c r="G62" i="5"/>
  <c r="H62" i="5"/>
  <c r="I62" i="5"/>
  <c r="J62" i="5"/>
  <c r="C63" i="5"/>
  <c r="D63" i="5"/>
  <c r="E63" i="5"/>
  <c r="F63" i="5"/>
  <c r="K63" i="5"/>
  <c r="G63" i="5"/>
  <c r="I63" i="5"/>
  <c r="H63" i="5"/>
  <c r="J63" i="5"/>
  <c r="C64" i="5"/>
  <c r="D64" i="5"/>
  <c r="F64" i="5"/>
  <c r="E64" i="5"/>
  <c r="G64" i="5"/>
  <c r="H64" i="5"/>
  <c r="I64" i="5"/>
  <c r="J64" i="5"/>
  <c r="J52" i="5"/>
  <c r="H52" i="5"/>
  <c r="G52" i="5"/>
  <c r="F52" i="5"/>
  <c r="E52" i="5"/>
  <c r="D52" i="5"/>
  <c r="C52" i="5"/>
  <c r="C53" i="4"/>
  <c r="D53" i="4"/>
  <c r="F53" i="4"/>
  <c r="E53" i="4"/>
  <c r="G53" i="4"/>
  <c r="I53" i="4"/>
  <c r="H53" i="4"/>
  <c r="J53" i="4"/>
  <c r="C54" i="4"/>
  <c r="D54" i="4"/>
  <c r="F54" i="4"/>
  <c r="E54" i="4"/>
  <c r="G54" i="4"/>
  <c r="H54" i="4"/>
  <c r="I54" i="4"/>
  <c r="J54" i="4"/>
  <c r="C55" i="4"/>
  <c r="D55" i="4"/>
  <c r="F55" i="4"/>
  <c r="E55" i="4"/>
  <c r="G55" i="4"/>
  <c r="I55" i="4"/>
  <c r="H55" i="4"/>
  <c r="J55" i="4"/>
  <c r="C56" i="4"/>
  <c r="D56" i="4"/>
  <c r="F56" i="4"/>
  <c r="E56" i="4"/>
  <c r="G56" i="4"/>
  <c r="H56" i="4"/>
  <c r="I56" i="4"/>
  <c r="J56" i="4"/>
  <c r="C57" i="4"/>
  <c r="D57" i="4"/>
  <c r="F57" i="4"/>
  <c r="E57" i="4"/>
  <c r="G57" i="4"/>
  <c r="I57" i="4"/>
  <c r="H57" i="4"/>
  <c r="J57" i="4"/>
  <c r="C58" i="4"/>
  <c r="D58" i="4"/>
  <c r="F58" i="4"/>
  <c r="E58" i="4"/>
  <c r="G58" i="4"/>
  <c r="H58" i="4"/>
  <c r="I58" i="4"/>
  <c r="J58" i="4"/>
  <c r="C59" i="4"/>
  <c r="D59" i="4"/>
  <c r="F59" i="4"/>
  <c r="E59" i="4"/>
  <c r="G59" i="4"/>
  <c r="I59" i="4"/>
  <c r="H59" i="4"/>
  <c r="J59" i="4"/>
  <c r="C60" i="4"/>
  <c r="D60" i="4"/>
  <c r="F60" i="4"/>
  <c r="E60" i="4"/>
  <c r="G60" i="4"/>
  <c r="H60" i="4"/>
  <c r="I60" i="4"/>
  <c r="J60" i="4"/>
  <c r="C61" i="4"/>
  <c r="D61" i="4"/>
  <c r="F61" i="4"/>
  <c r="E61" i="4"/>
  <c r="G61" i="4"/>
  <c r="I61" i="4"/>
  <c r="H61" i="4"/>
  <c r="J61" i="4"/>
  <c r="C62" i="4"/>
  <c r="D62" i="4"/>
  <c r="F62" i="4"/>
  <c r="E62" i="4"/>
  <c r="G62" i="4"/>
  <c r="I62" i="4"/>
  <c r="H62" i="4"/>
  <c r="J62" i="4"/>
  <c r="C63" i="4"/>
  <c r="D63" i="4"/>
  <c r="F63" i="4"/>
  <c r="E63" i="4"/>
  <c r="G63" i="4"/>
  <c r="I63" i="4"/>
  <c r="H63" i="4"/>
  <c r="J63" i="4"/>
  <c r="C64" i="4"/>
  <c r="D64" i="4"/>
  <c r="F64" i="4"/>
  <c r="E64" i="4"/>
  <c r="G64" i="4"/>
  <c r="I64" i="4"/>
  <c r="H64" i="4"/>
  <c r="J64" i="4"/>
  <c r="J52" i="4"/>
  <c r="H52" i="4"/>
  <c r="G52" i="4"/>
  <c r="E52" i="4"/>
  <c r="D52" i="4"/>
  <c r="C52" i="4"/>
  <c r="C53" i="3"/>
  <c r="D53" i="3"/>
  <c r="F53" i="3"/>
  <c r="E53" i="3"/>
  <c r="G53" i="3"/>
  <c r="I53" i="3"/>
  <c r="H53" i="3"/>
  <c r="J53" i="3"/>
  <c r="C54" i="3"/>
  <c r="D54" i="3"/>
  <c r="F54" i="3"/>
  <c r="E54" i="3"/>
  <c r="G54" i="3"/>
  <c r="H54" i="3"/>
  <c r="I54" i="3"/>
  <c r="J54" i="3"/>
  <c r="C55" i="3"/>
  <c r="D55" i="3"/>
  <c r="F55" i="3"/>
  <c r="E55" i="3"/>
  <c r="G55" i="3"/>
  <c r="I55" i="3"/>
  <c r="H55" i="3"/>
  <c r="J55" i="3"/>
  <c r="C56" i="3"/>
  <c r="D56" i="3"/>
  <c r="F56" i="3"/>
  <c r="E56" i="3"/>
  <c r="G56" i="3"/>
  <c r="H56" i="3"/>
  <c r="I56" i="3"/>
  <c r="J56" i="3"/>
  <c r="C57" i="3"/>
  <c r="D57" i="3"/>
  <c r="F57" i="3"/>
  <c r="E57" i="3"/>
  <c r="G57" i="3"/>
  <c r="I57" i="3"/>
  <c r="H57" i="3"/>
  <c r="J57" i="3"/>
  <c r="C58" i="3"/>
  <c r="D58" i="3"/>
  <c r="F58" i="3"/>
  <c r="E58" i="3"/>
  <c r="G58" i="3"/>
  <c r="H58" i="3"/>
  <c r="I58" i="3"/>
  <c r="J58" i="3"/>
  <c r="C59" i="3"/>
  <c r="D59" i="3"/>
  <c r="F59" i="3"/>
  <c r="E59" i="3"/>
  <c r="G59" i="3"/>
  <c r="I59" i="3"/>
  <c r="H59" i="3"/>
  <c r="J59" i="3"/>
  <c r="C60" i="3"/>
  <c r="D60" i="3"/>
  <c r="F60" i="3"/>
  <c r="E60" i="3"/>
  <c r="G60" i="3"/>
  <c r="H60" i="3"/>
  <c r="I60" i="3"/>
  <c r="J60" i="3"/>
  <c r="C61" i="3"/>
  <c r="D61" i="3"/>
  <c r="F61" i="3"/>
  <c r="E61" i="3"/>
  <c r="G61" i="3"/>
  <c r="I61" i="3"/>
  <c r="H61" i="3"/>
  <c r="J61" i="3"/>
  <c r="C62" i="3"/>
  <c r="D62" i="3"/>
  <c r="F62" i="3"/>
  <c r="E62" i="3"/>
  <c r="G62" i="3"/>
  <c r="H62" i="3"/>
  <c r="I62" i="3"/>
  <c r="J62" i="3"/>
  <c r="C63" i="3"/>
  <c r="D63" i="3"/>
  <c r="F63" i="3"/>
  <c r="E63" i="3"/>
  <c r="G63" i="3"/>
  <c r="I63" i="3"/>
  <c r="H63" i="3"/>
  <c r="J63" i="3"/>
  <c r="C64" i="3"/>
  <c r="D64" i="3"/>
  <c r="F64" i="3"/>
  <c r="E64" i="3"/>
  <c r="G64" i="3"/>
  <c r="H64" i="3"/>
  <c r="I64" i="3"/>
  <c r="J64" i="3"/>
  <c r="J52" i="3"/>
  <c r="H52" i="3"/>
  <c r="G52" i="3"/>
  <c r="E52" i="3"/>
  <c r="D52" i="3"/>
  <c r="C52" i="3"/>
  <c r="C53" i="2"/>
  <c r="D53" i="2"/>
  <c r="F53" i="2"/>
  <c r="E53" i="2"/>
  <c r="G53" i="2"/>
  <c r="I53" i="2"/>
  <c r="H53" i="2"/>
  <c r="J53" i="2"/>
  <c r="C54" i="2"/>
  <c r="D54" i="2"/>
  <c r="F54" i="2"/>
  <c r="E54" i="2"/>
  <c r="G54" i="2"/>
  <c r="H54" i="2"/>
  <c r="I54" i="2"/>
  <c r="J54" i="2"/>
  <c r="C55" i="2"/>
  <c r="D55" i="2"/>
  <c r="F55" i="2"/>
  <c r="E55" i="2"/>
  <c r="G55" i="2"/>
  <c r="I55" i="2"/>
  <c r="H55" i="2"/>
  <c r="J55" i="2"/>
  <c r="C56" i="2"/>
  <c r="D56" i="2"/>
  <c r="F56" i="2"/>
  <c r="E56" i="2"/>
  <c r="G56" i="2"/>
  <c r="H56" i="2"/>
  <c r="I56" i="2"/>
  <c r="J56" i="2"/>
  <c r="C57" i="2"/>
  <c r="D57" i="2"/>
  <c r="F57" i="2"/>
  <c r="E57" i="2"/>
  <c r="G57" i="2"/>
  <c r="I57" i="2"/>
  <c r="H57" i="2"/>
  <c r="J57" i="2"/>
  <c r="C58" i="2"/>
  <c r="D58" i="2"/>
  <c r="F58" i="2"/>
  <c r="E58" i="2"/>
  <c r="G58" i="2"/>
  <c r="H58" i="2"/>
  <c r="I58" i="2"/>
  <c r="J58" i="2"/>
  <c r="C59" i="2"/>
  <c r="D59" i="2"/>
  <c r="F59" i="2"/>
  <c r="E59" i="2"/>
  <c r="G59" i="2"/>
  <c r="I59" i="2"/>
  <c r="H59" i="2"/>
  <c r="J59" i="2"/>
  <c r="C60" i="2"/>
  <c r="D60" i="2"/>
  <c r="F60" i="2"/>
  <c r="E60" i="2"/>
  <c r="G60" i="2"/>
  <c r="H60" i="2"/>
  <c r="I60" i="2"/>
  <c r="J60" i="2"/>
  <c r="C61" i="2"/>
  <c r="D61" i="2"/>
  <c r="F61" i="2"/>
  <c r="E61" i="2"/>
  <c r="G61" i="2"/>
  <c r="I61" i="2"/>
  <c r="H61" i="2"/>
  <c r="J61" i="2"/>
  <c r="C62" i="2"/>
  <c r="D62" i="2"/>
  <c r="F62" i="2"/>
  <c r="E62" i="2"/>
  <c r="G62" i="2"/>
  <c r="H62" i="2"/>
  <c r="I62" i="2"/>
  <c r="J62" i="2"/>
  <c r="C63" i="2"/>
  <c r="D63" i="2"/>
  <c r="E63" i="2"/>
  <c r="F63" i="2"/>
  <c r="G63" i="2"/>
  <c r="I63" i="2"/>
  <c r="H63" i="2"/>
  <c r="J63" i="2"/>
  <c r="C64" i="2"/>
  <c r="D64" i="2"/>
  <c r="F64" i="2"/>
  <c r="E64" i="2"/>
  <c r="G64" i="2"/>
  <c r="H64" i="2"/>
  <c r="I64" i="2"/>
  <c r="J64" i="2"/>
  <c r="J52" i="2"/>
  <c r="H52" i="2"/>
  <c r="G52" i="2"/>
  <c r="E52" i="2"/>
  <c r="D52" i="2"/>
  <c r="C52" i="2"/>
  <c r="C53" i="15"/>
  <c r="D53" i="15"/>
  <c r="J53" i="15"/>
  <c r="C54" i="15"/>
  <c r="D54" i="15"/>
  <c r="J54" i="15"/>
  <c r="C55" i="15"/>
  <c r="D55" i="15"/>
  <c r="J55" i="15"/>
  <c r="C56" i="15"/>
  <c r="D56" i="15"/>
  <c r="J56" i="15"/>
  <c r="C57" i="15"/>
  <c r="D57" i="15"/>
  <c r="J57" i="15"/>
  <c r="C58" i="15"/>
  <c r="D58" i="15"/>
  <c r="J58" i="15"/>
  <c r="C59" i="15"/>
  <c r="D59" i="15"/>
  <c r="J59" i="15"/>
  <c r="C60" i="15"/>
  <c r="D60" i="15"/>
  <c r="J60" i="15"/>
  <c r="C61" i="15"/>
  <c r="D61" i="15"/>
  <c r="J61" i="15"/>
  <c r="C62" i="15"/>
  <c r="D62" i="15"/>
  <c r="J62" i="15"/>
  <c r="C63" i="15"/>
  <c r="D63" i="15"/>
  <c r="J63" i="15"/>
  <c r="C64" i="15"/>
  <c r="D64" i="15"/>
  <c r="J64" i="15"/>
  <c r="D52" i="15"/>
  <c r="J52" i="15"/>
  <c r="C52" i="15"/>
  <c r="B8" i="15"/>
  <c r="K62" i="5"/>
  <c r="L62" i="5"/>
  <c r="K54" i="5"/>
  <c r="L54" i="5"/>
  <c r="K61" i="5"/>
  <c r="K60" i="5"/>
  <c r="L60" i="5"/>
  <c r="K53" i="5"/>
  <c r="K58" i="5"/>
  <c r="L58" i="5"/>
  <c r="K64" i="5"/>
  <c r="L64" i="5"/>
  <c r="K57" i="5"/>
  <c r="K56" i="5"/>
  <c r="L56" i="5"/>
  <c r="L63" i="5"/>
  <c r="L61" i="5"/>
  <c r="L59" i="5"/>
  <c r="L57" i="5"/>
  <c r="L55" i="5"/>
  <c r="L53" i="5"/>
  <c r="K62" i="4"/>
  <c r="L62" i="4"/>
  <c r="K60" i="4"/>
  <c r="L60" i="4"/>
  <c r="K58" i="4"/>
  <c r="L58" i="4"/>
  <c r="K56" i="4"/>
  <c r="L56" i="4"/>
  <c r="K54" i="4"/>
  <c r="L54" i="4"/>
  <c r="K64" i="4"/>
  <c r="L64" i="4"/>
  <c r="K63" i="4"/>
  <c r="L63" i="4"/>
  <c r="K61" i="4"/>
  <c r="L61" i="4"/>
  <c r="K59" i="4"/>
  <c r="L59" i="4"/>
  <c r="K57" i="4"/>
  <c r="L57" i="4"/>
  <c r="K55" i="4"/>
  <c r="L55" i="4"/>
  <c r="K53" i="4"/>
  <c r="L53" i="4"/>
  <c r="K64" i="3"/>
  <c r="L64" i="3"/>
  <c r="K58" i="3"/>
  <c r="L58" i="3"/>
  <c r="K60" i="3"/>
  <c r="L60" i="3"/>
  <c r="K56" i="3"/>
  <c r="L56" i="3"/>
  <c r="K63" i="3"/>
  <c r="L63" i="3"/>
  <c r="K61" i="3"/>
  <c r="L61" i="3"/>
  <c r="K59" i="3"/>
  <c r="L59" i="3"/>
  <c r="K57" i="3"/>
  <c r="L57" i="3"/>
  <c r="K53" i="3"/>
  <c r="L53" i="3"/>
  <c r="K62" i="3"/>
  <c r="L62" i="3"/>
  <c r="K54" i="3"/>
  <c r="L54" i="3"/>
  <c r="K55" i="3"/>
  <c r="L55" i="3"/>
  <c r="K61" i="2"/>
  <c r="L61" i="2"/>
  <c r="K59" i="2"/>
  <c r="L59" i="2"/>
  <c r="K57" i="2"/>
  <c r="L57" i="2"/>
  <c r="K55" i="2"/>
  <c r="L55" i="2"/>
  <c r="K53" i="2"/>
  <c r="L53" i="2"/>
  <c r="K64" i="2"/>
  <c r="L64" i="2"/>
  <c r="K63" i="2"/>
  <c r="L63" i="2"/>
  <c r="K62" i="2"/>
  <c r="L62" i="2"/>
  <c r="K60" i="2"/>
  <c r="L60" i="2"/>
  <c r="K58" i="2"/>
  <c r="L58" i="2"/>
  <c r="K56" i="2"/>
  <c r="L56" i="2"/>
  <c r="K54" i="2"/>
  <c r="L54" i="2"/>
  <c r="H4" i="4" a="1"/>
  <c r="H4" i="4"/>
  <c r="G4" i="4" a="1"/>
  <c r="G4" i="4"/>
  <c r="I36" i="6"/>
  <c r="H4" i="6" a="1"/>
  <c r="H4" i="6"/>
  <c r="F36" i="6"/>
  <c r="G4" i="6" a="1"/>
  <c r="G4" i="6"/>
  <c r="F37" i="14"/>
  <c r="F40" i="13"/>
  <c r="I37" i="13"/>
  <c r="I37" i="12"/>
  <c r="K37" i="12"/>
  <c r="F37" i="9"/>
  <c r="I44" i="5"/>
  <c r="I39" i="14"/>
  <c r="I42" i="14"/>
  <c r="I48" i="14"/>
  <c r="H4" i="14" a="1"/>
  <c r="H4" i="14"/>
  <c r="H5" i="14"/>
  <c r="F39" i="14"/>
  <c r="F42" i="14"/>
  <c r="F48" i="14"/>
  <c r="G4" i="14" a="1"/>
  <c r="G4" i="14"/>
  <c r="G5" i="14"/>
  <c r="F36" i="2"/>
  <c r="I36" i="2"/>
  <c r="F37" i="2"/>
  <c r="K37" i="2"/>
  <c r="L37" i="2"/>
  <c r="I37" i="2"/>
  <c r="F38" i="2"/>
  <c r="I38" i="2"/>
  <c r="F39" i="2"/>
  <c r="I39" i="2"/>
  <c r="F40" i="2"/>
  <c r="K40" i="2"/>
  <c r="L40" i="2"/>
  <c r="I40" i="2"/>
  <c r="F41" i="2"/>
  <c r="I41" i="2"/>
  <c r="F42" i="2"/>
  <c r="I42" i="2"/>
  <c r="F43" i="2"/>
  <c r="K43" i="2"/>
  <c r="L43" i="2"/>
  <c r="I43" i="2"/>
  <c r="F44" i="2"/>
  <c r="K44" i="2"/>
  <c r="L44" i="2"/>
  <c r="I44" i="2"/>
  <c r="F45" i="2"/>
  <c r="L45" i="2"/>
  <c r="I45" i="2"/>
  <c r="F46" i="2"/>
  <c r="I46" i="2"/>
  <c r="L46" i="2"/>
  <c r="K46" i="2"/>
  <c r="F47" i="2"/>
  <c r="I47" i="2"/>
  <c r="F48" i="2"/>
  <c r="I48" i="2"/>
  <c r="H4" i="2" a="1"/>
  <c r="H4" i="2"/>
  <c r="H5" i="2"/>
  <c r="I39" i="13"/>
  <c r="F39" i="13"/>
  <c r="K39" i="13"/>
  <c r="L39" i="13"/>
  <c r="I39" i="12"/>
  <c r="F39" i="12"/>
  <c r="I39" i="11"/>
  <c r="F39" i="11"/>
  <c r="K39" i="11"/>
  <c r="L39" i="11"/>
  <c r="I36" i="11"/>
  <c r="H4" i="11" a="1"/>
  <c r="H4" i="11"/>
  <c r="H5" i="11"/>
  <c r="F36" i="11"/>
  <c r="G4" i="11" a="1"/>
  <c r="G4" i="11"/>
  <c r="G5" i="11"/>
  <c r="I39" i="10"/>
  <c r="I37" i="10"/>
  <c r="H4" i="10" a="1"/>
  <c r="H4" i="10"/>
  <c r="H5" i="10"/>
  <c r="F39" i="10"/>
  <c r="F37" i="10"/>
  <c r="G4" i="10" a="1"/>
  <c r="G4" i="10"/>
  <c r="G5" i="10"/>
  <c r="I39" i="9"/>
  <c r="I36" i="9"/>
  <c r="H4" i="9" a="1"/>
  <c r="H4" i="9"/>
  <c r="H5" i="9"/>
  <c r="F39" i="9"/>
  <c r="F36" i="9"/>
  <c r="G4" i="9" a="1"/>
  <c r="G4" i="9"/>
  <c r="G5" i="9"/>
  <c r="I39" i="8"/>
  <c r="I38" i="8"/>
  <c r="H4" i="8" a="1"/>
  <c r="H4" i="8"/>
  <c r="H5" i="8"/>
  <c r="F39" i="8"/>
  <c r="F38" i="8"/>
  <c r="G4" i="8" a="1"/>
  <c r="G4" i="8"/>
  <c r="G5" i="8"/>
  <c r="I39" i="7"/>
  <c r="H4" i="7" a="1"/>
  <c r="H4" i="7"/>
  <c r="H5" i="7"/>
  <c r="F39" i="7"/>
  <c r="G4" i="7" a="1"/>
  <c r="G4" i="7"/>
  <c r="G5" i="7"/>
  <c r="I39" i="6"/>
  <c r="H5" i="6"/>
  <c r="F39" i="6"/>
  <c r="G5" i="6"/>
  <c r="A35" i="5"/>
  <c r="G4" i="5" a="1"/>
  <c r="G4" i="5"/>
  <c r="G5" i="5"/>
  <c r="I39" i="5"/>
  <c r="K39" i="5"/>
  <c r="F39" i="5"/>
  <c r="F44" i="5"/>
  <c r="K44" i="5"/>
  <c r="L44" i="5"/>
  <c r="I36" i="4"/>
  <c r="H5" i="4"/>
  <c r="F36" i="4"/>
  <c r="G5" i="4"/>
  <c r="I45" i="3"/>
  <c r="F38" i="3"/>
  <c r="F45" i="3"/>
  <c r="G4" i="3" a="1"/>
  <c r="G4" i="3"/>
  <c r="G5" i="3"/>
  <c r="I2" i="19"/>
  <c r="I3" i="19"/>
  <c r="I4" i="19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111" i="19"/>
  <c r="I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28" i="19"/>
  <c r="I129" i="19"/>
  <c r="I130" i="19"/>
  <c r="I131" i="19"/>
  <c r="I132" i="19"/>
  <c r="I133" i="19"/>
  <c r="I134" i="19"/>
  <c r="I135" i="19"/>
  <c r="I136" i="19"/>
  <c r="I137" i="19"/>
  <c r="I138" i="19"/>
  <c r="I139" i="19"/>
  <c r="I140" i="19"/>
  <c r="I141" i="19"/>
  <c r="I142" i="19"/>
  <c r="I143" i="19"/>
  <c r="I144" i="19"/>
  <c r="I145" i="19"/>
  <c r="I146" i="19"/>
  <c r="I147" i="19"/>
  <c r="I148" i="19"/>
  <c r="I149" i="19"/>
  <c r="I150" i="19"/>
  <c r="I151" i="19"/>
  <c r="I152" i="19"/>
  <c r="I153" i="19"/>
  <c r="I154" i="19"/>
  <c r="I155" i="19"/>
  <c r="I156" i="19"/>
  <c r="I157" i="19"/>
  <c r="I158" i="19"/>
  <c r="I159" i="19"/>
  <c r="I160" i="19"/>
  <c r="I161" i="19"/>
  <c r="I162" i="19"/>
  <c r="I163" i="19"/>
  <c r="I164" i="19"/>
  <c r="I165" i="19"/>
  <c r="I166" i="19"/>
  <c r="I167" i="19"/>
  <c r="I168" i="19"/>
  <c r="I169" i="19"/>
  <c r="I170" i="19"/>
  <c r="I171" i="19"/>
  <c r="I172" i="19"/>
  <c r="I173" i="19"/>
  <c r="I174" i="19"/>
  <c r="I175" i="19"/>
  <c r="I176" i="19"/>
  <c r="I177" i="19"/>
  <c r="I178" i="19"/>
  <c r="I179" i="19"/>
  <c r="I180" i="19"/>
  <c r="I181" i="19"/>
  <c r="I182" i="19"/>
  <c r="I183" i="19"/>
  <c r="K48" i="14"/>
  <c r="I47" i="14"/>
  <c r="F47" i="14"/>
  <c r="K47" i="14"/>
  <c r="L47" i="14"/>
  <c r="I46" i="14"/>
  <c r="F46" i="14"/>
  <c r="I45" i="14"/>
  <c r="F45" i="14"/>
  <c r="I44" i="14"/>
  <c r="F44" i="14"/>
  <c r="I43" i="14"/>
  <c r="F43" i="14"/>
  <c r="K42" i="14"/>
  <c r="L42" i="14"/>
  <c r="I41" i="14"/>
  <c r="F41" i="14"/>
  <c r="I40" i="14"/>
  <c r="F40" i="14"/>
  <c r="K40" i="14"/>
  <c r="I38" i="14"/>
  <c r="F38" i="14"/>
  <c r="K38" i="14"/>
  <c r="I37" i="14"/>
  <c r="I36" i="14"/>
  <c r="F36" i="14"/>
  <c r="K36" i="14"/>
  <c r="L36" i="14"/>
  <c r="I48" i="13"/>
  <c r="F48" i="13"/>
  <c r="I47" i="13"/>
  <c r="F47" i="13"/>
  <c r="K47" i="13"/>
  <c r="L47" i="13"/>
  <c r="I46" i="13"/>
  <c r="F46" i="13"/>
  <c r="I45" i="13"/>
  <c r="F45" i="13"/>
  <c r="K45" i="13"/>
  <c r="L45" i="13"/>
  <c r="I44" i="13"/>
  <c r="F44" i="13"/>
  <c r="I43" i="13"/>
  <c r="H4" i="13" a="1"/>
  <c r="H4" i="13"/>
  <c r="H5" i="13"/>
  <c r="F43" i="13"/>
  <c r="G4" i="13" a="1"/>
  <c r="G4" i="13"/>
  <c r="G5" i="13"/>
  <c r="I42" i="13"/>
  <c r="F42" i="13"/>
  <c r="K42" i="13"/>
  <c r="I41" i="13"/>
  <c r="F41" i="13"/>
  <c r="I40" i="13"/>
  <c r="K40" i="13"/>
  <c r="I38" i="13"/>
  <c r="F38" i="13"/>
  <c r="F37" i="13"/>
  <c r="K37" i="13"/>
  <c r="I36" i="13"/>
  <c r="F36" i="13"/>
  <c r="I48" i="12"/>
  <c r="H4" i="12" a="1"/>
  <c r="H4" i="12"/>
  <c r="H5" i="12"/>
  <c r="F48" i="12"/>
  <c r="G4" i="12" a="1"/>
  <c r="G4" i="12"/>
  <c r="G5" i="12"/>
  <c r="I47" i="12"/>
  <c r="F47" i="12"/>
  <c r="I46" i="12"/>
  <c r="F46" i="12"/>
  <c r="F45" i="12"/>
  <c r="K45" i="12"/>
  <c r="L45" i="12"/>
  <c r="I45" i="12"/>
  <c r="F44" i="12"/>
  <c r="K44" i="12"/>
  <c r="L44" i="12"/>
  <c r="I44" i="12"/>
  <c r="I43" i="12"/>
  <c r="F43" i="12"/>
  <c r="K43" i="12"/>
  <c r="L43" i="12"/>
  <c r="I42" i="12"/>
  <c r="F42" i="12"/>
  <c r="K42" i="12"/>
  <c r="L42" i="12"/>
  <c r="F41" i="12"/>
  <c r="K41" i="12"/>
  <c r="I41" i="12"/>
  <c r="F40" i="12"/>
  <c r="K40" i="12"/>
  <c r="L40" i="12"/>
  <c r="I40" i="12"/>
  <c r="I38" i="12"/>
  <c r="F38" i="12"/>
  <c r="K38" i="12"/>
  <c r="L38" i="12"/>
  <c r="F37" i="12"/>
  <c r="F36" i="12"/>
  <c r="I36" i="12"/>
  <c r="K36" i="12"/>
  <c r="L36" i="12"/>
  <c r="I48" i="11"/>
  <c r="F48" i="11"/>
  <c r="I47" i="11"/>
  <c r="F47" i="11"/>
  <c r="K47" i="11"/>
  <c r="I46" i="11"/>
  <c r="F46" i="11"/>
  <c r="I45" i="11"/>
  <c r="F45" i="11"/>
  <c r="K45" i="11"/>
  <c r="L45" i="11"/>
  <c r="I44" i="11"/>
  <c r="F44" i="11"/>
  <c r="K44" i="11"/>
  <c r="L44" i="11"/>
  <c r="I43" i="11"/>
  <c r="F43" i="11"/>
  <c r="K43" i="11"/>
  <c r="L43" i="11"/>
  <c r="I42" i="11"/>
  <c r="F42" i="11"/>
  <c r="K42" i="11"/>
  <c r="L42" i="11"/>
  <c r="I41" i="11"/>
  <c r="F41" i="11"/>
  <c r="K41" i="11"/>
  <c r="L41" i="11"/>
  <c r="I40" i="11"/>
  <c r="F40" i="11"/>
  <c r="K40" i="11"/>
  <c r="L40" i="11"/>
  <c r="I38" i="11"/>
  <c r="F38" i="11"/>
  <c r="K38" i="11"/>
  <c r="L38" i="11"/>
  <c r="I37" i="11"/>
  <c r="F37" i="11"/>
  <c r="I36" i="10"/>
  <c r="F36" i="10"/>
  <c r="I48" i="10"/>
  <c r="F48" i="10"/>
  <c r="I47" i="10"/>
  <c r="F47" i="10"/>
  <c r="I46" i="10"/>
  <c r="F46" i="10"/>
  <c r="I45" i="10"/>
  <c r="F45" i="10"/>
  <c r="K45" i="10"/>
  <c r="I44" i="10"/>
  <c r="F44" i="10"/>
  <c r="K44" i="10"/>
  <c r="L44" i="10"/>
  <c r="I43" i="10"/>
  <c r="F43" i="10"/>
  <c r="I42" i="10"/>
  <c r="F42" i="10"/>
  <c r="I41" i="10"/>
  <c r="F41" i="10"/>
  <c r="I40" i="10"/>
  <c r="F40" i="10"/>
  <c r="K40" i="10"/>
  <c r="I38" i="10"/>
  <c r="F38" i="10"/>
  <c r="K38" i="10"/>
  <c r="L38" i="10"/>
  <c r="K37" i="10"/>
  <c r="K39" i="14"/>
  <c r="L39" i="14"/>
  <c r="K44" i="14"/>
  <c r="L44" i="14"/>
  <c r="K41" i="14"/>
  <c r="L38" i="14"/>
  <c r="K37" i="14"/>
  <c r="L37" i="14"/>
  <c r="K36" i="13"/>
  <c r="K41" i="13"/>
  <c r="K43" i="13"/>
  <c r="L43" i="13"/>
  <c r="K44" i="13"/>
  <c r="L44" i="13"/>
  <c r="K46" i="13"/>
  <c r="L46" i="13"/>
  <c r="K37" i="11"/>
  <c r="K48" i="11"/>
  <c r="K36" i="10"/>
  <c r="K41" i="10"/>
  <c r="L41" i="10"/>
  <c r="K43" i="10"/>
  <c r="L43" i="10"/>
  <c r="I48" i="9"/>
  <c r="F48" i="9"/>
  <c r="I47" i="9"/>
  <c r="F47" i="9"/>
  <c r="I46" i="9"/>
  <c r="F46" i="9"/>
  <c r="K46" i="9"/>
  <c r="L46" i="9"/>
  <c r="I45" i="9"/>
  <c r="F45" i="9"/>
  <c r="K45" i="9"/>
  <c r="I44" i="9"/>
  <c r="F44" i="9"/>
  <c r="K44" i="9"/>
  <c r="L44" i="9"/>
  <c r="I43" i="9"/>
  <c r="F43" i="9"/>
  <c r="K43" i="9"/>
  <c r="I42" i="9"/>
  <c r="F42" i="9"/>
  <c r="K42" i="9"/>
  <c r="L42" i="9"/>
  <c r="I41" i="9"/>
  <c r="F41" i="9"/>
  <c r="K41" i="9"/>
  <c r="I40" i="9"/>
  <c r="F40" i="9"/>
  <c r="K40" i="9"/>
  <c r="I38" i="9"/>
  <c r="F38" i="9"/>
  <c r="I37" i="9"/>
  <c r="I48" i="8"/>
  <c r="F48" i="8"/>
  <c r="I47" i="8"/>
  <c r="F47" i="8"/>
  <c r="I46" i="8"/>
  <c r="F46" i="8"/>
  <c r="K46" i="8"/>
  <c r="I45" i="8"/>
  <c r="F45" i="8"/>
  <c r="I44" i="8"/>
  <c r="F44" i="8"/>
  <c r="I43" i="8"/>
  <c r="F43" i="8"/>
  <c r="K43" i="8"/>
  <c r="L43" i="8"/>
  <c r="I42" i="8"/>
  <c r="F42" i="8"/>
  <c r="K42" i="8"/>
  <c r="L42" i="8"/>
  <c r="I41" i="8"/>
  <c r="F41" i="8"/>
  <c r="I40" i="8"/>
  <c r="F40" i="8"/>
  <c r="K38" i="8"/>
  <c r="L38" i="8"/>
  <c r="I37" i="8"/>
  <c r="F37" i="8"/>
  <c r="I36" i="8"/>
  <c r="F36" i="8"/>
  <c r="I48" i="7"/>
  <c r="F48" i="7"/>
  <c r="K48" i="7"/>
  <c r="I47" i="7"/>
  <c r="F47" i="7"/>
  <c r="I46" i="7"/>
  <c r="F46" i="7"/>
  <c r="K46" i="7"/>
  <c r="I45" i="7"/>
  <c r="F45" i="7"/>
  <c r="I44" i="7"/>
  <c r="F44" i="7"/>
  <c r="K44" i="7"/>
  <c r="I43" i="7"/>
  <c r="F43" i="7"/>
  <c r="K43" i="7"/>
  <c r="L43" i="7"/>
  <c r="I42" i="7"/>
  <c r="F42" i="7"/>
  <c r="I41" i="7"/>
  <c r="F41" i="7"/>
  <c r="I40" i="7"/>
  <c r="F40" i="7"/>
  <c r="I38" i="7"/>
  <c r="F38" i="7"/>
  <c r="I37" i="7"/>
  <c r="F37" i="7"/>
  <c r="I36" i="7"/>
  <c r="F36" i="7"/>
  <c r="I48" i="6"/>
  <c r="F48" i="6"/>
  <c r="K48" i="6"/>
  <c r="I47" i="6"/>
  <c r="F47" i="6"/>
  <c r="I46" i="6"/>
  <c r="F46" i="6"/>
  <c r="I45" i="6"/>
  <c r="F45" i="6"/>
  <c r="I44" i="6"/>
  <c r="F44" i="6"/>
  <c r="I43" i="6"/>
  <c r="F43" i="6"/>
  <c r="I42" i="6"/>
  <c r="F42" i="6"/>
  <c r="I41" i="6"/>
  <c r="F41" i="6"/>
  <c r="I40" i="6"/>
  <c r="F40" i="6"/>
  <c r="K40" i="6"/>
  <c r="L40" i="6"/>
  <c r="I38" i="6"/>
  <c r="F38" i="6"/>
  <c r="K38" i="6"/>
  <c r="I37" i="6"/>
  <c r="F37" i="6"/>
  <c r="K37" i="6"/>
  <c r="L37" i="6"/>
  <c r="I48" i="5"/>
  <c r="F48" i="5"/>
  <c r="K48" i="5"/>
  <c r="L48" i="5"/>
  <c r="I47" i="5"/>
  <c r="F47" i="5"/>
  <c r="L47" i="5"/>
  <c r="I46" i="5"/>
  <c r="F46" i="5"/>
  <c r="K46" i="5"/>
  <c r="I45" i="5"/>
  <c r="F45" i="5"/>
  <c r="K45" i="5"/>
  <c r="L45" i="5"/>
  <c r="I43" i="5"/>
  <c r="F43" i="5"/>
  <c r="K43" i="5"/>
  <c r="I42" i="5"/>
  <c r="F42" i="5"/>
  <c r="I41" i="5"/>
  <c r="F41" i="5"/>
  <c r="K41" i="5"/>
  <c r="L41" i="5"/>
  <c r="I40" i="5"/>
  <c r="F40" i="5"/>
  <c r="L40" i="5"/>
  <c r="I38" i="5"/>
  <c r="F38" i="5"/>
  <c r="K38" i="5"/>
  <c r="L38" i="5"/>
  <c r="I37" i="5"/>
  <c r="F37" i="5"/>
  <c r="L37" i="5"/>
  <c r="I36" i="5"/>
  <c r="F36" i="5"/>
  <c r="K36" i="5"/>
  <c r="L36" i="5"/>
  <c r="K36" i="9"/>
  <c r="K38" i="9"/>
  <c r="L38" i="9"/>
  <c r="K44" i="8"/>
  <c r="L44" i="8"/>
  <c r="K39" i="8"/>
  <c r="L39" i="8"/>
  <c r="K40" i="8"/>
  <c r="L40" i="8"/>
  <c r="K41" i="8"/>
  <c r="L41" i="8"/>
  <c r="K47" i="8"/>
  <c r="K36" i="7"/>
  <c r="L36" i="7"/>
  <c r="K40" i="7"/>
  <c r="L40" i="7"/>
  <c r="K41" i="7"/>
  <c r="K39" i="6"/>
  <c r="L39" i="6"/>
  <c r="K41" i="6"/>
  <c r="K42" i="6"/>
  <c r="L42" i="6"/>
  <c r="K45" i="6"/>
  <c r="L45" i="6"/>
  <c r="K42" i="5"/>
  <c r="L42" i="5"/>
  <c r="F44" i="15"/>
  <c r="K44" i="15"/>
  <c r="F39" i="15"/>
  <c r="I44" i="15"/>
  <c r="I39" i="15"/>
  <c r="I48" i="15"/>
  <c r="F48" i="15"/>
  <c r="I47" i="15"/>
  <c r="F47" i="15"/>
  <c r="I46" i="15"/>
  <c r="F46" i="15"/>
  <c r="I45" i="15"/>
  <c r="F45" i="15"/>
  <c r="I43" i="15"/>
  <c r="F43" i="15"/>
  <c r="I42" i="15"/>
  <c r="F42" i="15"/>
  <c r="I41" i="15"/>
  <c r="F41" i="15"/>
  <c r="I40" i="15"/>
  <c r="F40" i="15"/>
  <c r="I38" i="15"/>
  <c r="F38" i="15"/>
  <c r="I37" i="15"/>
  <c r="F37" i="15"/>
  <c r="I36" i="15"/>
  <c r="H4" i="15" a="1"/>
  <c r="H4" i="15"/>
  <c r="H5" i="15"/>
  <c r="F36" i="15"/>
  <c r="G4" i="15" a="1"/>
  <c r="G4" i="15"/>
  <c r="G5" i="15"/>
  <c r="I48" i="4"/>
  <c r="F48" i="4"/>
  <c r="K48" i="4"/>
  <c r="I47" i="4"/>
  <c r="F47" i="4"/>
  <c r="K47" i="4"/>
  <c r="I46" i="4"/>
  <c r="F46" i="4"/>
  <c r="K46" i="4"/>
  <c r="I45" i="4"/>
  <c r="F45" i="4"/>
  <c r="K45" i="4"/>
  <c r="L45" i="4"/>
  <c r="I44" i="4"/>
  <c r="F44" i="4"/>
  <c r="I43" i="4"/>
  <c r="F43" i="4"/>
  <c r="I42" i="4"/>
  <c r="F42" i="4"/>
  <c r="I41" i="4"/>
  <c r="F41" i="4"/>
  <c r="K41" i="4"/>
  <c r="L41" i="4"/>
  <c r="I40" i="4"/>
  <c r="F40" i="4"/>
  <c r="K40" i="4"/>
  <c r="L40" i="4"/>
  <c r="I39" i="4"/>
  <c r="F39" i="4"/>
  <c r="K39" i="4"/>
  <c r="I38" i="4"/>
  <c r="K38" i="4"/>
  <c r="L38" i="4"/>
  <c r="I37" i="4"/>
  <c r="F37" i="4"/>
  <c r="K36" i="4"/>
  <c r="L36" i="4"/>
  <c r="I48" i="3"/>
  <c r="F48" i="3"/>
  <c r="I47" i="3"/>
  <c r="F47" i="3"/>
  <c r="I46" i="3"/>
  <c r="F46" i="3"/>
  <c r="K46" i="3"/>
  <c r="L46" i="3"/>
  <c r="I44" i="3"/>
  <c r="F44" i="3"/>
  <c r="K44" i="3"/>
  <c r="L44" i="3"/>
  <c r="I43" i="3"/>
  <c r="F43" i="3"/>
  <c r="I42" i="3"/>
  <c r="F42" i="3"/>
  <c r="K42" i="3"/>
  <c r="I41" i="3"/>
  <c r="F41" i="3"/>
  <c r="I40" i="3"/>
  <c r="F40" i="3"/>
  <c r="I39" i="3"/>
  <c r="F39" i="3"/>
  <c r="K39" i="3"/>
  <c r="L39" i="3"/>
  <c r="I38" i="3"/>
  <c r="I37" i="3"/>
  <c r="F37" i="3"/>
  <c r="I36" i="3"/>
  <c r="F36" i="3"/>
  <c r="K48" i="3"/>
  <c r="K37" i="3"/>
  <c r="L37" i="3"/>
  <c r="K43" i="3"/>
  <c r="L43" i="3"/>
  <c r="K45" i="3"/>
  <c r="L45" i="3"/>
  <c r="L48" i="3"/>
  <c r="L48" i="14"/>
  <c r="K46" i="14"/>
  <c r="L46" i="14"/>
  <c r="K45" i="14"/>
  <c r="L45" i="14"/>
  <c r="K43" i="14"/>
  <c r="L43" i="14"/>
  <c r="L41" i="14"/>
  <c r="L40" i="14"/>
  <c r="L42" i="13"/>
  <c r="L41" i="13"/>
  <c r="L40" i="13"/>
  <c r="K38" i="13"/>
  <c r="L38" i="13"/>
  <c r="L37" i="13"/>
  <c r="L36" i="13"/>
  <c r="L37" i="11"/>
  <c r="K36" i="11"/>
  <c r="L36" i="11"/>
  <c r="K42" i="10"/>
  <c r="L42" i="10"/>
  <c r="L40" i="10"/>
  <c r="K39" i="10"/>
  <c r="L39" i="10"/>
  <c r="L37" i="10"/>
  <c r="L36" i="10"/>
  <c r="L43" i="9"/>
  <c r="L41" i="9"/>
  <c r="L40" i="9"/>
  <c r="K39" i="9"/>
  <c r="L39" i="9"/>
  <c r="K37" i="9"/>
  <c r="L37" i="9"/>
  <c r="L36" i="9"/>
  <c r="K37" i="8"/>
  <c r="L37" i="8"/>
  <c r="K36" i="8"/>
  <c r="L36" i="8"/>
  <c r="K48" i="13"/>
  <c r="L48" i="13"/>
  <c r="K48" i="12"/>
  <c r="K47" i="12"/>
  <c r="L47" i="12"/>
  <c r="L48" i="11"/>
  <c r="L47" i="11"/>
  <c r="K46" i="11"/>
  <c r="L46" i="11"/>
  <c r="K48" i="10"/>
  <c r="L48" i="10"/>
  <c r="K47" i="10"/>
  <c r="L47" i="10"/>
  <c r="K46" i="10"/>
  <c r="L46" i="10"/>
  <c r="L45" i="10"/>
  <c r="K48" i="9"/>
  <c r="L48" i="9"/>
  <c r="K47" i="9"/>
  <c r="L47" i="9"/>
  <c r="L45" i="9"/>
  <c r="K48" i="8"/>
  <c r="L48" i="8"/>
  <c r="L47" i="8"/>
  <c r="L46" i="8"/>
  <c r="K45" i="8"/>
  <c r="L45" i="8"/>
  <c r="K37" i="7"/>
  <c r="L37" i="7"/>
  <c r="K38" i="7"/>
  <c r="L38" i="7"/>
  <c r="K39" i="7"/>
  <c r="L39" i="7"/>
  <c r="L41" i="7"/>
  <c r="K36" i="6"/>
  <c r="L36" i="6"/>
  <c r="L38" i="6"/>
  <c r="L48" i="7"/>
  <c r="K47" i="7"/>
  <c r="L47" i="7"/>
  <c r="L46" i="7"/>
  <c r="K45" i="7"/>
  <c r="L45" i="7"/>
  <c r="L44" i="7"/>
  <c r="K42" i="7"/>
  <c r="L42" i="7"/>
  <c r="L48" i="6"/>
  <c r="K47" i="6"/>
  <c r="L47" i="6"/>
  <c r="K46" i="6"/>
  <c r="L46" i="6"/>
  <c r="K44" i="6"/>
  <c r="L44" i="6"/>
  <c r="K43" i="6"/>
  <c r="L43" i="6"/>
  <c r="L41" i="6"/>
  <c r="K37" i="5"/>
  <c r="K47" i="5"/>
  <c r="K40" i="5"/>
  <c r="L48" i="4"/>
  <c r="L47" i="4"/>
  <c r="L46" i="4"/>
  <c r="K44" i="4"/>
  <c r="L44" i="4"/>
  <c r="K43" i="4"/>
  <c r="L43" i="4"/>
  <c r="K42" i="4"/>
  <c r="L42" i="4"/>
  <c r="L39" i="4"/>
  <c r="K37" i="4"/>
  <c r="L37" i="4"/>
  <c r="K47" i="3"/>
  <c r="L47" i="3"/>
  <c r="L42" i="3"/>
  <c r="K41" i="3"/>
  <c r="L41" i="3"/>
  <c r="K40" i="3"/>
  <c r="L40" i="3"/>
  <c r="K38" i="3"/>
  <c r="L38" i="3"/>
  <c r="H4" i="3" a="1"/>
  <c r="H4" i="3"/>
  <c r="H5" i="3"/>
  <c r="K36" i="3"/>
  <c r="L36" i="3"/>
  <c r="K47" i="2"/>
  <c r="L47" i="2"/>
  <c r="K45" i="2"/>
  <c r="K41" i="2"/>
  <c r="L41" i="2"/>
  <c r="G4" i="2" a="1"/>
  <c r="G4" i="2"/>
  <c r="G5" i="2"/>
  <c r="K39" i="2"/>
  <c r="L39" i="2"/>
  <c r="K38" i="2"/>
  <c r="L38" i="2"/>
  <c r="K36" i="2"/>
  <c r="L36" i="2"/>
  <c r="C9" i="8"/>
  <c r="L46" i="12"/>
  <c r="L39" i="12"/>
  <c r="L48" i="12"/>
  <c r="K46" i="12"/>
  <c r="K39" i="12"/>
  <c r="L37" i="12"/>
  <c r="L41" i="12"/>
  <c r="L46" i="5"/>
  <c r="L43" i="5"/>
  <c r="L39" i="5"/>
  <c r="K48" i="2"/>
  <c r="L48" i="2"/>
  <c r="K42" i="2"/>
  <c r="L42" i="2"/>
  <c r="K41" i="15"/>
  <c r="K37" i="15"/>
  <c r="L37" i="15"/>
  <c r="K40" i="15"/>
  <c r="L40" i="15"/>
  <c r="K42" i="15"/>
  <c r="K45" i="15"/>
  <c r="L45" i="15"/>
  <c r="K47" i="15"/>
  <c r="L47" i="15"/>
  <c r="K38" i="15"/>
  <c r="L38" i="15"/>
  <c r="H4" i="5" a="1"/>
  <c r="H4" i="5"/>
  <c r="H5" i="5"/>
  <c r="L41" i="15"/>
  <c r="K39" i="15"/>
  <c r="L39" i="15"/>
  <c r="L44" i="15"/>
  <c r="K43" i="15"/>
  <c r="L43" i="15"/>
  <c r="K46" i="15"/>
  <c r="L46" i="15"/>
  <c r="K48" i="15"/>
  <c r="L48" i="15"/>
  <c r="K36" i="15"/>
  <c r="L36" i="15"/>
  <c r="L42" i="15"/>
  <c r="F8" i="15"/>
  <c r="E8" i="15"/>
  <c r="B8" i="9"/>
  <c r="B15" i="13"/>
  <c r="D26" i="14"/>
  <c r="C31" i="14"/>
  <c r="D33" i="14"/>
  <c r="B20" i="13"/>
  <c r="B13" i="10"/>
  <c r="C17" i="9"/>
  <c r="B33" i="13"/>
  <c r="D8" i="9"/>
  <c r="B25" i="9"/>
  <c r="C23" i="13"/>
  <c r="D17" i="13"/>
  <c r="B31" i="10"/>
  <c r="B33" i="15"/>
  <c r="D21" i="9"/>
  <c r="D26" i="9"/>
  <c r="B16" i="15"/>
  <c r="C19" i="13"/>
  <c r="C27" i="11"/>
  <c r="D17" i="15"/>
  <c r="B30" i="15"/>
  <c r="C13" i="15"/>
  <c r="C26" i="15"/>
  <c r="C22" i="11"/>
  <c r="B14" i="8"/>
  <c r="B9" i="15"/>
  <c r="C22" i="9"/>
  <c r="C27" i="9"/>
  <c r="D19" i="9"/>
  <c r="B20" i="11"/>
  <c r="D23" i="10"/>
  <c r="C19" i="15"/>
  <c r="D33" i="9"/>
  <c r="B15" i="15"/>
  <c r="B28" i="15"/>
  <c r="D8" i="13"/>
  <c r="D22" i="11"/>
  <c r="B19" i="14"/>
  <c r="D22" i="15"/>
  <c r="D31" i="15"/>
  <c r="C12" i="14"/>
  <c r="C24" i="13"/>
  <c r="B21" i="11"/>
  <c r="B12" i="8"/>
  <c r="C17" i="14"/>
  <c r="D8" i="14"/>
  <c r="B26" i="14"/>
  <c r="D15" i="14"/>
  <c r="D22" i="13"/>
  <c r="C24" i="11"/>
  <c r="C25" i="11"/>
  <c r="C13" i="9"/>
  <c r="B31" i="13"/>
  <c r="C26" i="13"/>
  <c r="B21" i="9"/>
  <c r="B26" i="13"/>
  <c r="C11" i="11"/>
  <c r="D9" i="15"/>
  <c r="B22" i="15"/>
  <c r="B31" i="15"/>
  <c r="C18" i="15"/>
  <c r="C14" i="11"/>
  <c r="C26" i="10"/>
  <c r="B27" i="14"/>
  <c r="C14" i="14"/>
  <c r="B16" i="14"/>
  <c r="C28" i="14"/>
  <c r="D12" i="13"/>
  <c r="C8" i="11"/>
  <c r="B29" i="11"/>
  <c r="B20" i="8"/>
  <c r="C33" i="14"/>
  <c r="D16" i="14"/>
  <c r="C11" i="14"/>
  <c r="D23" i="14"/>
  <c r="D10" i="11"/>
  <c r="D29" i="11"/>
  <c r="B28" i="10"/>
  <c r="B15" i="14"/>
  <c r="D14" i="15"/>
  <c r="D23" i="15"/>
  <c r="C8" i="14"/>
  <c r="B32" i="13"/>
  <c r="B17" i="11"/>
  <c r="B16" i="8"/>
  <c r="B33" i="14"/>
  <c r="C26" i="14"/>
  <c r="B22" i="14"/>
  <c r="D11" i="14"/>
  <c r="D18" i="13"/>
  <c r="C16" i="11"/>
  <c r="B33" i="11"/>
  <c r="B30" i="9"/>
  <c r="B27" i="13"/>
  <c r="C18" i="13"/>
  <c r="B13" i="9"/>
  <c r="B22" i="13"/>
  <c r="D11" i="13"/>
  <c r="B25" i="10"/>
  <c r="D16" i="9"/>
  <c r="B27" i="9"/>
  <c r="B32" i="9"/>
  <c r="D20" i="9"/>
  <c r="B31" i="9"/>
  <c r="C11" i="9"/>
  <c r="C28" i="9"/>
  <c r="B12" i="11"/>
  <c r="C33" i="10"/>
  <c r="B29" i="15"/>
  <c r="D17" i="9"/>
  <c r="D22" i="9"/>
  <c r="B12" i="15"/>
  <c r="C11" i="13"/>
  <c r="C19" i="11"/>
  <c r="B11" i="14"/>
  <c r="C32" i="15"/>
  <c r="D15" i="15"/>
  <c r="D28" i="15"/>
  <c r="D23" i="11"/>
  <c r="B13" i="11"/>
  <c r="D31" i="10"/>
  <c r="B29" i="14"/>
  <c r="C18" i="14"/>
  <c r="B18" i="14"/>
  <c r="C32" i="14"/>
  <c r="D14" i="13"/>
  <c r="C10" i="11"/>
  <c r="B31" i="11"/>
  <c r="B12" i="10"/>
  <c r="D21" i="15"/>
  <c r="C8" i="15"/>
  <c r="C17" i="15"/>
  <c r="C30" i="15"/>
  <c r="C26" i="11"/>
  <c r="D11" i="10"/>
  <c r="B17" i="14"/>
  <c r="D18" i="15"/>
  <c r="D27" i="15"/>
  <c r="C10" i="14"/>
  <c r="C17" i="13"/>
  <c r="B19" i="11"/>
  <c r="B10" i="8"/>
  <c r="B11" i="13"/>
  <c r="D22" i="14"/>
  <c r="C23" i="14"/>
  <c r="D29" i="14"/>
  <c r="D31" i="11"/>
  <c r="B9" i="10"/>
  <c r="C9" i="9"/>
  <c r="B29" i="13"/>
  <c r="C22" i="13"/>
  <c r="B17" i="9"/>
  <c r="B30" i="13"/>
  <c r="D13" i="13"/>
  <c r="B27" i="10"/>
  <c r="B25" i="15"/>
  <c r="D13" i="9"/>
  <c r="D18" i="9"/>
  <c r="D20" i="15"/>
  <c r="D13" i="11"/>
  <c r="B8" i="11"/>
  <c r="D26" i="10"/>
  <c r="B25" i="14"/>
  <c r="B9" i="14"/>
  <c r="B14" i="14"/>
  <c r="C24" i="14"/>
  <c r="D10" i="13"/>
  <c r="B27" i="11"/>
  <c r="B14" i="9"/>
  <c r="B19" i="13"/>
  <c r="D30" i="14"/>
  <c r="B12" i="13"/>
  <c r="C10" i="13"/>
  <c r="C13" i="13"/>
  <c r="B17" i="10"/>
  <c r="C25" i="9"/>
  <c r="B11" i="9"/>
  <c r="B16" i="9"/>
  <c r="B33" i="9"/>
  <c r="C32" i="13"/>
  <c r="D21" i="13"/>
  <c r="C13" i="10"/>
  <c r="C15" i="11"/>
  <c r="C9" i="13"/>
  <c r="D18" i="14"/>
  <c r="C15" i="14"/>
  <c r="D25" i="14"/>
  <c r="D12" i="11"/>
  <c r="D32" i="11"/>
  <c r="B26" i="9"/>
  <c r="B25" i="13"/>
  <c r="C14" i="13"/>
  <c r="B9" i="9"/>
  <c r="C20" i="13"/>
  <c r="C31" i="13"/>
  <c r="B23" i="10"/>
  <c r="B17" i="15"/>
  <c r="C30" i="9"/>
  <c r="D10" i="9"/>
  <c r="D27" i="9"/>
  <c r="B24" i="11"/>
  <c r="D28" i="10"/>
  <c r="C27" i="15"/>
  <c r="B14" i="15"/>
  <c r="B23" i="15"/>
  <c r="C10" i="15"/>
  <c r="D33" i="13"/>
  <c r="C18" i="10"/>
  <c r="C28" i="10"/>
  <c r="C31" i="15"/>
  <c r="B18" i="15"/>
  <c r="B27" i="15"/>
  <c r="C14" i="15"/>
  <c r="B9" i="11"/>
  <c r="C22" i="10"/>
  <c r="B8" i="14"/>
  <c r="C28" i="15"/>
  <c r="D11" i="15"/>
  <c r="D24" i="15"/>
  <c r="D16" i="11"/>
  <c r="B11" i="11"/>
  <c r="D29" i="10"/>
  <c r="C29" i="14"/>
  <c r="D14" i="14"/>
  <c r="B32" i="14"/>
  <c r="D21" i="14"/>
  <c r="D28" i="13"/>
  <c r="D8" i="11"/>
  <c r="D27" i="11"/>
  <c r="B18" i="9"/>
  <c r="B21" i="13"/>
  <c r="D32" i="14"/>
  <c r="B14" i="13"/>
  <c r="C12" i="13"/>
  <c r="C21" i="13"/>
  <c r="B19" i="10"/>
  <c r="C31" i="10"/>
  <c r="B31" i="14"/>
  <c r="C22" i="14"/>
  <c r="B20" i="14"/>
  <c r="D9" i="14"/>
  <c r="D16" i="13"/>
  <c r="C12" i="11"/>
  <c r="B26" i="11"/>
  <c r="B32" i="8"/>
  <c r="B8" i="13"/>
  <c r="D20" i="14"/>
  <c r="C19" i="14"/>
  <c r="D27" i="14"/>
  <c r="D14" i="11"/>
  <c r="B8" i="10"/>
  <c r="D12" i="9"/>
  <c r="B23" i="9"/>
  <c r="B28" i="9"/>
  <c r="C20" i="9"/>
  <c r="D32" i="13"/>
  <c r="D27" i="13"/>
  <c r="C25" i="10"/>
  <c r="B21" i="15"/>
  <c r="D9" i="9"/>
  <c r="D14" i="9"/>
  <c r="D31" i="9"/>
  <c r="B18" i="13"/>
  <c r="B28" i="11"/>
  <c r="C9" i="14"/>
  <c r="C24" i="15"/>
  <c r="C33" i="15"/>
  <c r="D17" i="14"/>
  <c r="D24" i="13"/>
  <c r="C28" i="11"/>
  <c r="C33" i="11"/>
  <c r="B10" i="9"/>
  <c r="B17" i="13"/>
  <c r="D28" i="14"/>
  <c r="B10" i="13"/>
  <c r="C8" i="13"/>
  <c r="B28" i="13"/>
  <c r="B15" i="10"/>
  <c r="D28" i="9"/>
  <c r="C14" i="9"/>
  <c r="C19" i="9"/>
  <c r="D11" i="9"/>
  <c r="B16" i="11"/>
  <c r="D18" i="10"/>
  <c r="C11" i="15"/>
  <c r="D25" i="9"/>
  <c r="D30" i="9"/>
  <c r="B20" i="15"/>
  <c r="C25" i="13"/>
  <c r="D18" i="11"/>
  <c r="C29" i="9"/>
  <c r="B15" i="9"/>
  <c r="B20" i="9"/>
  <c r="C12" i="9"/>
  <c r="D9" i="13"/>
  <c r="D23" i="13"/>
  <c r="C17" i="10"/>
  <c r="B13" i="15"/>
  <c r="C26" i="9"/>
  <c r="C31" i="9"/>
  <c r="D23" i="9"/>
  <c r="B22" i="11"/>
  <c r="D25" i="10"/>
  <c r="D29" i="15"/>
  <c r="C16" i="15"/>
  <c r="C25" i="15"/>
  <c r="D12" i="15"/>
  <c r="D9" i="11"/>
  <c r="D16" i="10"/>
  <c r="B21" i="14"/>
  <c r="D26" i="15"/>
  <c r="B10" i="14"/>
  <c r="C16" i="14"/>
  <c r="C29" i="13"/>
  <c r="B23" i="11"/>
  <c r="D28" i="11"/>
  <c r="B23" i="14"/>
  <c r="D30" i="15"/>
  <c r="B12" i="14"/>
  <c r="C20" i="14"/>
  <c r="C33" i="13"/>
  <c r="B25" i="11"/>
  <c r="B24" i="8"/>
  <c r="C25" i="14"/>
  <c r="D12" i="14"/>
  <c r="B30" i="14"/>
  <c r="D19" i="14"/>
  <c r="D26" i="13"/>
  <c r="C32" i="11"/>
  <c r="D25" i="11"/>
  <c r="C21" i="9"/>
  <c r="C8" i="9"/>
  <c r="B12" i="9"/>
  <c r="B29" i="9"/>
  <c r="C28" i="13"/>
  <c r="D19" i="13"/>
  <c r="B33" i="10"/>
  <c r="D32" i="9"/>
  <c r="C18" i="9"/>
  <c r="C23" i="9"/>
  <c r="D15" i="9"/>
  <c r="B18" i="11"/>
  <c r="D21" i="10"/>
  <c r="B22" i="9"/>
  <c r="B23" i="13"/>
  <c r="B9" i="13"/>
  <c r="B16" i="13"/>
  <c r="C16" i="13"/>
  <c r="C27" i="13"/>
  <c r="B21" i="10"/>
  <c r="C33" i="9"/>
  <c r="B19" i="9"/>
  <c r="B24" i="9"/>
  <c r="C16" i="9"/>
  <c r="D30" i="13"/>
  <c r="D25" i="13"/>
  <c r="C21" i="10"/>
  <c r="C23" i="15"/>
  <c r="B10" i="15"/>
  <c r="B19" i="15"/>
  <c r="B32" i="15"/>
  <c r="D31" i="13"/>
  <c r="C14" i="10"/>
  <c r="D33" i="15"/>
  <c r="C20" i="15"/>
  <c r="C29" i="15"/>
  <c r="D16" i="15"/>
  <c r="D11" i="11"/>
  <c r="C9" i="11"/>
  <c r="B30" i="8"/>
  <c r="C21" i="14"/>
  <c r="D10" i="14"/>
  <c r="B28" i="14"/>
  <c r="C15" i="13"/>
  <c r="D15" i="13"/>
  <c r="B29" i="10"/>
  <c r="D24" i="9"/>
  <c r="C10" i="9"/>
  <c r="C15" i="9"/>
  <c r="C32" i="9"/>
  <c r="B14" i="11"/>
  <c r="D13" i="10"/>
  <c r="D13" i="15"/>
  <c r="B26" i="15"/>
  <c r="C9" i="15"/>
  <c r="C22" i="15"/>
  <c r="C18" i="11"/>
  <c r="C30" i="10"/>
  <c r="B13" i="14"/>
  <c r="D10" i="15"/>
  <c r="D19" i="15"/>
  <c r="D32" i="15"/>
  <c r="B24" i="13"/>
  <c r="B15" i="11"/>
  <c r="C29" i="11"/>
  <c r="C15" i="15"/>
  <c r="D29" i="9"/>
  <c r="B11" i="15"/>
  <c r="B24" i="15"/>
  <c r="C30" i="13"/>
  <c r="D20" i="11"/>
  <c r="D25" i="15"/>
  <c r="C12" i="15"/>
  <c r="C21" i="15"/>
  <c r="D8" i="15"/>
  <c r="C30" i="11"/>
  <c r="D14" i="10"/>
  <c r="C13" i="14"/>
  <c r="C30" i="14"/>
  <c r="B24" i="14"/>
  <c r="D13" i="14"/>
  <c r="D20" i="13"/>
  <c r="C20" i="11"/>
  <c r="C17" i="11"/>
  <c r="B28" i="8"/>
  <c r="B13" i="13"/>
  <c r="D24" i="14"/>
  <c r="C27" i="14"/>
  <c r="D31" i="14"/>
  <c r="D33" i="11"/>
  <c r="B11" i="10"/>
  <c r="C15" i="10"/>
  <c r="C23" i="8"/>
  <c r="C24" i="9"/>
  <c r="C29" i="10"/>
  <c r="D25" i="6"/>
  <c r="C14" i="6"/>
  <c r="B9" i="5"/>
  <c r="C31" i="4"/>
  <c r="C11" i="2"/>
  <c r="D10" i="3"/>
  <c r="B14" i="10"/>
  <c r="C29" i="8"/>
  <c r="C21" i="7"/>
  <c r="B24" i="7"/>
  <c r="C21" i="3"/>
  <c r="C19" i="5"/>
  <c r="C8" i="5"/>
  <c r="C13" i="4"/>
  <c r="C8" i="10"/>
  <c r="C16" i="6"/>
  <c r="C30" i="7"/>
  <c r="B31" i="6"/>
  <c r="D32" i="4"/>
  <c r="B22" i="2"/>
  <c r="C11" i="3"/>
  <c r="B27" i="5"/>
  <c r="C24" i="10"/>
  <c r="D20" i="6"/>
  <c r="D33" i="7"/>
  <c r="D31" i="6"/>
  <c r="C27" i="4"/>
  <c r="B32" i="2"/>
  <c r="C31" i="3"/>
  <c r="D21" i="6"/>
  <c r="D31" i="4"/>
  <c r="C10" i="8"/>
  <c r="D26" i="7"/>
  <c r="D26" i="8"/>
  <c r="B16" i="6"/>
  <c r="D33" i="2"/>
  <c r="B10" i="2"/>
  <c r="B22" i="3"/>
  <c r="B30" i="11"/>
  <c r="B19" i="8"/>
  <c r="B15" i="7"/>
  <c r="D24" i="8"/>
  <c r="B15" i="3"/>
  <c r="B14" i="5"/>
  <c r="D29" i="4"/>
  <c r="D22" i="2"/>
  <c r="D24" i="10"/>
  <c r="C28" i="7"/>
  <c r="C26" i="8"/>
  <c r="D28" i="7"/>
  <c r="D13" i="2"/>
  <c r="D15" i="3"/>
  <c r="B10" i="3"/>
  <c r="D27" i="6"/>
  <c r="B32" i="11"/>
  <c r="D23" i="7"/>
  <c r="D23" i="8"/>
  <c r="B14" i="6"/>
  <c r="D29" i="2"/>
  <c r="D32" i="3"/>
  <c r="B20" i="3"/>
  <c r="B33" i="8"/>
  <c r="B29" i="7"/>
  <c r="B14" i="7"/>
  <c r="B29" i="3"/>
  <c r="B28" i="5"/>
  <c r="C17" i="6"/>
  <c r="D18" i="4"/>
  <c r="C23" i="11"/>
  <c r="D29" i="7"/>
  <c r="D33" i="8"/>
  <c r="B18" i="6"/>
  <c r="D9" i="4"/>
  <c r="B12" i="2"/>
  <c r="B24" i="3"/>
  <c r="C13" i="11"/>
  <c r="B21" i="8"/>
  <c r="B17" i="7"/>
  <c r="D27" i="8"/>
  <c r="B17" i="3"/>
  <c r="B16" i="5"/>
  <c r="D33" i="4"/>
  <c r="D25" i="2"/>
  <c r="D26" i="11"/>
  <c r="B31" i="8"/>
  <c r="B27" i="7"/>
  <c r="B12" i="7"/>
  <c r="B27" i="3"/>
  <c r="B26" i="5"/>
  <c r="B33" i="6"/>
  <c r="D15" i="4"/>
  <c r="C24" i="3"/>
  <c r="B26" i="4"/>
  <c r="C20" i="7"/>
  <c r="C14" i="8"/>
  <c r="D22" i="7"/>
  <c r="C30" i="2"/>
  <c r="D9" i="3"/>
  <c r="D33" i="5"/>
  <c r="D9" i="10"/>
  <c r="D30" i="10"/>
  <c r="D22" i="8"/>
  <c r="D32" i="6"/>
  <c r="D19" i="5"/>
  <c r="D10" i="6"/>
  <c r="D24" i="2"/>
  <c r="B20" i="10"/>
  <c r="B13" i="7"/>
  <c r="D18" i="8"/>
  <c r="B13" i="3"/>
  <c r="B12" i="5"/>
  <c r="D25" i="4"/>
  <c r="D19" i="2"/>
  <c r="D22" i="10"/>
  <c r="C24" i="7"/>
  <c r="C20" i="8"/>
  <c r="D25" i="7"/>
  <c r="D10" i="2"/>
  <c r="D13" i="3"/>
  <c r="C9" i="3"/>
  <c r="D19" i="10"/>
  <c r="D32" i="10"/>
  <c r="D25" i="8"/>
  <c r="C15" i="8"/>
  <c r="D21" i="5"/>
  <c r="D17" i="6"/>
  <c r="D27" i="2"/>
  <c r="C24" i="2"/>
  <c r="B26" i="8"/>
  <c r="B15" i="8"/>
  <c r="B11" i="7"/>
  <c r="D13" i="8"/>
  <c r="B11" i="3"/>
  <c r="B10" i="5"/>
  <c r="D21" i="4"/>
  <c r="D15" i="2"/>
  <c r="D24" i="5"/>
  <c r="C28" i="4"/>
  <c r="D12" i="10"/>
  <c r="C24" i="8"/>
  <c r="C30" i="6"/>
  <c r="C26" i="5"/>
  <c r="B32" i="6"/>
  <c r="C27" i="2"/>
  <c r="D33" i="3"/>
  <c r="B22" i="10"/>
  <c r="C28" i="8"/>
  <c r="D10" i="7"/>
  <c r="B32" i="7"/>
  <c r="D12" i="3"/>
  <c r="D14" i="5"/>
  <c r="C20" i="5"/>
  <c r="C29" i="4"/>
  <c r="C20" i="10"/>
  <c r="C32" i="6"/>
  <c r="D27" i="7"/>
  <c r="D13" i="6"/>
  <c r="C23" i="4"/>
  <c r="B30" i="2"/>
  <c r="C27" i="3"/>
  <c r="C13" i="5"/>
  <c r="D10" i="10"/>
  <c r="C19" i="8"/>
  <c r="C26" i="6"/>
  <c r="C22" i="5"/>
  <c r="B28" i="6"/>
  <c r="C23" i="2"/>
  <c r="D27" i="3"/>
  <c r="C8" i="7"/>
  <c r="B9" i="6"/>
  <c r="D8" i="7"/>
  <c r="C14" i="2"/>
  <c r="C18" i="3"/>
  <c r="D18" i="5"/>
  <c r="C27" i="6"/>
  <c r="D15" i="10"/>
  <c r="C30" i="8"/>
  <c r="D12" i="6"/>
  <c r="C30" i="5"/>
  <c r="C15" i="6"/>
  <c r="C31" i="2"/>
  <c r="C8" i="2"/>
  <c r="B24" i="10"/>
  <c r="D8" i="8"/>
  <c r="D12" i="7"/>
  <c r="C11" i="7"/>
  <c r="D18" i="3"/>
  <c r="D17" i="5"/>
  <c r="C24" i="5"/>
  <c r="C33" i="4"/>
  <c r="C11" i="10"/>
  <c r="D32" i="8"/>
  <c r="B8" i="6"/>
  <c r="C31" i="7"/>
  <c r="B9" i="2"/>
  <c r="C14" i="3"/>
  <c r="D15" i="5"/>
  <c r="C19" i="6"/>
  <c r="B19" i="2"/>
  <c r="C12" i="10"/>
  <c r="C24" i="6"/>
  <c r="D18" i="7"/>
  <c r="C21" i="6"/>
  <c r="C15" i="4"/>
  <c r="B26" i="2"/>
  <c r="C19" i="3"/>
  <c r="D30" i="11"/>
  <c r="C13" i="8"/>
  <c r="B31" i="7"/>
  <c r="B16" i="7"/>
  <c r="B31" i="3"/>
  <c r="B30" i="5"/>
  <c r="C25" i="6"/>
  <c r="D22" i="4"/>
  <c r="C31" i="11"/>
  <c r="D32" i="7"/>
  <c r="C14" i="7"/>
  <c r="B20" i="6"/>
  <c r="D13" i="4"/>
  <c r="B14" i="2"/>
  <c r="B26" i="3"/>
  <c r="B19" i="5"/>
  <c r="C10" i="10"/>
  <c r="B10" i="11"/>
  <c r="B17" i="8"/>
  <c r="C33" i="7"/>
  <c r="B30" i="7"/>
  <c r="C33" i="3"/>
  <c r="C31" i="5"/>
  <c r="C16" i="5"/>
  <c r="C25" i="4"/>
  <c r="C16" i="10"/>
  <c r="C28" i="6"/>
  <c r="D21" i="7"/>
  <c r="C29" i="6"/>
  <c r="C19" i="4"/>
  <c r="B28" i="2"/>
  <c r="C23" i="3"/>
  <c r="C9" i="10"/>
  <c r="C17" i="8"/>
  <c r="B33" i="7"/>
  <c r="B18" i="7"/>
  <c r="B33" i="3"/>
  <c r="B32" i="5"/>
  <c r="C33" i="6"/>
  <c r="D26" i="4"/>
  <c r="B18" i="10"/>
  <c r="C18" i="8"/>
  <c r="C29" i="7"/>
  <c r="B28" i="7"/>
  <c r="C29" i="3"/>
  <c r="C27" i="5"/>
  <c r="C12" i="5"/>
  <c r="C21" i="4"/>
  <c r="D24" i="3"/>
  <c r="B21" i="4"/>
  <c r="B25" i="8"/>
  <c r="B21" i="7"/>
  <c r="D31" i="8"/>
  <c r="B21" i="3"/>
  <c r="B20" i="5"/>
  <c r="B21" i="6"/>
  <c r="D31" i="2"/>
  <c r="C12" i="8"/>
  <c r="D14" i="7"/>
  <c r="D15" i="8"/>
  <c r="B10" i="6"/>
  <c r="D23" i="2"/>
  <c r="D26" i="3"/>
  <c r="B16" i="3"/>
  <c r="B22" i="8"/>
  <c r="B13" i="8"/>
  <c r="B9" i="7"/>
  <c r="D10" i="8"/>
  <c r="B9" i="3"/>
  <c r="D33" i="6"/>
  <c r="D17" i="4"/>
  <c r="D12" i="2"/>
  <c r="C21" i="11"/>
  <c r="B23" i="8"/>
  <c r="B19" i="7"/>
  <c r="D29" i="8"/>
  <c r="B19" i="3"/>
  <c r="B18" i="5"/>
  <c r="C12" i="4"/>
  <c r="D19" i="11"/>
  <c r="C10" i="6"/>
  <c r="C22" i="7"/>
  <c r="B23" i="6"/>
  <c r="D24" i="4"/>
  <c r="B18" i="2"/>
  <c r="B30" i="3"/>
  <c r="D15" i="11"/>
  <c r="B27" i="8"/>
  <c r="B23" i="7"/>
  <c r="C9" i="7"/>
  <c r="B23" i="3"/>
  <c r="B22" i="5"/>
  <c r="B25" i="6"/>
  <c r="D8" i="4"/>
  <c r="C16" i="8"/>
  <c r="D16" i="7"/>
  <c r="D20" i="8"/>
  <c r="B12" i="6"/>
  <c r="D26" i="2"/>
  <c r="D29" i="3"/>
  <c r="B18" i="3"/>
  <c r="B11" i="5"/>
  <c r="D17" i="11"/>
  <c r="C8" i="6"/>
  <c r="C18" i="7"/>
  <c r="B17" i="6"/>
  <c r="D20" i="4"/>
  <c r="B16" i="2"/>
  <c r="B28" i="3"/>
  <c r="B21" i="5"/>
  <c r="D20" i="2"/>
  <c r="B9" i="8"/>
  <c r="D30" i="8"/>
  <c r="C27" i="8"/>
  <c r="D29" i="5"/>
  <c r="D24" i="6"/>
  <c r="D10" i="4"/>
  <c r="C32" i="2"/>
  <c r="C19" i="10"/>
  <c r="C10" i="7"/>
  <c r="B11" i="6"/>
  <c r="D11" i="7"/>
  <c r="C18" i="2"/>
  <c r="C22" i="3"/>
  <c r="D20" i="5"/>
  <c r="D9" i="6"/>
  <c r="D17" i="10"/>
  <c r="D9" i="8"/>
  <c r="D15" i="6"/>
  <c r="D10" i="5"/>
  <c r="C23" i="6"/>
  <c r="D11" i="2"/>
  <c r="C10" i="2"/>
  <c r="D33" i="10"/>
  <c r="B8" i="8"/>
  <c r="D28" i="8"/>
  <c r="C22" i="8"/>
  <c r="D25" i="5"/>
  <c r="D29" i="13"/>
  <c r="D9" i="7"/>
  <c r="D12" i="8"/>
  <c r="C9" i="6"/>
  <c r="D21" i="2"/>
  <c r="D23" i="3"/>
  <c r="B14" i="3"/>
  <c r="B18" i="8"/>
  <c r="B11" i="8"/>
  <c r="B8" i="7"/>
  <c r="C32" i="8"/>
  <c r="B8" i="3"/>
  <c r="D28" i="6"/>
  <c r="D14" i="4"/>
  <c r="D8" i="2"/>
  <c r="C23" i="10"/>
  <c r="C12" i="7"/>
  <c r="B13" i="6"/>
  <c r="D13" i="7"/>
  <c r="C22" i="2"/>
  <c r="C26" i="3"/>
  <c r="D23" i="5"/>
  <c r="D11" i="6"/>
  <c r="C8" i="8"/>
  <c r="C32" i="7"/>
  <c r="C31" i="8"/>
  <c r="D31" i="7"/>
  <c r="D17" i="2"/>
  <c r="D19" i="3"/>
  <c r="B12" i="3"/>
  <c r="D29" i="6"/>
  <c r="C13" i="2"/>
  <c r="C33" i="5"/>
  <c r="D14" i="8"/>
  <c r="D20" i="7"/>
  <c r="C19" i="7"/>
  <c r="D25" i="3"/>
  <c r="D26" i="5"/>
  <c r="C32" i="5"/>
  <c r="B26" i="6"/>
  <c r="C32" i="10"/>
  <c r="D30" i="6"/>
  <c r="C18" i="6"/>
  <c r="C14" i="5"/>
  <c r="B19" i="6"/>
  <c r="C15" i="2"/>
  <c r="D16" i="3"/>
  <c r="B16" i="10"/>
  <c r="C33" i="8"/>
  <c r="C25" i="7"/>
  <c r="B26" i="7"/>
  <c r="C25" i="3"/>
  <c r="C23" i="5"/>
  <c r="C10" i="5"/>
  <c r="C17" i="4"/>
  <c r="B26" i="10"/>
  <c r="D11" i="8"/>
  <c r="D17" i="7"/>
  <c r="C15" i="7"/>
  <c r="D22" i="3"/>
  <c r="D22" i="5"/>
  <c r="C28" i="5"/>
  <c r="D27" i="10"/>
  <c r="D19" i="8"/>
  <c r="D26" i="6"/>
  <c r="D16" i="5"/>
  <c r="D8" i="6"/>
  <c r="D18" i="2"/>
  <c r="C16" i="2"/>
  <c r="B30" i="10"/>
  <c r="D16" i="8"/>
  <c r="D24" i="7"/>
  <c r="C23" i="7"/>
  <c r="D28" i="3"/>
  <c r="D30" i="5"/>
  <c r="D8" i="5"/>
  <c r="B30" i="6"/>
  <c r="D8" i="10"/>
  <c r="C11" i="8"/>
  <c r="C22" i="6"/>
  <c r="C18" i="5"/>
  <c r="B24" i="6"/>
  <c r="C19" i="2"/>
  <c r="D20" i="3"/>
  <c r="C29" i="5"/>
  <c r="D20" i="10"/>
  <c r="D17" i="8"/>
  <c r="D18" i="6"/>
  <c r="D13" i="5"/>
  <c r="C31" i="6"/>
  <c r="D14" i="2"/>
  <c r="C12" i="2"/>
  <c r="B31" i="5"/>
  <c r="B10" i="4"/>
  <c r="C25" i="8"/>
  <c r="C17" i="7"/>
  <c r="B22" i="7"/>
  <c r="C17" i="3"/>
  <c r="C15" i="5"/>
  <c r="D19" i="6"/>
  <c r="C9" i="4"/>
  <c r="D21" i="11"/>
  <c r="C12" i="6"/>
  <c r="C26" i="7"/>
  <c r="B27" i="6"/>
  <c r="D28" i="4"/>
  <c r="B20" i="2"/>
  <c r="B32" i="3"/>
  <c r="D24" i="11"/>
  <c r="B29" i="8"/>
  <c r="B25" i="7"/>
  <c r="B10" i="7"/>
  <c r="B25" i="3"/>
  <c r="B24" i="5"/>
  <c r="B29" i="6"/>
  <c r="D11" i="4"/>
  <c r="B10" i="10"/>
  <c r="C21" i="8"/>
  <c r="C13" i="7"/>
  <c r="B20" i="7"/>
  <c r="C13" i="3"/>
  <c r="C11" i="5"/>
  <c r="D14" i="6"/>
  <c r="D30" i="4"/>
  <c r="D11" i="3"/>
  <c r="B23" i="4"/>
  <c r="D28" i="5"/>
  <c r="C20" i="2"/>
  <c r="C27" i="7"/>
  <c r="C11" i="6"/>
  <c r="B15" i="6"/>
  <c r="C26" i="2"/>
  <c r="B24" i="2"/>
  <c r="C28" i="2"/>
  <c r="B27" i="2"/>
  <c r="C10" i="3"/>
  <c r="C10" i="4"/>
  <c r="B31" i="2"/>
  <c r="B25" i="5"/>
  <c r="B8" i="4"/>
  <c r="C21" i="5"/>
  <c r="B22" i="6"/>
  <c r="B13" i="2"/>
  <c r="D31" i="5"/>
  <c r="B27" i="4"/>
  <c r="B29" i="4"/>
  <c r="C28" i="3"/>
  <c r="B33" i="2"/>
  <c r="C17" i="5"/>
  <c r="B8" i="2"/>
  <c r="B22" i="4"/>
  <c r="C32" i="3"/>
  <c r="B9" i="4"/>
  <c r="B32" i="10"/>
  <c r="D31" i="3"/>
  <c r="C27" i="10"/>
  <c r="D15" i="7"/>
  <c r="C11" i="4"/>
  <c r="D30" i="2"/>
  <c r="D16" i="6"/>
  <c r="D16" i="4"/>
  <c r="B13" i="4"/>
  <c r="C20" i="4"/>
  <c r="D23" i="4"/>
  <c r="C20" i="3"/>
  <c r="B24" i="4"/>
  <c r="B16" i="4"/>
  <c r="B11" i="2"/>
  <c r="C33" i="2"/>
  <c r="C9" i="2"/>
  <c r="B15" i="4"/>
  <c r="B13" i="5"/>
  <c r="B21" i="2"/>
  <c r="C16" i="3"/>
  <c r="B19" i="4"/>
  <c r="B15" i="5"/>
  <c r="B29" i="2"/>
  <c r="C16" i="4"/>
  <c r="B20" i="4"/>
  <c r="B33" i="4"/>
  <c r="D21" i="8"/>
  <c r="D32" i="5"/>
  <c r="C16" i="7"/>
  <c r="D19" i="7"/>
  <c r="D22" i="6"/>
  <c r="D27" i="5"/>
  <c r="B29" i="5"/>
  <c r="B18" i="4"/>
  <c r="D30" i="3"/>
  <c r="D9" i="5"/>
  <c r="C24" i="4"/>
  <c r="B17" i="2"/>
  <c r="B17" i="4"/>
  <c r="D21" i="3"/>
  <c r="D23" i="6"/>
  <c r="C26" i="4"/>
  <c r="C21" i="2"/>
  <c r="B25" i="2"/>
  <c r="C29" i="2"/>
  <c r="D32" i="2"/>
  <c r="B15" i="2"/>
  <c r="B30" i="4"/>
  <c r="C22" i="4"/>
  <c r="D19" i="4"/>
  <c r="B23" i="2"/>
  <c r="B8" i="5"/>
  <c r="D8" i="3"/>
  <c r="D30" i="7"/>
  <c r="D11" i="5"/>
  <c r="C20" i="6"/>
  <c r="C13" i="6"/>
  <c r="C30" i="3"/>
  <c r="C15" i="3"/>
  <c r="C25" i="5"/>
  <c r="D28" i="2"/>
  <c r="C17" i="2"/>
  <c r="D17" i="3"/>
  <c r="B25" i="4"/>
  <c r="D16" i="2"/>
  <c r="B32" i="4"/>
  <c r="D27" i="4"/>
  <c r="C12" i="3"/>
  <c r="C9" i="5"/>
  <c r="C14" i="4"/>
  <c r="B28" i="4"/>
  <c r="B17" i="5"/>
  <c r="B12" i="4"/>
  <c r="D9" i="2"/>
  <c r="D12" i="5"/>
  <c r="B33" i="5"/>
  <c r="B11" i="4"/>
  <c r="C8" i="4"/>
  <c r="C8" i="3"/>
  <c r="B31" i="4"/>
  <c r="D12" i="4"/>
  <c r="B23" i="5"/>
  <c r="C30" i="4"/>
  <c r="D14" i="3"/>
  <c r="B14" i="4"/>
  <c r="C32" i="4"/>
  <c r="C25" i="2"/>
  <c r="C18" i="4"/>
  <c r="F14" i="4"/>
  <c r="E14" i="4"/>
  <c r="I14" i="3"/>
  <c r="E23" i="5"/>
  <c r="F23" i="5"/>
  <c r="I12" i="4"/>
  <c r="F31" i="4"/>
  <c r="E31" i="4"/>
  <c r="B4" i="3"/>
  <c r="B3" i="3"/>
  <c r="B3" i="4"/>
  <c r="B4" i="4"/>
  <c r="E11" i="4"/>
  <c r="F11" i="4"/>
  <c r="E33" i="5"/>
  <c r="F33" i="5"/>
  <c r="I12" i="5"/>
  <c r="I9" i="2"/>
  <c r="E12" i="4"/>
  <c r="F12" i="4"/>
  <c r="F17" i="5"/>
  <c r="E17" i="5"/>
  <c r="E28" i="4"/>
  <c r="F28" i="4"/>
  <c r="I27" i="4"/>
  <c r="F32" i="4"/>
  <c r="E32" i="4"/>
  <c r="I16" i="2"/>
  <c r="E25" i="4"/>
  <c r="F25" i="4"/>
  <c r="I17" i="3"/>
  <c r="I28" i="2"/>
  <c r="I11" i="5"/>
  <c r="I30" i="7"/>
  <c r="E3" i="3"/>
  <c r="D3" i="3"/>
  <c r="D4" i="3"/>
  <c r="C3" i="3"/>
  <c r="I8" i="3"/>
  <c r="E4" i="3"/>
  <c r="C4" i="3"/>
  <c r="E8" i="5"/>
  <c r="F8" i="5"/>
  <c r="E23" i="2"/>
  <c r="F23" i="2"/>
  <c r="I19" i="4"/>
  <c r="F30" i="4"/>
  <c r="E30" i="4"/>
  <c r="F15" i="2"/>
  <c r="E15" i="2"/>
  <c r="I32" i="2"/>
  <c r="F25" i="2"/>
  <c r="E25" i="2"/>
  <c r="I23" i="6"/>
  <c r="I21" i="3"/>
  <c r="E17" i="4"/>
  <c r="F17" i="4"/>
  <c r="E17" i="2"/>
  <c r="F17" i="2"/>
  <c r="I9" i="5"/>
  <c r="I30" i="3"/>
  <c r="F18" i="4"/>
  <c r="E18" i="4"/>
  <c r="F29" i="5"/>
  <c r="E29" i="5"/>
  <c r="I27" i="5"/>
  <c r="I22" i="6"/>
  <c r="I19" i="7"/>
  <c r="I32" i="5"/>
  <c r="I21" i="8"/>
  <c r="F33" i="4"/>
  <c r="E33" i="4"/>
  <c r="E20" i="4"/>
  <c r="F20" i="4"/>
  <c r="F29" i="2"/>
  <c r="E29" i="2"/>
  <c r="E15" i="5"/>
  <c r="F15" i="5"/>
  <c r="F19" i="4"/>
  <c r="E19" i="4"/>
  <c r="E21" i="2"/>
  <c r="F21" i="2"/>
  <c r="E13" i="5"/>
  <c r="F13" i="5"/>
  <c r="F15" i="4"/>
  <c r="E15" i="4"/>
  <c r="F11" i="2"/>
  <c r="E11" i="2"/>
  <c r="E16" i="4"/>
  <c r="F16" i="4"/>
  <c r="F24" i="4"/>
  <c r="E24" i="4"/>
  <c r="I23" i="4"/>
  <c r="F13" i="4"/>
  <c r="E13" i="4"/>
  <c r="I16" i="4"/>
  <c r="I16" i="6"/>
  <c r="I30" i="2"/>
  <c r="I15" i="7"/>
  <c r="I31" i="3"/>
  <c r="E32" i="10"/>
  <c r="F32" i="10"/>
  <c r="E9" i="4"/>
  <c r="F9" i="4"/>
  <c r="F22" i="4"/>
  <c r="E22" i="4"/>
  <c r="E8" i="2"/>
  <c r="F8" i="2"/>
  <c r="E33" i="2"/>
  <c r="F33" i="2"/>
  <c r="E29" i="4"/>
  <c r="F29" i="4"/>
  <c r="F27" i="4"/>
  <c r="E27" i="4"/>
  <c r="I31" i="5"/>
  <c r="F13" i="2"/>
  <c r="E13" i="2"/>
  <c r="E22" i="6"/>
  <c r="F22" i="6"/>
  <c r="E8" i="4"/>
  <c r="F8" i="4"/>
  <c r="E25" i="5"/>
  <c r="F25" i="5"/>
  <c r="E31" i="2"/>
  <c r="F31" i="2"/>
  <c r="E27" i="2"/>
  <c r="F27" i="2"/>
  <c r="F24" i="2"/>
  <c r="E24" i="2"/>
  <c r="F15" i="6"/>
  <c r="E15" i="6"/>
  <c r="I28" i="5"/>
  <c r="F23" i="4"/>
  <c r="E23" i="4"/>
  <c r="I11" i="3"/>
  <c r="I30" i="4"/>
  <c r="I14" i="6"/>
  <c r="E20" i="7"/>
  <c r="F20" i="7"/>
  <c r="E10" i="10"/>
  <c r="F10" i="10"/>
  <c r="I11" i="4"/>
  <c r="F29" i="6"/>
  <c r="E29" i="6"/>
  <c r="F24" i="5"/>
  <c r="E24" i="5"/>
  <c r="F25" i="3"/>
  <c r="E25" i="3"/>
  <c r="E10" i="7"/>
  <c r="F10" i="7"/>
  <c r="E25" i="7"/>
  <c r="F25" i="7"/>
  <c r="E29" i="8"/>
  <c r="F29" i="8"/>
  <c r="I24" i="11"/>
  <c r="F32" i="3"/>
  <c r="E32" i="3"/>
  <c r="E20" i="2"/>
  <c r="F20" i="2"/>
  <c r="I28" i="4"/>
  <c r="F27" i="6"/>
  <c r="E27" i="6"/>
  <c r="I21" i="11"/>
  <c r="I19" i="6"/>
  <c r="F22" i="7"/>
  <c r="E22" i="7"/>
  <c r="F10" i="4"/>
  <c r="E10" i="4"/>
  <c r="E31" i="5"/>
  <c r="F31" i="5"/>
  <c r="I14" i="2"/>
  <c r="I13" i="5"/>
  <c r="I18" i="6"/>
  <c r="I17" i="8"/>
  <c r="I20" i="10"/>
  <c r="I20" i="3"/>
  <c r="F24" i="6"/>
  <c r="E24" i="6"/>
  <c r="E3" i="10"/>
  <c r="D4" i="10"/>
  <c r="C3" i="10"/>
  <c r="E4" i="10"/>
  <c r="C4" i="10"/>
  <c r="I8" i="10"/>
  <c r="D3" i="10"/>
  <c r="E30" i="6"/>
  <c r="F30" i="6"/>
  <c r="E4" i="5"/>
  <c r="D4" i="5"/>
  <c r="C3" i="5"/>
  <c r="E3" i="5"/>
  <c r="I8" i="5"/>
  <c r="C4" i="5"/>
  <c r="D3" i="5"/>
  <c r="I30" i="5"/>
  <c r="I28" i="3"/>
  <c r="I24" i="7"/>
  <c r="I16" i="8"/>
  <c r="F30" i="10"/>
  <c r="E30" i="10"/>
  <c r="I18" i="2"/>
  <c r="E4" i="6"/>
  <c r="C3" i="6"/>
  <c r="C4" i="6"/>
  <c r="D3" i="6"/>
  <c r="I8" i="6"/>
  <c r="E3" i="6"/>
  <c r="D4" i="6"/>
  <c r="I16" i="5"/>
  <c r="I26" i="6"/>
  <c r="I19" i="8"/>
  <c r="I27" i="10"/>
  <c r="I22" i="5"/>
  <c r="I22" i="3"/>
  <c r="I17" i="7"/>
  <c r="I11" i="8"/>
  <c r="F26" i="10"/>
  <c r="E26" i="10"/>
  <c r="E26" i="7"/>
  <c r="F26" i="7"/>
  <c r="E16" i="10"/>
  <c r="F16" i="10"/>
  <c r="I16" i="3"/>
  <c r="E19" i="6"/>
  <c r="F19" i="6"/>
  <c r="I30" i="6"/>
  <c r="F26" i="6"/>
  <c r="E26" i="6"/>
  <c r="I26" i="5"/>
  <c r="I25" i="3"/>
  <c r="I20" i="7"/>
  <c r="I14" i="8"/>
  <c r="I29" i="6"/>
  <c r="F12" i="3"/>
  <c r="E12" i="3"/>
  <c r="I19" i="3"/>
  <c r="I17" i="2"/>
  <c r="I31" i="7"/>
  <c r="B3" i="8"/>
  <c r="B4" i="8"/>
  <c r="I11" i="6"/>
  <c r="I23" i="5"/>
  <c r="I13" i="7"/>
  <c r="E13" i="6"/>
  <c r="F13" i="6"/>
  <c r="D4" i="2"/>
  <c r="I8" i="2"/>
  <c r="D3" i="2"/>
  <c r="E3" i="2"/>
  <c r="C4" i="2"/>
  <c r="E4" i="2"/>
  <c r="C3" i="2"/>
  <c r="I14" i="4"/>
  <c r="I28" i="6"/>
  <c r="E8" i="3"/>
  <c r="F8" i="3"/>
  <c r="E62" i="7"/>
  <c r="D61" i="7"/>
  <c r="E61" i="7"/>
  <c r="J59" i="7"/>
  <c r="C55" i="7"/>
  <c r="H53" i="7"/>
  <c r="C54" i="7"/>
  <c r="G64" i="7"/>
  <c r="H62" i="7"/>
  <c r="G55" i="7"/>
  <c r="J54" i="7"/>
  <c r="G59" i="7"/>
  <c r="E53" i="7"/>
  <c r="D54" i="7"/>
  <c r="G52" i="7"/>
  <c r="J56" i="7"/>
  <c r="E59" i="7"/>
  <c r="D60" i="7"/>
  <c r="E58" i="7"/>
  <c r="H59" i="7"/>
  <c r="C60" i="7"/>
  <c r="D58" i="7"/>
  <c r="D52" i="7"/>
  <c r="G61" i="7"/>
  <c r="J60" i="7"/>
  <c r="G60" i="7"/>
  <c r="H58" i="7"/>
  <c r="C52" i="7"/>
  <c r="D53" i="7"/>
  <c r="C56" i="7"/>
  <c r="H56" i="7"/>
  <c r="G57" i="7"/>
  <c r="D59" i="7"/>
  <c r="C62" i="7"/>
  <c r="J64" i="7"/>
  <c r="C61" i="7"/>
  <c r="J62" i="7"/>
  <c r="G62" i="7"/>
  <c r="H60" i="7"/>
  <c r="G53" i="7"/>
  <c r="D63" i="7"/>
  <c r="H63" i="7"/>
  <c r="E63" i="7"/>
  <c r="J61" i="7"/>
  <c r="F8" i="7"/>
  <c r="E54" i="7"/>
  <c r="H55" i="7"/>
  <c r="G58" i="7"/>
  <c r="D62" i="7"/>
  <c r="E60" i="7"/>
  <c r="H61" i="7"/>
  <c r="H54" i="7"/>
  <c r="E52" i="7"/>
  <c r="G63" i="7"/>
  <c r="G54" i="7"/>
  <c r="E64" i="7"/>
  <c r="J63" i="7"/>
  <c r="E56" i="7"/>
  <c r="D55" i="7"/>
  <c r="E55" i="7"/>
  <c r="J53" i="7"/>
  <c r="D64" i="7"/>
  <c r="E8" i="7"/>
  <c r="C57" i="7"/>
  <c r="J58" i="7"/>
  <c r="C64" i="7"/>
  <c r="H64" i="7"/>
  <c r="C63" i="7"/>
  <c r="G56" i="7"/>
  <c r="J57" i="7"/>
  <c r="C53" i="7"/>
  <c r="D57" i="7"/>
  <c r="E57" i="7"/>
  <c r="J55" i="7"/>
  <c r="J52" i="7"/>
  <c r="C59" i="7"/>
  <c r="H57" i="7"/>
  <c r="C58" i="7"/>
  <c r="D56" i="7"/>
  <c r="H52" i="7"/>
  <c r="F11" i="8"/>
  <c r="E11" i="8"/>
  <c r="F18" i="8"/>
  <c r="E18" i="8"/>
  <c r="E14" i="3"/>
  <c r="F14" i="3"/>
  <c r="I23" i="3"/>
  <c r="I21" i="2"/>
  <c r="I12" i="8"/>
  <c r="I9" i="7"/>
  <c r="I29" i="13"/>
  <c r="I25" i="5"/>
  <c r="I28" i="8"/>
  <c r="H52" i="8"/>
  <c r="E8" i="8"/>
  <c r="C52" i="8"/>
  <c r="F8" i="8"/>
  <c r="J52" i="8"/>
  <c r="G52" i="8"/>
  <c r="D52" i="8"/>
  <c r="E52" i="8"/>
  <c r="I33" i="10"/>
  <c r="I11" i="2"/>
  <c r="I10" i="5"/>
  <c r="I15" i="6"/>
  <c r="I9" i="8"/>
  <c r="I17" i="10"/>
  <c r="I9" i="6"/>
  <c r="I20" i="5"/>
  <c r="I11" i="7"/>
  <c r="F11" i="6"/>
  <c r="E11" i="6"/>
  <c r="I10" i="4"/>
  <c r="I24" i="6"/>
  <c r="I29" i="5"/>
  <c r="I30" i="8"/>
  <c r="E9" i="8"/>
  <c r="F9" i="8"/>
  <c r="I20" i="2"/>
  <c r="F21" i="5"/>
  <c r="E21" i="5"/>
  <c r="E28" i="3"/>
  <c r="F28" i="3"/>
  <c r="E16" i="2"/>
  <c r="F16" i="2"/>
  <c r="I20" i="4"/>
  <c r="F17" i="6"/>
  <c r="E17" i="6"/>
  <c r="B4" i="6"/>
  <c r="B3" i="6"/>
  <c r="I17" i="11"/>
  <c r="E11" i="5"/>
  <c r="F11" i="5"/>
  <c r="E18" i="3"/>
  <c r="F18" i="3"/>
  <c r="I29" i="3"/>
  <c r="I26" i="2"/>
  <c r="E12" i="6"/>
  <c r="F12" i="6"/>
  <c r="I20" i="8"/>
  <c r="I16" i="7"/>
  <c r="D4" i="4"/>
  <c r="E4" i="4"/>
  <c r="D3" i="4"/>
  <c r="C3" i="4"/>
  <c r="I8" i="4"/>
  <c r="C4" i="4"/>
  <c r="E3" i="4"/>
  <c r="E25" i="6"/>
  <c r="F25" i="6"/>
  <c r="E22" i="5"/>
  <c r="F22" i="5"/>
  <c r="F23" i="3"/>
  <c r="E23" i="3"/>
  <c r="F23" i="7"/>
  <c r="E23" i="7"/>
  <c r="E27" i="8"/>
  <c r="F27" i="8"/>
  <c r="I15" i="11"/>
  <c r="F30" i="3"/>
  <c r="E30" i="3"/>
  <c r="F18" i="2"/>
  <c r="E18" i="2"/>
  <c r="I24" i="4"/>
  <c r="E23" i="6"/>
  <c r="F23" i="6"/>
  <c r="I19" i="11"/>
  <c r="E18" i="5"/>
  <c r="F18" i="5"/>
  <c r="E19" i="3"/>
  <c r="F19" i="3"/>
  <c r="I29" i="8"/>
  <c r="F19" i="7"/>
  <c r="E19" i="7"/>
  <c r="E23" i="8"/>
  <c r="F23" i="8"/>
  <c r="I12" i="2"/>
  <c r="I17" i="4"/>
  <c r="I33" i="6"/>
  <c r="E9" i="3"/>
  <c r="F9" i="3"/>
  <c r="I10" i="8"/>
  <c r="F9" i="7"/>
  <c r="E9" i="7"/>
  <c r="F13" i="8"/>
  <c r="E13" i="8"/>
  <c r="E22" i="8"/>
  <c r="F22" i="8"/>
  <c r="E16" i="3"/>
  <c r="F16" i="3"/>
  <c r="I26" i="3"/>
  <c r="I23" i="2"/>
  <c r="F10" i="6"/>
  <c r="E10" i="6"/>
  <c r="I15" i="8"/>
  <c r="I14" i="7"/>
  <c r="I31" i="2"/>
  <c r="F21" i="6"/>
  <c r="E21" i="6"/>
  <c r="E20" i="5"/>
  <c r="F20" i="5"/>
  <c r="E21" i="3"/>
  <c r="F21" i="3"/>
  <c r="I31" i="8"/>
  <c r="F21" i="7"/>
  <c r="E21" i="7"/>
  <c r="F25" i="8"/>
  <c r="E25" i="8"/>
  <c r="E21" i="4"/>
  <c r="F21" i="4"/>
  <c r="I24" i="3"/>
  <c r="E28" i="7"/>
  <c r="F28" i="7"/>
  <c r="E18" i="10"/>
  <c r="F18" i="10"/>
  <c r="I26" i="4"/>
  <c r="E32" i="5"/>
  <c r="F32" i="5"/>
  <c r="E33" i="3"/>
  <c r="F33" i="3"/>
  <c r="F18" i="7"/>
  <c r="E18" i="7"/>
  <c r="E33" i="7"/>
  <c r="F33" i="7"/>
  <c r="E28" i="2"/>
  <c r="F28" i="2"/>
  <c r="I21" i="7"/>
  <c r="F30" i="7"/>
  <c r="E30" i="7"/>
  <c r="F17" i="8"/>
  <c r="E17" i="8"/>
  <c r="F10" i="11"/>
  <c r="E10" i="11"/>
  <c r="E19" i="5"/>
  <c r="F19" i="5"/>
  <c r="F26" i="3"/>
  <c r="E26" i="3"/>
  <c r="E14" i="2"/>
  <c r="F14" i="2"/>
  <c r="I13" i="4"/>
  <c r="F20" i="6"/>
  <c r="E20" i="6"/>
  <c r="I32" i="7"/>
  <c r="I22" i="4"/>
  <c r="E30" i="5"/>
  <c r="F30" i="5"/>
  <c r="F31" i="3"/>
  <c r="E31" i="3"/>
  <c r="E16" i="7"/>
  <c r="F16" i="7"/>
  <c r="E31" i="7"/>
  <c r="F31" i="7"/>
  <c r="I30" i="11"/>
  <c r="E26" i="2"/>
  <c r="F26" i="2"/>
  <c r="I18" i="7"/>
  <c r="E19" i="2"/>
  <c r="F19" i="2"/>
  <c r="I15" i="5"/>
  <c r="F9" i="2"/>
  <c r="E9" i="2"/>
  <c r="G55" i="6"/>
  <c r="H55" i="6"/>
  <c r="E55" i="6"/>
  <c r="D54" i="6"/>
  <c r="H64" i="6"/>
  <c r="E56" i="6"/>
  <c r="J56" i="6"/>
  <c r="C56" i="6"/>
  <c r="H54" i="6"/>
  <c r="C63" i="6"/>
  <c r="C57" i="6"/>
  <c r="E58" i="6"/>
  <c r="J58" i="6"/>
  <c r="C58" i="6"/>
  <c r="H56" i="6"/>
  <c r="J52" i="6"/>
  <c r="C59" i="6"/>
  <c r="D59" i="6"/>
  <c r="G58" i="6"/>
  <c r="J57" i="6"/>
  <c r="C61" i="6"/>
  <c r="D61" i="6"/>
  <c r="G60" i="6"/>
  <c r="J59" i="6"/>
  <c r="D52" i="6"/>
  <c r="G61" i="6"/>
  <c r="C53" i="6"/>
  <c r="D53" i="6"/>
  <c r="H63" i="6"/>
  <c r="E63" i="6"/>
  <c r="D62" i="6"/>
  <c r="G53" i="6"/>
  <c r="H53" i="6"/>
  <c r="E53" i="6"/>
  <c r="C64" i="6"/>
  <c r="H62" i="6"/>
  <c r="H61" i="6"/>
  <c r="C52" i="6"/>
  <c r="J54" i="6"/>
  <c r="C54" i="6"/>
  <c r="G64" i="6"/>
  <c r="J63" i="6"/>
  <c r="G57" i="6"/>
  <c r="H57" i="6"/>
  <c r="E57" i="6"/>
  <c r="D56" i="6"/>
  <c r="J64" i="6"/>
  <c r="E61" i="6"/>
  <c r="E54" i="6"/>
  <c r="D57" i="6"/>
  <c r="G56" i="6"/>
  <c r="J55" i="6"/>
  <c r="G63" i="6"/>
  <c r="E60" i="6"/>
  <c r="J60" i="6"/>
  <c r="C60" i="6"/>
  <c r="H58" i="6"/>
  <c r="E52" i="6"/>
  <c r="D60" i="6"/>
  <c r="G59" i="6"/>
  <c r="H59" i="6"/>
  <c r="E59" i="6"/>
  <c r="D58" i="6"/>
  <c r="G52" i="6"/>
  <c r="E64" i="6"/>
  <c r="D63" i="6"/>
  <c r="G62" i="6"/>
  <c r="J61" i="6"/>
  <c r="F8" i="6"/>
  <c r="H52" i="6"/>
  <c r="E62" i="6"/>
  <c r="J62" i="6"/>
  <c r="C62" i="6"/>
  <c r="H60" i="6"/>
  <c r="C55" i="6"/>
  <c r="D55" i="6"/>
  <c r="G54" i="6"/>
  <c r="J53" i="6"/>
  <c r="D64" i="6"/>
  <c r="E8" i="6"/>
  <c r="I32" i="8"/>
  <c r="I17" i="5"/>
  <c r="I18" i="3"/>
  <c r="I12" i="7"/>
  <c r="C3" i="8"/>
  <c r="E4" i="8"/>
  <c r="I8" i="8"/>
  <c r="C4" i="8"/>
  <c r="D3" i="8"/>
  <c r="E3" i="8"/>
  <c r="D4" i="8"/>
  <c r="E24" i="10"/>
  <c r="F24" i="10"/>
  <c r="B4" i="2"/>
  <c r="B3" i="2"/>
  <c r="I12" i="6"/>
  <c r="I15" i="10"/>
  <c r="I18" i="5"/>
  <c r="C3" i="7"/>
  <c r="E4" i="7"/>
  <c r="I8" i="7"/>
  <c r="C4" i="7"/>
  <c r="D3" i="7"/>
  <c r="E3" i="7"/>
  <c r="D4" i="7"/>
  <c r="E9" i="6"/>
  <c r="F9" i="6"/>
  <c r="B3" i="7"/>
  <c r="B4" i="7"/>
  <c r="I27" i="3"/>
  <c r="F28" i="6"/>
  <c r="E28" i="6"/>
  <c r="I10" i="10"/>
  <c r="E30" i="2"/>
  <c r="F30" i="2"/>
  <c r="I13" i="6"/>
  <c r="I27" i="7"/>
  <c r="I14" i="5"/>
  <c r="I12" i="3"/>
  <c r="F32" i="7"/>
  <c r="E32" i="7"/>
  <c r="I10" i="7"/>
  <c r="F22" i="10"/>
  <c r="E22" i="10"/>
  <c r="I33" i="3"/>
  <c r="E32" i="6"/>
  <c r="F32" i="6"/>
  <c r="I12" i="10"/>
  <c r="I24" i="5"/>
  <c r="I15" i="2"/>
  <c r="I21" i="4"/>
  <c r="F10" i="5"/>
  <c r="E10" i="5"/>
  <c r="E11" i="3"/>
  <c r="F11" i="3"/>
  <c r="I13" i="8"/>
  <c r="E11" i="7"/>
  <c r="F11" i="7"/>
  <c r="F15" i="8"/>
  <c r="E15" i="8"/>
  <c r="E26" i="8"/>
  <c r="F26" i="8"/>
  <c r="I27" i="2"/>
  <c r="I17" i="6"/>
  <c r="I21" i="5"/>
  <c r="I25" i="8"/>
  <c r="I32" i="10"/>
  <c r="I19" i="10"/>
  <c r="I13" i="3"/>
  <c r="I10" i="2"/>
  <c r="I25" i="7"/>
  <c r="I22" i="10"/>
  <c r="I19" i="2"/>
  <c r="I25" i="4"/>
  <c r="E12" i="5"/>
  <c r="F12" i="5"/>
  <c r="F13" i="3"/>
  <c r="E13" i="3"/>
  <c r="I18" i="8"/>
  <c r="E13" i="7"/>
  <c r="F13" i="7"/>
  <c r="E20" i="10"/>
  <c r="F20" i="10"/>
  <c r="E9" i="12"/>
  <c r="F9" i="12"/>
  <c r="I24" i="2"/>
  <c r="I10" i="6"/>
  <c r="I19" i="5"/>
  <c r="I32" i="6"/>
  <c r="I22" i="8"/>
  <c r="I30" i="10"/>
  <c r="I9" i="10"/>
  <c r="I33" i="5"/>
  <c r="I9" i="3"/>
  <c r="I22" i="7"/>
  <c r="E26" i="4"/>
  <c r="F26" i="4"/>
  <c r="I15" i="4"/>
  <c r="F33" i="6"/>
  <c r="E33" i="6"/>
  <c r="F26" i="5"/>
  <c r="E26" i="5"/>
  <c r="F27" i="3"/>
  <c r="E27" i="3"/>
  <c r="F12" i="7"/>
  <c r="E12" i="7"/>
  <c r="F27" i="7"/>
  <c r="E27" i="7"/>
  <c r="F31" i="8"/>
  <c r="E31" i="8"/>
  <c r="I26" i="11"/>
  <c r="I25" i="2"/>
  <c r="I33" i="4"/>
  <c r="F16" i="5"/>
  <c r="E16" i="5"/>
  <c r="F17" i="3"/>
  <c r="E17" i="3"/>
  <c r="I27" i="8"/>
  <c r="E17" i="7"/>
  <c r="F17" i="7"/>
  <c r="F21" i="8"/>
  <c r="E21" i="8"/>
  <c r="E24" i="3"/>
  <c r="F24" i="3"/>
  <c r="F12" i="2"/>
  <c r="E12" i="2"/>
  <c r="I9" i="4"/>
  <c r="E18" i="6"/>
  <c r="F18" i="6"/>
  <c r="I33" i="8"/>
  <c r="I29" i="7"/>
  <c r="I18" i="4"/>
  <c r="E28" i="5"/>
  <c r="F28" i="5"/>
  <c r="F29" i="3"/>
  <c r="E29" i="3"/>
  <c r="E14" i="7"/>
  <c r="F14" i="7"/>
  <c r="E29" i="7"/>
  <c r="F29" i="7"/>
  <c r="F33" i="8"/>
  <c r="E33" i="8"/>
  <c r="E20" i="3"/>
  <c r="F20" i="3"/>
  <c r="I32" i="3"/>
  <c r="I29" i="2"/>
  <c r="F14" i="6"/>
  <c r="E14" i="6"/>
  <c r="I23" i="8"/>
  <c r="I23" i="7"/>
  <c r="E32" i="11"/>
  <c r="F32" i="11"/>
  <c r="I27" i="6"/>
  <c r="F10" i="3"/>
  <c r="E10" i="3"/>
  <c r="I15" i="3"/>
  <c r="I13" i="2"/>
  <c r="I28" i="7"/>
  <c r="I24" i="10"/>
  <c r="I22" i="2"/>
  <c r="I29" i="4"/>
  <c r="E14" i="5"/>
  <c r="F14" i="5"/>
  <c r="F15" i="3"/>
  <c r="E15" i="3"/>
  <c r="I24" i="8"/>
  <c r="E15" i="7"/>
  <c r="F15" i="7"/>
  <c r="F19" i="8"/>
  <c r="E19" i="8"/>
  <c r="E30" i="11"/>
  <c r="F30" i="11"/>
  <c r="E22" i="3"/>
  <c r="F22" i="3"/>
  <c r="E10" i="2"/>
  <c r="F10" i="2"/>
  <c r="I33" i="2"/>
  <c r="F16" i="6"/>
  <c r="E16" i="6"/>
  <c r="I26" i="8"/>
  <c r="I26" i="7"/>
  <c r="I31" i="4"/>
  <c r="I21" i="6"/>
  <c r="E32" i="2"/>
  <c r="F32" i="2"/>
  <c r="I31" i="6"/>
  <c r="I33" i="7"/>
  <c r="I20" i="6"/>
  <c r="E27" i="5"/>
  <c r="F27" i="5"/>
  <c r="E22" i="2"/>
  <c r="F22" i="2"/>
  <c r="I32" i="4"/>
  <c r="E31" i="6"/>
  <c r="F31" i="6"/>
  <c r="B3" i="10"/>
  <c r="B4" i="10"/>
  <c r="B4" i="5"/>
  <c r="B3" i="5"/>
  <c r="E24" i="7"/>
  <c r="F24" i="7"/>
  <c r="F14" i="10"/>
  <c r="E14" i="10"/>
  <c r="I10" i="3"/>
  <c r="F9" i="5"/>
  <c r="E9" i="5"/>
  <c r="I25" i="6"/>
  <c r="F11" i="10"/>
  <c r="E11" i="10"/>
  <c r="I33" i="11"/>
  <c r="F18" i="12"/>
  <c r="E18" i="12"/>
  <c r="I31" i="14"/>
  <c r="I24" i="14"/>
  <c r="F13" i="13"/>
  <c r="E13" i="13"/>
  <c r="F28" i="8"/>
  <c r="E28" i="8"/>
  <c r="I20" i="13"/>
  <c r="I13" i="14"/>
  <c r="F24" i="14"/>
  <c r="E24" i="14"/>
  <c r="I14" i="10"/>
  <c r="I26" i="12"/>
  <c r="C3" i="15"/>
  <c r="D3" i="15"/>
  <c r="C4" i="15"/>
  <c r="I8" i="15"/>
  <c r="D4" i="15"/>
  <c r="E4" i="15"/>
  <c r="E3" i="15"/>
  <c r="I25" i="15"/>
  <c r="I20" i="11"/>
  <c r="E31" i="12"/>
  <c r="F31" i="12"/>
  <c r="I24" i="12"/>
  <c r="F24" i="15"/>
  <c r="E24" i="15"/>
  <c r="F11" i="15"/>
  <c r="E11" i="15"/>
  <c r="I29" i="9"/>
  <c r="F15" i="11"/>
  <c r="E15" i="11"/>
  <c r="I15" i="12"/>
  <c r="E24" i="13"/>
  <c r="F24" i="13"/>
  <c r="I32" i="15"/>
  <c r="I19" i="15"/>
  <c r="I10" i="15"/>
  <c r="E13" i="14"/>
  <c r="F13" i="14"/>
  <c r="E26" i="15"/>
  <c r="F26" i="15"/>
  <c r="I13" i="15"/>
  <c r="I13" i="10"/>
  <c r="C54" i="12"/>
  <c r="D54" i="12"/>
  <c r="G53" i="12"/>
  <c r="E63" i="12"/>
  <c r="J62" i="12"/>
  <c r="G54" i="12"/>
  <c r="H54" i="12"/>
  <c r="E54" i="12"/>
  <c r="J52" i="12"/>
  <c r="D63" i="12"/>
  <c r="C58" i="12"/>
  <c r="D58" i="12"/>
  <c r="G57" i="12"/>
  <c r="H55" i="12"/>
  <c r="C64" i="12"/>
  <c r="G58" i="12"/>
  <c r="H58" i="12"/>
  <c r="E58" i="12"/>
  <c r="J56" i="12"/>
  <c r="G64" i="12"/>
  <c r="G56" i="12"/>
  <c r="H56" i="12"/>
  <c r="E56" i="12"/>
  <c r="J54" i="12"/>
  <c r="H62" i="12"/>
  <c r="E57" i="12"/>
  <c r="J57" i="12"/>
  <c r="C57" i="12"/>
  <c r="D55" i="12"/>
  <c r="E64" i="12"/>
  <c r="G60" i="12"/>
  <c r="H60" i="12"/>
  <c r="E60" i="12"/>
  <c r="J58" i="12"/>
  <c r="H64" i="12"/>
  <c r="E61" i="12"/>
  <c r="J61" i="12"/>
  <c r="C61" i="12"/>
  <c r="D59" i="12"/>
  <c r="J64" i="12"/>
  <c r="E59" i="12"/>
  <c r="J59" i="12"/>
  <c r="C59" i="12"/>
  <c r="D57" i="12"/>
  <c r="D64" i="12"/>
  <c r="C60" i="12"/>
  <c r="D60" i="12"/>
  <c r="G59" i="12"/>
  <c r="H57" i="12"/>
  <c r="G52" i="12"/>
  <c r="H52" i="12"/>
  <c r="E52" i="12"/>
  <c r="C63" i="12"/>
  <c r="D61" i="12"/>
  <c r="E53" i="12"/>
  <c r="J53" i="12"/>
  <c r="C53" i="12"/>
  <c r="G63" i="12"/>
  <c r="H61" i="12"/>
  <c r="G62" i="12"/>
  <c r="D62" i="12"/>
  <c r="G61" i="12"/>
  <c r="H59" i="12"/>
  <c r="C52" i="12"/>
  <c r="D52" i="12"/>
  <c r="J63" i="12"/>
  <c r="E62" i="12"/>
  <c r="J60" i="12"/>
  <c r="E55" i="12"/>
  <c r="J55" i="12"/>
  <c r="C55" i="12"/>
  <c r="D53" i="12"/>
  <c r="H63" i="12"/>
  <c r="C56" i="12"/>
  <c r="D56" i="12"/>
  <c r="G55" i="12"/>
  <c r="H53" i="12"/>
  <c r="C62" i="12"/>
  <c r="F8" i="12"/>
  <c r="F14" i="11"/>
  <c r="E14" i="11"/>
  <c r="I24" i="9"/>
  <c r="F29" i="10"/>
  <c r="E29" i="10"/>
  <c r="I15" i="13"/>
  <c r="F28" i="14"/>
  <c r="E28" i="14"/>
  <c r="I10" i="14"/>
  <c r="F30" i="8"/>
  <c r="E30" i="8"/>
  <c r="I11" i="11"/>
  <c r="I16" i="15"/>
  <c r="I33" i="15"/>
  <c r="I31" i="13"/>
  <c r="I31" i="12"/>
  <c r="E32" i="15"/>
  <c r="F32" i="15"/>
  <c r="E19" i="15"/>
  <c r="F19" i="15"/>
  <c r="F10" i="15"/>
  <c r="E10" i="15"/>
  <c r="I25" i="13"/>
  <c r="I25" i="12"/>
  <c r="I30" i="13"/>
  <c r="E24" i="9"/>
  <c r="F24" i="9"/>
  <c r="E19" i="9"/>
  <c r="F19" i="9"/>
  <c r="F21" i="10"/>
  <c r="E21" i="10"/>
  <c r="E28" i="12"/>
  <c r="F28" i="12"/>
  <c r="E16" i="13"/>
  <c r="F16" i="13"/>
  <c r="F9" i="13"/>
  <c r="E9" i="13"/>
  <c r="E23" i="13"/>
  <c r="F23" i="13"/>
  <c r="E22" i="9"/>
  <c r="F22" i="9"/>
  <c r="I21" i="10"/>
  <c r="F13" i="12"/>
  <c r="E13" i="12"/>
  <c r="F18" i="11"/>
  <c r="E18" i="11"/>
  <c r="I15" i="9"/>
  <c r="I32" i="9"/>
  <c r="E33" i="10"/>
  <c r="F33" i="10"/>
  <c r="I19" i="13"/>
  <c r="F29" i="9"/>
  <c r="E29" i="9"/>
  <c r="F12" i="9"/>
  <c r="E12" i="9"/>
  <c r="B4" i="9"/>
  <c r="B3" i="9"/>
  <c r="I25" i="11"/>
  <c r="I26" i="13"/>
  <c r="I19" i="14"/>
  <c r="E30" i="14"/>
  <c r="F30" i="14"/>
  <c r="I12" i="14"/>
  <c r="E24" i="8"/>
  <c r="F24" i="8"/>
  <c r="F25" i="11"/>
  <c r="E25" i="11"/>
  <c r="I30" i="12"/>
  <c r="F12" i="14"/>
  <c r="E12" i="14"/>
  <c r="I30" i="15"/>
  <c r="F23" i="14"/>
  <c r="E23" i="14"/>
  <c r="I28" i="11"/>
  <c r="E23" i="11"/>
  <c r="F23" i="11"/>
  <c r="I23" i="12"/>
  <c r="F10" i="14"/>
  <c r="E10" i="14"/>
  <c r="I26" i="15"/>
  <c r="E21" i="14"/>
  <c r="F21" i="14"/>
  <c r="I16" i="10"/>
  <c r="I28" i="12"/>
  <c r="I9" i="11"/>
  <c r="I12" i="15"/>
  <c r="I29" i="15"/>
  <c r="I25" i="10"/>
  <c r="E17" i="12"/>
  <c r="F17" i="12"/>
  <c r="F22" i="11"/>
  <c r="E22" i="11"/>
  <c r="I9" i="12"/>
  <c r="I23" i="9"/>
  <c r="E13" i="15"/>
  <c r="F13" i="15"/>
  <c r="I23" i="13"/>
  <c r="I9" i="13"/>
  <c r="F20" i="9"/>
  <c r="E20" i="9"/>
  <c r="E15" i="9"/>
  <c r="F15" i="9"/>
  <c r="I18" i="11"/>
  <c r="F29" i="12"/>
  <c r="E29" i="12"/>
  <c r="I22" i="12"/>
  <c r="F20" i="15"/>
  <c r="E20" i="15"/>
  <c r="I30" i="9"/>
  <c r="I25" i="9"/>
  <c r="I18" i="10"/>
  <c r="E11" i="12"/>
  <c r="F11" i="12"/>
  <c r="E16" i="11"/>
  <c r="F16" i="11"/>
  <c r="I11" i="9"/>
  <c r="I28" i="9"/>
  <c r="E15" i="10"/>
  <c r="F15" i="10"/>
  <c r="E28" i="13"/>
  <c r="F28" i="13"/>
  <c r="F22" i="12"/>
  <c r="E22" i="12"/>
  <c r="D59" i="13"/>
  <c r="D53" i="13"/>
  <c r="D63" i="13"/>
  <c r="D62" i="13"/>
  <c r="D56" i="13"/>
  <c r="D61" i="13"/>
  <c r="D60" i="13"/>
  <c r="B3" i="13"/>
  <c r="D64" i="13"/>
  <c r="D58" i="13"/>
  <c r="D57" i="13"/>
  <c r="B4" i="13"/>
  <c r="D52" i="13"/>
  <c r="D55" i="13"/>
  <c r="D54" i="13"/>
  <c r="E10" i="13"/>
  <c r="F10" i="13"/>
  <c r="I28" i="14"/>
  <c r="F17" i="13"/>
  <c r="E17" i="13"/>
  <c r="F10" i="9"/>
  <c r="E10" i="9"/>
  <c r="I24" i="13"/>
  <c r="I17" i="14"/>
  <c r="E28" i="11"/>
  <c r="F28" i="11"/>
  <c r="E21" i="12"/>
  <c r="F21" i="12"/>
  <c r="F18" i="13"/>
  <c r="E18" i="13"/>
  <c r="I14" i="12"/>
  <c r="I31" i="9"/>
  <c r="I14" i="9"/>
  <c r="I9" i="9"/>
  <c r="E21" i="15"/>
  <c r="F21" i="15"/>
  <c r="I27" i="13"/>
  <c r="I27" i="12"/>
  <c r="I32" i="13"/>
  <c r="E28" i="9"/>
  <c r="F28" i="9"/>
  <c r="E23" i="9"/>
  <c r="F23" i="9"/>
  <c r="I12" i="9"/>
  <c r="H52" i="10"/>
  <c r="F8" i="10"/>
  <c r="C52" i="10"/>
  <c r="E8" i="10"/>
  <c r="G52" i="10"/>
  <c r="J52" i="10"/>
  <c r="E52" i="10"/>
  <c r="D52" i="10"/>
  <c r="I14" i="11"/>
  <c r="E14" i="12"/>
  <c r="F14" i="12"/>
  <c r="I27" i="14"/>
  <c r="I20" i="14"/>
  <c r="E60" i="13"/>
  <c r="C56" i="13"/>
  <c r="J57" i="13"/>
  <c r="E58" i="13"/>
  <c r="C54" i="13"/>
  <c r="G64" i="13"/>
  <c r="G53" i="13"/>
  <c r="G52" i="13"/>
  <c r="C58" i="13"/>
  <c r="C63" i="13"/>
  <c r="G58" i="13"/>
  <c r="E64" i="13"/>
  <c r="C61" i="13"/>
  <c r="G56" i="13"/>
  <c r="J59" i="13"/>
  <c r="E56" i="13"/>
  <c r="J60" i="13"/>
  <c r="G62" i="13"/>
  <c r="E54" i="13"/>
  <c r="J54" i="13"/>
  <c r="G60" i="13"/>
  <c r="E52" i="13"/>
  <c r="C55" i="13"/>
  <c r="J56" i="13"/>
  <c r="E61" i="13"/>
  <c r="C53" i="13"/>
  <c r="G63" i="13"/>
  <c r="E59" i="13"/>
  <c r="J52" i="13"/>
  <c r="C59" i="13"/>
  <c r="G54" i="13"/>
  <c r="J53" i="13"/>
  <c r="C57" i="13"/>
  <c r="J62" i="13"/>
  <c r="E63" i="13"/>
  <c r="F8" i="13"/>
  <c r="C60" i="13"/>
  <c r="E62" i="13"/>
  <c r="G57" i="13"/>
  <c r="E53" i="13"/>
  <c r="C64" i="13"/>
  <c r="G55" i="13"/>
  <c r="J58" i="13"/>
  <c r="C62" i="13"/>
  <c r="C52" i="13"/>
  <c r="G61" i="13"/>
  <c r="E57" i="13"/>
  <c r="J61" i="13"/>
  <c r="G59" i="13"/>
  <c r="E55" i="13"/>
  <c r="J55" i="13"/>
  <c r="E8" i="13"/>
  <c r="J64" i="13"/>
  <c r="J63" i="13"/>
  <c r="F32" i="8"/>
  <c r="E32" i="8"/>
  <c r="E26" i="11"/>
  <c r="F26" i="11"/>
  <c r="I16" i="13"/>
  <c r="I9" i="14"/>
  <c r="E20" i="14"/>
  <c r="F20" i="14"/>
  <c r="F31" i="14"/>
  <c r="E31" i="14"/>
  <c r="F19" i="10"/>
  <c r="E19" i="10"/>
  <c r="E26" i="12"/>
  <c r="F26" i="12"/>
  <c r="F14" i="13"/>
  <c r="E14" i="13"/>
  <c r="I32" i="14"/>
  <c r="E21" i="13"/>
  <c r="F21" i="13"/>
  <c r="E18" i="9"/>
  <c r="F18" i="9"/>
  <c r="I27" i="11"/>
  <c r="C3" i="11"/>
  <c r="E4" i="11"/>
  <c r="C4" i="11"/>
  <c r="I8" i="11"/>
  <c r="D3" i="11"/>
  <c r="E3" i="11"/>
  <c r="D4" i="11"/>
  <c r="I28" i="13"/>
  <c r="I21" i="14"/>
  <c r="F32" i="14"/>
  <c r="E32" i="14"/>
  <c r="I14" i="14"/>
  <c r="I29" i="10"/>
  <c r="E11" i="11"/>
  <c r="F11" i="11"/>
  <c r="I10" i="12"/>
  <c r="I16" i="11"/>
  <c r="I24" i="15"/>
  <c r="I11" i="15"/>
  <c r="D55" i="14"/>
  <c r="H64" i="14"/>
  <c r="C59" i="14"/>
  <c r="H57" i="14"/>
  <c r="C58" i="14"/>
  <c r="H56" i="14"/>
  <c r="H52" i="14"/>
  <c r="G59" i="14"/>
  <c r="J58" i="14"/>
  <c r="G58" i="14"/>
  <c r="J57" i="14"/>
  <c r="G52" i="14"/>
  <c r="C63" i="14"/>
  <c r="H61" i="14"/>
  <c r="C62" i="14"/>
  <c r="H60" i="14"/>
  <c r="C53" i="14"/>
  <c r="E64" i="14"/>
  <c r="J62" i="14"/>
  <c r="G62" i="14"/>
  <c r="J61" i="14"/>
  <c r="E8" i="14"/>
  <c r="G61" i="14"/>
  <c r="J60" i="14"/>
  <c r="G60" i="14"/>
  <c r="J59" i="14"/>
  <c r="C52" i="14"/>
  <c r="E62" i="14"/>
  <c r="D61" i="14"/>
  <c r="E61" i="14"/>
  <c r="D60" i="14"/>
  <c r="C55" i="14"/>
  <c r="H53" i="14"/>
  <c r="C54" i="14"/>
  <c r="G64" i="14"/>
  <c r="J63" i="14"/>
  <c r="G55" i="14"/>
  <c r="J54" i="14"/>
  <c r="G54" i="14"/>
  <c r="J53" i="14"/>
  <c r="D64" i="14"/>
  <c r="F8" i="14"/>
  <c r="E55" i="14"/>
  <c r="G53" i="14"/>
  <c r="J64" i="14"/>
  <c r="D63" i="14"/>
  <c r="E63" i="14"/>
  <c r="D62" i="14"/>
  <c r="E54" i="14"/>
  <c r="D53" i="14"/>
  <c r="E53" i="14"/>
  <c r="C64" i="14"/>
  <c r="H62" i="14"/>
  <c r="G57" i="14"/>
  <c r="J56" i="14"/>
  <c r="G56" i="14"/>
  <c r="J55" i="14"/>
  <c r="H63" i="14"/>
  <c r="E58" i="14"/>
  <c r="D57" i="14"/>
  <c r="E57" i="14"/>
  <c r="D56" i="14"/>
  <c r="J52" i="14"/>
  <c r="E56" i="14"/>
  <c r="D54" i="14"/>
  <c r="H54" i="14"/>
  <c r="E59" i="14"/>
  <c r="H59" i="14"/>
  <c r="C57" i="14"/>
  <c r="G63" i="14"/>
  <c r="D58" i="14"/>
  <c r="C60" i="14"/>
  <c r="H55" i="14"/>
  <c r="E60" i="14"/>
  <c r="E52" i="14"/>
  <c r="H58" i="14"/>
  <c r="C56" i="14"/>
  <c r="D59" i="14"/>
  <c r="C61" i="14"/>
  <c r="D52" i="14"/>
  <c r="B4" i="12"/>
  <c r="B3" i="12"/>
  <c r="E9" i="11"/>
  <c r="F9" i="11"/>
  <c r="E27" i="15"/>
  <c r="F27" i="15"/>
  <c r="E18" i="15"/>
  <c r="F18" i="15"/>
  <c r="I33" i="13"/>
  <c r="I33" i="12"/>
  <c r="F23" i="15"/>
  <c r="E23" i="15"/>
  <c r="F14" i="15"/>
  <c r="E14" i="15"/>
  <c r="I28" i="10"/>
  <c r="F19" i="12"/>
  <c r="E19" i="12"/>
  <c r="E24" i="11"/>
  <c r="F24" i="11"/>
  <c r="I12" i="12"/>
  <c r="I27" i="9"/>
  <c r="I10" i="9"/>
  <c r="F17" i="15"/>
  <c r="E17" i="15"/>
  <c r="F23" i="10"/>
  <c r="E23" i="10"/>
  <c r="F30" i="12"/>
  <c r="E30" i="12"/>
  <c r="F9" i="9"/>
  <c r="E9" i="9"/>
  <c r="E25" i="13"/>
  <c r="F25" i="13"/>
  <c r="F26" i="9"/>
  <c r="E26" i="9"/>
  <c r="I32" i="11"/>
  <c r="I12" i="11"/>
  <c r="F12" i="12"/>
  <c r="E12" i="12"/>
  <c r="I25" i="14"/>
  <c r="I18" i="14"/>
  <c r="I21" i="13"/>
  <c r="F33" i="9"/>
  <c r="E33" i="9"/>
  <c r="E16" i="9"/>
  <c r="F16" i="9"/>
  <c r="F11" i="9"/>
  <c r="E11" i="9"/>
  <c r="E17" i="10"/>
  <c r="F17" i="10"/>
  <c r="E24" i="12"/>
  <c r="F24" i="12"/>
  <c r="F12" i="13"/>
  <c r="E12" i="13"/>
  <c r="I30" i="14"/>
  <c r="F19" i="13"/>
  <c r="E19" i="13"/>
  <c r="F14" i="9"/>
  <c r="E14" i="9"/>
  <c r="E27" i="11"/>
  <c r="F27" i="11"/>
  <c r="I32" i="12"/>
  <c r="I10" i="13"/>
  <c r="E14" i="14"/>
  <c r="F14" i="14"/>
  <c r="F9" i="14"/>
  <c r="E9" i="14"/>
  <c r="E25" i="14"/>
  <c r="F25" i="14"/>
  <c r="I26" i="10"/>
  <c r="C61" i="11"/>
  <c r="H59" i="11"/>
  <c r="C60" i="11"/>
  <c r="H58" i="11"/>
  <c r="D52" i="11"/>
  <c r="G61" i="11"/>
  <c r="J60" i="11"/>
  <c r="G60" i="11"/>
  <c r="J59" i="11"/>
  <c r="C52" i="11"/>
  <c r="E62" i="11"/>
  <c r="D61" i="11"/>
  <c r="E61" i="11"/>
  <c r="D60" i="11"/>
  <c r="C55" i="11"/>
  <c r="H53" i="11"/>
  <c r="C54" i="11"/>
  <c r="G64" i="11"/>
  <c r="J63" i="11"/>
  <c r="E8" i="11"/>
  <c r="C53" i="11"/>
  <c r="E64" i="11"/>
  <c r="J62" i="11"/>
  <c r="G62" i="11"/>
  <c r="J61" i="11"/>
  <c r="G53" i="11"/>
  <c r="H63" i="11"/>
  <c r="J64" i="11"/>
  <c r="E63" i="11"/>
  <c r="D62" i="11"/>
  <c r="E54" i="11"/>
  <c r="D53" i="11"/>
  <c r="E53" i="11"/>
  <c r="C64" i="11"/>
  <c r="H62" i="11"/>
  <c r="G57" i="11"/>
  <c r="J56" i="11"/>
  <c r="G56" i="11"/>
  <c r="J55" i="11"/>
  <c r="D63" i="11"/>
  <c r="G55" i="11"/>
  <c r="J54" i="11"/>
  <c r="G54" i="11"/>
  <c r="J53" i="11"/>
  <c r="D64" i="11"/>
  <c r="E56" i="11"/>
  <c r="D55" i="11"/>
  <c r="E55" i="11"/>
  <c r="D54" i="11"/>
  <c r="H64" i="11"/>
  <c r="C57" i="11"/>
  <c r="H55" i="11"/>
  <c r="C56" i="11"/>
  <c r="H54" i="11"/>
  <c r="G63" i="11"/>
  <c r="E60" i="11"/>
  <c r="D59" i="11"/>
  <c r="E59" i="11"/>
  <c r="D58" i="11"/>
  <c r="E52" i="11"/>
  <c r="E58" i="11"/>
  <c r="D57" i="11"/>
  <c r="E57" i="11"/>
  <c r="D56" i="11"/>
  <c r="J52" i="11"/>
  <c r="C59" i="11"/>
  <c r="H57" i="11"/>
  <c r="C58" i="11"/>
  <c r="H56" i="11"/>
  <c r="H52" i="11"/>
  <c r="G59" i="11"/>
  <c r="J58" i="11"/>
  <c r="G58" i="11"/>
  <c r="J57" i="11"/>
  <c r="G52" i="11"/>
  <c r="C63" i="11"/>
  <c r="H61" i="11"/>
  <c r="C62" i="11"/>
  <c r="H60" i="11"/>
  <c r="F8" i="11"/>
  <c r="C3" i="12"/>
  <c r="E4" i="12"/>
  <c r="C4" i="12"/>
  <c r="D3" i="12"/>
  <c r="I8" i="12"/>
  <c r="E3" i="12"/>
  <c r="D4" i="12"/>
  <c r="I13" i="11"/>
  <c r="I20" i="15"/>
  <c r="I18" i="9"/>
  <c r="I13" i="9"/>
  <c r="F25" i="15"/>
  <c r="E25" i="15"/>
  <c r="F27" i="10"/>
  <c r="E27" i="10"/>
  <c r="I13" i="13"/>
  <c r="E30" i="13"/>
  <c r="F30" i="13"/>
  <c r="E17" i="9"/>
  <c r="F17" i="9"/>
  <c r="F29" i="13"/>
  <c r="E29" i="13"/>
  <c r="E9" i="10"/>
  <c r="F9" i="10"/>
  <c r="I31" i="11"/>
  <c r="E16" i="12"/>
  <c r="F16" i="12"/>
  <c r="I29" i="14"/>
  <c r="I22" i="14"/>
  <c r="E11" i="13"/>
  <c r="F11" i="13"/>
  <c r="E10" i="8"/>
  <c r="F10" i="8"/>
  <c r="F19" i="11"/>
  <c r="E19" i="11"/>
  <c r="I19" i="12"/>
  <c r="I27" i="15"/>
  <c r="I18" i="15"/>
  <c r="E17" i="14"/>
  <c r="F17" i="14"/>
  <c r="I11" i="10"/>
  <c r="I11" i="12"/>
  <c r="H55" i="15"/>
  <c r="E55" i="15"/>
  <c r="F55" i="15"/>
  <c r="G55" i="15"/>
  <c r="H56" i="13"/>
  <c r="H56" i="8"/>
  <c r="H56" i="10"/>
  <c r="D56" i="10"/>
  <c r="J56" i="10"/>
  <c r="G56" i="8"/>
  <c r="E56" i="10"/>
  <c r="J56" i="8"/>
  <c r="B3" i="15"/>
  <c r="G56" i="10"/>
  <c r="D56" i="8"/>
  <c r="E56" i="8"/>
  <c r="B4" i="15"/>
  <c r="I21" i="15"/>
  <c r="F12" i="10"/>
  <c r="E12" i="10"/>
  <c r="F31" i="11"/>
  <c r="E31" i="11"/>
  <c r="I14" i="13"/>
  <c r="F18" i="14"/>
  <c r="E18" i="14"/>
  <c r="F29" i="14"/>
  <c r="E29" i="14"/>
  <c r="I31" i="10"/>
  <c r="F13" i="11"/>
  <c r="E13" i="11"/>
  <c r="I13" i="12"/>
  <c r="I23" i="11"/>
  <c r="I28" i="15"/>
  <c r="I15" i="15"/>
  <c r="E11" i="14"/>
  <c r="F11" i="14"/>
  <c r="F25" i="12"/>
  <c r="E25" i="12"/>
  <c r="I18" i="12"/>
  <c r="F12" i="15"/>
  <c r="E12" i="15"/>
  <c r="I22" i="9"/>
  <c r="I17" i="9"/>
  <c r="F29" i="15"/>
  <c r="E29" i="15"/>
  <c r="E12" i="11"/>
  <c r="F12" i="11"/>
  <c r="F31" i="9"/>
  <c r="E31" i="9"/>
  <c r="I20" i="9"/>
  <c r="E32" i="9"/>
  <c r="F32" i="9"/>
  <c r="E27" i="9"/>
  <c r="F27" i="9"/>
  <c r="I16" i="9"/>
  <c r="F25" i="10"/>
  <c r="E25" i="10"/>
  <c r="I11" i="13"/>
  <c r="E32" i="12"/>
  <c r="F32" i="12"/>
  <c r="E22" i="13"/>
  <c r="F22" i="13"/>
  <c r="E13" i="9"/>
  <c r="F13" i="9"/>
  <c r="F27" i="13"/>
  <c r="E27" i="13"/>
  <c r="E30" i="9"/>
  <c r="F30" i="9"/>
  <c r="E33" i="11"/>
  <c r="F33" i="11"/>
  <c r="I18" i="13"/>
  <c r="I11" i="14"/>
  <c r="E22" i="14"/>
  <c r="F22" i="14"/>
  <c r="E33" i="14"/>
  <c r="F33" i="14"/>
  <c r="F16" i="8"/>
  <c r="E16" i="8"/>
  <c r="F17" i="11"/>
  <c r="E17" i="11"/>
  <c r="I17" i="12"/>
  <c r="E32" i="13"/>
  <c r="F32" i="13"/>
  <c r="B4" i="14"/>
  <c r="B3" i="14"/>
  <c r="I23" i="15"/>
  <c r="I14" i="15"/>
  <c r="F15" i="14"/>
  <c r="E15" i="14"/>
  <c r="F28" i="10"/>
  <c r="E28" i="10"/>
  <c r="I29" i="11"/>
  <c r="I10" i="11"/>
  <c r="E10" i="12"/>
  <c r="F10" i="12"/>
  <c r="I23" i="14"/>
  <c r="I16" i="14"/>
  <c r="F20" i="8"/>
  <c r="E20" i="8"/>
  <c r="F29" i="11"/>
  <c r="E29" i="11"/>
  <c r="B4" i="11"/>
  <c r="B3" i="11"/>
  <c r="I12" i="13"/>
  <c r="F16" i="14"/>
  <c r="E16" i="14"/>
  <c r="E27" i="14"/>
  <c r="F27" i="14"/>
  <c r="F31" i="15"/>
  <c r="E31" i="15"/>
  <c r="E22" i="15"/>
  <c r="F22" i="15"/>
  <c r="I9" i="15"/>
  <c r="F23" i="12"/>
  <c r="E23" i="12"/>
  <c r="E26" i="13"/>
  <c r="F26" i="13"/>
  <c r="I16" i="12"/>
  <c r="F21" i="9"/>
  <c r="E21" i="9"/>
  <c r="E31" i="13"/>
  <c r="F31" i="13"/>
  <c r="I22" i="13"/>
  <c r="I15" i="14"/>
  <c r="F26" i="14"/>
  <c r="E26" i="14"/>
  <c r="E4" i="14"/>
  <c r="C4" i="14"/>
  <c r="D3" i="14"/>
  <c r="E3" i="14"/>
  <c r="D4" i="14"/>
  <c r="I8" i="14"/>
  <c r="C3" i="14"/>
  <c r="F12" i="8"/>
  <c r="E12" i="8"/>
  <c r="F21" i="11"/>
  <c r="E21" i="11"/>
  <c r="I21" i="12"/>
  <c r="I31" i="15"/>
  <c r="I22" i="15"/>
  <c r="F19" i="14"/>
  <c r="E19" i="14"/>
  <c r="I22" i="11"/>
  <c r="E33" i="12"/>
  <c r="F33" i="12"/>
  <c r="D4" i="13"/>
  <c r="D3" i="13"/>
  <c r="E3" i="13"/>
  <c r="C3" i="13"/>
  <c r="C4" i="13"/>
  <c r="E4" i="13"/>
  <c r="I8" i="13"/>
  <c r="I29" i="12"/>
  <c r="F28" i="15"/>
  <c r="E28" i="15"/>
  <c r="F15" i="15"/>
  <c r="E15" i="15"/>
  <c r="I33" i="9"/>
  <c r="I23" i="10"/>
  <c r="F15" i="12"/>
  <c r="E15" i="12"/>
  <c r="E20" i="11"/>
  <c r="F20" i="11"/>
  <c r="I19" i="9"/>
  <c r="G53" i="15"/>
  <c r="G57" i="15"/>
  <c r="G61" i="15"/>
  <c r="H59" i="15"/>
  <c r="E59" i="15"/>
  <c r="F59" i="15"/>
  <c r="E63" i="15"/>
  <c r="F63" i="15"/>
  <c r="H56" i="15"/>
  <c r="E54" i="15"/>
  <c r="F54" i="15"/>
  <c r="E58" i="15"/>
  <c r="F58" i="15"/>
  <c r="E62" i="15"/>
  <c r="F62" i="15"/>
  <c r="H61" i="15"/>
  <c r="H57" i="15"/>
  <c r="G56" i="15"/>
  <c r="G60" i="15"/>
  <c r="G64" i="15"/>
  <c r="H58" i="15"/>
  <c r="G59" i="15"/>
  <c r="G63" i="15"/>
  <c r="H63" i="15"/>
  <c r="E53" i="15"/>
  <c r="F53" i="15"/>
  <c r="E57" i="15"/>
  <c r="F57" i="15"/>
  <c r="E61" i="15"/>
  <c r="F61" i="15"/>
  <c r="H60" i="15"/>
  <c r="H62" i="15"/>
  <c r="E56" i="15"/>
  <c r="F56" i="15"/>
  <c r="E60" i="15"/>
  <c r="F60" i="15"/>
  <c r="E64" i="15"/>
  <c r="F64" i="15"/>
  <c r="H53" i="15"/>
  <c r="G54" i="15"/>
  <c r="G58" i="15"/>
  <c r="G62" i="15"/>
  <c r="H54" i="15"/>
  <c r="H64" i="15"/>
  <c r="H63" i="13"/>
  <c r="H55" i="13"/>
  <c r="I55" i="13"/>
  <c r="H52" i="15"/>
  <c r="E64" i="10"/>
  <c r="H63" i="8"/>
  <c r="G58" i="10"/>
  <c r="E63" i="8"/>
  <c r="G64" i="10"/>
  <c r="H53" i="13"/>
  <c r="H54" i="13"/>
  <c r="I54" i="13"/>
  <c r="H64" i="13"/>
  <c r="C64" i="10"/>
  <c r="G53" i="10"/>
  <c r="G63" i="8"/>
  <c r="D61" i="10"/>
  <c r="H59" i="13"/>
  <c r="I59" i="13"/>
  <c r="H61" i="13"/>
  <c r="H62" i="13"/>
  <c r="I62" i="13"/>
  <c r="G52" i="15"/>
  <c r="I52" i="15"/>
  <c r="G62" i="10"/>
  <c r="J61" i="8"/>
  <c r="C53" i="8"/>
  <c r="C61" i="10"/>
  <c r="C63" i="8"/>
  <c r="C63" i="10"/>
  <c r="J54" i="8"/>
  <c r="D57" i="10"/>
  <c r="J64" i="8"/>
  <c r="E63" i="10"/>
  <c r="J63" i="10"/>
  <c r="G61" i="10"/>
  <c r="D61" i="8"/>
  <c r="C56" i="10"/>
  <c r="G60" i="8"/>
  <c r="G60" i="10"/>
  <c r="G62" i="8"/>
  <c r="D59" i="10"/>
  <c r="C56" i="8"/>
  <c r="I56" i="8"/>
  <c r="H58" i="13"/>
  <c r="H60" i="13"/>
  <c r="I60" i="13"/>
  <c r="H57" i="13"/>
  <c r="E52" i="15"/>
  <c r="F52" i="15"/>
  <c r="J64" i="10"/>
  <c r="E61" i="8"/>
  <c r="H64" i="10"/>
  <c r="H54" i="10"/>
  <c r="D54" i="8"/>
  <c r="J53" i="10"/>
  <c r="E54" i="8"/>
  <c r="C57" i="10"/>
  <c r="E64" i="8"/>
  <c r="E54" i="10"/>
  <c r="E61" i="10"/>
  <c r="C61" i="8"/>
  <c r="J58" i="10"/>
  <c r="J60" i="8"/>
  <c r="J60" i="10"/>
  <c r="D58" i="8"/>
  <c r="H60" i="10"/>
  <c r="C59" i="10"/>
  <c r="J58" i="8"/>
  <c r="E53" i="10"/>
  <c r="C58" i="8"/>
  <c r="C58" i="10"/>
  <c r="C60" i="8"/>
  <c r="D63" i="8"/>
  <c r="D54" i="10"/>
  <c r="G53" i="8"/>
  <c r="E59" i="10"/>
  <c r="J55" i="8"/>
  <c r="E60" i="8"/>
  <c r="J54" i="10"/>
  <c r="D53" i="10"/>
  <c r="H55" i="10"/>
  <c r="G57" i="8"/>
  <c r="D60" i="8"/>
  <c r="C60" i="10"/>
  <c r="H54" i="8"/>
  <c r="E53" i="8"/>
  <c r="H63" i="10"/>
  <c r="E55" i="8"/>
  <c r="E55" i="10"/>
  <c r="E57" i="8"/>
  <c r="E57" i="10"/>
  <c r="G64" i="8"/>
  <c r="G61" i="8"/>
  <c r="D63" i="10"/>
  <c r="G54" i="10"/>
  <c r="J62" i="8"/>
  <c r="H61" i="10"/>
  <c r="J61" i="10"/>
  <c r="D64" i="10"/>
  <c r="F64" i="10"/>
  <c r="E59" i="8"/>
  <c r="J53" i="8"/>
  <c r="G55" i="10"/>
  <c r="D60" i="10"/>
  <c r="H59" i="8"/>
  <c r="J62" i="10"/>
  <c r="D58" i="10"/>
  <c r="H55" i="8"/>
  <c r="G63" i="10"/>
  <c r="D55" i="8"/>
  <c r="D55" i="10"/>
  <c r="D57" i="8"/>
  <c r="H59" i="10"/>
  <c r="C54" i="8"/>
  <c r="E62" i="8"/>
  <c r="E9" i="15"/>
  <c r="D53" i="8"/>
  <c r="D62" i="8"/>
  <c r="H61" i="8"/>
  <c r="H58" i="8"/>
  <c r="E58" i="10"/>
  <c r="E60" i="10"/>
  <c r="D62" i="10"/>
  <c r="E58" i="8"/>
  <c r="H60" i="8"/>
  <c r="H57" i="10"/>
  <c r="G59" i="8"/>
  <c r="E62" i="10"/>
  <c r="D59" i="8"/>
  <c r="H58" i="10"/>
  <c r="D64" i="8"/>
  <c r="G55" i="8"/>
  <c r="C53" i="10"/>
  <c r="C55" i="8"/>
  <c r="C55" i="10"/>
  <c r="C57" i="8"/>
  <c r="G59" i="10"/>
  <c r="H53" i="10"/>
  <c r="F9" i="15"/>
  <c r="G54" i="8"/>
  <c r="C62" i="8"/>
  <c r="H52" i="13"/>
  <c r="G58" i="8"/>
  <c r="J63" i="8"/>
  <c r="H62" i="8"/>
  <c r="H53" i="8"/>
  <c r="H57" i="8"/>
  <c r="G57" i="10"/>
  <c r="H62" i="10"/>
  <c r="J57" i="10"/>
  <c r="C59" i="8"/>
  <c r="C54" i="10"/>
  <c r="C64" i="8"/>
  <c r="C62" i="10"/>
  <c r="J57" i="8"/>
  <c r="J55" i="10"/>
  <c r="J59" i="10"/>
  <c r="H64" i="8"/>
  <c r="J59" i="8"/>
  <c r="E14" i="8"/>
  <c r="F14" i="8"/>
  <c r="E30" i="15"/>
  <c r="F30" i="15"/>
  <c r="I17" i="15"/>
  <c r="F27" i="12"/>
  <c r="E27" i="12"/>
  <c r="I20" i="12"/>
  <c r="E16" i="15"/>
  <c r="F16" i="15"/>
  <c r="I26" i="9"/>
  <c r="I21" i="9"/>
  <c r="F33" i="15"/>
  <c r="E33" i="15"/>
  <c r="F31" i="10"/>
  <c r="E31" i="10"/>
  <c r="I17" i="13"/>
  <c r="F25" i="9"/>
  <c r="E25" i="9"/>
  <c r="E3" i="9"/>
  <c r="D4" i="9"/>
  <c r="C3" i="9"/>
  <c r="E4" i="9"/>
  <c r="D3" i="9"/>
  <c r="C4" i="9"/>
  <c r="I8" i="9"/>
  <c r="F33" i="13"/>
  <c r="E33" i="13"/>
  <c r="E13" i="10"/>
  <c r="F13" i="10"/>
  <c r="E20" i="13"/>
  <c r="F20" i="13"/>
  <c r="E20" i="12"/>
  <c r="F20" i="12"/>
  <c r="I33" i="14"/>
  <c r="I26" i="14"/>
  <c r="F15" i="13"/>
  <c r="E15" i="13"/>
  <c r="C61" i="9"/>
  <c r="G61" i="9"/>
  <c r="E60" i="9"/>
  <c r="J58" i="9"/>
  <c r="J60" i="9"/>
  <c r="G60" i="9"/>
  <c r="J59" i="9"/>
  <c r="E62" i="9"/>
  <c r="E53" i="9"/>
  <c r="C64" i="9"/>
  <c r="H62" i="9"/>
  <c r="G63" i="9"/>
  <c r="C54" i="9"/>
  <c r="G64" i="9"/>
  <c r="J63" i="9"/>
  <c r="J64" i="9"/>
  <c r="G54" i="9"/>
  <c r="J53" i="9"/>
  <c r="C53" i="9"/>
  <c r="G53" i="9"/>
  <c r="E64" i="9"/>
  <c r="C63" i="9"/>
  <c r="G59" i="9"/>
  <c r="D63" i="9"/>
  <c r="E63" i="9"/>
  <c r="D62" i="9"/>
  <c r="J54" i="9"/>
  <c r="C56" i="9"/>
  <c r="H54" i="9"/>
  <c r="H63" i="9"/>
  <c r="D55" i="9"/>
  <c r="G56" i="9"/>
  <c r="J55" i="9"/>
  <c r="J52" i="9"/>
  <c r="J56" i="9"/>
  <c r="E57" i="9"/>
  <c r="D56" i="9"/>
  <c r="H52" i="9"/>
  <c r="H59" i="9"/>
  <c r="H58" i="9"/>
  <c r="G55" i="9"/>
  <c r="E56" i="9"/>
  <c r="C55" i="9"/>
  <c r="D53" i="9"/>
  <c r="H53" i="9"/>
  <c r="E55" i="9"/>
  <c r="D54" i="9"/>
  <c r="H64" i="9"/>
  <c r="H57" i="9"/>
  <c r="G58" i="9"/>
  <c r="J57" i="9"/>
  <c r="E52" i="9"/>
  <c r="D59" i="9"/>
  <c r="E59" i="9"/>
  <c r="D58" i="9"/>
  <c r="D52" i="9"/>
  <c r="C60" i="9"/>
  <c r="C52" i="9"/>
  <c r="H55" i="9"/>
  <c r="G52" i="9"/>
  <c r="C57" i="9"/>
  <c r="J62" i="9"/>
  <c r="E58" i="9"/>
  <c r="D57" i="9"/>
  <c r="D61" i="9"/>
  <c r="H61" i="9"/>
  <c r="C59" i="9"/>
  <c r="C58" i="9"/>
  <c r="E61" i="9"/>
  <c r="C62" i="9"/>
  <c r="G62" i="9"/>
  <c r="E8" i="9"/>
  <c r="G57" i="9"/>
  <c r="I57" i="9"/>
  <c r="H56" i="9"/>
  <c r="D60" i="9"/>
  <c r="H60" i="9"/>
  <c r="J61" i="9"/>
  <c r="E54" i="9"/>
  <c r="D64" i="9"/>
  <c r="F8" i="9"/>
  <c r="I55" i="15"/>
  <c r="I57" i="15"/>
  <c r="F56" i="6"/>
  <c r="E5" i="2"/>
  <c r="I56" i="13"/>
  <c r="E5" i="6"/>
  <c r="E5" i="10"/>
  <c r="F52" i="2"/>
  <c r="L2" i="5"/>
  <c r="M4" i="5"/>
  <c r="I52" i="4"/>
  <c r="I64" i="11"/>
  <c r="I61" i="11"/>
  <c r="D5" i="15"/>
  <c r="I60" i="7"/>
  <c r="I58" i="13"/>
  <c r="F53" i="12"/>
  <c r="B5" i="14"/>
  <c r="F62" i="7"/>
  <c r="B5" i="13"/>
  <c r="F59" i="12"/>
  <c r="F56" i="7"/>
  <c r="I56" i="7"/>
  <c r="B5" i="15"/>
  <c r="F52" i="14"/>
  <c r="I62" i="7"/>
  <c r="E5" i="3"/>
  <c r="L4" i="11"/>
  <c r="L4" i="7"/>
  <c r="E5" i="7"/>
  <c r="D5" i="5"/>
  <c r="B5" i="2"/>
  <c r="B5" i="6"/>
  <c r="F64" i="6"/>
  <c r="I54" i="6"/>
  <c r="M4" i="11"/>
  <c r="M2" i="6"/>
  <c r="M4" i="4"/>
  <c r="M2" i="8"/>
  <c r="F63" i="10"/>
  <c r="L2" i="7"/>
  <c r="L4" i="5"/>
  <c r="B5" i="7"/>
  <c r="M2" i="2"/>
  <c r="I63" i="6"/>
  <c r="I52" i="5"/>
  <c r="L4" i="14"/>
  <c r="D5" i="12"/>
  <c r="M2" i="7"/>
  <c r="F62" i="14"/>
  <c r="B5" i="9"/>
  <c r="E5" i="11"/>
  <c r="D5" i="11"/>
  <c r="I53" i="13"/>
  <c r="I64" i="13"/>
  <c r="I52" i="11"/>
  <c r="I59" i="11"/>
  <c r="F57" i="11"/>
  <c r="F57" i="13"/>
  <c r="I63" i="12"/>
  <c r="I52" i="12"/>
  <c r="F60" i="12"/>
  <c r="F64" i="12"/>
  <c r="F55" i="7"/>
  <c r="I55" i="7"/>
  <c r="F61" i="7"/>
  <c r="F4" i="2"/>
  <c r="B5" i="10"/>
  <c r="F3" i="7"/>
  <c r="C5" i="8"/>
  <c r="F3" i="8"/>
  <c r="I53" i="6"/>
  <c r="I52" i="2"/>
  <c r="I54" i="14"/>
  <c r="I64" i="14"/>
  <c r="F60" i="14"/>
  <c r="I61" i="14"/>
  <c r="F4" i="11"/>
  <c r="I61" i="13"/>
  <c r="I57" i="13"/>
  <c r="F52" i="10"/>
  <c r="C5" i="14"/>
  <c r="F3" i="14"/>
  <c r="F61" i="10"/>
  <c r="E5" i="12"/>
  <c r="F59" i="11"/>
  <c r="F54" i="11"/>
  <c r="F64" i="11"/>
  <c r="I54" i="11"/>
  <c r="F60" i="13"/>
  <c r="F61" i="13"/>
  <c r="I56" i="12"/>
  <c r="F60" i="7"/>
  <c r="I52" i="7"/>
  <c r="F52" i="3"/>
  <c r="F60" i="6"/>
  <c r="I61" i="6"/>
  <c r="F52" i="6"/>
  <c r="F61" i="6"/>
  <c r="B5" i="3"/>
  <c r="C5" i="3"/>
  <c r="I52" i="14"/>
  <c r="I59" i="14"/>
  <c r="I63" i="13"/>
  <c r="F4" i="12"/>
  <c r="I56" i="11"/>
  <c r="F62" i="11"/>
  <c r="F63" i="13"/>
  <c r="I57" i="12"/>
  <c r="I54" i="12"/>
  <c r="I53" i="12"/>
  <c r="F54" i="12"/>
  <c r="F58" i="7"/>
  <c r="F54" i="7"/>
  <c r="I52" i="3"/>
  <c r="B5" i="5"/>
  <c r="F4" i="7"/>
  <c r="F4" i="4"/>
  <c r="E5" i="8"/>
  <c r="I62" i="6"/>
  <c r="F63" i="6"/>
  <c r="I52" i="6"/>
  <c r="I59" i="6"/>
  <c r="I58" i="6"/>
  <c r="F59" i="6"/>
  <c r="F52" i="4"/>
  <c r="F59" i="14"/>
  <c r="F3" i="11"/>
  <c r="C5" i="11"/>
  <c r="C5" i="12"/>
  <c r="F52" i="11"/>
  <c r="F54" i="13"/>
  <c r="F55" i="13"/>
  <c r="I61" i="12"/>
  <c r="I62" i="12"/>
  <c r="I57" i="7"/>
  <c r="F53" i="7"/>
  <c r="F3" i="6"/>
  <c r="C5" i="5"/>
  <c r="F3" i="5"/>
  <c r="C5" i="4"/>
  <c r="F3" i="10"/>
  <c r="C5" i="10"/>
  <c r="F54" i="6"/>
  <c r="I55" i="6"/>
  <c r="B5" i="4"/>
  <c r="F59" i="8"/>
  <c r="F56" i="12"/>
  <c r="E5" i="15"/>
  <c r="I63" i="10"/>
  <c r="I59" i="10"/>
  <c r="I62" i="8"/>
  <c r="C5" i="13"/>
  <c r="F62" i="9"/>
  <c r="F64" i="8"/>
  <c r="I58" i="15"/>
  <c r="K58" i="15"/>
  <c r="L58" i="15"/>
  <c r="I59" i="15"/>
  <c r="K59" i="15"/>
  <c r="L59" i="15"/>
  <c r="I54" i="15"/>
  <c r="K54" i="15"/>
  <c r="L54" i="15"/>
  <c r="I53" i="15"/>
  <c r="K53" i="15"/>
  <c r="I53" i="14"/>
  <c r="I56" i="15"/>
  <c r="K56" i="15"/>
  <c r="D5" i="14"/>
  <c r="E5" i="14"/>
  <c r="B5" i="11"/>
  <c r="F56" i="8"/>
  <c r="K56" i="8"/>
  <c r="L56" i="8"/>
  <c r="I53" i="11"/>
  <c r="I60" i="11"/>
  <c r="F56" i="14"/>
  <c r="F61" i="14"/>
  <c r="F53" i="14"/>
  <c r="I63" i="14"/>
  <c r="F53" i="13"/>
  <c r="K53" i="13"/>
  <c r="L53" i="13"/>
  <c r="I52" i="10"/>
  <c r="K52" i="10"/>
  <c r="L52" i="10"/>
  <c r="M4" i="12"/>
  <c r="I62" i="9"/>
  <c r="D5" i="9"/>
  <c r="L2" i="15"/>
  <c r="I55" i="8"/>
  <c r="L4" i="13"/>
  <c r="E5" i="9"/>
  <c r="I61" i="8"/>
  <c r="F54" i="8"/>
  <c r="I61" i="10"/>
  <c r="K61" i="10"/>
  <c r="L61" i="10"/>
  <c r="I62" i="15"/>
  <c r="K62" i="15"/>
  <c r="L62" i="15"/>
  <c r="E5" i="13"/>
  <c r="F52" i="9"/>
  <c r="F57" i="8"/>
  <c r="F58" i="8"/>
  <c r="I58" i="8"/>
  <c r="F60" i="8"/>
  <c r="I59" i="8"/>
  <c r="K59" i="8"/>
  <c r="L59" i="8"/>
  <c r="F63" i="8"/>
  <c r="F58" i="10"/>
  <c r="I58" i="9"/>
  <c r="F59" i="10"/>
  <c r="K59" i="10"/>
  <c r="L59" i="10"/>
  <c r="I56" i="9"/>
  <c r="I61" i="9"/>
  <c r="I60" i="10"/>
  <c r="L4" i="10"/>
  <c r="I64" i="10"/>
  <c r="K64" i="10"/>
  <c r="L64" i="10"/>
  <c r="I60" i="14"/>
  <c r="K60" i="14"/>
  <c r="L60" i="14"/>
  <c r="I64" i="12"/>
  <c r="K64" i="12"/>
  <c r="L64" i="12"/>
  <c r="F3" i="9"/>
  <c r="I57" i="8"/>
  <c r="I64" i="9"/>
  <c r="F61" i="9"/>
  <c r="F57" i="9"/>
  <c r="K57" i="9"/>
  <c r="L57" i="9"/>
  <c r="F60" i="9"/>
  <c r="F56" i="9"/>
  <c r="I54" i="9"/>
  <c r="F54" i="9"/>
  <c r="I64" i="8"/>
  <c r="I62" i="10"/>
  <c r="I53" i="8"/>
  <c r="I53" i="10"/>
  <c r="F62" i="8"/>
  <c r="F55" i="8"/>
  <c r="F55" i="10"/>
  <c r="I54" i="8"/>
  <c r="I55" i="10"/>
  <c r="F53" i="10"/>
  <c r="F61" i="8"/>
  <c r="F57" i="10"/>
  <c r="I60" i="8"/>
  <c r="F53" i="8"/>
  <c r="I63" i="8"/>
  <c r="I58" i="10"/>
  <c r="I60" i="15"/>
  <c r="K60" i="15"/>
  <c r="I63" i="15"/>
  <c r="K63" i="15"/>
  <c r="I64" i="15"/>
  <c r="K64" i="15"/>
  <c r="I61" i="15"/>
  <c r="K61" i="15"/>
  <c r="F4" i="13"/>
  <c r="D5" i="13"/>
  <c r="F4" i="14"/>
  <c r="L5" i="14"/>
  <c r="L4" i="15"/>
  <c r="L2" i="14"/>
  <c r="L2" i="9"/>
  <c r="M2" i="11"/>
  <c r="M3" i="11"/>
  <c r="M4" i="14"/>
  <c r="F56" i="10"/>
  <c r="I56" i="10"/>
  <c r="L2" i="8"/>
  <c r="L3" i="8"/>
  <c r="M4" i="10"/>
  <c r="F3" i="12"/>
  <c r="I63" i="11"/>
  <c r="F58" i="11"/>
  <c r="F56" i="11"/>
  <c r="K56" i="11"/>
  <c r="L56" i="11"/>
  <c r="F60" i="11"/>
  <c r="I55" i="11"/>
  <c r="F55" i="11"/>
  <c r="F63" i="11"/>
  <c r="I57" i="11"/>
  <c r="K57" i="11"/>
  <c r="L57" i="11"/>
  <c r="F53" i="11"/>
  <c r="K53" i="11"/>
  <c r="L53" i="11"/>
  <c r="I62" i="11"/>
  <c r="K62" i="11"/>
  <c r="L62" i="11"/>
  <c r="F61" i="11"/>
  <c r="K61" i="11"/>
  <c r="L61" i="11"/>
  <c r="I58" i="11"/>
  <c r="M2" i="14"/>
  <c r="M3" i="14"/>
  <c r="M2" i="12"/>
  <c r="M4" i="9"/>
  <c r="B5" i="12"/>
  <c r="I56" i="14"/>
  <c r="I57" i="14"/>
  <c r="I63" i="9"/>
  <c r="F54" i="14"/>
  <c r="K54" i="14"/>
  <c r="L54" i="14"/>
  <c r="F57" i="14"/>
  <c r="I62" i="14"/>
  <c r="K62" i="14"/>
  <c r="L62" i="14"/>
  <c r="F64" i="14"/>
  <c r="K64" i="14"/>
  <c r="L64" i="14"/>
  <c r="I55" i="14"/>
  <c r="F63" i="14"/>
  <c r="I58" i="14"/>
  <c r="F55" i="14"/>
  <c r="M4" i="13"/>
  <c r="M5" i="13"/>
  <c r="F62" i="13"/>
  <c r="K62" i="13"/>
  <c r="L62" i="13"/>
  <c r="I52" i="13"/>
  <c r="F58" i="13"/>
  <c r="K58" i="13"/>
  <c r="L58" i="13"/>
  <c r="L2" i="11"/>
  <c r="L6" i="11"/>
  <c r="F52" i="13"/>
  <c r="F64" i="13"/>
  <c r="K64" i="13"/>
  <c r="L64" i="13"/>
  <c r="F56" i="13"/>
  <c r="K56" i="13"/>
  <c r="L56" i="13"/>
  <c r="F59" i="13"/>
  <c r="K59" i="13"/>
  <c r="L59" i="13"/>
  <c r="L2" i="12"/>
  <c r="L6" i="12"/>
  <c r="M2" i="13"/>
  <c r="M6" i="13"/>
  <c r="L4" i="9"/>
  <c r="N4" i="9"/>
  <c r="I55" i="12"/>
  <c r="F62" i="12"/>
  <c r="K62" i="12"/>
  <c r="L62" i="12"/>
  <c r="L4" i="12"/>
  <c r="F52" i="12"/>
  <c r="K52" i="12"/>
  <c r="L52" i="12"/>
  <c r="I59" i="12"/>
  <c r="K59" i="12"/>
  <c r="L59" i="12"/>
  <c r="F57" i="12"/>
  <c r="K57" i="12"/>
  <c r="L57" i="12"/>
  <c r="F61" i="12"/>
  <c r="K61" i="12"/>
  <c r="L61" i="12"/>
  <c r="I60" i="12"/>
  <c r="K60" i="12"/>
  <c r="L60" i="12"/>
  <c r="I58" i="12"/>
  <c r="F58" i="12"/>
  <c r="F63" i="12"/>
  <c r="K63" i="12"/>
  <c r="L63" i="12"/>
  <c r="M2" i="15"/>
  <c r="M6" i="15"/>
  <c r="C5" i="15"/>
  <c r="L4" i="2"/>
  <c r="M6" i="2"/>
  <c r="M2" i="5"/>
  <c r="N2" i="5"/>
  <c r="L4" i="3"/>
  <c r="M2" i="10"/>
  <c r="M3" i="10"/>
  <c r="M4" i="8"/>
  <c r="M4" i="6"/>
  <c r="D5" i="7"/>
  <c r="C5" i="7"/>
  <c r="F4" i="8"/>
  <c r="I56" i="6"/>
  <c r="K56" i="6"/>
  <c r="L56" i="6"/>
  <c r="I57" i="6"/>
  <c r="I64" i="6"/>
  <c r="K64" i="6"/>
  <c r="L64" i="6"/>
  <c r="F62" i="6"/>
  <c r="K62" i="6"/>
  <c r="L62" i="6"/>
  <c r="F53" i="6"/>
  <c r="K53" i="6"/>
  <c r="L53" i="6"/>
  <c r="I60" i="6"/>
  <c r="K60" i="6"/>
  <c r="L60" i="6"/>
  <c r="F57" i="6"/>
  <c r="F55" i="6"/>
  <c r="K55" i="6"/>
  <c r="L55" i="6"/>
  <c r="L4" i="8"/>
  <c r="M6" i="8"/>
  <c r="L2" i="3"/>
  <c r="E5" i="4"/>
  <c r="D5" i="4"/>
  <c r="L4" i="6"/>
  <c r="M6" i="6"/>
  <c r="F52" i="8"/>
  <c r="I52" i="8"/>
  <c r="F59" i="7"/>
  <c r="F57" i="7"/>
  <c r="K57" i="7"/>
  <c r="L57" i="7"/>
  <c r="F63" i="7"/>
  <c r="F64" i="7"/>
  <c r="I54" i="7"/>
  <c r="K54" i="7"/>
  <c r="L54" i="7"/>
  <c r="I58" i="7"/>
  <c r="K58" i="7"/>
  <c r="L58" i="7"/>
  <c r="I53" i="7"/>
  <c r="K53" i="7"/>
  <c r="L53" i="7"/>
  <c r="F52" i="7"/>
  <c r="K52" i="7"/>
  <c r="L52" i="7"/>
  <c r="I61" i="7"/>
  <c r="K61" i="7"/>
  <c r="L61" i="7"/>
  <c r="I59" i="7"/>
  <c r="I64" i="7"/>
  <c r="M4" i="3"/>
  <c r="C5" i="2"/>
  <c r="D5" i="2"/>
  <c r="L2" i="6"/>
  <c r="B5" i="8"/>
  <c r="D5" i="6"/>
  <c r="C5" i="6"/>
  <c r="E5" i="5"/>
  <c r="F5" i="5"/>
  <c r="F4" i="10"/>
  <c r="M4" i="7"/>
  <c r="N4" i="7"/>
  <c r="L2" i="4"/>
  <c r="L6" i="4"/>
  <c r="M4" i="2"/>
  <c r="M5" i="2"/>
  <c r="L2" i="2"/>
  <c r="N2" i="2"/>
  <c r="L4" i="4"/>
  <c r="N4" i="4"/>
  <c r="F4" i="3"/>
  <c r="F3" i="3"/>
  <c r="M2" i="4"/>
  <c r="F3" i="2"/>
  <c r="M3" i="2"/>
  <c r="D5" i="3"/>
  <c r="F5" i="3"/>
  <c r="D5" i="8"/>
  <c r="F5" i="8"/>
  <c r="F3" i="13"/>
  <c r="F62" i="10"/>
  <c r="K62" i="10"/>
  <c r="L62" i="10"/>
  <c r="F4" i="15"/>
  <c r="F4" i="6"/>
  <c r="F4" i="5"/>
  <c r="L5" i="5"/>
  <c r="F58" i="14"/>
  <c r="M2" i="9"/>
  <c r="I52" i="9"/>
  <c r="K52" i="9"/>
  <c r="L52" i="9"/>
  <c r="F53" i="9"/>
  <c r="F63" i="9"/>
  <c r="L2" i="13"/>
  <c r="N2" i="13"/>
  <c r="F3" i="4"/>
  <c r="I63" i="7"/>
  <c r="F55" i="12"/>
  <c r="F64" i="9"/>
  <c r="F58" i="9"/>
  <c r="K58" i="9"/>
  <c r="L58" i="9"/>
  <c r="L2" i="10"/>
  <c r="N2" i="10"/>
  <c r="F4" i="9"/>
  <c r="M4" i="15"/>
  <c r="M5" i="15"/>
  <c r="I54" i="10"/>
  <c r="I57" i="10"/>
  <c r="F60" i="10"/>
  <c r="F3" i="15"/>
  <c r="K52" i="15"/>
  <c r="L52" i="15"/>
  <c r="D5" i="10"/>
  <c r="F5" i="10"/>
  <c r="F59" i="9"/>
  <c r="I55" i="9"/>
  <c r="F55" i="9"/>
  <c r="I59" i="9"/>
  <c r="I53" i="9"/>
  <c r="K55" i="15"/>
  <c r="L55" i="15"/>
  <c r="I60" i="9"/>
  <c r="M2" i="3"/>
  <c r="C5" i="9"/>
  <c r="F54" i="10"/>
  <c r="F58" i="6"/>
  <c r="K58" i="6"/>
  <c r="L58" i="6"/>
  <c r="K53" i="12"/>
  <c r="L53" i="12"/>
  <c r="L56" i="15"/>
  <c r="K57" i="15"/>
  <c r="L57" i="15"/>
  <c r="L53" i="15"/>
  <c r="K60" i="7"/>
  <c r="L60" i="7"/>
  <c r="M5" i="12"/>
  <c r="K52" i="14"/>
  <c r="L52" i="14"/>
  <c r="K52" i="2"/>
  <c r="L52" i="2"/>
  <c r="K63" i="10"/>
  <c r="L63" i="10"/>
  <c r="N4" i="11"/>
  <c r="K62" i="7"/>
  <c r="L62" i="7"/>
  <c r="L6" i="5"/>
  <c r="K63" i="6"/>
  <c r="L63" i="6"/>
  <c r="L5" i="7"/>
  <c r="K64" i="11"/>
  <c r="L64" i="11"/>
  <c r="L5" i="11"/>
  <c r="K56" i="12"/>
  <c r="L56" i="12"/>
  <c r="K60" i="13"/>
  <c r="L60" i="13"/>
  <c r="M6" i="7"/>
  <c r="K52" i="4"/>
  <c r="L52" i="4"/>
  <c r="L3" i="5"/>
  <c r="K54" i="13"/>
  <c r="L54" i="13"/>
  <c r="K56" i="7"/>
  <c r="L56" i="7"/>
  <c r="M6" i="10"/>
  <c r="K52" i="11"/>
  <c r="L52" i="11"/>
  <c r="K59" i="6"/>
  <c r="L59" i="6"/>
  <c r="K54" i="12"/>
  <c r="L54" i="12"/>
  <c r="K55" i="13"/>
  <c r="L55" i="13"/>
  <c r="K62" i="9"/>
  <c r="L62" i="9"/>
  <c r="N2" i="7"/>
  <c r="K52" i="5"/>
  <c r="L52" i="5"/>
  <c r="K59" i="14"/>
  <c r="L59" i="14"/>
  <c r="N4" i="5"/>
  <c r="K55" i="8"/>
  <c r="L55" i="8"/>
  <c r="F5" i="11"/>
  <c r="K59" i="11"/>
  <c r="L59" i="11"/>
  <c r="L3" i="7"/>
  <c r="K55" i="7"/>
  <c r="L55" i="7"/>
  <c r="K54" i="6"/>
  <c r="L54" i="6"/>
  <c r="F5" i="12"/>
  <c r="K63" i="13"/>
  <c r="L63" i="13"/>
  <c r="K52" i="6"/>
  <c r="L52" i="6"/>
  <c r="K52" i="3"/>
  <c r="L52" i="3"/>
  <c r="K54" i="11"/>
  <c r="L54" i="11"/>
  <c r="K61" i="14"/>
  <c r="L61" i="14"/>
  <c r="K57" i="13"/>
  <c r="L57" i="13"/>
  <c r="M3" i="8"/>
  <c r="M3" i="6"/>
  <c r="M5" i="11"/>
  <c r="K61" i="6"/>
  <c r="L61" i="6"/>
  <c r="K61" i="13"/>
  <c r="L61" i="13"/>
  <c r="M3" i="7"/>
  <c r="M5" i="4"/>
  <c r="K64" i="9"/>
  <c r="L64" i="9"/>
  <c r="F5" i="15"/>
  <c r="M7" i="15"/>
  <c r="K62" i="8"/>
  <c r="L62" i="8"/>
  <c r="K64" i="8"/>
  <c r="L64" i="8"/>
  <c r="K53" i="14"/>
  <c r="L53" i="14"/>
  <c r="K53" i="8"/>
  <c r="L53" i="8"/>
  <c r="F5" i="14"/>
  <c r="K60" i="11"/>
  <c r="L60" i="11"/>
  <c r="L5" i="13"/>
  <c r="K60" i="8"/>
  <c r="L60" i="8"/>
  <c r="K63" i="14"/>
  <c r="L63" i="14"/>
  <c r="K63" i="11"/>
  <c r="L63" i="11"/>
  <c r="K54" i="8"/>
  <c r="L54" i="8"/>
  <c r="N4" i="12"/>
  <c r="L3" i="9"/>
  <c r="N4" i="10"/>
  <c r="M6" i="9"/>
  <c r="F5" i="9"/>
  <c r="K63" i="9"/>
  <c r="L63" i="9"/>
  <c r="K56" i="14"/>
  <c r="L56" i="14"/>
  <c r="L5" i="10"/>
  <c r="K58" i="8"/>
  <c r="L58" i="8"/>
  <c r="K61" i="8"/>
  <c r="L61" i="8"/>
  <c r="N4" i="13"/>
  <c r="L3" i="15"/>
  <c r="L3" i="11"/>
  <c r="F5" i="13"/>
  <c r="M7" i="13"/>
  <c r="K60" i="10"/>
  <c r="L60" i="10"/>
  <c r="L5" i="9"/>
  <c r="N2" i="14"/>
  <c r="K57" i="8"/>
  <c r="L57" i="8"/>
  <c r="L3" i="14"/>
  <c r="L60" i="15"/>
  <c r="M5" i="5"/>
  <c r="M3" i="12"/>
  <c r="K58" i="11"/>
  <c r="L58" i="11"/>
  <c r="M5" i="3"/>
  <c r="L3" i="10"/>
  <c r="K59" i="9"/>
  <c r="L59" i="9"/>
  <c r="K55" i="12"/>
  <c r="L55" i="12"/>
  <c r="F5" i="4"/>
  <c r="M5" i="8"/>
  <c r="K58" i="12"/>
  <c r="L58" i="12"/>
  <c r="K56" i="10"/>
  <c r="L56" i="10"/>
  <c r="K56" i="9"/>
  <c r="L56" i="9"/>
  <c r="K58" i="10"/>
  <c r="L58" i="10"/>
  <c r="L6" i="10"/>
  <c r="L7" i="10"/>
  <c r="K60" i="9"/>
  <c r="L60" i="9"/>
  <c r="K64" i="7"/>
  <c r="L64" i="7"/>
  <c r="K52" i="8"/>
  <c r="L52" i="8"/>
  <c r="L6" i="3"/>
  <c r="L7" i="3"/>
  <c r="K57" i="6"/>
  <c r="L57" i="6"/>
  <c r="F5" i="7"/>
  <c r="M7" i="7"/>
  <c r="K55" i="14"/>
  <c r="L55" i="14"/>
  <c r="K63" i="8"/>
  <c r="L63" i="8"/>
  <c r="L5" i="4"/>
  <c r="L3" i="12"/>
  <c r="M6" i="4"/>
  <c r="N6" i="4"/>
  <c r="L5" i="2"/>
  <c r="M6" i="14"/>
  <c r="F5" i="6"/>
  <c r="M7" i="6"/>
  <c r="K52" i="13"/>
  <c r="L52" i="13"/>
  <c r="K55" i="11"/>
  <c r="L55" i="11"/>
  <c r="K55" i="10"/>
  <c r="L55" i="10"/>
  <c r="L63" i="15"/>
  <c r="K61" i="9"/>
  <c r="L61" i="9"/>
  <c r="M3" i="13"/>
  <c r="L6" i="8"/>
  <c r="N6" i="8"/>
  <c r="M6" i="11"/>
  <c r="M7" i="11"/>
  <c r="N2" i="12"/>
  <c r="N2" i="11"/>
  <c r="N2" i="8"/>
  <c r="L64" i="15"/>
  <c r="N4" i="8"/>
  <c r="N4" i="2"/>
  <c r="M5" i="7"/>
  <c r="L6" i="7"/>
  <c r="N6" i="7"/>
  <c r="K53" i="10"/>
  <c r="L53" i="10"/>
  <c r="F5" i="2"/>
  <c r="M7" i="2"/>
  <c r="K59" i="7"/>
  <c r="L59" i="7"/>
  <c r="K57" i="14"/>
  <c r="L57" i="14"/>
  <c r="M3" i="5"/>
  <c r="L5" i="12"/>
  <c r="M6" i="12"/>
  <c r="N6" i="12"/>
  <c r="N2" i="9"/>
  <c r="M6" i="5"/>
  <c r="M7" i="5"/>
  <c r="L6" i="6"/>
  <c r="N6" i="6"/>
  <c r="K63" i="7"/>
  <c r="L63" i="7"/>
  <c r="L5" i="3"/>
  <c r="M3" i="15"/>
  <c r="M5" i="9"/>
  <c r="M5" i="10"/>
  <c r="M5" i="14"/>
  <c r="N4" i="15"/>
  <c r="K57" i="10"/>
  <c r="L57" i="10"/>
  <c r="K54" i="9"/>
  <c r="L54" i="9"/>
  <c r="L5" i="8"/>
  <c r="N2" i="6"/>
  <c r="L3" i="6"/>
  <c r="K53" i="9"/>
  <c r="L53" i="9"/>
  <c r="K58" i="14"/>
  <c r="L58" i="14"/>
  <c r="N4" i="6"/>
  <c r="L6" i="2"/>
  <c r="N6" i="2"/>
  <c r="L3" i="3"/>
  <c r="M3" i="9"/>
  <c r="N2" i="15"/>
  <c r="L5" i="15"/>
  <c r="N4" i="14"/>
  <c r="K55" i="9"/>
  <c r="L55" i="9"/>
  <c r="L3" i="4"/>
  <c r="M5" i="6"/>
  <c r="L6" i="14"/>
  <c r="L6" i="15"/>
  <c r="N6" i="15"/>
  <c r="M6" i="3"/>
  <c r="L3" i="13"/>
  <c r="N4" i="3"/>
  <c r="L3" i="2"/>
  <c r="N2" i="4"/>
  <c r="L6" i="13"/>
  <c r="N6" i="13"/>
  <c r="L61" i="15"/>
  <c r="M3" i="3"/>
  <c r="L6" i="9"/>
  <c r="M3" i="4"/>
  <c r="N2" i="3"/>
  <c r="L5" i="6"/>
  <c r="K54" i="10"/>
  <c r="L54" i="10"/>
  <c r="M7" i="12"/>
  <c r="M7" i="10"/>
  <c r="L7" i="5"/>
  <c r="L7" i="8"/>
  <c r="M7" i="8"/>
  <c r="L7" i="11"/>
  <c r="L7" i="12"/>
  <c r="N6" i="11"/>
  <c r="N6" i="10"/>
  <c r="L7" i="14"/>
  <c r="M7" i="14"/>
  <c r="M7" i="9"/>
  <c r="N6" i="5"/>
  <c r="N6" i="9"/>
  <c r="N6" i="3"/>
  <c r="M7" i="4"/>
  <c r="L7" i="4"/>
  <c r="L7" i="7"/>
  <c r="L7" i="6"/>
  <c r="L7" i="15"/>
  <c r="N6" i="14"/>
  <c r="L7" i="13"/>
  <c r="L7" i="2"/>
  <c r="M7" i="3"/>
  <c r="L7" i="9"/>
</calcChain>
</file>

<file path=xl/sharedStrings.xml><?xml version="1.0" encoding="utf-8"?>
<sst xmlns="http://schemas.openxmlformats.org/spreadsheetml/2006/main" count="3795" uniqueCount="175">
  <si>
    <t>saison 2019/2020</t>
  </si>
  <si>
    <t>nbre match</t>
  </si>
  <si>
    <t>nbre match D</t>
  </si>
  <si>
    <t>nbre match E</t>
  </si>
  <si>
    <t>nbre vitoire</t>
  </si>
  <si>
    <t>nbre defaite</t>
  </si>
  <si>
    <t>point marquer</t>
  </si>
  <si>
    <t>match dom</t>
  </si>
  <si>
    <t>match ext</t>
  </si>
  <si>
    <t>par match</t>
  </si>
  <si>
    <t xml:space="preserve">match </t>
  </si>
  <si>
    <t>nul</t>
  </si>
  <si>
    <t>match du jour</t>
  </si>
  <si>
    <t>domicile</t>
  </si>
  <si>
    <t>AGEN</t>
  </si>
  <si>
    <t>TOULON</t>
  </si>
  <si>
    <t>club</t>
  </si>
  <si>
    <t>nbr de match</t>
  </si>
  <si>
    <t>victoire D</t>
  </si>
  <si>
    <t>victoire E</t>
  </si>
  <si>
    <t>%</t>
  </si>
  <si>
    <t>defaite D</t>
  </si>
  <si>
    <t>defaite E</t>
  </si>
  <si>
    <t>BAYONNE</t>
  </si>
  <si>
    <t>BORDEAUX</t>
  </si>
  <si>
    <t>BRIVE</t>
  </si>
  <si>
    <t>CLERMONT</t>
  </si>
  <si>
    <t>LA ROCHELLE</t>
  </si>
  <si>
    <t>LYON</t>
  </si>
  <si>
    <t>MONTPELLIER</t>
  </si>
  <si>
    <t>PARIS</t>
  </si>
  <si>
    <t>PAU</t>
  </si>
  <si>
    <t>RACING 92</t>
  </si>
  <si>
    <t>TOULOUSE</t>
  </si>
  <si>
    <t>exertieur</t>
  </si>
  <si>
    <t>nbre nul</t>
  </si>
  <si>
    <t>nbre match T</t>
  </si>
  <si>
    <t>CASTRES</t>
  </si>
  <si>
    <t xml:space="preserve">CASTRES </t>
  </si>
  <si>
    <t>exterieur</t>
  </si>
  <si>
    <t>Brive</t>
  </si>
  <si>
    <t>Agen</t>
  </si>
  <si>
    <t>Bayonne</t>
  </si>
  <si>
    <t>Bordeaux</t>
  </si>
  <si>
    <t>Castres</t>
  </si>
  <si>
    <t>Clermont</t>
  </si>
  <si>
    <t>La Rochelle</t>
  </si>
  <si>
    <t>Lyon</t>
  </si>
  <si>
    <t>Montpellier</t>
  </si>
  <si>
    <t>Paris</t>
  </si>
  <si>
    <t>Pau</t>
  </si>
  <si>
    <t>Racing 92</t>
  </si>
  <si>
    <t>Toulon</t>
  </si>
  <si>
    <t>Toulouse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</si>
  <si>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</si>
  <si>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</si>
  <si>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</si>
  <si>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</si>
  <si>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</si>
  <si>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</si>
  <si>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</si>
  <si>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</si>
  <si>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</si>
  <si>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</si>
  <si>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</si>
  <si>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</si>
  <si>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</si>
  <si>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</si>
  <si>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</si>
  <si>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</si>
  <si>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</si>
  <si>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</si>
  <si>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</si>
  <si>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</si>
  <si>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</si>
  <si>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</si>
  <si>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</si>
  <si>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</si>
  <si>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</si>
  <si>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Journée 9</t>
  </si>
  <si>
    <t>saison 2020/2021</t>
  </si>
  <si>
    <t>journee1</t>
  </si>
  <si>
    <t>journee2</t>
  </si>
  <si>
    <t>journee3</t>
  </si>
  <si>
    <t>journee4</t>
  </si>
  <si>
    <t>journee5</t>
  </si>
  <si>
    <t>journee6</t>
  </si>
  <si>
    <t>journee7</t>
  </si>
  <si>
    <t>journee8</t>
  </si>
  <si>
    <t>journee9</t>
  </si>
  <si>
    <t>journee10</t>
  </si>
  <si>
    <t>journee11</t>
  </si>
  <si>
    <t>journee12</t>
  </si>
  <si>
    <t>journee13</t>
  </si>
  <si>
    <t>journee14</t>
  </si>
  <si>
    <t>journee15</t>
  </si>
  <si>
    <t>journee16</t>
  </si>
  <si>
    <t>journee17</t>
  </si>
  <si>
    <t>journee18</t>
  </si>
  <si>
    <t>journee19</t>
  </si>
  <si>
    <t>journee20</t>
  </si>
  <si>
    <t>journee21</t>
  </si>
  <si>
    <t>journee22</t>
  </si>
  <si>
    <t>journee23</t>
  </si>
  <si>
    <t>journee24</t>
  </si>
  <si>
    <t>journee25</t>
  </si>
  <si>
    <t>journee26</t>
  </si>
  <si>
    <t>Exterieur</t>
  </si>
  <si>
    <t>Domicile</t>
  </si>
  <si>
    <t>Match</t>
  </si>
  <si>
    <t>Score D</t>
  </si>
  <si>
    <t>Score E</t>
  </si>
  <si>
    <t>Match 1</t>
  </si>
  <si>
    <t>Match 2</t>
  </si>
  <si>
    <t>Match 3</t>
  </si>
  <si>
    <t>Match 4</t>
  </si>
  <si>
    <t>Match 5</t>
  </si>
  <si>
    <t>Match 6</t>
  </si>
  <si>
    <t>Match 7</t>
  </si>
  <si>
    <t>Score Match</t>
  </si>
  <si>
    <t>journée</t>
  </si>
  <si>
    <t>adversaire</t>
  </si>
  <si>
    <t>Lieu Match</t>
  </si>
  <si>
    <t>Issue match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</si>
  <si>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</si>
  <si>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</si>
  <si>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</si>
  <si>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</si>
  <si>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</si>
  <si>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</si>
  <si>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</si>
  <si>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</si>
  <si>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</si>
  <si>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</si>
  <si>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</si>
  <si>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</si>
  <si>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</si>
  <si>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</si>
  <si>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</si>
  <si>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</si>
  <si>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</si>
  <si>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</si>
  <si>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</si>
  <si>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</si>
  <si>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</si>
  <si>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</si>
  <si>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</si>
  <si>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</si>
  <si>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</si>
  <si>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</si>
  <si>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victoire</t>
  </si>
  <si>
    <t xml:space="preserve">nul </t>
  </si>
  <si>
    <t>defaite</t>
  </si>
  <si>
    <t>Journée</t>
  </si>
  <si>
    <t>Issue</t>
  </si>
  <si>
    <t>Extérieur</t>
  </si>
  <si>
    <t>Total</t>
  </si>
  <si>
    <t>Points</t>
  </si>
  <si>
    <t>Ecart points</t>
  </si>
  <si>
    <t>B off D</t>
  </si>
  <si>
    <t>B off E</t>
  </si>
  <si>
    <t>B déf D</t>
  </si>
  <si>
    <t>B déf E</t>
  </si>
  <si>
    <t>Bonus déf</t>
  </si>
  <si>
    <t>Bonus off</t>
  </si>
  <si>
    <t xml:space="preserve">Toulouse </t>
  </si>
  <si>
    <t>2020/2021</t>
  </si>
  <si>
    <t>% victoire</t>
  </si>
  <si>
    <t>% defaite</t>
  </si>
  <si>
    <t>% nul</t>
  </si>
  <si>
    <t>% total</t>
  </si>
  <si>
    <t>2021/2022</t>
  </si>
  <si>
    <t>2022/2023</t>
  </si>
  <si>
    <t>2023/2024</t>
  </si>
  <si>
    <t>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</si>
</sst>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020202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39997558519241921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-0.249977111117893"/>
        <bgColor theme="4" tint="0.79998168889431442"/>
      </patternFill>
    </fill>
    <fill>
      <patternFill patternType="solid">
        <fgColor theme="5" tint="-0.49998474074526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0"/>
      </bottom>
      <diagonal/>
    </border>
    <border>
      <left style="thin">
        <color auto="1"/>
      </left>
      <right style="thin">
        <color auto="1"/>
      </right>
      <top/>
      <bottom style="medium">
        <color theme="0"/>
      </bottom>
      <diagonal/>
    </border>
  </borders>
  <cellStyleXfs count="109">
    <xf numFmtId="0" fontId="0" fillId="0" borderId="0"/>
    <xf numFmtId="0" fontId="1" fillId="4" borderId="0" applyNumberFormat="0" applyBorder="0" applyAlignment="0" applyProtection="0"/>
    <xf numFmtId="0" fontId="2" fillId="1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32">
    <xf numFmtId="0" fontId="0" fillId="0" borderId="0" xfId="0"/>
    <xf numFmtId="0" fontId="0" fillId="0" borderId="0" xfId="0"/>
    <xf numFmtId="0" fontId="0" fillId="3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0" fontId="0" fillId="9" borderId="1" xfId="0" applyNumberForma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49" fontId="1" fillId="7" borderId="2" xfId="1" applyNumberFormat="1" applyFont="1" applyFill="1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0" fontId="0" fillId="13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/>
    <xf numFmtId="1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49" fontId="1" fillId="7" borderId="7" xfId="1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14" borderId="1" xfId="0" applyFont="1" applyFill="1" applyBorder="1" applyAlignment="1">
      <alignment horizontal="center" vertical="center"/>
    </xf>
    <xf numFmtId="1" fontId="3" fillId="15" borderId="1" xfId="2" applyNumberFormat="1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0" fillId="15" borderId="11" xfId="0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11" borderId="1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1" fontId="10" fillId="5" borderId="1" xfId="2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0" fontId="0" fillId="3" borderId="0" xfId="0" applyNumberForma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/>
    </xf>
    <xf numFmtId="1" fontId="3" fillId="15" borderId="8" xfId="2" applyNumberFormat="1" applyFont="1" applyFill="1" applyBorder="1" applyAlignment="1">
      <alignment horizontal="center" vertical="center"/>
    </xf>
    <xf numFmtId="1" fontId="10" fillId="5" borderId="8" xfId="2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7" borderId="0" xfId="0" applyFont="1" applyFill="1"/>
    <xf numFmtId="1" fontId="0" fillId="0" borderId="0" xfId="0" applyNumberFormat="1" applyBorder="1" applyAlignment="1">
      <alignment horizontal="center" vertical="center"/>
    </xf>
    <xf numFmtId="0" fontId="0" fillId="18" borderId="14" xfId="0" applyFont="1" applyFill="1" applyBorder="1" applyAlignment="1">
      <alignment horizontal="center" vertical="center"/>
    </xf>
    <xf numFmtId="10" fontId="0" fillId="18" borderId="14" xfId="0" applyNumberFormat="1" applyFont="1" applyFill="1" applyBorder="1" applyAlignment="1">
      <alignment horizontal="center" vertical="center"/>
    </xf>
    <xf numFmtId="0" fontId="0" fillId="18" borderId="14" xfId="0" applyNumberFormat="1" applyFont="1" applyFill="1" applyBorder="1" applyAlignment="1">
      <alignment horizontal="center" vertical="center"/>
    </xf>
    <xf numFmtId="10" fontId="0" fillId="20" borderId="14" xfId="0" applyNumberFormat="1" applyFont="1" applyFill="1" applyBorder="1" applyAlignment="1">
      <alignment horizontal="center" vertical="center"/>
    </xf>
    <xf numFmtId="10" fontId="0" fillId="21" borderId="14" xfId="0" applyNumberFormat="1" applyFont="1" applyFill="1" applyBorder="1" applyAlignment="1">
      <alignment horizontal="center" vertical="center"/>
    </xf>
    <xf numFmtId="0" fontId="12" fillId="22" borderId="14" xfId="0" applyFont="1" applyFill="1" applyBorder="1" applyAlignment="1">
      <alignment horizontal="center" vertical="center"/>
    </xf>
    <xf numFmtId="0" fontId="0" fillId="21" borderId="14" xfId="0" applyFont="1" applyFill="1" applyBorder="1" applyAlignment="1">
      <alignment horizontal="center" vertical="center"/>
    </xf>
    <xf numFmtId="0" fontId="0" fillId="23" borderId="14" xfId="0" applyFont="1" applyFill="1" applyBorder="1" applyAlignment="1">
      <alignment horizontal="center" vertical="center"/>
    </xf>
    <xf numFmtId="0" fontId="11" fillId="24" borderId="3" xfId="0" applyFont="1" applyFill="1" applyBorder="1" applyAlignment="1">
      <alignment horizontal="center" vertical="center"/>
    </xf>
    <xf numFmtId="0" fontId="11" fillId="24" borderId="16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/>
    </xf>
    <xf numFmtId="10" fontId="13" fillId="19" borderId="15" xfId="0" applyNumberFormat="1" applyFont="1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0" fontId="0" fillId="16" borderId="0" xfId="0" applyFill="1"/>
    <xf numFmtId="0" fontId="8" fillId="27" borderId="1" xfId="0" applyFont="1" applyFill="1" applyBorder="1" applyAlignment="1">
      <alignment horizontal="center" vertical="center"/>
    </xf>
    <xf numFmtId="0" fontId="11" fillId="27" borderId="18" xfId="0" applyFont="1" applyFill="1" applyBorder="1" applyAlignment="1">
      <alignment horizontal="center" vertical="center"/>
    </xf>
    <xf numFmtId="0" fontId="8" fillId="27" borderId="8" xfId="0" applyFont="1" applyFill="1" applyBorder="1" applyAlignment="1">
      <alignment horizontal="center" vertical="center"/>
    </xf>
    <xf numFmtId="0" fontId="11" fillId="28" borderId="18" xfId="0" applyFont="1" applyFill="1" applyBorder="1" applyAlignment="1">
      <alignment horizontal="center" vertical="center"/>
    </xf>
    <xf numFmtId="0" fontId="11" fillId="28" borderId="19" xfId="0" applyFont="1" applyFill="1" applyBorder="1" applyAlignment="1">
      <alignment horizontal="center" vertical="center"/>
    </xf>
    <xf numFmtId="1" fontId="3" fillId="28" borderId="1" xfId="2" applyNumberFormat="1" applyFont="1" applyFill="1" applyBorder="1" applyAlignment="1">
      <alignment horizontal="center" vertical="center"/>
    </xf>
    <xf numFmtId="1" fontId="3" fillId="28" borderId="8" xfId="2" applyNumberFormat="1" applyFont="1" applyFill="1" applyBorder="1" applyAlignment="1">
      <alignment horizontal="center" vertical="center"/>
    </xf>
    <xf numFmtId="0" fontId="11" fillId="27" borderId="19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5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12" fillId="22" borderId="1" xfId="0" applyFont="1" applyFill="1" applyBorder="1" applyAlignment="1">
      <alignment horizontal="center" vertical="center"/>
    </xf>
    <xf numFmtId="0" fontId="0" fillId="21" borderId="1" xfId="0" applyFont="1" applyFill="1" applyBorder="1" applyAlignment="1">
      <alignment horizontal="center" vertical="center"/>
    </xf>
    <xf numFmtId="10" fontId="0" fillId="21" borderId="1" xfId="0" applyNumberFormat="1" applyFont="1" applyFill="1" applyBorder="1" applyAlignment="1">
      <alignment horizontal="center" vertical="center"/>
    </xf>
    <xf numFmtId="0" fontId="0" fillId="18" borderId="1" xfId="0" applyFont="1" applyFill="1" applyBorder="1" applyAlignment="1">
      <alignment horizontal="center" vertical="center"/>
    </xf>
    <xf numFmtId="0" fontId="0" fillId="18" borderId="1" xfId="0" applyNumberFormat="1" applyFont="1" applyFill="1" applyBorder="1" applyAlignment="1">
      <alignment horizontal="center" vertical="center"/>
    </xf>
    <xf numFmtId="10" fontId="0" fillId="18" borderId="1" xfId="0" applyNumberFormat="1" applyFont="1" applyFill="1" applyBorder="1" applyAlignment="1">
      <alignment horizontal="center" vertical="center"/>
    </xf>
    <xf numFmtId="0" fontId="0" fillId="23" borderId="1" xfId="0" applyFont="1" applyFill="1" applyBorder="1" applyAlignment="1">
      <alignment horizontal="center" vertical="center"/>
    </xf>
    <xf numFmtId="10" fontId="0" fillId="20" borderId="1" xfId="0" applyNumberFormat="1" applyFont="1" applyFill="1" applyBorder="1" applyAlignment="1">
      <alignment horizontal="center" vertical="center"/>
    </xf>
    <xf numFmtId="10" fontId="13" fillId="19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1" xfId="0" quotePrefix="1" applyBorder="1"/>
    <xf numFmtId="164" fontId="0" fillId="0" borderId="0" xfId="0" applyNumberFormat="1" applyAlignment="1">
      <alignment horizontal="center" vertical="center"/>
    </xf>
  </cellXfs>
  <cellStyles count="109">
    <cellStyle name="20 % - Accent1" xfId="2" builtinId="30"/>
    <cellStyle name="Accent4" xfId="1" builtinId="41"/>
    <cellStyle name="Lien hypertexte" xfId="19" builtinId="8" hidden="1"/>
    <cellStyle name="Lien hypertexte" xfId="3" builtinId="8" hidden="1"/>
    <cellStyle name="Lien hypertexte" xfId="73" builtinId="8" hidden="1"/>
    <cellStyle name="Lien hypertexte" xfId="21" builtinId="8" hidden="1"/>
    <cellStyle name="Lien hypertexte" xfId="15" builtinId="8" hidden="1"/>
    <cellStyle name="Lien hypertexte" xfId="57" builtinId="8" hidden="1"/>
    <cellStyle name="Lien hypertexte" xfId="41" builtinId="8" hidden="1"/>
    <cellStyle name="Lien hypertexte" xfId="31" builtinId="8" hidden="1"/>
    <cellStyle name="Lien hypertexte" xfId="13" builtinId="8" hidden="1"/>
    <cellStyle name="Lien hypertexte" xfId="29" builtinId="8" hidden="1"/>
    <cellStyle name="Lien hypertexte" xfId="51" builtinId="8" hidden="1"/>
    <cellStyle name="Lien hypertexte" xfId="59" builtinId="8" hidden="1"/>
    <cellStyle name="Lien hypertexte" xfId="69" builtinId="8" hidden="1"/>
    <cellStyle name="Lien hypertexte" xfId="25" builtinId="8" hidden="1"/>
    <cellStyle name="Lien hypertexte" xfId="63" builtinId="8" hidden="1"/>
    <cellStyle name="Lien hypertexte" xfId="49" builtinId="8" hidden="1"/>
    <cellStyle name="Lien hypertexte" xfId="23" builtinId="8" hidden="1"/>
    <cellStyle name="Lien hypertexte" xfId="61" builtinId="8" hidden="1"/>
    <cellStyle name="Lien hypertexte" xfId="39" builtinId="8" hidden="1"/>
    <cellStyle name="Lien hypertexte" xfId="33" builtinId="8" hidden="1"/>
    <cellStyle name="Lien hypertexte" xfId="7" builtinId="8" hidden="1"/>
    <cellStyle name="Lien hypertexte" xfId="47" builtinId="8" hidden="1"/>
    <cellStyle name="Lien hypertexte" xfId="17" builtinId="8" hidden="1"/>
    <cellStyle name="Lien hypertexte" xfId="27" builtinId="8" hidden="1"/>
    <cellStyle name="Lien hypertexte" xfId="43" builtinId="8" hidden="1"/>
    <cellStyle name="Lien hypertexte" xfId="71" builtinId="8" hidden="1"/>
    <cellStyle name="Lien hypertexte" xfId="5" builtinId="8" hidden="1"/>
    <cellStyle name="Lien hypertexte" xfId="9" builtinId="8" hidden="1"/>
    <cellStyle name="Lien hypertexte" xfId="11" builtinId="8" hidden="1"/>
    <cellStyle name="Lien hypertexte" xfId="75" builtinId="8" hidden="1"/>
    <cellStyle name="Lien hypertexte" xfId="65" builtinId="8" hidden="1"/>
    <cellStyle name="Lien hypertexte" xfId="77" builtinId="8" hidden="1"/>
    <cellStyle name="Lien hypertexte" xfId="37" builtinId="8" hidden="1"/>
    <cellStyle name="Lien hypertexte" xfId="67" builtinId="8" hidden="1"/>
    <cellStyle name="Lien hypertexte" xfId="53" builtinId="8" hidden="1"/>
    <cellStyle name="Lien hypertexte" xfId="35" builtinId="8" hidden="1"/>
    <cellStyle name="Lien hypertexte" xfId="45" builtinId="8" hidden="1"/>
    <cellStyle name="Lien hypertexte" xfId="55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 visité" xfId="26" builtinId="9" hidden="1"/>
    <cellStyle name="Lien hypertexte visité" xfId="34" builtinId="9" hidden="1"/>
    <cellStyle name="Lien hypertexte visité" xfId="8" builtinId="9" hidden="1"/>
    <cellStyle name="Lien hypertexte visité" xfId="58" builtinId="9" hidden="1"/>
    <cellStyle name="Lien hypertexte visité" xfId="22" builtinId="9" hidden="1"/>
    <cellStyle name="Lien hypertexte visité" xfId="78" builtinId="9" hidden="1"/>
    <cellStyle name="Lien hypertexte visité" xfId="28" builtinId="9" hidden="1"/>
    <cellStyle name="Lien hypertexte visité" xfId="54" builtinId="9" hidden="1"/>
    <cellStyle name="Lien hypertexte visité" xfId="50" builtinId="9" hidden="1"/>
    <cellStyle name="Lien hypertexte visité" xfId="52" builtinId="9" hidden="1"/>
    <cellStyle name="Lien hypertexte visité" xfId="30" builtinId="9" hidden="1"/>
    <cellStyle name="Lien hypertexte visité" xfId="20" builtinId="9" hidden="1"/>
    <cellStyle name="Lien hypertexte visité" xfId="4" builtinId="9" hidden="1"/>
    <cellStyle name="Lien hypertexte visité" xfId="70" builtinId="9" hidden="1"/>
    <cellStyle name="Lien hypertexte visité" xfId="60" builtinId="9" hidden="1"/>
    <cellStyle name="Lien hypertexte visité" xfId="36" builtinId="9" hidden="1"/>
    <cellStyle name="Lien hypertexte visité" xfId="16" builtinId="9" hidden="1"/>
    <cellStyle name="Lien hypertexte visité" xfId="76" builtinId="9" hidden="1"/>
    <cellStyle name="Lien hypertexte visité" xfId="68" builtinId="9" hidden="1"/>
    <cellStyle name="Lien hypertexte visité" xfId="66" builtinId="9" hidden="1"/>
    <cellStyle name="Lien hypertexte visité" xfId="18" builtinId="9" hidden="1"/>
    <cellStyle name="Lien hypertexte visité" xfId="12" builtinId="9" hidden="1"/>
    <cellStyle name="Lien hypertexte visité" xfId="10" builtinId="9" hidden="1"/>
    <cellStyle name="Lien hypertexte visité" xfId="32" builtinId="9" hidden="1"/>
    <cellStyle name="Lien hypertexte visité" xfId="40" builtinId="9" hidden="1"/>
    <cellStyle name="Lien hypertexte visité" xfId="14" builtinId="9" hidden="1"/>
    <cellStyle name="Lien hypertexte visité" xfId="42" builtinId="9" hidden="1"/>
    <cellStyle name="Lien hypertexte visité" xfId="44" builtinId="9" hidden="1"/>
    <cellStyle name="Lien hypertexte visité" xfId="62" builtinId="9" hidden="1"/>
    <cellStyle name="Lien hypertexte visité" xfId="56" builtinId="9" hidden="1"/>
    <cellStyle name="Lien hypertexte visité" xfId="48" builtinId="9" hidden="1"/>
    <cellStyle name="Lien hypertexte visité" xfId="38" builtinId="9" hidden="1"/>
    <cellStyle name="Lien hypertexte visité" xfId="64" builtinId="9" hidden="1"/>
    <cellStyle name="Lien hypertexte visité" xfId="24" builtinId="9" hidden="1"/>
    <cellStyle name="Lien hypertexte visité" xfId="72" builtinId="9" hidden="1"/>
    <cellStyle name="Lien hypertexte visité" xfId="6" builtinId="9" hidden="1"/>
    <cellStyle name="Lien hypertexte visité" xfId="46" builtinId="9" hidden="1"/>
    <cellStyle name="Lien hypertexte visité" xfId="74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Normal" xfId="0" builtinId="0"/>
  </cellStyles>
  <dxfs count="268"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" formatCode="0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64" formatCode="General;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</border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medium">
          <color theme="0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9"/>
      </font>
      <numFmt numFmtId="1" formatCode="0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00B0F0"/>
        </patternFill>
      </fill>
    </dxf>
  </dxfs>
  <tableStyles count="1" defaultTableStyle="TableStyleMedium2" defaultPivotStyle="PivotStyleLight16">
    <tableStyle name="Style de tableau 1" pivot="0" count="1">
      <tableStyleElement type="lastColumn" dxfId="267"/>
    </tableStyle>
  </tableStyles>
  <colors>
    <mruColors>
      <color rgb="FF0202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haredStrings" Target="sharedStrings.xml"/><Relationship Id="rId21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ables/table1.xml><?xml version="1.0" encoding="utf-8"?>
<table xmlns="http://schemas.openxmlformats.org/spreadsheetml/2006/main" id="5" name="agen" displayName="agen" ref="A7:I33" insertRowShift="1" totalsRowShown="0" headerRowDxfId="266" dataDxfId="265" tableBorderDxfId="264">
  <tableColumns count="9">
    <tableColumn id="1" name="journée" dataDxfId="263"/>
    <tableColumn id="2" name="adversaire" dataDxfId="262">
      <calculatedColumnFormula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calculatedColumnFormula>
    </tableColumn>
    <tableColumn id="3" name="Lieu Match" dataDxfId="261" dataCellStyle="20 % - Accent1">
      <calculatedColumnFormula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calculatedColumnFormula>
    </tableColumn>
    <tableColumn id="4" name="Issue match" dataDxfId="260" dataCellStyle="20 % - Accent1">
      <calculatedColumnFormula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calculatedColumnFormula>
    </tableColumn>
    <tableColumn id="5" name="Score D" dataDxfId="259">
      <calculatedColumnFormula>SUMIFS(resultat[Score D],resultat[Journée],agen[[#This Row],[journée]],resultat[Domicile],agen[[#This Row],[adversaire]]) + SUMIFS(resultat[Score D],resultat[Journée],agen[[#This Row],[journée]],resultat[Exterieur],agen[[#This Row],[adversaire]])</calculatedColumnFormula>
    </tableColumn>
    <tableColumn id="6" name="Score E" dataDxfId="258">
      <calculatedColumnFormula>SUMIFS(resultat[Score E],resultat[Journée],agen[[#This Row],[journée]],resultat[Domicile],agen[[#This Row],[adversaire]])  + SUMIFS(resultat[Score E],resultat[Journée],agen[[#This Row],[journée]],resultat[Exterieur],agen[[#This Row],[adversaire]])</calculatedColumnFormula>
    </tableColumn>
    <tableColumn id="7" name="Bonus off" dataDxfId="257"/>
    <tableColumn id="8" name="Bonus déf" dataDxfId="256"/>
    <tableColumn id="9" name="Points" dataDxfId="255">
      <calculatedColumnFormula>(agen[[#This Row],[Issue match]]="Victoire")*4 + (agen[[#This Row],[Issue match]]="Nul")*2 + agen[[#This Row],[Bonus off]] + agen[[#This Row],[Bonus déf]]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19" name="bayonne" displayName="bayonne" ref="A7:I33" insertRowShift="1" totalsRowShown="0" headerRowDxfId="254" dataDxfId="253" tableBorderDxfId="252">
  <tableColumns count="9">
    <tableColumn id="1" name="journée" dataDxfId="251"/>
    <tableColumn id="2" name="adversaire" dataDxfId="250">
      <calculatedColumnFormula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calculatedColumnFormula>
    </tableColumn>
    <tableColumn id="3" name="Lieu Match" dataDxfId="249">
      <calculatedColumnFormula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calculatedColumnFormula>
    </tableColumn>
    <tableColumn id="4" name="Issue match" dataDxfId="248">
      <calculatedColumnFormula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calculatedColumnFormula>
    </tableColumn>
    <tableColumn id="5" name="Score D" dataDxfId="247">
      <calculatedColumnFormula>SUMIFS(resultat[Score D],resultat[Journée],bayonne[[#This Row],[journée]],resultat[Domicile],bayonne[[#This Row],[adversaire]]) + SUMIFS(resultat[Score D],resultat[Journée],bayonne[[#This Row],[journée]],resultat[Exterieur],bayonne[[#This Row],[adversaire]])</calculatedColumnFormula>
    </tableColumn>
    <tableColumn id="6" name="Score E" dataDxfId="246">
      <calculatedColumnFormula>SUMIFS(resultat[Score E],resultat[Journée],bayonne[[#This Row],[journée]],resultat[Domicile],bayonne[[#This Row],[adversaire]])  + SUMIFS(resultat[Score E],resultat[Journée],bayonne[[#This Row],[journée]],resultat[Exterieur],bayonne[[#This Row],[adversaire]])</calculatedColumnFormula>
    </tableColumn>
    <tableColumn id="7" name="Bonus off" dataDxfId="245"/>
    <tableColumn id="8" name="Bonus déf" dataDxfId="244"/>
    <tableColumn id="9" name="Points" dataDxfId="243">
      <calculatedColumnFormula>(bayonne[[#This Row],[Issue match]]="Victoire")*4 + (bayonne[[#This Row],[Issue match]]="Nul")*2 + bayonne[[#This Row],[Bonus off]] + bayonne[[#This Row],[Bonus déf]]</calculatedColumnFormula>
    </tableColumn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id="22" name="bordeaux" displayName="bordeaux" ref="A7:I33" insertRowShift="1" totalsRowShown="0" headerRowDxfId="242" dataDxfId="241" tableBorderDxfId="240">
  <tableColumns count="9">
    <tableColumn id="1" name="journée" dataDxfId="239"/>
    <tableColumn id="2" name="adversaire" dataDxfId="238">
      <calculatedColumnFormula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calculatedColumnFormula>
    </tableColumn>
    <tableColumn id="3" name="Lieu Match" dataDxfId="237">
      <calculatedColumnFormula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calculatedColumnFormula>
    </tableColumn>
    <tableColumn id="4" name="Issue match" dataDxfId="236">
      <calculatedColumnFormula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calculatedColumnFormula>
    </tableColumn>
    <tableColumn id="5" name="Score D" dataDxfId="235">
      <calculatedColumnFormula>SUMIFS(resultat[Score D],resultat[Journée],bordeaux[[#This Row],[journée]],resultat[Domicile],bordeaux[[#This Row],[adversaire]]) + SUMIFS(resultat[Score D],resultat[Journée],bordeaux[[#This Row],[journée]],resultat[Exterieur],bordeaux[[#This Row],[adversaire]])</calculatedColumnFormula>
    </tableColumn>
    <tableColumn id="6" name="Score E" dataDxfId="234">
      <calculatedColumnFormula>SUMIFS(resultat[Score E],resultat[Journée],bordeaux[[#This Row],[journée]],resultat[Domicile],bordeaux[[#This Row],[adversaire]])  + SUMIFS(resultat[Score E],resultat[Journée],bordeaux[[#This Row],[journée]],resultat[Exterieur],bordeaux[[#This Row],[adversaire]])</calculatedColumnFormula>
    </tableColumn>
    <tableColumn id="7" name="Bonus off" dataDxfId="233"/>
    <tableColumn id="8" name="Bonus déf" dataDxfId="232"/>
    <tableColumn id="9" name="Points" dataDxfId="231">
      <calculatedColumnFormula>(bordeaux[[#This Row],[Issue match]]="Victoire")*4 + (bordeaux[[#This Row],[Issue match]]="Nul")*2 + bordeaux[[#This Row],[Bonus off]] + bordeaux[[#This Row],[Bonus déf]]</calculatedColumnFormula>
    </tableColumn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id="24" name="brive" displayName="brive" ref="A7:I33" insertRowShift="1" totalsRowShown="0" headerRowDxfId="230" dataDxfId="229" tableBorderDxfId="228">
  <tableColumns count="9">
    <tableColumn id="1" name="journée" dataDxfId="227"/>
    <tableColumn id="2" name="adversaire" dataDxfId="226">
      <calculatedColumnFormula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calculatedColumnFormula>
    </tableColumn>
    <tableColumn id="3" name="Lieu Match" dataDxfId="225">
      <calculatedColumnFormula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calculatedColumnFormula>
    </tableColumn>
    <tableColumn id="4" name="Issue match" dataDxfId="224">
      <calculatedColumnFormula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calculatedColumnFormula>
    </tableColumn>
    <tableColumn id="5" name="Score D" dataDxfId="223">
      <calculatedColumnFormula>SUMIFS(resultat[Score D],resultat[Journée],brive[[#This Row],[journée]],resultat[Domicile],brive[[#This Row],[adversaire]]) + SUMIFS(resultat[Score D],resultat[Journée],brive[[#This Row],[journée]],resultat[Exterieur],brive[[#This Row],[adversaire]])</calculatedColumnFormula>
    </tableColumn>
    <tableColumn id="6" name="Score E" dataDxfId="222">
      <calculatedColumnFormula>SUMIFS(resultat[Score E],resultat[Journée],brive[[#This Row],[journée]],resultat[Domicile],brive[[#This Row],[adversaire]])  + SUMIFS(resultat[Score E],resultat[Journée],brive[[#This Row],[journée]],resultat[Exterieur],brive[[#This Row],[adversaire]])</calculatedColumnFormula>
    </tableColumn>
    <tableColumn id="7" name="Bonus off" dataDxfId="221"/>
    <tableColumn id="8" name="Bonus déf" dataDxfId="220"/>
    <tableColumn id="9" name="Points" dataDxfId="219">
      <calculatedColumnFormula>(brive[[#This Row],[Issue match]]="Victoire")*4 + (brive[[#This Row],[Issue match]]="Nul")*2 + brive[[#This Row],[Bonus off]] + brive[[#This Row],[Bonus déf]]</calculatedColumnFormula>
    </tableColumn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id="25" name="castres" displayName="castres" ref="A7:I33" insertRowShift="1" totalsRowShown="0" headerRowDxfId="218" dataDxfId="217" tableBorderDxfId="216">
  <tableColumns count="9">
    <tableColumn id="1" name="journée" dataDxfId="215"/>
    <tableColumn id="2" name="adversaire" dataDxfId="214">
      <calculatedColumnFormula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calculatedColumnFormula>
    </tableColumn>
    <tableColumn id="3" name="Lieu Match" dataDxfId="213">
      <calculatedColumnFormula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calculatedColumnFormula>
    </tableColumn>
    <tableColumn id="4" name="Issue match" dataDxfId="212">
      <calculatedColumnFormula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calculatedColumnFormula>
    </tableColumn>
    <tableColumn id="5" name="Score D" dataDxfId="211">
      <calculatedColumnFormula>SUMIFS(resultat[Score D],resultat[Journée],castres[[#This Row],[journée]],resultat[Domicile],castres[[#This Row],[adversaire]]) + SUMIFS(resultat[Score D],resultat[Journée],castres[[#This Row],[journée]],resultat[Exterieur],castres[[#This Row],[adversaire]])</calculatedColumnFormula>
    </tableColumn>
    <tableColumn id="6" name="Score E" dataDxfId="210">
      <calculatedColumnFormula>SUMIFS(resultat[Score E],resultat[Journée],castres[[#This Row],[journée]],resultat[Domicile],castres[[#This Row],[adversaire]])  + SUMIFS(resultat[Score E],resultat[Journée],castres[[#This Row],[journée]],resultat[Exterieur],castres[[#This Row],[adversaire]])</calculatedColumnFormula>
    </tableColumn>
    <tableColumn id="7" name="Bonus off" dataDxfId="209"/>
    <tableColumn id="8" name="Bonus déf" dataDxfId="208"/>
    <tableColumn id="9" name="Points" dataDxfId="207">
      <calculatedColumnFormula>(castres[[#This Row],[Issue match]]="Victoire")*4 + (castres[[#This Row],[Issue match]]="Nul")*2 + castres[[#This Row],[Bonus off]] + castres[[#This Row],[Bonus déf]]</calculatedColumnFormula>
    </tableColumn>
  </tableColumns>
  <tableStyleInfo name="TableStyleDark6" showFirstColumn="0" showLastColumn="0" showRowStripes="1" showColumnStripes="0"/>
</table>
</file>

<file path=xl/tables/table6.xml><?xml version="1.0" encoding="utf-8"?>
<table xmlns="http://schemas.openxmlformats.org/spreadsheetml/2006/main" id="26" name="clermont" displayName="clermont" ref="A7:I33" insertRowShift="1" totalsRowShown="0" headerRowDxfId="206" dataDxfId="205" tableBorderDxfId="204">
  <tableColumns count="9">
    <tableColumn id="1" name="journée" dataDxfId="203"/>
    <tableColumn id="2" name="adversaire" dataDxfId="202">
      <calculatedColumnFormula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calculatedColumnFormula>
    </tableColumn>
    <tableColumn id="3" name="Lieu Match" dataDxfId="201">
      <calculatedColumnFormula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calculatedColumnFormula>
    </tableColumn>
    <tableColumn id="4" name="Issue match" dataDxfId="200">
      <calculatedColumnFormula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calculatedColumnFormula>
    </tableColumn>
    <tableColumn id="5" name="Score D" dataDxfId="199">
      <calculatedColumnFormula>SUMIFS(resultat[Score D],resultat[Journée],clermont[[#This Row],[journée]],resultat[Domicile],clermont[[#This Row],[adversaire]]) + SUMIFS(resultat[Score D],resultat[Journée],clermont[[#This Row],[journée]],resultat[Exterieur],clermont[[#This Row],[adversaire]])</calculatedColumnFormula>
    </tableColumn>
    <tableColumn id="6" name="Score E" dataDxfId="198">
      <calculatedColumnFormula>SUMIFS(resultat[Score E],resultat[Journée],clermont[[#This Row],[journée]],resultat[Domicile],clermont[[#This Row],[adversaire]])  + SUMIFS(resultat[Score E],resultat[Journée],clermont[[#This Row],[journée]],resultat[Exterieur],clermont[[#This Row],[adversaire]])</calculatedColumnFormula>
    </tableColumn>
    <tableColumn id="7" name="Bonus off" dataDxfId="197"/>
    <tableColumn id="8" name="Bonus déf" dataDxfId="196"/>
    <tableColumn id="9" name="Points" dataDxfId="195">
      <calculatedColumnFormula>(clermont[[#This Row],[Issue match]]="Victoire")*4 + (clermont[[#This Row],[Issue match]]="Nul")*2 + clermont[[#This Row],[Bonus off]] + clermont[[#This Row],[Bonus déf]]</calculatedColumnFormula>
    </tableColumn>
  </tableColumns>
  <tableStyleInfo name="TableStyleDark6" showFirstColumn="0" showLastColumn="0" showRowStripes="1" showColumnStripes="0"/>
</table>
</file>

<file path=xl/tables/table7.xml><?xml version="1.0" encoding="utf-8"?>
<table xmlns="http://schemas.openxmlformats.org/spreadsheetml/2006/main" id="28" name="larochelle" displayName="larochelle" ref="A7:I33" insertRowShift="1" totalsRowShown="0" headerRowDxfId="194" dataDxfId="193" tableBorderDxfId="192">
  <tableColumns count="9">
    <tableColumn id="1" name="journée" dataDxfId="191"/>
    <tableColumn id="2" name="adversaire" dataDxfId="190">
      <calculatedColumnFormula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calculatedColumnFormula>
    </tableColumn>
    <tableColumn id="3" name="Lieu Match" dataDxfId="189">
      <calculatedColumnFormula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calculatedColumnFormula>
    </tableColumn>
    <tableColumn id="4" name="Issue match" dataDxfId="188">
      <calculatedColumnFormula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calculatedColumnFormula>
    </tableColumn>
    <tableColumn id="5" name="Score D" dataDxfId="187">
      <calculatedColumnFormula>SUMIFS(resultat[Score D],resultat[Journée],larochelle[[#This Row],[journée]],resultat[Domicile],larochelle[[#This Row],[adversaire]]) + SUMIFS(resultat[Score D],resultat[Journée],larochelle[[#This Row],[journée]],resultat[Exterieur],larochelle[[#This Row],[adversaire]])</calculatedColumnFormula>
    </tableColumn>
    <tableColumn id="6" name="Score E" dataDxfId="186">
      <calculatedColumnFormula>SUMIFS(resultat[Score E],resultat[Journée],larochelle[[#This Row],[journée]],resultat[Domicile],larochelle[[#This Row],[adversaire]])  + SUMIFS(resultat[Score E],resultat[Journée],larochelle[[#This Row],[journée]],resultat[Exterieur],larochelle[[#This Row],[adversaire]])</calculatedColumnFormula>
    </tableColumn>
    <tableColumn id="7" name="Bonus off" dataDxfId="185"/>
    <tableColumn id="8" name="Bonus déf" dataDxfId="184"/>
    <tableColumn id="9" name="Points" dataDxfId="183">
      <calculatedColumnFormula>(larochelle[[#This Row],[Issue match]]="Victoire")*4 + (larochelle[[#This Row],[Issue match]]="Nul")*2 + larochelle[[#This Row],[Bonus off]] + larochelle[[#This Row],[Bonus déf]]</calculatedColumnFormula>
    </tableColumn>
  </tableColumns>
  <tableStyleInfo name="TableStyleDark6" showFirstColumn="0" showLastColumn="0" showRowStripes="1" showColumnStripes="0"/>
</table>
</file>

<file path=xl/tables/table8.xml><?xml version="1.0" encoding="utf-8"?>
<table xmlns="http://schemas.openxmlformats.org/spreadsheetml/2006/main" id="29" name="lyon" displayName="lyon" ref="A7:I33" insertRowShift="1" totalsRowShown="0" headerRowDxfId="182" dataDxfId="181" tableBorderDxfId="180">
  <tableColumns count="9">
    <tableColumn id="1" name="journée" dataDxfId="179"/>
    <tableColumn id="2" name="adversaire" dataDxfId="178">
      <calculatedColumnFormula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calculatedColumnFormula>
    </tableColumn>
    <tableColumn id="3" name="Lieu Match" dataDxfId="177">
      <calculatedColumnFormula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calculatedColumnFormula>
    </tableColumn>
    <tableColumn id="4" name="Issue match" dataDxfId="176">
      <calculatedColumnFormula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calculatedColumnFormula>
    </tableColumn>
    <tableColumn id="5" name="Score D" dataDxfId="175">
      <calculatedColumnFormula>SUMIFS(resultat[Score D],resultat[Journée],lyon[[#This Row],[journée]],resultat[Domicile],lyon[[#This Row],[adversaire]]) + SUMIFS(resultat[Score D],resultat[Journée],lyon[[#This Row],[journée]],resultat[Exterieur],lyon[[#This Row],[adversaire]])</calculatedColumnFormula>
    </tableColumn>
    <tableColumn id="6" name="Score E" dataDxfId="174">
      <calculatedColumnFormula>SUMIFS(resultat[Score E],resultat[Journée],lyon[[#This Row],[journée]],resultat[Domicile],lyon[[#This Row],[adversaire]])  + SUMIFS(resultat[Score E],resultat[Journée],lyon[[#This Row],[journée]],resultat[Exterieur],lyon[[#This Row],[adversaire]])</calculatedColumnFormula>
    </tableColumn>
    <tableColumn id="7" name="Bonus off" dataDxfId="173"/>
    <tableColumn id="8" name="Bonus déf" dataDxfId="172"/>
    <tableColumn id="9" name="Points" dataDxfId="171">
      <calculatedColumnFormula>(lyon[[#This Row],[Issue match]]="Victoire")*4 + (lyon[[#This Row],[Issue match]]="Nul")*2 + lyon[[#This Row],[Bonus off]] + lyon[[#This Row],[Bonus déf]]</calculatedColumnFormula>
    </tableColumn>
  </tableColumns>
  <tableStyleInfo name="TableStyleDark6" showFirstColumn="0" showLastColumn="0" showRowStripes="1" showColumnStripes="0"/>
</table>
</file>

<file path=xl/tables/table9.xml><?xml version="1.0" encoding="utf-8"?>
<table xmlns="http://schemas.openxmlformats.org/spreadsheetml/2006/main" id="30" name="montpellier" displayName="montpellier" ref="A7:I33" insertRowShift="1" totalsRowShown="0" headerRowDxfId="170" dataDxfId="169" tableBorderDxfId="168">
  <tableColumns count="9">
    <tableColumn id="1" name="journée" dataDxfId="167"/>
    <tableColumn id="2" name="adversaire" dataDxfId="166">
      <calculatedColumnFormula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calculatedColumnFormula>
    </tableColumn>
    <tableColumn id="3" name="Lieu Match" dataDxfId="165">
      <calculatedColumnFormula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calculatedColumnFormula>
    </tableColumn>
    <tableColumn id="4" name="Issue match" dataDxfId="164">
      <calculatedColumnFormula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calculatedColumnFormula>
    </tableColumn>
    <tableColumn id="5" name="Score D" dataDxfId="163">
      <calculatedColumnFormula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calculatedColumnFormula>
    </tableColumn>
    <tableColumn id="6" name="Score E" dataDxfId="162">
      <calculatedColumnFormula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calculatedColumnFormula>
    </tableColumn>
    <tableColumn id="7" name="Bonus off" dataDxfId="161"/>
    <tableColumn id="8" name="Bonus déf" dataDxfId="160"/>
    <tableColumn id="9" name="Points" dataDxfId="159">
      <calculatedColumnFormula>(montpellier[[#This Row],[Issue match]]="Victoire")*4 + (montpellier[[#This Row],[Issue match]]="Nul")*2 + montpellier[[#This Row],[Bonus off]] + montpellier[[#This Row],[Bonus déf]]</calculatedColumnFormula>
    </tableColumn>
  </tableColumns>
  <tableStyleInfo name="TableStyleDark6" showFirstColumn="0" showLastColumn="0" showRowStripes="1" showColumnStripes="0"/>
</table>
</file>

<file path=xl/tables/table10.xml><?xml version="1.0" encoding="utf-8"?>
<table xmlns="http://schemas.openxmlformats.org/spreadsheetml/2006/main" id="31" name="paris" displayName="paris" ref="A7:I33" insertRowShift="1" totalsRowShown="0" headerRowDxfId="158" dataDxfId="157" tableBorderDxfId="156">
  <tableColumns count="9">
    <tableColumn id="1" name="journée" dataDxfId="155"/>
    <tableColumn id="2" name="adversaire" dataDxfId="154">
      <calculatedColumnFormula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calculatedColumnFormula>
    </tableColumn>
    <tableColumn id="3" name="Lieu Match" dataDxfId="153">
      <calculatedColumnFormula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calculatedColumnFormula>
    </tableColumn>
    <tableColumn id="4" name="Issue match" dataDxfId="152">
      <calculatedColumnFormula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calculatedColumnFormula>
    </tableColumn>
    <tableColumn id="5" name="Score D" dataDxfId="151">
      <calculatedColumnFormula>SUMIFS(resultat[Score D],resultat[Journée],paris[[#This Row],[journée]],resultat[Domicile],paris[[#This Row],[adversaire]]) + SUMIFS(resultat[Score D],resultat[Journée],paris[[#This Row],[journée]],resultat[Exterieur],paris[[#This Row],[adversaire]])</calculatedColumnFormula>
    </tableColumn>
    <tableColumn id="6" name="Score E" dataDxfId="150">
      <calculatedColumnFormula>SUMIFS(resultat[Score E],resultat[Journée],paris[[#This Row],[journée]],resultat[Domicile],paris[[#This Row],[adversaire]])  + SUMIFS(resultat[Score E],resultat[Journée],paris[[#This Row],[journée]],resultat[Exterieur],paris[[#This Row],[adversaire]])</calculatedColumnFormula>
    </tableColumn>
    <tableColumn id="7" name="Bonus off" dataDxfId="149"/>
    <tableColumn id="8" name="Bonus déf" dataDxfId="148"/>
    <tableColumn id="9" name="Points" dataDxfId="147">
      <calculatedColumnFormula>(paris[[#This Row],[Issue match]]="Victoire")*4 + (paris[[#This Row],[Issue match]]="Nul")*2 + paris[[#This Row],[Bonus off]] + paris[[#This Row],[Bonus déf]]</calculatedColumnFormula>
    </tableColumn>
  </tableColumns>
  <tableStyleInfo name="TableStyleDark6" showFirstColumn="0" showLastColumn="0" showRowStripes="1" showColumnStripes="0"/>
</table>
</file>

<file path=xl/tables/table11.xml><?xml version="1.0" encoding="utf-8"?>
<table xmlns="http://schemas.openxmlformats.org/spreadsheetml/2006/main" id="33" name="Pau" displayName="Pau" ref="A7:I33" insertRowShift="1" totalsRowShown="0" headerRowDxfId="146" dataDxfId="145" tableBorderDxfId="144">
  <tableColumns count="9">
    <tableColumn id="1" name="journée" dataDxfId="143"/>
    <tableColumn id="2" name="adversaire" dataDxfId="142">
      <calculatedColumnFormula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calculatedColumnFormula>
    </tableColumn>
    <tableColumn id="3" name="Lieu Match" dataDxfId="141">
      <calculatedColumnFormula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calculatedColumnFormula>
    </tableColumn>
    <tableColumn id="4" name="Issue match" dataDxfId="140">
      <calculatedColumnFormula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calculatedColumnFormula>
    </tableColumn>
    <tableColumn id="5" name="Score D" dataDxfId="139">
      <calculatedColumnFormula>SUMIFS(resultat[Score D],resultat[Journée],Pau[[#This Row],[journée]],resultat[Domicile],Pau[[#This Row],[adversaire]]) + SUMIFS(resultat[Score D],resultat[Journée],Pau[[#This Row],[journée]],resultat[Exterieur],Pau[[#This Row],[adversaire]])</calculatedColumnFormula>
    </tableColumn>
    <tableColumn id="6" name="Score E" dataDxfId="138">
      <calculatedColumnFormula>SUMIFS(resultat[Score E],resultat[Journée],Pau[[#This Row],[journée]],resultat[Domicile],Pau[[#This Row],[adversaire]])  + SUMIFS(resultat[Score E],resultat[Journée],Pau[[#This Row],[journée]],resultat[Exterieur],Pau[[#This Row],[adversaire]])</calculatedColumnFormula>
    </tableColumn>
    <tableColumn id="7" name="Bonus off" dataDxfId="137"/>
    <tableColumn id="8" name="Bonus déf" dataDxfId="136"/>
    <tableColumn id="9" name="Points" dataDxfId="135">
      <calculatedColumnFormula>(Pau[[#This Row],[Issue match]]="Victoire")*4 + (Pau[[#This Row],[Issue match]]="Nul")*2 + Pau[[#This Row],[Bonus off]] + Pau[[#This Row],[Bonus déf]]</calculatedColumnFormula>
    </tableColumn>
  </tableColumns>
  <tableStyleInfo name="TableStyleDark6" showFirstColumn="0" showLastColumn="0" showRowStripes="1" showColumnStripes="0"/>
</table>
</file>

<file path=xl/tables/table12.xml><?xml version="1.0" encoding="utf-8"?>
<table xmlns="http://schemas.openxmlformats.org/spreadsheetml/2006/main" id="34" name="racing" displayName="racing" ref="A7:I33" insertRowShift="1" totalsRowShown="0" headerRowDxfId="134" dataDxfId="133" tableBorderDxfId="132">
  <tableColumns count="9">
    <tableColumn id="1" name="journée" dataDxfId="131"/>
    <tableColumn id="2" name="adversaire" dataDxfId="2">
      <calculatedColumnFormula>SUBSTITUTE(INDEX(resultat[Domicile]&amp;resultat[Exterieur],SUMPRODUCT(MATCH(1,(resultat[Journée]=racing[[#This Row],[journée]])*((resultat[Domicile]=Equipe)+(resultat[Exterieur]=Equipe)),0))),Equipe,"")</calculatedColumnFormula>
    </tableColumn>
    <tableColumn id="3" name="Lieu Match" dataDxfId="1">
      <calculatedColumnFormula>IF(SUMPRODUCT((resultat[Journée]=racing[[#This Row],[journée]])*(resultat[Domicile]=Equipe)),"Domicile","Extérieur")</calculatedColumnFormula>
    </tableColumn>
    <tableColumn id="4" name="Issue match" dataDxfId="0">
      <calculatedColumnFormula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calculatedColumnFormula>
    </tableColumn>
    <tableColumn id="5" name="Score D" dataDxfId="130">
      <calculatedColumnFormula>SUMIFS(resultat[Score D],resultat[Journée],racing[[#This Row],[journée]],resultat[Domicile],racing[[#This Row],[adversaire]]) + SUMIFS(resultat[Score D],resultat[Journée],racing[[#This Row],[journée]],resultat[Exterieur],racing[[#This Row],[adversaire]])</calculatedColumnFormula>
    </tableColumn>
    <tableColumn id="6" name="Score E" dataDxfId="129">
      <calculatedColumnFormula>SUMIFS(resultat[Score E],resultat[Journée],racing[[#This Row],[journée]],resultat[Domicile],racing[[#This Row],[adversaire]])  + SUMIFS(resultat[Score E],resultat[Journée],racing[[#This Row],[journée]],resultat[Exterieur],racing[[#This Row],[adversaire]])</calculatedColumnFormula>
    </tableColumn>
    <tableColumn id="7" name="Bonus off" dataDxfId="128"/>
    <tableColumn id="8" name="Bonus déf" dataDxfId="127"/>
    <tableColumn id="9" name="Points" dataDxfId="126">
      <calculatedColumnFormula>(racing[[#This Row],[Issue match]]="Victoire")*4 + (racing[[#This Row],[Issue match]]="Nul")*2 + racing[[#This Row],[Bonus off]] + racing[[#This Row],[Bonus déf]]</calculatedColumnFormula>
    </tableColumn>
  </tableColumns>
  <tableStyleInfo name="TableStyleDark6" showFirstColumn="0" showLastColumn="0" showRowStripes="1" showColumnStripes="0"/>
</table>
</file>

<file path=xl/tables/table13.xml><?xml version="1.0" encoding="utf-8"?>
<table xmlns="http://schemas.openxmlformats.org/spreadsheetml/2006/main" id="35" name="toulon" displayName="toulon" ref="A7:I33" insertRowShift="1" totalsRowShown="0" headerRowDxfId="125" dataDxfId="124" tableBorderDxfId="123">
  <tableColumns count="9">
    <tableColumn id="1" name="journée" dataDxfId="122"/>
    <tableColumn id="2" name="adversaire" dataDxfId="121">
      <calculatedColumnFormula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calculatedColumnFormula>
    </tableColumn>
    <tableColumn id="3" name="Lieu Match" dataDxfId="120">
      <calculatedColumnFormula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calculatedColumnFormula>
    </tableColumn>
    <tableColumn id="4" name="Issue match" dataDxfId="119">
      <calculatedColumnFormula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calculatedColumnFormula>
    </tableColumn>
    <tableColumn id="5" name="Score D" dataDxfId="118">
      <calculatedColumnFormula>SUMIFS(resultat[Score D],resultat[Journée],toulon[[#This Row],[journée]],resultat[Domicile],toulon[[#This Row],[adversaire]]) + SUMIFS(resultat[Score D],resultat[Journée],toulon[[#This Row],[journée]],resultat[Exterieur],toulon[[#This Row],[adversaire]])</calculatedColumnFormula>
    </tableColumn>
    <tableColumn id="6" name="Score E" dataDxfId="117">
      <calculatedColumnFormula>SUMIFS(resultat[Score E],resultat[Journée],toulon[[#This Row],[journée]],resultat[Domicile],toulon[[#This Row],[adversaire]])  + SUMIFS(resultat[Score E],resultat[Journée],toulon[[#This Row],[journée]],resultat[Exterieur],toulon[[#This Row],[adversaire]])</calculatedColumnFormula>
    </tableColumn>
    <tableColumn id="7" name="Bonus off" dataDxfId="116"/>
    <tableColumn id="8" name="Bonus déf" dataDxfId="115"/>
    <tableColumn id="9" name="Points" dataDxfId="114">
      <calculatedColumnFormula>(toulon[[#This Row],[Issue match]]="Victoire")*4 + (toulon[[#This Row],[Issue match]]="Nul")*2 + toulon[[#This Row],[Bonus off]] + toulon[[#This Row],[Bonus déf]]</calculatedColumnFormula>
    </tableColumn>
  </tableColumns>
  <tableStyleInfo name="TableStyleDark6" showFirstColumn="0" showLastColumn="0" showRowStripes="1" showColumnStripes="0"/>
</table>
</file>

<file path=xl/tables/table14.xml><?xml version="1.0" encoding="utf-8"?>
<table xmlns="http://schemas.openxmlformats.org/spreadsheetml/2006/main" id="37" name="toulouse" displayName="toulouse" ref="A7:I33" insertRowShift="1" totalsRowShown="0" headerRowDxfId="113" dataDxfId="112" tableBorderDxfId="111">
  <tableColumns count="9">
    <tableColumn id="1" name="journée" dataDxfId="110"/>
    <tableColumn id="2" name="adversaire" dataDxfId="109">
      <calculatedColumnFormula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calculatedColumnFormula>
    </tableColumn>
    <tableColumn id="3" name="Lieu Match" dataDxfId="108">
      <calculatedColumnFormula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calculatedColumnFormula>
    </tableColumn>
    <tableColumn id="4" name="Issue match" dataDxfId="107">
      <calculatedColumnFormula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calculatedColumnFormula>
    </tableColumn>
    <tableColumn id="5" name="Score D" dataDxfId="106">
      <calculatedColumnFormula>SUMIFS(resultat[Score D],resultat[Journée],toulouse[[#This Row],[journée]],resultat[Domicile],toulouse[[#This Row],[adversaire]]) + SUMIFS(resultat[Score D],resultat[Journée],toulouse[[#This Row],[journée]],resultat[Exterieur],toulouse[[#This Row],[adversaire]])</calculatedColumnFormula>
    </tableColumn>
    <tableColumn id="6" name="Score E" dataDxfId="105">
      <calculatedColumnFormula>SUMIFS(resultat[Score E],resultat[Journée],toulouse[[#This Row],[journée]],resultat[Domicile],toulouse[[#This Row],[adversaire]])  + SUMIFS(resultat[Score E],resultat[Journée],toulouse[[#This Row],[journée]],resultat[Exterieur],toulouse[[#This Row],[adversaire]])</calculatedColumnFormula>
    </tableColumn>
    <tableColumn id="7" name="Bonus off" dataDxfId="104"/>
    <tableColumn id="8" name="Bonus déf" dataDxfId="103"/>
    <tableColumn id="9" name="Points" dataDxfId="102">
      <calculatedColumnFormula>(toulouse[[#This Row],[Issue match]]="Victoire")*4 + (toulouse[[#This Row],[Issue match]]="Nul")*2 + toulouse[[#This Row],[Bonus off]] + toulouse[[#This Row],[Bonus déf]]</calculatedColumnFormula>
    </tableColumn>
  </tableColumns>
  <tableStyleInfo name="TableStyleDark6" showFirstColumn="0" showLastColumn="0" showRowStripes="1" showColumnStripes="0"/>
</table>
</file>

<file path=xl/tables/table15.xml><?xml version="1.0" encoding="utf-8"?>
<table xmlns="http://schemas.openxmlformats.org/spreadsheetml/2006/main" id="2" name="resultat" displayName="resultat" ref="A1:M183" insertRowShift="1" totalsRowShown="0" headerRowDxfId="101" dataDxfId="100">
  <autoFilter ref="A1:M183"/>
  <tableColumns count="13">
    <tableColumn id="1" name="Journée" dataDxfId="99"/>
    <tableColumn id="2" name="Match" dataDxfId="98"/>
    <tableColumn id="3" name="Domicile" dataDxfId="97"/>
    <tableColumn id="4" name="Score D" dataDxfId="96"/>
    <tableColumn id="5" name="Score E" dataDxfId="95"/>
    <tableColumn id="6" name="Exterieur" dataDxfId="94"/>
    <tableColumn id="7" name="Score Match" dataDxfId="93"/>
    <tableColumn id="8" name="Issue" dataDxfId="4">
      <calculatedColumnFormula>IF(resultat[[#This Row],[Score Match]]="","",IF(resultat[[#This Row],[Score E]]&gt;resultat[[#This Row],[Score D]],resultat[[#This Row],[Exterieur]],IF(resultat[[#This Row],[Score D]]&gt;resultat[[#This Row],[Score E]],resultat[[#This Row],[Domicile]],"Nul")))</calculatedColumnFormula>
    </tableColumn>
    <tableColumn id="13" name="Ecart points" dataDxfId="3">
      <calculatedColumnFormula>ABS(resultat[[#This Row],[Score D]]-resultat[[#This Row],[Score E]])</calculatedColumnFormula>
    </tableColumn>
    <tableColumn id="9" name="B off D" dataDxfId="92"/>
    <tableColumn id="10" name="B off E" dataDxfId="91"/>
    <tableColumn id="11" name="B déf D" dataDxfId="90"/>
    <tableColumn id="12" name="B déf E" dataDxfId="8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8" name="Agen1" displayName="Agen1" ref="A3:C141" totalsRowShown="0" headerRowBorderDxfId="88" tableBorderDxfId="87" totalsRowBorderDxfId="86">
  <autoFilter ref="A3:C141"/>
  <tableColumns count="3">
    <tableColumn id="1" name="adversaire" dataDxfId="85"/>
    <tableColumn id="2" name="Lieu Match" dataDxfId="84" dataCellStyle="20 % - Accent1"/>
    <tableColumn id="3" name="Issue match" dataDxfId="83" dataCellStyle="20 % - Accent1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9" name="Bayonne1" displayName="Bayonne1" ref="D3:F141" totalsRowShown="0" headerRowBorderDxfId="82" tableBorderDxfId="81" totalsRowBorderDxfId="80">
  <autoFilter ref="D3:F141"/>
  <tableColumns count="3">
    <tableColumn id="1" name="adversaire" dataDxfId="79" dataCellStyle="20 % - Accent1"/>
    <tableColumn id="2" name="Lieu Match" dataDxfId="78" dataCellStyle="20 % - Accent1"/>
    <tableColumn id="3" name="Issue match" dataDxfId="77" dataCellStyle="20 % - Accent1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0" name="Bordeaux1" displayName="Bordeaux1" ref="G3:I141" totalsRowShown="0" headerRowBorderDxfId="76" tableBorderDxfId="75" totalsRowBorderDxfId="74">
  <autoFilter ref="G3:I141"/>
  <tableColumns count="3">
    <tableColumn id="1" name="adversaire" dataDxfId="73" dataCellStyle="20 % - Accent1"/>
    <tableColumn id="2" name="Lieu Match" dataDxfId="72" dataCellStyle="20 % - Accent1"/>
    <tableColumn id="3" name="Issue match" dataDxfId="71" dataCellStyle="20 % - Accent1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1" name="Brive1" displayName="Brive1" ref="J3:L141" totalsRowShown="0" headerRowBorderDxfId="70" tableBorderDxfId="69" totalsRowBorderDxfId="68">
  <autoFilter ref="J3:L141"/>
  <tableColumns count="3">
    <tableColumn id="1" name="adversaire" dataDxfId="67" dataCellStyle="20 % - Accent1"/>
    <tableColumn id="2" name="Lieu Match" dataDxfId="66" dataCellStyle="20 % - Accent1"/>
    <tableColumn id="3" name="Issue match" dataDxfId="65" dataCellStyle="20 % - Accent1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12" name="Castres1" displayName="Castres1" ref="M3:O141" totalsRowShown="0" headerRowBorderDxfId="64" tableBorderDxfId="63" totalsRowBorderDxfId="62">
  <autoFilter ref="M3:O141"/>
  <tableColumns count="3">
    <tableColumn id="1" name="adversaire" dataDxfId="61" dataCellStyle="20 % - Accent1"/>
    <tableColumn id="2" name="Lieu Match" dataDxfId="60" dataCellStyle="20 % - Accent1"/>
    <tableColumn id="3" name="Issue match" dataDxfId="59" dataCellStyle="20 % - Accent1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13" name="Clermont1" displayName="Clermont1" ref="P3:R141" totalsRowShown="0" headerRowBorderDxfId="58" tableBorderDxfId="57" totalsRowBorderDxfId="56">
  <autoFilter ref="P3:R141"/>
  <tableColumns count="3">
    <tableColumn id="1" name="adversaire" dataDxfId="55"/>
    <tableColumn id="2" name="Lieu Match" dataDxfId="54" dataCellStyle="20 % - Accent1"/>
    <tableColumn id="3" name="Issue match" dataDxfId="53" dataCellStyle="20 % - Accent1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14" name="LaRochelle1" displayName="LaRochelle1" ref="S3:U141" totalsRowShown="0" headerRowBorderDxfId="52" tableBorderDxfId="51" totalsRowBorderDxfId="50">
  <autoFilter ref="S3:U141"/>
  <tableColumns count="3">
    <tableColumn id="1" name="adversaire" dataDxfId="49"/>
    <tableColumn id="2" name="Lieu Match" dataDxfId="48" dataCellStyle="20 % - Accent1"/>
    <tableColumn id="3" name="Issue match" dataDxfId="47" dataCellStyle="20 % - Accent1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15" name="Lyon1" displayName="Lyon1" ref="V3:X141" totalsRowShown="0" headerRowBorderDxfId="46" tableBorderDxfId="45" totalsRowBorderDxfId="44">
  <autoFilter ref="V3:X141"/>
  <tableColumns count="3">
    <tableColumn id="1" name="adversaire" dataDxfId="43"/>
    <tableColumn id="2" name="Lieu Match" dataDxfId="42" dataCellStyle="20 % - Accent1"/>
    <tableColumn id="3" name="Issue match" dataDxfId="41" dataCellStyle="20 % - Accent1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16" name="Montpellier1" displayName="Montpellier1" ref="Y3:AA141" totalsRowShown="0" headerRowBorderDxfId="40" tableBorderDxfId="39" totalsRowBorderDxfId="38">
  <autoFilter ref="Y3:AA141"/>
  <tableColumns count="3">
    <tableColumn id="1" name="adversaire" dataDxfId="37"/>
    <tableColumn id="2" name="Lieu Match" dataDxfId="36" dataCellStyle="20 % - Accent1"/>
    <tableColumn id="3" name="Issue match" dataDxfId="35" dataCellStyle="20 % - Accent1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17" name="Paris1" displayName="Paris1" ref="AB3:AD141" totalsRowShown="0" headerRowBorderDxfId="34" tableBorderDxfId="33" totalsRowBorderDxfId="32">
  <autoFilter ref="AB3:AD141"/>
  <tableColumns count="3">
    <tableColumn id="1" name="adversaire" dataDxfId="31"/>
    <tableColumn id="2" name="Lieu Match" dataDxfId="30" dataCellStyle="20 % - Accent1"/>
    <tableColumn id="3" name="Issue match" dataDxfId="29" dataCellStyle="20 % - Accent1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18" name="SPau1" displayName="SPau1" ref="AE3:AG141" totalsRowShown="0" headerRowBorderDxfId="28" tableBorderDxfId="27" totalsRowBorderDxfId="26">
  <autoFilter ref="AE3:AG141"/>
  <tableColumns count="3">
    <tableColumn id="1" name="adversaire" dataDxfId="25"/>
    <tableColumn id="2" name="Lieu Match" dataDxfId="24" dataCellStyle="20 % - Accent1"/>
    <tableColumn id="3" name="Issue match" dataDxfId="23" dataCellStyle="20 % - Accent1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20" name="Racing921" displayName="Racing921" ref="AH3:AJ141" totalsRowShown="0" headerRowBorderDxfId="22" tableBorderDxfId="21" totalsRowBorderDxfId="20">
  <autoFilter ref="AH3:AJ141"/>
  <tableColumns count="3">
    <tableColumn id="1" name="adversaire" dataDxfId="19"/>
    <tableColumn id="2" name="Lieu Match" dataDxfId="18" dataCellStyle="20 % - Accent1"/>
    <tableColumn id="3" name="Issue match" dataDxfId="17" dataCellStyle="20 % - Accent1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21" name="Toulon1" displayName="Toulon1" ref="AK3:AM141" totalsRowShown="0" headerRowBorderDxfId="16" tableBorderDxfId="15" totalsRowBorderDxfId="14">
  <autoFilter ref="AK3:AM141"/>
  <tableColumns count="3">
    <tableColumn id="1" name="adversaire" dataDxfId="13"/>
    <tableColumn id="2" name="Lieu Match" dataDxfId="12" dataCellStyle="20 % - Accent1"/>
    <tableColumn id="3" name="Issue match" dataDxfId="11" dataCellStyle="20 % - Accent1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23" name="Toulouse1" displayName="Toulouse1" ref="AN3:AP141" totalsRowShown="0" headerRowBorderDxfId="10" tableBorderDxfId="9" totalsRowBorderDxfId="8">
  <autoFilter ref="AN3:AP141"/>
  <tableColumns count="3">
    <tableColumn id="1" name="adversaire" dataDxfId="7"/>
    <tableColumn id="2" name="Lieu Match" dataDxfId="6" dataCellStyle="20 % - Accent1"/>
    <tableColumn id="3" name="Issue match" dataDxfId="5" dataCellStyle="20 % - Accent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1" Type="http://schemas.openxmlformats.org/officeDocument/2006/relationships/table" Target="../tables/table26.xml"/><Relationship Id="rId12" Type="http://schemas.openxmlformats.org/officeDocument/2006/relationships/table" Target="../tables/table27.xml"/><Relationship Id="rId13" Type="http://schemas.openxmlformats.org/officeDocument/2006/relationships/table" Target="../tables/table28.xml"/><Relationship Id="rId14" Type="http://schemas.openxmlformats.org/officeDocument/2006/relationships/table" Target="../tables/table29.xml"/><Relationship Id="rId1" Type="http://schemas.openxmlformats.org/officeDocument/2006/relationships/table" Target="../tables/table16.xml"/><Relationship Id="rId2" Type="http://schemas.openxmlformats.org/officeDocument/2006/relationships/table" Target="../tables/table17.xml"/><Relationship Id="rId3" Type="http://schemas.openxmlformats.org/officeDocument/2006/relationships/table" Target="../tables/table18.xml"/><Relationship Id="rId4" Type="http://schemas.openxmlformats.org/officeDocument/2006/relationships/table" Target="../tables/table19.xml"/><Relationship Id="rId5" Type="http://schemas.openxmlformats.org/officeDocument/2006/relationships/table" Target="../tables/table20.xml"/><Relationship Id="rId6" Type="http://schemas.openxmlformats.org/officeDocument/2006/relationships/table" Target="../tables/table21.xml"/><Relationship Id="rId7" Type="http://schemas.openxmlformats.org/officeDocument/2006/relationships/table" Target="../tables/table22.xml"/><Relationship Id="rId8" Type="http://schemas.openxmlformats.org/officeDocument/2006/relationships/table" Target="../tables/table23.xml"/><Relationship Id="rId9" Type="http://schemas.openxmlformats.org/officeDocument/2006/relationships/table" Target="../tables/table24.xml"/><Relationship Id="rId10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U64"/>
  <sheetViews>
    <sheetView zoomScale="85" zoomScaleNormal="85" zoomScalePageLayoutView="85" workbookViewId="0">
      <selection activeCell="H14" sqref="H14"/>
    </sheetView>
  </sheetViews>
  <sheetFormatPr baseColWidth="10" defaultColWidth="10.5" defaultRowHeight="14" x14ac:dyDescent="0"/>
  <cols>
    <col min="1" max="1" width="13.33203125" bestFit="1" customWidth="1"/>
    <col min="2" max="2" width="15.33203125" bestFit="1" customWidth="1"/>
    <col min="3" max="3" width="13.1640625" bestFit="1" customWidth="1"/>
    <col min="4" max="5" width="12.5" bestFit="1" customWidth="1"/>
    <col min="6" max="6" width="13" customWidth="1"/>
    <col min="7" max="7" width="13.5" bestFit="1" customWidth="1"/>
    <col min="8" max="8" width="12.1640625" bestFit="1" customWidth="1"/>
    <col min="9" max="9" width="10.6640625" customWidth="1"/>
    <col min="10" max="10" width="11.6640625" customWidth="1"/>
    <col min="11" max="11" width="14.33203125" bestFit="1" customWidth="1"/>
    <col min="12" max="12" width="11.6640625" customWidth="1"/>
    <col min="13" max="13" width="12.1640625" bestFit="1" customWidth="1"/>
    <col min="16" max="16" width="14.33203125" bestFit="1" customWidth="1"/>
    <col min="17" max="17" width="12.1640625" bestFit="1" customWidth="1"/>
  </cols>
  <sheetData>
    <row r="1" spans="1:21">
      <c r="A1" s="121" t="s">
        <v>41</v>
      </c>
      <c r="B1" s="122" t="s">
        <v>80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P1" s="10" t="s">
        <v>6</v>
      </c>
      <c r="Q1" s="118" t="s">
        <v>0</v>
      </c>
      <c r="R1" s="120"/>
      <c r="S1" s="119"/>
    </row>
    <row r="2" spans="1:21">
      <c r="A2" s="121"/>
      <c r="B2" s="24" t="s">
        <v>1</v>
      </c>
      <c r="C2" s="24" t="s">
        <v>4</v>
      </c>
      <c r="D2" s="24" t="s">
        <v>35</v>
      </c>
      <c r="E2" s="24" t="s">
        <v>5</v>
      </c>
      <c r="F2" s="17"/>
      <c r="G2" s="4" t="s">
        <v>13</v>
      </c>
      <c r="H2" s="5" t="s">
        <v>34</v>
      </c>
      <c r="K2" s="10" t="s">
        <v>7</v>
      </c>
      <c r="L2" s="32">
        <f ca="1">SUMIFS(agen[Score D],agen[Lieu Match],"domicile")</f>
        <v>40</v>
      </c>
      <c r="M2" s="64">
        <f ca="1">SUMIFS(agen[Score E],agen[Lieu Match],"domicile")</f>
        <v>72</v>
      </c>
      <c r="N2" s="32">
        <f ca="1">L2-M2</f>
        <v>-32</v>
      </c>
      <c r="P2" s="10" t="s">
        <v>7</v>
      </c>
      <c r="Q2" s="13">
        <v>158</v>
      </c>
      <c r="R2" s="32">
        <v>164</v>
      </c>
      <c r="S2" s="32">
        <v>-6</v>
      </c>
    </row>
    <row r="3" spans="1:21">
      <c r="A3" s="10" t="s">
        <v>2</v>
      </c>
      <c r="B3" s="15">
        <f ca="1">COUNTIF(agen[Lieu Match],"domicile")</f>
        <v>13</v>
      </c>
      <c r="C3" s="24">
        <f ca="1">COUNTIFS(agen[Issue match],"victoire",agen[Lieu Match],"domicile")</f>
        <v>0</v>
      </c>
      <c r="D3" s="61">
        <f ca="1">COUNTIFS(agen[Issue match],"nul",agen[Lieu Match],"domicile")</f>
        <v>0</v>
      </c>
      <c r="E3" s="61">
        <f ca="1">COUNTIFS(agen[Issue match],"défaite",agen[Lieu Match],"domicile")</f>
        <v>13</v>
      </c>
      <c r="F3" s="77">
        <f ca="1">C3+E3+D3-D3</f>
        <v>13</v>
      </c>
      <c r="G3" s="6" t="s">
        <v>41</v>
      </c>
      <c r="H3" s="7" t="s">
        <v>42</v>
      </c>
      <c r="K3" s="10" t="s">
        <v>9</v>
      </c>
      <c r="L3" s="18">
        <f ca="1">L2/F3</f>
        <v>3.0769230769230771</v>
      </c>
      <c r="M3" s="18">
        <f ca="1">M2/F3</f>
        <v>5.5384615384615383</v>
      </c>
      <c r="N3" s="13"/>
      <c r="P3" s="10" t="s">
        <v>9</v>
      </c>
      <c r="Q3" s="18">
        <v>17.555555555555557</v>
      </c>
      <c r="R3" s="18">
        <v>18.222222222222221</v>
      </c>
      <c r="S3" s="13"/>
    </row>
    <row r="4" spans="1:21">
      <c r="A4" s="10" t="s">
        <v>3</v>
      </c>
      <c r="B4" s="15">
        <f ca="1">COUNTIF(agen[Lieu Match],"extérieur")</f>
        <v>13</v>
      </c>
      <c r="C4" s="62">
        <f ca="1">COUNTIFS(agen[Issue match],"victoire",agen[Lieu Match],"extérieur")</f>
        <v>0</v>
      </c>
      <c r="D4" s="62">
        <f ca="1">COUNTIFS(agen[Issue match],"nul",agen[Lieu Match],"extérieur")</f>
        <v>0</v>
      </c>
      <c r="E4" s="62">
        <f ca="1">COUNTIFS(agen[Issue match],"défaite",agen[Lieu Match],"extérieur")</f>
        <v>13</v>
      </c>
      <c r="F4" s="77">
        <f ca="1">C4+E4+D4-D4</f>
        <v>13</v>
      </c>
      <c r="G4" s="8">
        <f t="array" ref="G4">INDEX($C$36:$L$48,MATCH(1,($A$36:$A$48=$A$1)*($B$36:$B$48=$H$3),0),4)</f>
        <v>0.5</v>
      </c>
      <c r="H4" s="8">
        <f t="array" ref="H4">INDEX($C$36:$L$48,MATCH(1,($A$36:$A$48=$G$3)*($B$36:$B$48=$H$3),0),7)</f>
        <v>0.5</v>
      </c>
      <c r="K4" s="10" t="s">
        <v>8</v>
      </c>
      <c r="L4" s="64">
        <f ca="1">SUMIFS(agen[Score D],agen[Lieu Match],"extérieur")</f>
        <v>177</v>
      </c>
      <c r="M4" s="64">
        <f ca="1">SUMIFS(agen[Score E],agen[Lieu Match],"extérieur")</f>
        <v>53</v>
      </c>
      <c r="N4" s="13">
        <f ca="1">L4-M4</f>
        <v>124</v>
      </c>
      <c r="P4" s="10" t="s">
        <v>8</v>
      </c>
      <c r="Q4" s="32">
        <v>140</v>
      </c>
      <c r="R4" s="32">
        <v>206</v>
      </c>
      <c r="S4" s="13">
        <v>-66</v>
      </c>
    </row>
    <row r="5" spans="1:21">
      <c r="A5" s="10" t="s">
        <v>36</v>
      </c>
      <c r="B5" s="15">
        <f ca="1">B3+B4</f>
        <v>26</v>
      </c>
      <c r="C5" s="15">
        <f ca="1">C3+C4</f>
        <v>0</v>
      </c>
      <c r="D5" s="15">
        <f ca="1">D3+D4</f>
        <v>0</v>
      </c>
      <c r="E5" s="15">
        <f ca="1">E3+E4</f>
        <v>26</v>
      </c>
      <c r="F5" s="77">
        <f ca="1">C5+E5+D5-D5</f>
        <v>26</v>
      </c>
      <c r="G5" s="9">
        <f>100/G4/100</f>
        <v>2</v>
      </c>
      <c r="H5" s="9">
        <f>100/H4/100</f>
        <v>2</v>
      </c>
      <c r="K5" s="10" t="s">
        <v>9</v>
      </c>
      <c r="L5" s="18">
        <f ca="1">L4/F4</f>
        <v>13.615384615384615</v>
      </c>
      <c r="M5" s="18">
        <f ca="1">M4/F4</f>
        <v>4.0769230769230766</v>
      </c>
      <c r="N5" s="13"/>
      <c r="P5" s="10" t="s">
        <v>9</v>
      </c>
      <c r="Q5" s="18">
        <v>17.5</v>
      </c>
      <c r="R5" s="18">
        <v>25.75</v>
      </c>
      <c r="S5" s="13"/>
    </row>
    <row r="6" spans="1:21">
      <c r="A6" s="1"/>
      <c r="B6" s="1"/>
      <c r="C6" s="1"/>
      <c r="D6" s="1"/>
      <c r="E6" s="1"/>
      <c r="F6" s="1"/>
      <c r="K6" s="10" t="s">
        <v>10</v>
      </c>
      <c r="L6" s="13">
        <f ca="1">L2+M4</f>
        <v>93</v>
      </c>
      <c r="M6" s="13">
        <f ca="1">M2+L4</f>
        <v>249</v>
      </c>
      <c r="N6" s="13">
        <f ca="1">L6-M6</f>
        <v>-156</v>
      </c>
      <c r="P6" s="10" t="s">
        <v>10</v>
      </c>
      <c r="Q6" s="13">
        <v>298</v>
      </c>
      <c r="R6" s="13">
        <v>370</v>
      </c>
      <c r="S6" s="13">
        <v>-72</v>
      </c>
      <c r="T6" s="1"/>
      <c r="U6" s="1"/>
    </row>
    <row r="7" spans="1:21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3.5769230769230771</v>
      </c>
      <c r="M7" s="18">
        <f ca="1">M6/F5</f>
        <v>9.5769230769230766</v>
      </c>
      <c r="N7" s="13"/>
      <c r="P7" s="10" t="s">
        <v>9</v>
      </c>
      <c r="Q7" s="18">
        <v>17.529411764705884</v>
      </c>
      <c r="R7" s="18">
        <v>21.764705882352942</v>
      </c>
      <c r="S7" s="13"/>
    </row>
    <row r="8" spans="1:21">
      <c r="A8" s="39" t="s">
        <v>124</v>
      </c>
      <c r="B8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Castres</v>
      </c>
      <c r="C8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8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8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22</v>
      </c>
      <c r="F8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26</v>
      </c>
      <c r="G8" s="34">
        <v>0</v>
      </c>
      <c r="H8" s="49">
        <v>1</v>
      </c>
      <c r="I8" s="50">
        <f ca="1">(agen[[#This Row],[Issue match]]="Victoire")*4 + (agen[[#This Row],[Issue match]]="Nul")*2 + agen[[#This Row],[Bonus off]] + agen[[#This Row],[Bonus déf]]</f>
        <v>1</v>
      </c>
      <c r="L8" s="1"/>
      <c r="M8" s="1"/>
      <c r="N8" s="1"/>
      <c r="P8" s="1"/>
      <c r="Q8" s="1"/>
      <c r="R8" s="1"/>
      <c r="S8" s="1"/>
    </row>
    <row r="9" spans="1:21">
      <c r="A9" s="39" t="s">
        <v>125</v>
      </c>
      <c r="B9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Pau</v>
      </c>
      <c r="C9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9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9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33</v>
      </c>
      <c r="F9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23</v>
      </c>
      <c r="G9" s="34">
        <v>0</v>
      </c>
      <c r="H9" s="49">
        <v>0</v>
      </c>
      <c r="I9" s="50">
        <f ca="1">(agen[[#This Row],[Issue match]]="Victoire")*4 + (agen[[#This Row],[Issue match]]="Nul")*2 + agen[[#This Row],[Bonus off]] + agen[[#This Row],[Bonus déf]]</f>
        <v>0</v>
      </c>
      <c r="K9" s="10" t="s">
        <v>6</v>
      </c>
      <c r="L9" s="66"/>
      <c r="M9" s="67"/>
      <c r="N9" s="68"/>
      <c r="P9" s="10" t="s">
        <v>6</v>
      </c>
      <c r="Q9" s="118"/>
      <c r="R9" s="120"/>
      <c r="S9" s="119"/>
    </row>
    <row r="10" spans="1:21">
      <c r="A10" s="39" t="s">
        <v>126</v>
      </c>
      <c r="B10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Clermont</v>
      </c>
      <c r="C10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10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0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31</v>
      </c>
      <c r="F10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12</v>
      </c>
      <c r="G10" s="34">
        <v>0</v>
      </c>
      <c r="H10" s="49">
        <v>0</v>
      </c>
      <c r="I10" s="50">
        <f ca="1">(agen[[#This Row],[Issue match]]="Victoire")*4 + (agen[[#This Row],[Issue match]]="Nul")*2 + agen[[#This Row],[Bonus off]] + agen[[#This Row],[Bonus déf]]</f>
        <v>0</v>
      </c>
      <c r="K10" s="10" t="s">
        <v>7</v>
      </c>
      <c r="L10" s="13"/>
      <c r="M10" s="65"/>
      <c r="N10" s="65"/>
      <c r="P10" s="10" t="s">
        <v>7</v>
      </c>
      <c r="Q10" s="13"/>
      <c r="R10" s="65"/>
      <c r="S10" s="65"/>
    </row>
    <row r="11" spans="1:21">
      <c r="A11" s="39" t="s">
        <v>127</v>
      </c>
      <c r="B11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Paris</v>
      </c>
      <c r="C11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11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1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3</v>
      </c>
      <c r="F11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20</v>
      </c>
      <c r="G11" s="34">
        <v>0</v>
      </c>
      <c r="H11" s="49">
        <v>0</v>
      </c>
      <c r="I11" s="50">
        <f ca="1">(agen[[#This Row],[Issue match]]="Victoire")*4 + (agen[[#This Row],[Issue match]]="Nul")*2 + agen[[#This Row],[Bonus off]] + agen[[#This Row],[Bonus déf]]</f>
        <v>0</v>
      </c>
      <c r="K11" s="10" t="s">
        <v>9</v>
      </c>
      <c r="L11" s="18"/>
      <c r="M11" s="18"/>
      <c r="N11" s="13"/>
      <c r="P11" s="10" t="s">
        <v>9</v>
      </c>
      <c r="Q11" s="18"/>
      <c r="R11" s="18"/>
      <c r="S11" s="13"/>
    </row>
    <row r="12" spans="1:21">
      <c r="A12" s="39" t="s">
        <v>128</v>
      </c>
      <c r="B12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Montpellier</v>
      </c>
      <c r="C12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12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2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42</v>
      </c>
      <c r="F12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13</v>
      </c>
      <c r="G12" s="34">
        <v>0</v>
      </c>
      <c r="H12" s="49">
        <v>0</v>
      </c>
      <c r="I12" s="50">
        <f ca="1">(agen[[#This Row],[Issue match]]="Victoire")*4 + (agen[[#This Row],[Issue match]]="Nul")*2 + agen[[#This Row],[Bonus off]] + agen[[#This Row],[Bonus déf]]</f>
        <v>0</v>
      </c>
      <c r="K12" s="10" t="s">
        <v>8</v>
      </c>
      <c r="L12" s="65"/>
      <c r="M12" s="65"/>
      <c r="N12" s="13"/>
      <c r="P12" s="10" t="s">
        <v>8</v>
      </c>
      <c r="Q12" s="65"/>
      <c r="R12" s="65"/>
      <c r="S12" s="13"/>
    </row>
    <row r="13" spans="1:21">
      <c r="A13" s="39" t="s">
        <v>129</v>
      </c>
      <c r="B13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Bayonne</v>
      </c>
      <c r="C13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13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3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15</v>
      </c>
      <c r="F13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26</v>
      </c>
      <c r="G13" s="34">
        <v>0</v>
      </c>
      <c r="H13" s="49">
        <v>0</v>
      </c>
      <c r="I13" s="50">
        <f ca="1">(agen[[#This Row],[Issue match]]="Victoire")*4 + (agen[[#This Row],[Issue match]]="Nul")*2 + agen[[#This Row],[Bonus off]] + agen[[#This Row],[Bonus déf]]</f>
        <v>0</v>
      </c>
      <c r="K13" s="10" t="s">
        <v>9</v>
      </c>
      <c r="L13" s="18"/>
      <c r="M13" s="18"/>
      <c r="N13" s="13"/>
      <c r="P13" s="10" t="s">
        <v>9</v>
      </c>
      <c r="Q13" s="18"/>
      <c r="R13" s="18"/>
      <c r="S13" s="13"/>
    </row>
    <row r="14" spans="1:21">
      <c r="A14" s="39" t="s">
        <v>130</v>
      </c>
      <c r="B14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Bordeaux</v>
      </c>
      <c r="C14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14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4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71</v>
      </c>
      <c r="F14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5</v>
      </c>
      <c r="G14" s="34">
        <v>0</v>
      </c>
      <c r="H14" s="49">
        <v>0</v>
      </c>
      <c r="I14" s="50">
        <f ca="1">(agen[[#This Row],[Issue match]]="Victoire")*4 + (agen[[#This Row],[Issue match]]="Nul")*2 + agen[[#This Row],[Bonus off]] + agen[[#This Row],[Bonus déf]]</f>
        <v>0</v>
      </c>
      <c r="K14" s="10" t="s">
        <v>10</v>
      </c>
      <c r="L14" s="13"/>
      <c r="M14" s="13"/>
      <c r="N14" s="13"/>
      <c r="P14" s="10" t="s">
        <v>10</v>
      </c>
      <c r="Q14" s="13"/>
      <c r="R14" s="13"/>
      <c r="S14" s="13"/>
    </row>
    <row r="15" spans="1:21">
      <c r="A15" s="39" t="s">
        <v>131</v>
      </c>
      <c r="B15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Lyon</v>
      </c>
      <c r="C15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15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5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15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15" s="34"/>
      <c r="H15" s="49"/>
      <c r="I15" s="50">
        <f ca="1">(agen[[#This Row],[Issue match]]="Victoire")*4 + (agen[[#This Row],[Issue match]]="Nul")*2 + agen[[#This Row],[Bonus off]] + agen[[#This Row],[Bonus déf]]</f>
        <v>0</v>
      </c>
      <c r="K15" s="10" t="s">
        <v>9</v>
      </c>
      <c r="L15" s="18"/>
      <c r="M15" s="18"/>
      <c r="N15" s="13"/>
      <c r="P15" s="10" t="s">
        <v>9</v>
      </c>
      <c r="Q15" s="18"/>
      <c r="R15" s="18"/>
      <c r="S15" s="13"/>
    </row>
    <row r="16" spans="1:21">
      <c r="A16" s="39" t="s">
        <v>132</v>
      </c>
      <c r="B16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Toulon</v>
      </c>
      <c r="C16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16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6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16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16" s="34"/>
      <c r="H16" s="49"/>
      <c r="I16" s="50">
        <f ca="1">(agen[[#This Row],[Issue match]]="Victoire")*4 + (agen[[#This Row],[Issue match]]="Nul")*2 + agen[[#This Row],[Bonus off]] + agen[[#This Row],[Bonus déf]]</f>
        <v>0</v>
      </c>
      <c r="L16" s="1"/>
      <c r="M16" s="1"/>
      <c r="N16" s="1"/>
      <c r="S16" s="1"/>
    </row>
    <row r="17" spans="1:21">
      <c r="A17" s="39" t="s">
        <v>133</v>
      </c>
      <c r="B17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Toulouse</v>
      </c>
      <c r="C17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17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7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17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17" s="34"/>
      <c r="H17" s="49"/>
      <c r="I17" s="50">
        <f ca="1">(agen[[#This Row],[Issue match]]="Victoire")*4 + (agen[[#This Row],[Issue match]]="Nul")*2 + agen[[#This Row],[Bonus off]] + agen[[#This Row],[Bonus déf]]</f>
        <v>0</v>
      </c>
      <c r="K17" s="10" t="s">
        <v>6</v>
      </c>
      <c r="L17" s="30"/>
      <c r="M17" s="33"/>
      <c r="N17" s="31"/>
      <c r="S17" s="1"/>
    </row>
    <row r="18" spans="1:21">
      <c r="A18" s="39" t="s">
        <v>134</v>
      </c>
      <c r="B18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Brive</v>
      </c>
      <c r="C18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18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8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18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18" s="34"/>
      <c r="H18" s="49"/>
      <c r="I18" s="50">
        <f ca="1">(agen[[#This Row],[Issue match]]="Victoire")*4 + (agen[[#This Row],[Issue match]]="Nul")*2 + agen[[#This Row],[Bonus off]] + agen[[#This Row],[Bonus déf]]</f>
        <v>0</v>
      </c>
      <c r="K18" s="10" t="s">
        <v>7</v>
      </c>
      <c r="L18" s="13"/>
      <c r="M18" s="32"/>
      <c r="N18" s="32"/>
      <c r="S18" s="1"/>
    </row>
    <row r="19" spans="1:21">
      <c r="A19" s="39" t="s">
        <v>135</v>
      </c>
      <c r="B19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Racing 92</v>
      </c>
      <c r="C19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19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19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19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19" s="34"/>
      <c r="H19" s="49"/>
      <c r="I19" s="50">
        <f ca="1">(agen[[#This Row],[Issue match]]="Victoire")*4 + (agen[[#This Row],[Issue match]]="Nul")*2 + agen[[#This Row],[Bonus off]] + agen[[#This Row],[Bonus déf]]</f>
        <v>0</v>
      </c>
      <c r="K19" s="10" t="s">
        <v>9</v>
      </c>
      <c r="L19" s="18"/>
      <c r="M19" s="18"/>
      <c r="N19" s="13"/>
      <c r="P19" s="1" t="s">
        <v>41</v>
      </c>
      <c r="Q19" s="26" t="s">
        <v>42</v>
      </c>
      <c r="S19" s="1"/>
    </row>
    <row r="20" spans="1:21">
      <c r="A20" s="39" t="s">
        <v>136</v>
      </c>
      <c r="B20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La Rochelle</v>
      </c>
      <c r="C20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20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0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0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0" s="34"/>
      <c r="H20" s="49"/>
      <c r="I20" s="50">
        <f ca="1">(agen[[#This Row],[Issue match]]="Victoire")*4 + (agen[[#This Row],[Issue match]]="Nul")*2 + agen[[#This Row],[Bonus off]] + agen[[#This Row],[Bonus déf]]</f>
        <v>0</v>
      </c>
      <c r="K20" s="10" t="s">
        <v>8</v>
      </c>
      <c r="L20" s="32"/>
      <c r="M20" s="32"/>
      <c r="N20" s="13"/>
      <c r="P20" s="1" t="s">
        <v>41</v>
      </c>
      <c r="Q20" s="12" t="s">
        <v>43</v>
      </c>
      <c r="S20" s="1"/>
      <c r="T20" s="1"/>
      <c r="U20" s="1"/>
    </row>
    <row r="21" spans="1:21">
      <c r="A21" s="39" t="s">
        <v>137</v>
      </c>
      <c r="B21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Castres</v>
      </c>
      <c r="C21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21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1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1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1" s="34"/>
      <c r="H21" s="49"/>
      <c r="I21" s="50">
        <f ca="1">(agen[[#This Row],[Issue match]]="Victoire")*4 + (agen[[#This Row],[Issue match]]="Nul")*2 + agen[[#This Row],[Bonus off]] + agen[[#This Row],[Bonus déf]]</f>
        <v>0</v>
      </c>
      <c r="K21" s="10" t="s">
        <v>9</v>
      </c>
      <c r="L21" s="18"/>
      <c r="M21" s="18"/>
      <c r="N21" s="13"/>
      <c r="P21" s="1" t="s">
        <v>41</v>
      </c>
      <c r="Q21" s="12" t="s">
        <v>40</v>
      </c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Bayonne</v>
      </c>
      <c r="C22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22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2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2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2" s="34"/>
      <c r="H22" s="49"/>
      <c r="I22" s="50">
        <f ca="1">(agen[[#This Row],[Issue match]]="Victoire")*4 + (agen[[#This Row],[Issue match]]="Nul")*2 + agen[[#This Row],[Bonus off]] + agen[[#This Row],[Bonus déf]]</f>
        <v>0</v>
      </c>
      <c r="K22" s="10" t="s">
        <v>10</v>
      </c>
      <c r="L22" s="13"/>
      <c r="M22" s="13"/>
      <c r="N22" s="13"/>
      <c r="P22" s="1" t="s">
        <v>41</v>
      </c>
      <c r="Q22" s="12" t="s">
        <v>44</v>
      </c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Clermont</v>
      </c>
      <c r="C23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23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3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3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3" s="34"/>
      <c r="H23" s="49"/>
      <c r="I23" s="50">
        <f ca="1">(agen[[#This Row],[Issue match]]="Victoire")*4 + (agen[[#This Row],[Issue match]]="Nul")*2 + agen[[#This Row],[Bonus off]] + agen[[#This Row],[Bonus déf]]</f>
        <v>0</v>
      </c>
      <c r="K23" s="10" t="s">
        <v>9</v>
      </c>
      <c r="L23" s="18"/>
      <c r="M23" s="18"/>
      <c r="N23" s="13"/>
      <c r="P23" s="1" t="s">
        <v>41</v>
      </c>
      <c r="Q23" s="12" t="s">
        <v>45</v>
      </c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Montpellier</v>
      </c>
      <c r="C24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24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4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4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4" s="34"/>
      <c r="H24" s="49"/>
      <c r="I24" s="50">
        <f ca="1">(agen[[#This Row],[Issue match]]="Victoire")*4 + (agen[[#This Row],[Issue match]]="Nul")*2 + agen[[#This Row],[Bonus off]] + agen[[#This Row],[Bonus déf]]</f>
        <v>0</v>
      </c>
      <c r="L24" s="1"/>
      <c r="M24" s="1"/>
      <c r="N24" s="1"/>
      <c r="P24" s="1" t="s">
        <v>41</v>
      </c>
      <c r="Q24" s="12" t="s">
        <v>46</v>
      </c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Paris</v>
      </c>
      <c r="C25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25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5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5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5" s="34"/>
      <c r="H25" s="49"/>
      <c r="I25" s="50">
        <f ca="1">(agen[[#This Row],[Issue match]]="Victoire")*4 + (agen[[#This Row],[Issue match]]="Nul")*2 + agen[[#This Row],[Bonus off]] + agen[[#This Row],[Bonus déf]]</f>
        <v>0</v>
      </c>
      <c r="K25" s="10" t="s">
        <v>6</v>
      </c>
      <c r="L25" s="30"/>
      <c r="M25" s="33"/>
      <c r="N25" s="31"/>
      <c r="P25" s="1" t="s">
        <v>41</v>
      </c>
      <c r="Q25" s="12" t="s">
        <v>47</v>
      </c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Toulouse</v>
      </c>
      <c r="C26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26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6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6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6" s="34"/>
      <c r="H26" s="49"/>
      <c r="I26" s="50">
        <f ca="1">(agen[[#This Row],[Issue match]]="Victoire")*4 + (agen[[#This Row],[Issue match]]="Nul")*2 + agen[[#This Row],[Bonus off]] + agen[[#This Row],[Bonus déf]]</f>
        <v>0</v>
      </c>
      <c r="K26" s="10" t="s">
        <v>7</v>
      </c>
      <c r="L26" s="13"/>
      <c r="M26" s="32"/>
      <c r="N26" s="32"/>
      <c r="P26" s="1" t="s">
        <v>41</v>
      </c>
      <c r="Q26" s="12" t="s">
        <v>48</v>
      </c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Brive</v>
      </c>
      <c r="C27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27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7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7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7" s="34"/>
      <c r="H27" s="49"/>
      <c r="I27" s="50">
        <f ca="1">(agen[[#This Row],[Issue match]]="Victoire")*4 + (agen[[#This Row],[Issue match]]="Nul")*2 + agen[[#This Row],[Bonus off]] + agen[[#This Row],[Bonus déf]]</f>
        <v>0</v>
      </c>
      <c r="K27" s="10" t="s">
        <v>9</v>
      </c>
      <c r="L27" s="18"/>
      <c r="M27" s="18"/>
      <c r="N27" s="13"/>
      <c r="P27" s="1" t="s">
        <v>41</v>
      </c>
      <c r="Q27" s="12" t="s">
        <v>49</v>
      </c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Bordeaux</v>
      </c>
      <c r="C28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28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8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8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8" s="34"/>
      <c r="H28" s="49"/>
      <c r="I28" s="50">
        <f ca="1">(agen[[#This Row],[Issue match]]="Victoire")*4 + (agen[[#This Row],[Issue match]]="Nul")*2 + agen[[#This Row],[Bonus off]] + agen[[#This Row],[Bonus déf]]</f>
        <v>0</v>
      </c>
      <c r="K28" s="10" t="s">
        <v>8</v>
      </c>
      <c r="L28" s="32"/>
      <c r="M28" s="32"/>
      <c r="N28" s="13"/>
      <c r="P28" s="1" t="s">
        <v>41</v>
      </c>
      <c r="Q28" s="12" t="s">
        <v>50</v>
      </c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Toulon</v>
      </c>
      <c r="C29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29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29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29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29" s="34"/>
      <c r="H29" s="49"/>
      <c r="I29" s="50">
        <f ca="1">(agen[[#This Row],[Issue match]]="Victoire")*4 + (agen[[#This Row],[Issue match]]="Nul")*2 + agen[[#This Row],[Bonus off]] + agen[[#This Row],[Bonus déf]]</f>
        <v>0</v>
      </c>
      <c r="K29" s="10" t="s">
        <v>9</v>
      </c>
      <c r="L29" s="18"/>
      <c r="M29" s="18"/>
      <c r="N29" s="13"/>
      <c r="P29" s="1" t="s">
        <v>41</v>
      </c>
      <c r="Q29" s="12" t="s">
        <v>51</v>
      </c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Pau</v>
      </c>
      <c r="C30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30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30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30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30" s="34"/>
      <c r="H30" s="49"/>
      <c r="I30" s="50">
        <f ca="1">(agen[[#This Row],[Issue match]]="Victoire")*4 + (agen[[#This Row],[Issue match]]="Nul")*2 + agen[[#This Row],[Bonus off]] + agen[[#This Row],[Bonus déf]]</f>
        <v>0</v>
      </c>
      <c r="K30" s="10" t="s">
        <v>10</v>
      </c>
      <c r="L30" s="13"/>
      <c r="M30" s="13"/>
      <c r="N30" s="13"/>
      <c r="P30" s="1" t="s">
        <v>41</v>
      </c>
      <c r="Q30" s="12" t="s">
        <v>52</v>
      </c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La Rochelle</v>
      </c>
      <c r="C31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31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31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31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31" s="34"/>
      <c r="H31" s="49"/>
      <c r="I31" s="50">
        <f ca="1">(agen[[#This Row],[Issue match]]="Victoire")*4 + (agen[[#This Row],[Issue match]]="Nul")*2 + agen[[#This Row],[Bonus off]] + agen[[#This Row],[Bonus déf]]</f>
        <v>0</v>
      </c>
      <c r="K31" s="10" t="s">
        <v>9</v>
      </c>
      <c r="L31" s="18"/>
      <c r="M31" s="18"/>
      <c r="N31" s="13"/>
      <c r="P31" s="1" t="s">
        <v>41</v>
      </c>
      <c r="Q31" s="12" t="s">
        <v>53</v>
      </c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Racing 92</v>
      </c>
      <c r="C32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Domicile</v>
      </c>
      <c r="D32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32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32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32" s="34"/>
      <c r="H32" s="49"/>
      <c r="I32" s="50">
        <f ca="1">(agen[[#This Row],[Issue match]]="Victoire")*4 + (agen[[#This Row],[Issue match]]="Nul")*2 + agen[[#This Row],[Bonus off]] + agen[[#This Row],[Bonus déf]]</f>
        <v>0</v>
      </c>
      <c r="K32" s="1"/>
    </row>
    <row r="33" spans="1:12">
      <c r="A33" s="39" t="s">
        <v>149</v>
      </c>
      <c r="B33" s="37" t="str">
        <f ca="1">CONCATENATE(
IFERROR( INDEX(INDIRECT("resultat!C"&amp;PRODUCT(7,MATCH(agen[[#This Row],[journée]],agen[journée],0)-1)+2&amp;":C"&amp;PRODUCT(7,MATCH(agen[[#This Row],[journée]],agen[journée],0))+1),
IFERROR(MATCH($A$1, INDIRECT("resultat!f"&amp;PRODUCT(7,MATCH(agen[[#This Row],[journée]],agen[journée],0)-1)+2&amp;":f"&amp;PRODUCT(7,MATCH(agen[[#This Row],[journée]],agen[journée],0))+1),0 ),""),0),""),
IFERROR( INDEX(INDIRECT("resultat!f"&amp;PRODUCT(7,MATCH(agen[[#This Row],[journée]],agen[journée],0)-1)+2&amp;":f"&amp;PRODUCT(7,MATCH(agen[[#This Row],[journée]],agen[journée],0))+1),
IFERROR(MATCH($A$1, INDIRECT("resultat!c"&amp;PRODUCT(7,MATCH(agen[[#This Row],[journée]],agen[journée],0)-1)+2&amp;":c"&amp;PRODUCT(7,MATCH(agen[[#This Row],[journée]],agen[journée],0))+1),0 ),""),0),"") )</f>
        <v>Lyon</v>
      </c>
      <c r="C33" s="38" t="str">
        <f ca="1">IF(AND(ISNA(MATCH($A$1,INDIRECT("resultat!f"&amp;PRODUCT(7,MATCH(agen[[#This Row],[journée]],agen[journée],0)-1)+2&amp;":f"&amp;PRODUCT(7,MATCH(agen[[#This Row],[journée]],agen[journée],0))+1),0)),
ISNA(MATCH($A$1,INDIRECT("resultat!c"&amp;PRODUCT(7,MATCH(agen[[#This Row],[journée]],agen[journée],0)-1)+2&amp;":c"&amp;PRODUCT(7,MATCH(agen[[#This Row],[journée]],agen[journée],0))+1),0))),"",IF(ISNA(MATCH($A$1,INDIRECT("resultat!f"&amp;PRODUCT(7,MATCH(agen[[#This Row],[journée]],agen[journée],0)-1)+2&amp;":f"&amp;PRODUCT(7,MATCH(agen[[#This Row],[journée]],agen[journée],0))+1),0)),
"Domicile","Extérieur"))</f>
        <v>Extérieur</v>
      </c>
      <c r="D33" s="52" t="str">
        <f ca="1">IFERROR(  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$A$1, "Victoire",
IF( INDEX(INDIRECT("resultat!h"&amp;PRODUCT(7,MATCH(agen[[#This Row],[journée]],agen[journée],0)-1)+2&amp;":h"&amp;PRODUCT(7,MATCH(agen[[#This Row],[journée]],agen[journée],0))+1),
CONCATENATE(
IFERROR(MATCH( $A$1, INDIRECT("resultat!C"&amp;PRODUCT(7,MATCH(agen[[#This Row],[journée]],agen[journée],0)-1)+2&amp;":C"&amp;PRODUCT(7,MATCH(agen[[#This Row],[journée]],agen[journée],0))+1),0),""),
IFERROR(MATCH($A$1, INDIRECT("resultat!f"&amp;PRODUCT(7,MATCH(agen[[#This Row],[journée]],agen[journée],0)-1)+2&amp;":f"&amp;PRODUCT(7,MATCH(agen[[#This Row],[journée]],agen[journée],0))+1),0 ),"")),0) = "Nul", "Nul", "Défaite" )), "")</f>
        <v>Défaite</v>
      </c>
      <c r="E33" s="45">
        <f ca="1">SUMIFS(resultat[Score D],resultat[Journée],agen[[#This Row],[journée]],resultat[Domicile],agen[[#This Row],[adversaire]]) + SUMIFS(resultat[Score D],resultat[Journée],agen[[#This Row],[journée]],resultat[Exterieur],agen[[#This Row],[adversaire]])</f>
        <v>0</v>
      </c>
      <c r="F33" s="46">
        <f ca="1">SUMIFS(resultat[Score E],resultat[Journée],agen[[#This Row],[journée]],resultat[Domicile],agen[[#This Row],[adversaire]])  + SUMIFS(resultat[Score E],resultat[Journée],agen[[#This Row],[journée]],resultat[Exterieur],agen[[#This Row],[adversaire]])</f>
        <v>0</v>
      </c>
      <c r="G33" s="34"/>
      <c r="H33" s="49"/>
      <c r="I33" s="50">
        <f ca="1">(agen[[#This Row],[Issue match]]="Victoire")*4 + (agen[[#This Row],[Issue match]]="Nul")*2 + agen[[#This Row],[Bonus off]] + agen[[#This Row],[Bonus déf]]</f>
        <v>0</v>
      </c>
      <c r="K33" s="1"/>
    </row>
    <row r="34" spans="1:12">
      <c r="A34" s="1"/>
      <c r="B34" s="1"/>
      <c r="C34" s="1"/>
      <c r="D34" s="1"/>
      <c r="E34" s="1"/>
      <c r="F34" s="1"/>
      <c r="G34" s="1"/>
      <c r="K34" s="1"/>
    </row>
    <row r="35" spans="1:12">
      <c r="A35" s="118" t="s">
        <v>16</v>
      </c>
      <c r="B35" s="119"/>
      <c r="C35" s="48" t="s">
        <v>17</v>
      </c>
      <c r="D35" s="48" t="s">
        <v>18</v>
      </c>
      <c r="E35" s="48" t="s">
        <v>19</v>
      </c>
      <c r="F35" s="48" t="s">
        <v>20</v>
      </c>
      <c r="G35" s="48" t="s">
        <v>21</v>
      </c>
      <c r="H35" s="48" t="s">
        <v>22</v>
      </c>
      <c r="I35" s="48" t="s">
        <v>20</v>
      </c>
      <c r="J35" s="48" t="s">
        <v>11</v>
      </c>
      <c r="K35" s="48" t="s">
        <v>20</v>
      </c>
      <c r="L35" s="10"/>
    </row>
    <row r="36" spans="1:12">
      <c r="A36" s="74" t="s">
        <v>14</v>
      </c>
      <c r="B36" s="74" t="s">
        <v>23</v>
      </c>
      <c r="C36" s="48">
        <v>14</v>
      </c>
      <c r="D36" s="2">
        <v>4</v>
      </c>
      <c r="E36" s="48">
        <v>3</v>
      </c>
      <c r="F36" s="3">
        <f t="shared" ref="F36:F48" si="0">(D36+E36)/C36</f>
        <v>0.5</v>
      </c>
      <c r="G36" s="48">
        <v>3</v>
      </c>
      <c r="H36" s="48">
        <v>4</v>
      </c>
      <c r="I36" s="3">
        <f t="shared" ref="I36:I48" si="1">(G36+H36)/C36</f>
        <v>0.5</v>
      </c>
      <c r="J36" s="48"/>
      <c r="K36" s="3">
        <f t="shared" ref="K36:K48" si="2">100%-(F36+I36)</f>
        <v>0</v>
      </c>
      <c r="L36" s="11">
        <f t="shared" ref="L36:L48" si="3">SUM(F36+I36+K36)</f>
        <v>1</v>
      </c>
    </row>
    <row r="37" spans="1:12">
      <c r="A37" s="74" t="s">
        <v>14</v>
      </c>
      <c r="B37" s="74" t="s">
        <v>24</v>
      </c>
      <c r="C37" s="48">
        <v>19</v>
      </c>
      <c r="D37" s="48">
        <v>6</v>
      </c>
      <c r="E37" s="48">
        <v>3</v>
      </c>
      <c r="F37" s="3">
        <f t="shared" si="0"/>
        <v>0.47368421052631576</v>
      </c>
      <c r="G37" s="48">
        <v>3</v>
      </c>
      <c r="H37" s="48">
        <v>7</v>
      </c>
      <c r="I37" s="3">
        <f t="shared" si="1"/>
        <v>0.52631578947368418</v>
      </c>
      <c r="J37" s="48"/>
      <c r="K37" s="3">
        <f t="shared" si="2"/>
        <v>0</v>
      </c>
      <c r="L37" s="11">
        <f t="shared" si="3"/>
        <v>1</v>
      </c>
    </row>
    <row r="38" spans="1:12">
      <c r="A38" s="74" t="s">
        <v>14</v>
      </c>
      <c r="B38" s="74" t="s">
        <v>25</v>
      </c>
      <c r="C38" s="48">
        <v>20</v>
      </c>
      <c r="D38" s="48">
        <v>9</v>
      </c>
      <c r="E38" s="48">
        <v>3</v>
      </c>
      <c r="F38" s="3">
        <f t="shared" si="0"/>
        <v>0.6</v>
      </c>
      <c r="G38" s="48">
        <v>1</v>
      </c>
      <c r="H38" s="48">
        <v>7</v>
      </c>
      <c r="I38" s="3">
        <f t="shared" si="1"/>
        <v>0.4</v>
      </c>
      <c r="J38" s="48"/>
      <c r="K38" s="3">
        <f t="shared" si="2"/>
        <v>0</v>
      </c>
      <c r="L38" s="11">
        <f t="shared" si="3"/>
        <v>1</v>
      </c>
    </row>
    <row r="39" spans="1:12">
      <c r="A39" s="74" t="s">
        <v>14</v>
      </c>
      <c r="B39" s="74" t="s">
        <v>37</v>
      </c>
      <c r="C39" s="48">
        <v>26</v>
      </c>
      <c r="D39" s="48">
        <v>7</v>
      </c>
      <c r="E39" s="48">
        <v>3</v>
      </c>
      <c r="F39" s="3">
        <f t="shared" si="0"/>
        <v>0.38461538461538464</v>
      </c>
      <c r="G39" s="48">
        <v>5</v>
      </c>
      <c r="H39" s="48">
        <v>9</v>
      </c>
      <c r="I39" s="3">
        <f t="shared" si="1"/>
        <v>0.53846153846153844</v>
      </c>
      <c r="J39" s="48">
        <v>2</v>
      </c>
      <c r="K39" s="3">
        <f t="shared" si="2"/>
        <v>7.6923076923076872E-2</v>
      </c>
      <c r="L39" s="11">
        <f t="shared" si="3"/>
        <v>1</v>
      </c>
    </row>
    <row r="40" spans="1:12">
      <c r="A40" s="74" t="s">
        <v>14</v>
      </c>
      <c r="B40" s="74" t="s">
        <v>26</v>
      </c>
      <c r="C40" s="48">
        <v>24</v>
      </c>
      <c r="D40" s="48">
        <v>5</v>
      </c>
      <c r="E40" s="48">
        <v>1</v>
      </c>
      <c r="F40" s="3">
        <f t="shared" si="0"/>
        <v>0.25</v>
      </c>
      <c r="G40" s="48">
        <v>7</v>
      </c>
      <c r="H40" s="48">
        <v>11</v>
      </c>
      <c r="I40" s="3">
        <f t="shared" si="1"/>
        <v>0.75</v>
      </c>
      <c r="J40" s="48"/>
      <c r="K40" s="3">
        <f t="shared" si="2"/>
        <v>0</v>
      </c>
      <c r="L40" s="11">
        <f t="shared" si="3"/>
        <v>1</v>
      </c>
    </row>
    <row r="41" spans="1:12">
      <c r="A41" s="74" t="s">
        <v>14</v>
      </c>
      <c r="B41" s="74" t="s">
        <v>27</v>
      </c>
      <c r="C41" s="48">
        <v>20</v>
      </c>
      <c r="D41" s="48">
        <v>7</v>
      </c>
      <c r="E41" s="48">
        <v>3</v>
      </c>
      <c r="F41" s="3">
        <f t="shared" si="0"/>
        <v>0.5</v>
      </c>
      <c r="G41" s="48">
        <v>3</v>
      </c>
      <c r="H41" s="48">
        <v>7</v>
      </c>
      <c r="I41" s="3">
        <f t="shared" si="1"/>
        <v>0.5</v>
      </c>
      <c r="J41" s="48"/>
      <c r="K41" s="3">
        <f t="shared" si="2"/>
        <v>0</v>
      </c>
      <c r="L41" s="11">
        <f t="shared" si="3"/>
        <v>1</v>
      </c>
    </row>
    <row r="42" spans="1:12">
      <c r="A42" s="74" t="s">
        <v>14</v>
      </c>
      <c r="B42" s="74" t="s">
        <v>28</v>
      </c>
      <c r="C42" s="48">
        <v>15</v>
      </c>
      <c r="D42" s="48">
        <v>6</v>
      </c>
      <c r="E42" s="48">
        <v>2</v>
      </c>
      <c r="F42" s="3">
        <f t="shared" si="0"/>
        <v>0.53333333333333333</v>
      </c>
      <c r="G42" s="48">
        <v>2</v>
      </c>
      <c r="H42" s="48">
        <v>5</v>
      </c>
      <c r="I42" s="3">
        <f t="shared" si="1"/>
        <v>0.46666666666666667</v>
      </c>
      <c r="J42" s="48"/>
      <c r="K42" s="3">
        <f t="shared" si="2"/>
        <v>0</v>
      </c>
      <c r="L42" s="11">
        <f t="shared" si="3"/>
        <v>1</v>
      </c>
    </row>
    <row r="43" spans="1:12">
      <c r="A43" s="74" t="s">
        <v>14</v>
      </c>
      <c r="B43" s="74" t="s">
        <v>29</v>
      </c>
      <c r="C43" s="48">
        <v>21</v>
      </c>
      <c r="D43" s="48">
        <v>7</v>
      </c>
      <c r="E43" s="48">
        <v>0</v>
      </c>
      <c r="F43" s="3">
        <f t="shared" si="0"/>
        <v>0.33333333333333331</v>
      </c>
      <c r="G43" s="48">
        <v>4</v>
      </c>
      <c r="H43" s="48">
        <v>10</v>
      </c>
      <c r="I43" s="3">
        <f t="shared" si="1"/>
        <v>0.66666666666666663</v>
      </c>
      <c r="J43" s="48"/>
      <c r="K43" s="3">
        <f t="shared" si="2"/>
        <v>0</v>
      </c>
      <c r="L43" s="11">
        <f t="shared" si="3"/>
        <v>1</v>
      </c>
    </row>
    <row r="44" spans="1:12">
      <c r="A44" s="74" t="s">
        <v>14</v>
      </c>
      <c r="B44" s="74" t="s">
        <v>30</v>
      </c>
      <c r="C44" s="48">
        <v>23</v>
      </c>
      <c r="D44" s="48">
        <v>6</v>
      </c>
      <c r="E44" s="48">
        <v>2</v>
      </c>
      <c r="F44" s="3">
        <f t="shared" si="0"/>
        <v>0.34782608695652173</v>
      </c>
      <c r="G44" s="48">
        <v>6</v>
      </c>
      <c r="H44" s="48">
        <v>8</v>
      </c>
      <c r="I44" s="3">
        <f t="shared" si="1"/>
        <v>0.60869565217391308</v>
      </c>
      <c r="J44" s="48">
        <v>1</v>
      </c>
      <c r="K44" s="3">
        <f t="shared" si="2"/>
        <v>4.3478260869565188E-2</v>
      </c>
      <c r="L44" s="11">
        <f t="shared" si="3"/>
        <v>1</v>
      </c>
    </row>
    <row r="45" spans="1:12">
      <c r="A45" s="74" t="s">
        <v>14</v>
      </c>
      <c r="B45" s="74" t="s">
        <v>31</v>
      </c>
      <c r="C45" s="48">
        <v>30</v>
      </c>
      <c r="D45" s="48">
        <v>10</v>
      </c>
      <c r="E45" s="48">
        <v>4</v>
      </c>
      <c r="F45" s="3">
        <f t="shared" si="0"/>
        <v>0.46666666666666667</v>
      </c>
      <c r="G45" s="48">
        <v>4</v>
      </c>
      <c r="H45" s="48">
        <v>11</v>
      </c>
      <c r="I45" s="3">
        <f t="shared" si="1"/>
        <v>0.5</v>
      </c>
      <c r="J45" s="48">
        <v>1</v>
      </c>
      <c r="K45" s="3">
        <f t="shared" si="2"/>
        <v>3.3333333333333326E-2</v>
      </c>
      <c r="L45" s="11">
        <f t="shared" si="3"/>
        <v>1</v>
      </c>
    </row>
    <row r="46" spans="1:12">
      <c r="A46" s="74" t="s">
        <v>14</v>
      </c>
      <c r="B46" s="74" t="s">
        <v>32</v>
      </c>
      <c r="C46" s="48">
        <v>17</v>
      </c>
      <c r="D46" s="48">
        <v>5</v>
      </c>
      <c r="E46" s="48">
        <v>1</v>
      </c>
      <c r="F46" s="3">
        <f t="shared" si="0"/>
        <v>0.35294117647058826</v>
      </c>
      <c r="G46" s="48">
        <v>3</v>
      </c>
      <c r="H46" s="48">
        <v>7</v>
      </c>
      <c r="I46" s="3">
        <f t="shared" si="1"/>
        <v>0.58823529411764708</v>
      </c>
      <c r="J46" s="48">
        <v>1</v>
      </c>
      <c r="K46" s="3">
        <f t="shared" si="2"/>
        <v>5.8823529411764719E-2</v>
      </c>
      <c r="L46" s="11">
        <f t="shared" si="3"/>
        <v>1</v>
      </c>
    </row>
    <row r="47" spans="1:12">
      <c r="A47" s="74" t="s">
        <v>14</v>
      </c>
      <c r="B47" s="74" t="s">
        <v>15</v>
      </c>
      <c r="C47" s="24">
        <v>17</v>
      </c>
      <c r="D47" s="24">
        <v>6</v>
      </c>
      <c r="E47" s="24">
        <v>1</v>
      </c>
      <c r="F47" s="3">
        <f t="shared" si="0"/>
        <v>0.41176470588235292</v>
      </c>
      <c r="G47" s="24">
        <v>3</v>
      </c>
      <c r="H47" s="24">
        <v>7</v>
      </c>
      <c r="I47" s="3">
        <f t="shared" si="1"/>
        <v>0.58823529411764708</v>
      </c>
      <c r="J47" s="24"/>
      <c r="K47" s="3">
        <f t="shared" si="2"/>
        <v>0</v>
      </c>
      <c r="L47" s="11">
        <f t="shared" si="3"/>
        <v>1</v>
      </c>
    </row>
    <row r="48" spans="1:12">
      <c r="A48" s="74" t="s">
        <v>14</v>
      </c>
      <c r="B48" s="74" t="s">
        <v>33</v>
      </c>
      <c r="C48" s="24">
        <v>23</v>
      </c>
      <c r="D48" s="24">
        <v>4</v>
      </c>
      <c r="E48" s="24">
        <v>1</v>
      </c>
      <c r="F48" s="3">
        <f t="shared" si="0"/>
        <v>0.21739130434782608</v>
      </c>
      <c r="G48" s="24">
        <v>7</v>
      </c>
      <c r="H48" s="24">
        <v>11</v>
      </c>
      <c r="I48" s="3">
        <f t="shared" si="1"/>
        <v>0.78260869565217395</v>
      </c>
      <c r="J48" s="24"/>
      <c r="K48" s="3">
        <f t="shared" si="2"/>
        <v>0</v>
      </c>
      <c r="L48" s="11">
        <f t="shared" si="3"/>
        <v>1</v>
      </c>
    </row>
    <row r="50" spans="1:12">
      <c r="A50" s="93" t="s">
        <v>166</v>
      </c>
    </row>
    <row r="51" spans="1:12">
      <c r="A51" s="88" t="s">
        <v>16</v>
      </c>
      <c r="B51" s="88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107" t="s">
        <v>14</v>
      </c>
      <c r="B52" s="108" t="s">
        <v>23</v>
      </c>
      <c r="C52" s="109">
        <f>COUNTIFS(Agen1[adversaire],B52)</f>
        <v>0</v>
      </c>
      <c r="D52" s="110">
        <f>COUNTIFS(Agen1[adversaire],B52,Agen1[Lieu Match],"domicile",Agen1[Issue match],"victoire")</f>
        <v>0</v>
      </c>
      <c r="E52" s="110">
        <f ca="1">COUNTIFS(agen[adversaire],B52,agen[Lieu Match],"Extérieur",agen[Issue match],"victoire")</f>
        <v>0</v>
      </c>
      <c r="F52" s="111" t="e">
        <f t="shared" ref="F52" ca="1" si="4">(D52+E52)/C52</f>
        <v>#DIV/0!</v>
      </c>
      <c r="G52" s="112">
        <f ca="1">COUNTIFS(agen[adversaire],B52,agen[Lieu Match],"domicile",agen[Issue match],"défaite")</f>
        <v>1</v>
      </c>
      <c r="H52" s="113">
        <f ca="1">COUNTIFS(agen[adversaire],B52,agen[Lieu Match],"Extérieur",agen[Issue match],"défaite")</f>
        <v>1</v>
      </c>
      <c r="I52" s="114" t="e">
        <f t="shared" ref="I52" ca="1" si="5">(G52+H52)/C52</f>
        <v>#DIV/0!</v>
      </c>
      <c r="J52" s="115">
        <f>COUNTIFS(Agen1[adversaire],B52,Agen1[Lieu Match],"Domicile",Agen1[Issue match],"Nul")+COUNTIFS(Agen1[adversaire],B52,Agen1[Lieu Match],"Extérieur",Agen1[Issue match],"Nul")</f>
        <v>0</v>
      </c>
      <c r="K52" s="116" t="e">
        <f t="shared" ref="K52" ca="1" si="6">100%-(F52+I52)</f>
        <v>#DIV/0!</v>
      </c>
      <c r="L52" s="117" t="e">
        <f t="shared" ref="L52" ca="1" si="7">SUM(F52+I52+K52)</f>
        <v>#DIV/0!</v>
      </c>
    </row>
    <row r="53" spans="1:12">
      <c r="A53" s="107" t="s">
        <v>14</v>
      </c>
      <c r="B53" s="108" t="s">
        <v>24</v>
      </c>
      <c r="C53" s="109">
        <f>COUNTIFS(Agen1[adversaire],B53)</f>
        <v>0</v>
      </c>
      <c r="D53" s="110">
        <f>COUNTIFS(Agen1[adversaire],B53,Agen1[Lieu Match],"domicile",Agen1[Issue match],"victoire")</f>
        <v>0</v>
      </c>
      <c r="E53" s="110">
        <f ca="1">COUNTIFS(agen[adversaire],B53,agen[Lieu Match],"Extérieur",agen[Issue match],"victoire")</f>
        <v>0</v>
      </c>
      <c r="F53" s="111" t="e">
        <f t="shared" ref="F53:F64" ca="1" si="8">(D53+E53)/C53</f>
        <v>#DIV/0!</v>
      </c>
      <c r="G53" s="112">
        <f ca="1">COUNTIFS(agen[adversaire],B53,agen[Lieu Match],"domicile",agen[Issue match],"défaite")</f>
        <v>1</v>
      </c>
      <c r="H53" s="113">
        <f ca="1">COUNTIFS(agen[adversaire],B53,agen[Lieu Match],"Extérieur",agen[Issue match],"défaite")</f>
        <v>1</v>
      </c>
      <c r="I53" s="114" t="e">
        <f t="shared" ref="I53:I64" ca="1" si="9">(G53+H53)/C53</f>
        <v>#DIV/0!</v>
      </c>
      <c r="J53" s="115">
        <f>COUNTIFS(Agen1[adversaire],B53,Agen1[Lieu Match],"Domicile",Agen1[Issue match],"Nul")+COUNTIFS(Agen1[adversaire],B53,Agen1[Lieu Match],"Extérieur",Agen1[Issue match],"Nul")</f>
        <v>0</v>
      </c>
      <c r="K53" s="116" t="e">
        <f t="shared" ref="K53:K64" ca="1" si="10">100%-(F53+I53)</f>
        <v>#DIV/0!</v>
      </c>
      <c r="L53" s="117" t="e">
        <f t="shared" ref="L53:L64" ca="1" si="11">SUM(F53+I53+K53)</f>
        <v>#DIV/0!</v>
      </c>
    </row>
    <row r="54" spans="1:12">
      <c r="A54" s="107" t="s">
        <v>14</v>
      </c>
      <c r="B54" s="108" t="s">
        <v>25</v>
      </c>
      <c r="C54" s="109">
        <f>COUNTIFS(Agen1[adversaire],B54)</f>
        <v>0</v>
      </c>
      <c r="D54" s="110">
        <f>COUNTIFS(Agen1[adversaire],B54,Agen1[Lieu Match],"domicile",Agen1[Issue match],"victoire")</f>
        <v>0</v>
      </c>
      <c r="E54" s="110">
        <f ca="1">COUNTIFS(agen[adversaire],B54,agen[Lieu Match],"Extérieur",agen[Issue match],"victoire")</f>
        <v>0</v>
      </c>
      <c r="F54" s="111" t="e">
        <f t="shared" ca="1" si="8"/>
        <v>#DIV/0!</v>
      </c>
      <c r="G54" s="112">
        <f ca="1">COUNTIFS(agen[adversaire],B54,agen[Lieu Match],"domicile",agen[Issue match],"défaite")</f>
        <v>1</v>
      </c>
      <c r="H54" s="113">
        <f ca="1">COUNTIFS(agen[adversaire],B54,agen[Lieu Match],"Extérieur",agen[Issue match],"défaite")</f>
        <v>1</v>
      </c>
      <c r="I54" s="114" t="e">
        <f t="shared" ca="1" si="9"/>
        <v>#DIV/0!</v>
      </c>
      <c r="J54" s="115">
        <f>COUNTIFS(Agen1[adversaire],B54,Agen1[Lieu Match],"Domicile",Agen1[Issue match],"Nul")+COUNTIFS(Agen1[adversaire],B54,Agen1[Lieu Match],"Extérieur",Agen1[Issue match],"Nul")</f>
        <v>0</v>
      </c>
      <c r="K54" s="116" t="e">
        <f t="shared" ca="1" si="10"/>
        <v>#DIV/0!</v>
      </c>
      <c r="L54" s="117" t="e">
        <f t="shared" ca="1" si="11"/>
        <v>#DIV/0!</v>
      </c>
    </row>
    <row r="55" spans="1:12">
      <c r="A55" s="107" t="s">
        <v>14</v>
      </c>
      <c r="B55" s="108" t="s">
        <v>37</v>
      </c>
      <c r="C55" s="109">
        <f>COUNTIFS(Agen1[adversaire],B55)</f>
        <v>0</v>
      </c>
      <c r="D55" s="110">
        <f>COUNTIFS(Agen1[adversaire],B55,Agen1[Lieu Match],"domicile",Agen1[Issue match],"victoire")</f>
        <v>0</v>
      </c>
      <c r="E55" s="110">
        <f ca="1">COUNTIFS(agen[adversaire],B55,agen[Lieu Match],"Extérieur",agen[Issue match],"victoire")</f>
        <v>0</v>
      </c>
      <c r="F55" s="111" t="e">
        <f t="shared" ca="1" si="8"/>
        <v>#DIV/0!</v>
      </c>
      <c r="G55" s="112">
        <f ca="1">COUNTIFS(agen[adversaire],B55,agen[Lieu Match],"domicile",agen[Issue match],"défaite")</f>
        <v>1</v>
      </c>
      <c r="H55" s="113">
        <f ca="1">COUNTIFS(agen[adversaire],B55,agen[Lieu Match],"Extérieur",agen[Issue match],"défaite")</f>
        <v>1</v>
      </c>
      <c r="I55" s="114" t="e">
        <f t="shared" ca="1" si="9"/>
        <v>#DIV/0!</v>
      </c>
      <c r="J55" s="115">
        <f>COUNTIFS(Agen1[adversaire],B55,Agen1[Lieu Match],"Domicile",Agen1[Issue match],"Nul")+COUNTIFS(Agen1[adversaire],B55,Agen1[Lieu Match],"Extérieur",Agen1[Issue match],"Nul")</f>
        <v>0</v>
      </c>
      <c r="K55" s="116" t="e">
        <f t="shared" ca="1" si="10"/>
        <v>#DIV/0!</v>
      </c>
      <c r="L55" s="117" t="e">
        <f t="shared" ca="1" si="11"/>
        <v>#DIV/0!</v>
      </c>
    </row>
    <row r="56" spans="1:12">
      <c r="A56" s="107" t="s">
        <v>14</v>
      </c>
      <c r="B56" s="108" t="s">
        <v>26</v>
      </c>
      <c r="C56" s="109">
        <f>COUNTIFS(Agen1[adversaire],B56)</f>
        <v>0</v>
      </c>
      <c r="D56" s="110">
        <f>COUNTIFS(Agen1[adversaire],B56,Agen1[Lieu Match],"domicile",Agen1[Issue match],"victoire")</f>
        <v>0</v>
      </c>
      <c r="E56" s="110">
        <f ca="1">COUNTIFS(agen[adversaire],B56,agen[Lieu Match],"Extérieur",agen[Issue match],"victoire")</f>
        <v>0</v>
      </c>
      <c r="F56" s="111" t="e">
        <f t="shared" ca="1" si="8"/>
        <v>#DIV/0!</v>
      </c>
      <c r="G56" s="112">
        <f ca="1">COUNTIFS(agen[adversaire],B56,agen[Lieu Match],"domicile",agen[Issue match],"défaite")</f>
        <v>1</v>
      </c>
      <c r="H56" s="113">
        <f ca="1">COUNTIFS(agen[adversaire],B56,agen[Lieu Match],"Extérieur",agen[Issue match],"défaite")</f>
        <v>1</v>
      </c>
      <c r="I56" s="114" t="e">
        <f t="shared" ca="1" si="9"/>
        <v>#DIV/0!</v>
      </c>
      <c r="J56" s="115">
        <f>COUNTIFS(Agen1[adversaire],B56,Agen1[Lieu Match],"Domicile",Agen1[Issue match],"Nul")+COUNTIFS(Agen1[adversaire],B56,Agen1[Lieu Match],"Extérieur",Agen1[Issue match],"Nul")</f>
        <v>0</v>
      </c>
      <c r="K56" s="116" t="e">
        <f t="shared" ca="1" si="10"/>
        <v>#DIV/0!</v>
      </c>
      <c r="L56" s="117" t="e">
        <f t="shared" ca="1" si="11"/>
        <v>#DIV/0!</v>
      </c>
    </row>
    <row r="57" spans="1:12">
      <c r="A57" s="107" t="s">
        <v>14</v>
      </c>
      <c r="B57" s="108" t="s">
        <v>27</v>
      </c>
      <c r="C57" s="109">
        <f>COUNTIFS(Agen1[adversaire],B57)</f>
        <v>0</v>
      </c>
      <c r="D57" s="110">
        <f>COUNTIFS(Agen1[adversaire],B57,Agen1[Lieu Match],"domicile",Agen1[Issue match],"victoire")</f>
        <v>0</v>
      </c>
      <c r="E57" s="110">
        <f ca="1">COUNTIFS(agen[adversaire],B57,agen[Lieu Match],"Extérieur",agen[Issue match],"victoire")</f>
        <v>0</v>
      </c>
      <c r="F57" s="111" t="e">
        <f t="shared" ca="1" si="8"/>
        <v>#DIV/0!</v>
      </c>
      <c r="G57" s="112">
        <f ca="1">COUNTIFS(agen[adversaire],B57,agen[Lieu Match],"domicile",agen[Issue match],"défaite")</f>
        <v>1</v>
      </c>
      <c r="H57" s="113">
        <f ca="1">COUNTIFS(agen[adversaire],B57,agen[Lieu Match],"Extérieur",agen[Issue match],"défaite")</f>
        <v>1</v>
      </c>
      <c r="I57" s="114" t="e">
        <f t="shared" ca="1" si="9"/>
        <v>#DIV/0!</v>
      </c>
      <c r="J57" s="115">
        <f>COUNTIFS(Agen1[adversaire],B57,Agen1[Lieu Match],"Domicile",Agen1[Issue match],"Nul")+COUNTIFS(Agen1[adversaire],B57,Agen1[Lieu Match],"Extérieur",Agen1[Issue match],"Nul")</f>
        <v>0</v>
      </c>
      <c r="K57" s="116" t="e">
        <f t="shared" ca="1" si="10"/>
        <v>#DIV/0!</v>
      </c>
      <c r="L57" s="117" t="e">
        <f t="shared" ca="1" si="11"/>
        <v>#DIV/0!</v>
      </c>
    </row>
    <row r="58" spans="1:12">
      <c r="A58" s="107" t="s">
        <v>14</v>
      </c>
      <c r="B58" s="108" t="s">
        <v>28</v>
      </c>
      <c r="C58" s="109">
        <f>COUNTIFS(Agen1[adversaire],B58)</f>
        <v>0</v>
      </c>
      <c r="D58" s="110">
        <f>COUNTIFS(Agen1[adversaire],B58,Agen1[Lieu Match],"domicile",Agen1[Issue match],"victoire")</f>
        <v>0</v>
      </c>
      <c r="E58" s="110">
        <f ca="1">COUNTIFS(agen[adversaire],B58,agen[Lieu Match],"Extérieur",agen[Issue match],"victoire")</f>
        <v>0</v>
      </c>
      <c r="F58" s="111" t="e">
        <f t="shared" ca="1" si="8"/>
        <v>#DIV/0!</v>
      </c>
      <c r="G58" s="112">
        <f ca="1">COUNTIFS(agen[adversaire],B58,agen[Lieu Match],"domicile",agen[Issue match],"défaite")</f>
        <v>1</v>
      </c>
      <c r="H58" s="113">
        <f ca="1">COUNTIFS(agen[adversaire],B58,agen[Lieu Match],"Extérieur",agen[Issue match],"défaite")</f>
        <v>1</v>
      </c>
      <c r="I58" s="114" t="e">
        <f t="shared" ca="1" si="9"/>
        <v>#DIV/0!</v>
      </c>
      <c r="J58" s="115">
        <f>COUNTIFS(Agen1[adversaire],B58,Agen1[Lieu Match],"Domicile",Agen1[Issue match],"Nul")+COUNTIFS(Agen1[adversaire],B58,Agen1[Lieu Match],"Extérieur",Agen1[Issue match],"Nul")</f>
        <v>0</v>
      </c>
      <c r="K58" s="116" t="e">
        <f t="shared" ca="1" si="10"/>
        <v>#DIV/0!</v>
      </c>
      <c r="L58" s="117" t="e">
        <f t="shared" ca="1" si="11"/>
        <v>#DIV/0!</v>
      </c>
    </row>
    <row r="59" spans="1:12">
      <c r="A59" s="107" t="s">
        <v>14</v>
      </c>
      <c r="B59" s="108" t="s">
        <v>29</v>
      </c>
      <c r="C59" s="109">
        <f>COUNTIFS(Agen1[adversaire],B59)</f>
        <v>0</v>
      </c>
      <c r="D59" s="110">
        <f>COUNTIFS(Agen1[adversaire],B59,Agen1[Lieu Match],"domicile",Agen1[Issue match],"victoire")</f>
        <v>0</v>
      </c>
      <c r="E59" s="110">
        <f ca="1">COUNTIFS(agen[adversaire],B59,agen[Lieu Match],"Extérieur",agen[Issue match],"victoire")</f>
        <v>0</v>
      </c>
      <c r="F59" s="111" t="e">
        <f t="shared" ca="1" si="8"/>
        <v>#DIV/0!</v>
      </c>
      <c r="G59" s="112">
        <f ca="1">COUNTIFS(agen[adversaire],B59,agen[Lieu Match],"domicile",agen[Issue match],"défaite")</f>
        <v>1</v>
      </c>
      <c r="H59" s="113">
        <f ca="1">COUNTIFS(agen[adversaire],B59,agen[Lieu Match],"Extérieur",agen[Issue match],"défaite")</f>
        <v>1</v>
      </c>
      <c r="I59" s="114" t="e">
        <f t="shared" ca="1" si="9"/>
        <v>#DIV/0!</v>
      </c>
      <c r="J59" s="115">
        <f>COUNTIFS(Agen1[adversaire],B59,Agen1[Lieu Match],"Domicile",Agen1[Issue match],"Nul")+COUNTIFS(Agen1[adversaire],B59,Agen1[Lieu Match],"Extérieur",Agen1[Issue match],"Nul")</f>
        <v>0</v>
      </c>
      <c r="K59" s="116" t="e">
        <f t="shared" ca="1" si="10"/>
        <v>#DIV/0!</v>
      </c>
      <c r="L59" s="117" t="e">
        <f t="shared" ca="1" si="11"/>
        <v>#DIV/0!</v>
      </c>
    </row>
    <row r="60" spans="1:12">
      <c r="A60" s="107" t="s">
        <v>14</v>
      </c>
      <c r="B60" s="108" t="s">
        <v>30</v>
      </c>
      <c r="C60" s="109">
        <f>COUNTIFS(Agen1[adversaire],B60)</f>
        <v>0</v>
      </c>
      <c r="D60" s="110">
        <f>COUNTIFS(Agen1[adversaire],B60,Agen1[Lieu Match],"domicile",Agen1[Issue match],"victoire")</f>
        <v>0</v>
      </c>
      <c r="E60" s="110">
        <f ca="1">COUNTIFS(agen[adversaire],B60,agen[Lieu Match],"Extérieur",agen[Issue match],"victoire")</f>
        <v>0</v>
      </c>
      <c r="F60" s="111" t="e">
        <f t="shared" ca="1" si="8"/>
        <v>#DIV/0!</v>
      </c>
      <c r="G60" s="112">
        <f ca="1">COUNTIFS(agen[adversaire],B60,agen[Lieu Match],"domicile",agen[Issue match],"défaite")</f>
        <v>1</v>
      </c>
      <c r="H60" s="113">
        <f ca="1">COUNTIFS(agen[adversaire],B60,agen[Lieu Match],"Extérieur",agen[Issue match],"défaite")</f>
        <v>1</v>
      </c>
      <c r="I60" s="114" t="e">
        <f t="shared" ca="1" si="9"/>
        <v>#DIV/0!</v>
      </c>
      <c r="J60" s="115">
        <f>COUNTIFS(Agen1[adversaire],B60,Agen1[Lieu Match],"Domicile",Agen1[Issue match],"Nul")+COUNTIFS(Agen1[adversaire],B60,Agen1[Lieu Match],"Extérieur",Agen1[Issue match],"Nul")</f>
        <v>0</v>
      </c>
      <c r="K60" s="116" t="e">
        <f t="shared" ca="1" si="10"/>
        <v>#DIV/0!</v>
      </c>
      <c r="L60" s="117" t="e">
        <f t="shared" ca="1" si="11"/>
        <v>#DIV/0!</v>
      </c>
    </row>
    <row r="61" spans="1:12">
      <c r="A61" s="107" t="s">
        <v>14</v>
      </c>
      <c r="B61" s="108" t="s">
        <v>31</v>
      </c>
      <c r="C61" s="109">
        <f>COUNTIFS(Agen1[adversaire],B61)</f>
        <v>0</v>
      </c>
      <c r="D61" s="110">
        <f>COUNTIFS(Agen1[adversaire],B61,Agen1[Lieu Match],"domicile",Agen1[Issue match],"victoire")</f>
        <v>0</v>
      </c>
      <c r="E61" s="110">
        <f ca="1">COUNTIFS(agen[adversaire],B61,agen[Lieu Match],"Extérieur",agen[Issue match],"victoire")</f>
        <v>0</v>
      </c>
      <c r="F61" s="111" t="e">
        <f t="shared" ca="1" si="8"/>
        <v>#DIV/0!</v>
      </c>
      <c r="G61" s="112">
        <f ca="1">COUNTIFS(agen[adversaire],B61,agen[Lieu Match],"domicile",agen[Issue match],"défaite")</f>
        <v>1</v>
      </c>
      <c r="H61" s="113">
        <f ca="1">COUNTIFS(agen[adversaire],B61,agen[Lieu Match],"Extérieur",agen[Issue match],"défaite")</f>
        <v>1</v>
      </c>
      <c r="I61" s="114" t="e">
        <f t="shared" ca="1" si="9"/>
        <v>#DIV/0!</v>
      </c>
      <c r="J61" s="115">
        <f>COUNTIFS(Agen1[adversaire],B61,Agen1[Lieu Match],"Domicile",Agen1[Issue match],"Nul")+COUNTIFS(Agen1[adversaire],B61,Agen1[Lieu Match],"Extérieur",Agen1[Issue match],"Nul")</f>
        <v>0</v>
      </c>
      <c r="K61" s="116" t="e">
        <f t="shared" ca="1" si="10"/>
        <v>#DIV/0!</v>
      </c>
      <c r="L61" s="117" t="e">
        <f t="shared" ca="1" si="11"/>
        <v>#DIV/0!</v>
      </c>
    </row>
    <row r="62" spans="1:12">
      <c r="A62" s="107" t="s">
        <v>14</v>
      </c>
      <c r="B62" s="108" t="s">
        <v>32</v>
      </c>
      <c r="C62" s="109">
        <f>COUNTIFS(Agen1[adversaire],B62)</f>
        <v>0</v>
      </c>
      <c r="D62" s="110">
        <f>COUNTIFS(Agen1[adversaire],B62,Agen1[Lieu Match],"domicile",Agen1[Issue match],"victoire")</f>
        <v>0</v>
      </c>
      <c r="E62" s="110">
        <f ca="1">COUNTIFS(agen[adversaire],B62,agen[Lieu Match],"Extérieur",agen[Issue match],"victoire")</f>
        <v>0</v>
      </c>
      <c r="F62" s="111" t="e">
        <f t="shared" ca="1" si="8"/>
        <v>#DIV/0!</v>
      </c>
      <c r="G62" s="112">
        <f ca="1">COUNTIFS(agen[adversaire],B62,agen[Lieu Match],"domicile",agen[Issue match],"défaite")</f>
        <v>1</v>
      </c>
      <c r="H62" s="113">
        <f ca="1">COUNTIFS(agen[adversaire],B62,agen[Lieu Match],"Extérieur",agen[Issue match],"défaite")</f>
        <v>1</v>
      </c>
      <c r="I62" s="114" t="e">
        <f t="shared" ca="1" si="9"/>
        <v>#DIV/0!</v>
      </c>
      <c r="J62" s="115">
        <f>COUNTIFS(Agen1[adversaire],B62,Agen1[Lieu Match],"Domicile",Agen1[Issue match],"Nul")+COUNTIFS(Agen1[adversaire],B62,Agen1[Lieu Match],"Extérieur",Agen1[Issue match],"Nul")</f>
        <v>0</v>
      </c>
      <c r="K62" s="116" t="e">
        <f t="shared" ca="1" si="10"/>
        <v>#DIV/0!</v>
      </c>
      <c r="L62" s="117" t="e">
        <f t="shared" ca="1" si="11"/>
        <v>#DIV/0!</v>
      </c>
    </row>
    <row r="63" spans="1:12">
      <c r="A63" s="107" t="s">
        <v>14</v>
      </c>
      <c r="B63" s="108" t="s">
        <v>15</v>
      </c>
      <c r="C63" s="109">
        <f>COUNTIFS(Agen1[adversaire],B63)</f>
        <v>0</v>
      </c>
      <c r="D63" s="110">
        <f>COUNTIFS(Agen1[adversaire],B63,Agen1[Lieu Match],"domicile",Agen1[Issue match],"victoire")</f>
        <v>0</v>
      </c>
      <c r="E63" s="110">
        <f ca="1">COUNTIFS(agen[adversaire],B63,agen[Lieu Match],"Extérieur",agen[Issue match],"victoire")</f>
        <v>0</v>
      </c>
      <c r="F63" s="111" t="e">
        <f t="shared" ca="1" si="8"/>
        <v>#DIV/0!</v>
      </c>
      <c r="G63" s="112">
        <f ca="1">COUNTIFS(agen[adversaire],B63,agen[Lieu Match],"domicile",agen[Issue match],"défaite")</f>
        <v>1</v>
      </c>
      <c r="H63" s="113">
        <f ca="1">COUNTIFS(agen[adversaire],B63,agen[Lieu Match],"Extérieur",agen[Issue match],"défaite")</f>
        <v>1</v>
      </c>
      <c r="I63" s="114" t="e">
        <f t="shared" ca="1" si="9"/>
        <v>#DIV/0!</v>
      </c>
      <c r="J63" s="115">
        <f>COUNTIFS(Agen1[adversaire],B63,Agen1[Lieu Match],"Domicile",Agen1[Issue match],"Nul")+COUNTIFS(Agen1[adversaire],B63,Agen1[Lieu Match],"Extérieur",Agen1[Issue match],"Nul")</f>
        <v>0</v>
      </c>
      <c r="K63" s="116" t="e">
        <f t="shared" ca="1" si="10"/>
        <v>#DIV/0!</v>
      </c>
      <c r="L63" s="117" t="e">
        <f t="shared" ca="1" si="11"/>
        <v>#DIV/0!</v>
      </c>
    </row>
    <row r="64" spans="1:12">
      <c r="A64" s="107" t="s">
        <v>14</v>
      </c>
      <c r="B64" s="108" t="s">
        <v>33</v>
      </c>
      <c r="C64" s="109">
        <f>COUNTIFS(Agen1[adversaire],B64)</f>
        <v>0</v>
      </c>
      <c r="D64" s="110">
        <f>COUNTIFS(Agen1[adversaire],B64,Agen1[Lieu Match],"domicile",Agen1[Issue match],"victoire")</f>
        <v>0</v>
      </c>
      <c r="E64" s="110">
        <f ca="1">COUNTIFS(agen[adversaire],B64,agen[Lieu Match],"Extérieur",agen[Issue match],"victoire")</f>
        <v>0</v>
      </c>
      <c r="F64" s="111" t="e">
        <f t="shared" ca="1" si="8"/>
        <v>#DIV/0!</v>
      </c>
      <c r="G64" s="112">
        <f ca="1">COUNTIFS(agen[adversaire],B64,agen[Lieu Match],"domicile",agen[Issue match],"défaite")</f>
        <v>1</v>
      </c>
      <c r="H64" s="113">
        <f ca="1">COUNTIFS(agen[adversaire],B64,agen[Lieu Match],"Extérieur",agen[Issue match],"défaite")</f>
        <v>1</v>
      </c>
      <c r="I64" s="114" t="e">
        <f t="shared" ca="1" si="9"/>
        <v>#DIV/0!</v>
      </c>
      <c r="J64" s="115">
        <f>COUNTIFS(Agen1[adversaire],B64,Agen1[Lieu Match],"Domicile",Agen1[Issue match],"Nul")+COUNTIFS(Agen1[adversaire],B64,Agen1[Lieu Match],"Extérieur",Agen1[Issue match],"Nul")</f>
        <v>0</v>
      </c>
      <c r="K64" s="116" t="e">
        <f t="shared" ca="1" si="10"/>
        <v>#DIV/0!</v>
      </c>
      <c r="L64" s="117" t="e">
        <f t="shared" ca="1" si="11"/>
        <v>#DIV/0!</v>
      </c>
    </row>
  </sheetData>
  <mergeCells count="7">
    <mergeCell ref="A35:B35"/>
    <mergeCell ref="Q9:S9"/>
    <mergeCell ref="A1:A2"/>
    <mergeCell ref="B1:E1"/>
    <mergeCell ref="L1:N1"/>
    <mergeCell ref="Q1:S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V64"/>
  <sheetViews>
    <sheetView zoomScale="85" zoomScaleNormal="85" zoomScalePageLayoutView="85" workbookViewId="0">
      <selection activeCell="H14" sqref="H14"/>
    </sheetView>
  </sheetViews>
  <sheetFormatPr baseColWidth="10" defaultColWidth="10.5" defaultRowHeight="14" x14ac:dyDescent="0"/>
  <cols>
    <col min="1" max="1" width="13.33203125" bestFit="1" customWidth="1"/>
    <col min="2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14.6640625" customWidth="1"/>
    <col min="9" max="9" width="9.5" bestFit="1" customWidth="1"/>
    <col min="10" max="10" width="4.83203125" bestFit="1" customWidth="1"/>
    <col min="11" max="11" width="14.33203125" style="1" bestFit="1" customWidth="1"/>
    <col min="12" max="12" width="9.33203125" bestFit="1" customWidth="1"/>
    <col min="13" max="13" width="12.1640625" bestFit="1" customWidth="1"/>
    <col min="16" max="16" width="14.33203125" bestFit="1" customWidth="1"/>
    <col min="17" max="17" width="12.1640625" bestFit="1" customWidth="1"/>
  </cols>
  <sheetData>
    <row r="1" spans="1:22">
      <c r="A1" s="121" t="s">
        <v>42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  <c r="V1" s="1"/>
    </row>
    <row r="2" spans="1:22">
      <c r="A2" s="121"/>
      <c r="B2" s="14" t="s">
        <v>1</v>
      </c>
      <c r="C2" s="14" t="s">
        <v>4</v>
      </c>
      <c r="D2" s="14" t="s">
        <v>35</v>
      </c>
      <c r="E2" s="14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SUMIFS(bayonne[Score D],bayonne[Lieu Match],"domicile")</f>
        <v>40</v>
      </c>
      <c r="M2" s="72">
        <f ca="1">SUMIFS(bayonne[Score E],bayonne[Lieu Match],"domicile")</f>
        <v>55</v>
      </c>
      <c r="N2" s="72">
        <f ca="1">L2-M2</f>
        <v>-15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  <c r="V2" s="1"/>
    </row>
    <row r="3" spans="1:22">
      <c r="A3" s="10" t="s">
        <v>2</v>
      </c>
      <c r="B3" s="15">
        <f ca="1">COUNTIF(bayonne[Lieu Match],"domicile")</f>
        <v>13</v>
      </c>
      <c r="C3" s="62">
        <f ca="1">COUNTIFS(bayonne[Issue match],"victoire",bayonne[Lieu Match],"domicile")</f>
        <v>1</v>
      </c>
      <c r="D3" s="62">
        <f ca="1">COUNTIFS(bayonne[Issue match],"nul",bayonne[Lieu Match],"domicile")</f>
        <v>0</v>
      </c>
      <c r="E3" s="62">
        <f ca="1">COUNTIFS(bayonne[Issue match],"défaite",bayonne[Lieu Match],"domicile")</f>
        <v>12</v>
      </c>
      <c r="F3" s="77">
        <f ca="1">C3+E3+D3-D3</f>
        <v>13</v>
      </c>
      <c r="G3" s="6" t="s">
        <v>42</v>
      </c>
      <c r="H3" s="7" t="s">
        <v>46</v>
      </c>
      <c r="K3" s="10" t="s">
        <v>9</v>
      </c>
      <c r="L3" s="18">
        <f ca="1">L2/F3</f>
        <v>3.0769230769230771</v>
      </c>
      <c r="M3" s="18">
        <f ca="1">M2/F3</f>
        <v>4.2307692307692308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  <c r="V3" s="1"/>
    </row>
    <row r="4" spans="1:22">
      <c r="A4" s="10" t="s">
        <v>3</v>
      </c>
      <c r="B4" s="15">
        <f ca="1">COUNTIF(bayonne[Lieu Match],"extérieur")</f>
        <v>13</v>
      </c>
      <c r="C4" s="62">
        <f ca="1">COUNTIFS(bayonne[Issue match],"victoire",bayonne[Lieu Match],"extérieur")</f>
        <v>2</v>
      </c>
      <c r="D4" s="62">
        <f ca="1">COUNTIFS(bayonne[Issue match],"nul",bayonne[Lieu Match],"extérieur")</f>
        <v>0</v>
      </c>
      <c r="E4" s="62">
        <f ca="1">COUNTIFS(bayonne[Issue match],"défaite",bayonne[Lieu Match],"extérieur")</f>
        <v>11</v>
      </c>
      <c r="F4" s="77">
        <f ca="1">C4+E4+D4-D4</f>
        <v>13</v>
      </c>
      <c r="G4" s="8">
        <f t="array" ref="G4">INDEX($C$36:$L$48,MATCH(1,($A$36:$A$48=$A$1)*($B$36:$B$48=$H$3),0),4)</f>
        <v>0.33333333333333331</v>
      </c>
      <c r="H4" s="8">
        <f t="array" ref="H4">INDEX($C$36:$L$48,MATCH(1,($A$36:$A$48=$G$3)*($B$36:$B$48=$H$3),0),7)</f>
        <v>0.4</v>
      </c>
      <c r="K4" s="10" t="s">
        <v>8</v>
      </c>
      <c r="L4" s="72">
        <f ca="1">SUMIFS(bayonne[Score D],bayonne[Lieu Match],"extérieur")</f>
        <v>138</v>
      </c>
      <c r="M4" s="72">
        <f ca="1">SUMIFS(bayonne[Score E],bayonne[Lieu Match],"extérieur")</f>
        <v>85</v>
      </c>
      <c r="N4" s="13">
        <f ca="1">L4-M4</f>
        <v>53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  <c r="V4" s="1"/>
    </row>
    <row r="5" spans="1:22">
      <c r="A5" s="10" t="s">
        <v>36</v>
      </c>
      <c r="B5" s="15">
        <f ca="1">B3+B4</f>
        <v>26</v>
      </c>
      <c r="C5" s="15">
        <f t="shared" ref="C5:E5" ca="1" si="0">C3+C4</f>
        <v>3</v>
      </c>
      <c r="D5" s="15">
        <f t="shared" ca="1" si="0"/>
        <v>0</v>
      </c>
      <c r="E5" s="15">
        <f t="shared" ca="1" si="0"/>
        <v>23</v>
      </c>
      <c r="F5" s="77">
        <f ca="1">C5+E5+D5-D5</f>
        <v>26</v>
      </c>
      <c r="G5" s="9">
        <f>100/G4/100</f>
        <v>3</v>
      </c>
      <c r="H5" s="9">
        <f>100/H4/100</f>
        <v>2.5</v>
      </c>
      <c r="K5" s="10" t="s">
        <v>9</v>
      </c>
      <c r="L5" s="18">
        <f ca="1">L4/F4</f>
        <v>10.615384615384615</v>
      </c>
      <c r="M5" s="18">
        <f ca="1">M4/F4</f>
        <v>6.5384615384615383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  <c r="V5" s="1"/>
    </row>
    <row r="6" spans="1:22">
      <c r="A6" s="1"/>
      <c r="B6" s="1"/>
      <c r="C6" s="1"/>
      <c r="D6" s="1"/>
      <c r="E6" s="1"/>
      <c r="F6" s="1"/>
      <c r="K6" s="10" t="s">
        <v>10</v>
      </c>
      <c r="L6" s="13">
        <f ca="1">L2+M4</f>
        <v>125</v>
      </c>
      <c r="M6" s="13">
        <f ca="1">M2+L4</f>
        <v>193</v>
      </c>
      <c r="N6" s="13">
        <f ca="1">L6-M6</f>
        <v>-68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  <c r="V6" s="1"/>
    </row>
    <row r="7" spans="1:22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4.8076923076923075</v>
      </c>
      <c r="M7" s="18">
        <f ca="1">M6/F5</f>
        <v>7.4230769230769234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  <c r="T7" s="1"/>
      <c r="U7" s="1"/>
      <c r="V7" s="1"/>
    </row>
    <row r="8" spans="1:22">
      <c r="A8" s="39" t="s">
        <v>124</v>
      </c>
      <c r="B8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Brive</v>
      </c>
      <c r="C8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8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8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42</v>
      </c>
      <c r="F8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23</v>
      </c>
      <c r="G8" s="34">
        <v>0</v>
      </c>
      <c r="H8" s="49">
        <v>0</v>
      </c>
      <c r="I8" s="50">
        <f ca="1">(bayonne[[#This Row],[Issue match]]="Victoire")*4 + (bayonne[[#This Row],[Issue match]]="Nul")*2 + bayonne[[#This Row],[Bonus off]] + bayonne[[#This Row],[Bonus déf]]</f>
        <v>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>
      <c r="A9" s="39" t="s">
        <v>125</v>
      </c>
      <c r="B9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Clermont</v>
      </c>
      <c r="C9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9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Victoire</v>
      </c>
      <c r="E9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21</v>
      </c>
      <c r="F9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19</v>
      </c>
      <c r="G9" s="34">
        <v>0</v>
      </c>
      <c r="H9" s="49">
        <v>0</v>
      </c>
      <c r="I9" s="50">
        <f ca="1">(bayonne[[#This Row],[Issue match]]="Victoire")*4 + (bayonne[[#This Row],[Issue match]]="Nul")*2 + bayonne[[#This Row],[Bonus off]] + bayonne[[#This Row],[Bonus déf]]</f>
        <v>4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  <c r="T9" s="1"/>
      <c r="U9" s="1"/>
      <c r="V9" s="1"/>
    </row>
    <row r="10" spans="1:22">
      <c r="A10" s="39" t="s">
        <v>126</v>
      </c>
      <c r="B10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Paris</v>
      </c>
      <c r="C10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10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Victoire</v>
      </c>
      <c r="E10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19</v>
      </c>
      <c r="F10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26</v>
      </c>
      <c r="G10" s="34">
        <v>0</v>
      </c>
      <c r="H10" s="49">
        <v>0</v>
      </c>
      <c r="I10" s="50">
        <f ca="1">(bayonne[[#This Row],[Issue match]]="Victoire")*4 + (bayonne[[#This Row],[Issue match]]="Nul")*2 + bayonne[[#This Row],[Bonus off]] + bayonne[[#This Row],[Bonus déf]]</f>
        <v>4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  <c r="T10" s="1"/>
      <c r="U10" s="1"/>
      <c r="V10" s="1"/>
    </row>
    <row r="11" spans="1:22">
      <c r="A11" s="39" t="s">
        <v>127</v>
      </c>
      <c r="B11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La Rochelle</v>
      </c>
      <c r="C11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11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11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19</v>
      </c>
      <c r="F11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36</v>
      </c>
      <c r="G11" s="34">
        <v>0</v>
      </c>
      <c r="H11" s="49">
        <v>0</v>
      </c>
      <c r="I11" s="50">
        <f ca="1">(bayonne[[#This Row],[Issue match]]="Victoire")*4 + (bayonne[[#This Row],[Issue match]]="Nul")*2 + bayonne[[#This Row],[Bonus off]] + bayonne[[#This Row],[Bonus déf]]</f>
        <v>0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  <c r="T11" s="1"/>
      <c r="U11" s="1"/>
      <c r="V11" s="1"/>
    </row>
    <row r="12" spans="1:22">
      <c r="A12" s="39" t="s">
        <v>128</v>
      </c>
      <c r="B12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Lyon</v>
      </c>
      <c r="C12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12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12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62</v>
      </c>
      <c r="F12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10</v>
      </c>
      <c r="G12" s="34">
        <v>0</v>
      </c>
      <c r="H12" s="49">
        <v>0</v>
      </c>
      <c r="I12" s="50">
        <f ca="1">(bayonne[[#This Row],[Issue match]]="Victoire")*4 + (bayonne[[#This Row],[Issue match]]="Nul")*2 + bayonne[[#This Row],[Bonus off]] + bayonne[[#This Row],[Bonus déf]]</f>
        <v>0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  <c r="T12" s="1"/>
      <c r="U12" s="1"/>
      <c r="V12" s="1"/>
    </row>
    <row r="13" spans="1:22">
      <c r="A13" s="39" t="s">
        <v>129</v>
      </c>
      <c r="B13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Agen</v>
      </c>
      <c r="C13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13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Victoire</v>
      </c>
      <c r="E13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15</v>
      </c>
      <c r="F13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26</v>
      </c>
      <c r="G13" s="34">
        <v>0</v>
      </c>
      <c r="H13" s="49">
        <v>0</v>
      </c>
      <c r="I13" s="50">
        <f ca="1">(bayonne[[#This Row],[Issue match]]="Victoire")*4 + (bayonne[[#This Row],[Issue match]]="Nul")*2 + bayonne[[#This Row],[Bonus off]] + bayonne[[#This Row],[Bonus déf]]</f>
        <v>4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  <c r="T13" s="1"/>
      <c r="U13" s="1"/>
      <c r="V13" s="1"/>
    </row>
    <row r="14" spans="1:22">
      <c r="A14" s="39" t="s">
        <v>130</v>
      </c>
      <c r="B14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Toulon</v>
      </c>
      <c r="C14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14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14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14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14" s="34"/>
      <c r="H14" s="49"/>
      <c r="I14" s="50">
        <f ca="1">(bayonne[[#This Row],[Issue match]]="Victoire")*4 + (bayonne[[#This Row],[Issue match]]="Nul")*2 + bayonne[[#This Row],[Bonus off]] + bayonne[[#This Row],[Bonus déf]]</f>
        <v>0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  <c r="T14" s="1"/>
      <c r="U14" s="1"/>
      <c r="V14" s="1"/>
    </row>
    <row r="15" spans="1:22">
      <c r="A15" s="39" t="s">
        <v>131</v>
      </c>
      <c r="B15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Bordeaux</v>
      </c>
      <c r="C15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15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15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15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15" s="34"/>
      <c r="H15" s="49"/>
      <c r="I15" s="50">
        <f ca="1">(bayonne[[#This Row],[Issue match]]="Victoire")*4 + (bayonne[[#This Row],[Issue match]]="Nul")*2 + bayonne[[#This Row],[Bonus off]] + bayonne[[#This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  <c r="T15" s="1"/>
      <c r="U15" s="1"/>
      <c r="V15" s="1"/>
    </row>
    <row r="16" spans="1:22">
      <c r="A16" s="39" t="s">
        <v>132</v>
      </c>
      <c r="B16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Lyon</v>
      </c>
      <c r="C16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16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16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16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16" s="34"/>
      <c r="H16" s="49"/>
      <c r="I16" s="50">
        <f ca="1">(bayonne[[#This Row],[Issue match]]="Victoire")*4 + (bayonne[[#This Row],[Issue match]]="Nul")*2 + bayonne[[#This Row],[Bonus off]] + bayonne[[#This Row],[Bonus déf]]</f>
        <v>0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>
      <c r="A17" s="39" t="s">
        <v>133</v>
      </c>
      <c r="B17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Racing 92</v>
      </c>
      <c r="C17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17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17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17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17" s="34"/>
      <c r="H17" s="49"/>
      <c r="I17" s="50">
        <f ca="1">(bayonne[[#This Row],[Issue match]]="Victoire")*4 + (bayonne[[#This Row],[Issue match]]="Nul")*2 + bayonne[[#This Row],[Bonus off]] + bayonne[[#This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  <c r="T17" s="1"/>
      <c r="U17" s="1"/>
      <c r="V17" s="1"/>
    </row>
    <row r="18" spans="1:22">
      <c r="A18" s="39" t="s">
        <v>134</v>
      </c>
      <c r="B18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Toulouse</v>
      </c>
      <c r="C18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18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18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18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18" s="34"/>
      <c r="H18" s="49"/>
      <c r="I18" s="50">
        <f ca="1">(bayonne[[#This Row],[Issue match]]="Victoire")*4 + (bayonne[[#This Row],[Issue match]]="Nul")*2 + bayonne[[#This Row],[Bonus off]] + bayonne[[#This Row],[Bonus déf]]</f>
        <v>0</v>
      </c>
      <c r="K18" s="10" t="s">
        <v>7</v>
      </c>
      <c r="L18" s="13"/>
      <c r="M18" s="72"/>
      <c r="N18" s="72"/>
      <c r="O18" s="1"/>
      <c r="P18" s="1"/>
      <c r="Q18" s="1"/>
      <c r="R18" s="1"/>
      <c r="S18" s="1"/>
      <c r="T18" s="1"/>
      <c r="U18" s="1"/>
      <c r="V18" s="1"/>
    </row>
    <row r="19" spans="1:22">
      <c r="A19" s="39" t="s">
        <v>135</v>
      </c>
      <c r="B19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Castres</v>
      </c>
      <c r="C19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19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19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19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19" s="34"/>
      <c r="H19" s="49"/>
      <c r="I19" s="50">
        <f ca="1">(bayonne[[#This Row],[Issue match]]="Victoire")*4 + (bayonne[[#This Row],[Issue match]]="Nul")*2 + bayonne[[#This Row],[Bonus off]] + bayonne[[#This Row],[Bonus déf]]</f>
        <v>0</v>
      </c>
      <c r="K19" s="10" t="s">
        <v>9</v>
      </c>
      <c r="L19" s="18"/>
      <c r="M19" s="18"/>
      <c r="N19" s="13"/>
      <c r="O19" s="1"/>
      <c r="P19" s="1" t="s">
        <v>42</v>
      </c>
      <c r="Q19" s="26" t="s">
        <v>41</v>
      </c>
      <c r="R19" s="1"/>
      <c r="S19" s="1"/>
      <c r="T19" s="1"/>
      <c r="U19" s="1"/>
      <c r="V19" s="1"/>
    </row>
    <row r="20" spans="1:22">
      <c r="A20" s="39" t="s">
        <v>136</v>
      </c>
      <c r="B20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Pau</v>
      </c>
      <c r="C20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20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0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0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0" s="34"/>
      <c r="H20" s="49"/>
      <c r="I20" s="50">
        <f ca="1">(bayonne[[#This Row],[Issue match]]="Victoire")*4 + (bayonne[[#This Row],[Issue match]]="Nul")*2 + bayonne[[#This Row],[Bonus off]] + bayonne[[#This Row],[Bonus déf]]</f>
        <v>0</v>
      </c>
      <c r="K20" s="10" t="s">
        <v>8</v>
      </c>
      <c r="L20" s="72"/>
      <c r="M20" s="72"/>
      <c r="N20" s="13"/>
      <c r="O20" s="1"/>
      <c r="P20" s="1" t="s">
        <v>42</v>
      </c>
      <c r="Q20" s="12" t="s">
        <v>43</v>
      </c>
      <c r="R20" s="1"/>
      <c r="S20" s="1"/>
      <c r="T20" s="1"/>
      <c r="U20" s="1"/>
      <c r="V20" s="1"/>
    </row>
    <row r="21" spans="1:22">
      <c r="A21" s="39" t="s">
        <v>137</v>
      </c>
      <c r="B21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Toulon</v>
      </c>
      <c r="C21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21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1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1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1" s="34"/>
      <c r="H21" s="49"/>
      <c r="I21" s="50">
        <f ca="1">(bayonne[[#This Row],[Issue match]]="Victoire")*4 + (bayonne[[#This Row],[Issue match]]="Nul")*2 + bayonne[[#This Row],[Bonus off]] + bayonne[[#This Row],[Bonus déf]]</f>
        <v>0</v>
      </c>
      <c r="K21" s="10" t="s">
        <v>9</v>
      </c>
      <c r="L21" s="18"/>
      <c r="M21" s="18"/>
      <c r="N21" s="13"/>
      <c r="O21" s="1"/>
      <c r="P21" s="1" t="s">
        <v>42</v>
      </c>
      <c r="Q21" s="12" t="s">
        <v>40</v>
      </c>
      <c r="R21" s="1"/>
      <c r="S21" s="1"/>
      <c r="T21" s="1"/>
      <c r="U21" s="1"/>
      <c r="V21" s="1"/>
    </row>
    <row r="22" spans="1:22">
      <c r="A22" s="39" t="s">
        <v>138</v>
      </c>
      <c r="B22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Agen</v>
      </c>
      <c r="C22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22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2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2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2" s="34"/>
      <c r="H22" s="49"/>
      <c r="I22" s="50">
        <f ca="1">(bayonne[[#This Row],[Issue match]]="Victoire")*4 + (bayonne[[#This Row],[Issue match]]="Nul")*2 + bayonne[[#This Row],[Bonus off]] + bayonne[[#This Row],[Bonus déf]]</f>
        <v>0</v>
      </c>
      <c r="K22" s="10" t="s">
        <v>10</v>
      </c>
      <c r="L22" s="13"/>
      <c r="M22" s="13"/>
      <c r="N22" s="13"/>
      <c r="O22" s="1"/>
      <c r="P22" s="1" t="s">
        <v>42</v>
      </c>
      <c r="Q22" s="12" t="s">
        <v>44</v>
      </c>
      <c r="R22" s="1"/>
      <c r="S22" s="1"/>
      <c r="T22" s="1"/>
      <c r="U22" s="1"/>
      <c r="V22" s="1"/>
    </row>
    <row r="23" spans="1:22">
      <c r="A23" s="39" t="s">
        <v>139</v>
      </c>
      <c r="B23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Brive</v>
      </c>
      <c r="C23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23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3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3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3" s="34"/>
      <c r="H23" s="49"/>
      <c r="I23" s="50">
        <f ca="1">(bayonne[[#This Row],[Issue match]]="Victoire")*4 + (bayonne[[#This Row],[Issue match]]="Nul")*2 + bayonne[[#This Row],[Bonus off]] + bayonne[[#This Row],[Bonus déf]]</f>
        <v>0</v>
      </c>
      <c r="K23" s="10" t="s">
        <v>9</v>
      </c>
      <c r="L23" s="18"/>
      <c r="M23" s="18"/>
      <c r="N23" s="13"/>
      <c r="O23" s="1"/>
      <c r="P23" s="1" t="s">
        <v>42</v>
      </c>
      <c r="Q23" s="12" t="s">
        <v>45</v>
      </c>
      <c r="R23" s="1"/>
      <c r="S23" s="1"/>
      <c r="T23" s="1"/>
      <c r="U23" s="1"/>
      <c r="V23" s="1"/>
    </row>
    <row r="24" spans="1:22">
      <c r="A24" s="39" t="s">
        <v>140</v>
      </c>
      <c r="B24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Clermont</v>
      </c>
      <c r="C24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24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4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4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4" s="34"/>
      <c r="H24" s="49"/>
      <c r="I24" s="50">
        <f ca="1">(bayonne[[#This Row],[Issue match]]="Victoire")*4 + (bayonne[[#This Row],[Issue match]]="Nul")*2 + bayonne[[#This Row],[Bonus off]] + bayonne[[#This Row],[Bonus déf]]</f>
        <v>0</v>
      </c>
      <c r="L24" s="1"/>
      <c r="M24" s="1"/>
      <c r="N24" s="1"/>
      <c r="O24" s="1"/>
      <c r="P24" s="1" t="s">
        <v>42</v>
      </c>
      <c r="Q24" s="12" t="s">
        <v>46</v>
      </c>
      <c r="R24" s="1"/>
      <c r="S24" s="1"/>
      <c r="T24" s="1"/>
      <c r="U24" s="1"/>
      <c r="V24" s="1"/>
    </row>
    <row r="25" spans="1:22">
      <c r="A25" s="39" t="s">
        <v>141</v>
      </c>
      <c r="B25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Lyon</v>
      </c>
      <c r="C25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25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5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5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5" s="34"/>
      <c r="H25" s="49"/>
      <c r="I25" s="50">
        <f ca="1">(bayonne[[#This Row],[Issue match]]="Victoire")*4 + (bayonne[[#This Row],[Issue match]]="Nul")*2 + bayonne[[#This Row],[Bonus off]] + bayonne[[#This Row],[Bonus déf]]</f>
        <v>0</v>
      </c>
      <c r="K25" s="10" t="s">
        <v>6</v>
      </c>
      <c r="L25" s="69"/>
      <c r="M25" s="70"/>
      <c r="N25" s="71"/>
      <c r="O25" s="1"/>
      <c r="P25" s="1" t="s">
        <v>42</v>
      </c>
      <c r="Q25" s="12" t="s">
        <v>47</v>
      </c>
      <c r="R25" s="1"/>
      <c r="S25" s="1"/>
      <c r="T25" s="1"/>
      <c r="U25" s="1"/>
      <c r="V25" s="1"/>
    </row>
    <row r="26" spans="1:22">
      <c r="A26" s="39" t="s">
        <v>142</v>
      </c>
      <c r="B26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La Rochelle</v>
      </c>
      <c r="C26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26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6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6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6" s="34"/>
      <c r="H26" s="49"/>
      <c r="I26" s="50">
        <f ca="1">(bayonne[[#This Row],[Issue match]]="Victoire")*4 + (bayonne[[#This Row],[Issue match]]="Nul")*2 + bayonne[[#This Row],[Bonus off]] + bayonne[[#This Row],[Bonus déf]]</f>
        <v>0</v>
      </c>
      <c r="K26" s="10" t="s">
        <v>7</v>
      </c>
      <c r="L26" s="13"/>
      <c r="M26" s="72"/>
      <c r="N26" s="72"/>
      <c r="O26" s="1"/>
      <c r="P26" s="1" t="s">
        <v>42</v>
      </c>
      <c r="Q26" s="12" t="s">
        <v>48</v>
      </c>
      <c r="R26" s="1"/>
      <c r="S26" s="1"/>
      <c r="T26" s="1"/>
      <c r="U26" s="1"/>
      <c r="V26" s="1"/>
    </row>
    <row r="27" spans="1:22">
      <c r="A27" s="39" t="s">
        <v>143</v>
      </c>
      <c r="B27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Racing 92</v>
      </c>
      <c r="C27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27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7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7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7" s="34"/>
      <c r="H27" s="49"/>
      <c r="I27" s="50">
        <f ca="1">(bayonne[[#This Row],[Issue match]]="Victoire")*4 + (bayonne[[#This Row],[Issue match]]="Nul")*2 + bayonne[[#This Row],[Bonus off]] + bayonne[[#This Row],[Bonus déf]]</f>
        <v>0</v>
      </c>
      <c r="K27" s="10" t="s">
        <v>9</v>
      </c>
      <c r="L27" s="18"/>
      <c r="M27" s="18"/>
      <c r="N27" s="13"/>
      <c r="O27" s="1"/>
      <c r="P27" s="1" t="s">
        <v>42</v>
      </c>
      <c r="Q27" s="12" t="s">
        <v>49</v>
      </c>
      <c r="R27" s="1"/>
      <c r="S27" s="1"/>
      <c r="T27" s="1"/>
      <c r="U27" s="1"/>
      <c r="V27" s="1"/>
    </row>
    <row r="28" spans="1:22">
      <c r="A28" s="39" t="s">
        <v>144</v>
      </c>
      <c r="B28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Pau</v>
      </c>
      <c r="C28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28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8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8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8" s="34"/>
      <c r="H28" s="49"/>
      <c r="I28" s="50">
        <f ca="1">(bayonne[[#This Row],[Issue match]]="Victoire")*4 + (bayonne[[#This Row],[Issue match]]="Nul")*2 + bayonne[[#This Row],[Bonus off]] + bayonne[[#This Row],[Bonus déf]]</f>
        <v>0</v>
      </c>
      <c r="K28" s="10" t="s">
        <v>8</v>
      </c>
      <c r="L28" s="72"/>
      <c r="M28" s="72"/>
      <c r="N28" s="13"/>
      <c r="O28" s="1"/>
      <c r="P28" s="1" t="s">
        <v>42</v>
      </c>
      <c r="Q28" s="12" t="s">
        <v>50</v>
      </c>
      <c r="R28" s="1"/>
      <c r="S28" s="1"/>
      <c r="T28" s="1"/>
      <c r="U28" s="1"/>
      <c r="V28" s="1"/>
    </row>
    <row r="29" spans="1:22">
      <c r="A29" s="39" t="s">
        <v>145</v>
      </c>
      <c r="B29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Castres</v>
      </c>
      <c r="C29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29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29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29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29" s="34"/>
      <c r="H29" s="49"/>
      <c r="I29" s="50">
        <f ca="1">(bayonne[[#This Row],[Issue match]]="Victoire")*4 + (bayonne[[#This Row],[Issue match]]="Nul")*2 + bayonne[[#This Row],[Bonus off]] + bayonne[[#This Row],[Bonus déf]]</f>
        <v>0</v>
      </c>
      <c r="K29" s="10" t="s">
        <v>9</v>
      </c>
      <c r="L29" s="18"/>
      <c r="M29" s="18"/>
      <c r="N29" s="13"/>
      <c r="O29" s="1"/>
      <c r="P29" s="1" t="s">
        <v>42</v>
      </c>
      <c r="Q29" s="12" t="s">
        <v>51</v>
      </c>
      <c r="R29" s="1"/>
      <c r="S29" s="1"/>
      <c r="T29" s="1"/>
      <c r="U29" s="1"/>
      <c r="V29" s="1"/>
    </row>
    <row r="30" spans="1:22">
      <c r="A30" s="39" t="s">
        <v>146</v>
      </c>
      <c r="B30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Bordeaux</v>
      </c>
      <c r="C30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30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30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30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30" s="34"/>
      <c r="H30" s="49"/>
      <c r="I30" s="50">
        <f ca="1">(bayonne[[#This Row],[Issue match]]="Victoire")*4 + (bayonne[[#This Row],[Issue match]]="Nul")*2 + bayonne[[#This Row],[Bonus off]] + bayonne[[#This Row],[Bonus déf]]</f>
        <v>0</v>
      </c>
      <c r="K30" s="10" t="s">
        <v>10</v>
      </c>
      <c r="L30" s="13"/>
      <c r="M30" s="13"/>
      <c r="N30" s="13"/>
      <c r="O30" s="1"/>
      <c r="P30" s="1" t="s">
        <v>42</v>
      </c>
      <c r="Q30" s="12" t="s">
        <v>52</v>
      </c>
      <c r="R30" s="1"/>
      <c r="S30" s="1"/>
      <c r="T30" s="1"/>
      <c r="U30" s="1"/>
      <c r="V30" s="1"/>
    </row>
    <row r="31" spans="1:22">
      <c r="A31" s="39" t="s">
        <v>147</v>
      </c>
      <c r="B31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Toulouse</v>
      </c>
      <c r="C31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31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31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31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31" s="34"/>
      <c r="H31" s="49"/>
      <c r="I31" s="50">
        <f ca="1">(bayonne[[#This Row],[Issue match]]="Victoire")*4 + (bayonne[[#This Row],[Issue match]]="Nul")*2 + bayonne[[#This Row],[Bonus off]] + bayonne[[#This Row],[Bonus déf]]</f>
        <v>0</v>
      </c>
      <c r="K31" s="10" t="s">
        <v>9</v>
      </c>
      <c r="L31" s="18"/>
      <c r="M31" s="18"/>
      <c r="N31" s="13"/>
      <c r="O31" s="1"/>
      <c r="P31" s="1" t="s">
        <v>42</v>
      </c>
      <c r="Q31" s="12" t="s">
        <v>53</v>
      </c>
      <c r="R31" s="1"/>
      <c r="S31" s="1"/>
      <c r="T31" s="1"/>
      <c r="U31" s="1"/>
      <c r="V31" s="1"/>
    </row>
    <row r="32" spans="1:22">
      <c r="A32" s="39" t="s">
        <v>148</v>
      </c>
      <c r="B32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Montpellier</v>
      </c>
      <c r="C32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Extérieur</v>
      </c>
      <c r="D32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32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32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32" s="34"/>
      <c r="H32" s="49"/>
      <c r="I32" s="50">
        <f ca="1">(bayonne[[#This Row],[Issue match]]="Victoire")*4 + (bayonne[[#This Row],[Issue match]]="Nul")*2 + bayonne[[#This Row],[Bonus off]] + bayonne[[#This Row],[Bonus déf]]</f>
        <v>0</v>
      </c>
      <c r="J32" s="1"/>
      <c r="L32" s="1"/>
      <c r="M32" s="1"/>
      <c r="N32" s="1"/>
      <c r="S32" s="1"/>
      <c r="T32" s="1"/>
      <c r="U32" s="1"/>
      <c r="V32" s="1"/>
    </row>
    <row r="33" spans="1:22">
      <c r="A33" s="39" t="s">
        <v>149</v>
      </c>
      <c r="B33" s="37" t="str">
        <f ca="1">CONCATENATE(
IFERROR( INDEX(INDIRECT("resultat!C"&amp;PRODUCT(7,MATCH(bayonne[[#This Row],[journée]],bayonne[journée],0)-1)+2&amp;":C"&amp;PRODUCT(7,MATCH(bayonne[[#This Row],[journée]],bayonne[journée],0))+1),
IFERROR(MATCH($A$1, INDIRECT("resultat!f"&amp;PRODUCT(7,MATCH(bayonne[[#This Row],[journée]],bayonne[journée],0)-1)+2&amp;":f"&amp;PRODUCT(7,MATCH(bayonne[[#This Row],[journée]],bayonne[journée],0))+1),0 ),""),0),""),
IFERROR( INDEX(INDIRECT("resultat!f"&amp;PRODUCT(7,MATCH(bayonne[[#This Row],[journée]],bayonne[journée],0)-1)+2&amp;":f"&amp;PRODUCT(7,MATCH(bayonne[[#This Row],[journée]],bayonne[journée],0))+1),
IFERROR(MATCH($A$1, INDIRECT("resultat!c"&amp;PRODUCT(7,MATCH(bayonne[[#This Row],[journée]],bayonne[journée],0)-1)+2&amp;":c"&amp;PRODUCT(7,MATCH(bayonne[[#This Row],[journée]],bayonne[journée],0))+1),0 ),""),0),"") )</f>
        <v>Paris</v>
      </c>
      <c r="C33" s="38" t="str">
        <f ca="1">IF(AND(ISNA(MATCH($A$1,INDIRECT("resultat!f"&amp;PRODUCT(7,MATCH(bayonne[[#This Row],[journée]],bayonne[journée],0)-1)+2&amp;":f"&amp;PRODUCT(7,MATCH(bayonne[[#This Row],[journée]],bayonne[journée],0))+1),0)),
ISNA(MATCH($A$1,INDIRECT("resultat!c"&amp;PRODUCT(7,MATCH(bayonne[[#This Row],[journée]],bayonne[journée],0)-1)+2&amp;":c"&amp;PRODUCT(7,MATCH(bayonne[[#This Row],[journée]],bayonne[journée],0))+1),0))),"",IF(ISNA(MATCH($A$1,INDIRECT("resultat!f"&amp;PRODUCT(7,MATCH(bayonne[[#This Row],[journée]],bayonne[journée],0)-1)+2&amp;":f"&amp;PRODUCT(7,MATCH(bayonne[[#This Row],[journée]],bayonne[journée],0))+1),0)),
"Domicile","Extérieur"))</f>
        <v>Domicile</v>
      </c>
      <c r="D33" s="52" t="str">
        <f ca="1">IFERROR(  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$A$1, "Victoire",
IF( INDEX(INDIRECT("resultat!h"&amp;PRODUCT(7,MATCH(bayonne[[#This Row],[journée]],bayonne[journée],0)-1)+2&amp;":h"&amp;PRODUCT(7,MATCH(bayonne[[#This Row],[journée]],bayonne[journée],0))+1),
CONCATENATE(
IFERROR(MATCH( $A$1, INDIRECT("resultat!C"&amp;PRODUCT(7,MATCH(bayonne[[#This Row],[journée]],bayonne[journée],0)-1)+2&amp;":C"&amp;PRODUCT(7,MATCH(bayonne[[#This Row],[journée]],bayonne[journée],0))+1),0),""),
IFERROR(MATCH($A$1, INDIRECT("resultat!f"&amp;PRODUCT(7,MATCH(bayonne[[#This Row],[journée]],bayonne[journée],0)-1)+2&amp;":f"&amp;PRODUCT(7,MATCH(bayonne[[#This Row],[journée]],bayonne[journée],0))+1),0 ),"")),0) = "Nul", "Nul", "Défaite" )), "")</f>
        <v>Défaite</v>
      </c>
      <c r="E33" s="45">
        <f ca="1">SUMIFS(resultat[Score D],resultat[Journée],bayonne[[#This Row],[journée]],resultat[Domicile],bayonne[[#This Row],[adversaire]]) + SUMIFS(resultat[Score D],resultat[Journée],bayonne[[#This Row],[journée]],resultat[Exterieur],bayonne[[#This Row],[adversaire]])</f>
        <v>0</v>
      </c>
      <c r="F33" s="46">
        <f ca="1">SUMIFS(resultat[Score E],resultat[Journée],bayonne[[#This Row],[journée]],resultat[Domicile],bayonne[[#This Row],[adversaire]])  + SUMIFS(resultat[Score E],resultat[Journée],bayonne[[#This Row],[journée]],resultat[Exterieur],bayonne[[#This Row],[adversaire]])</f>
        <v>0</v>
      </c>
      <c r="G33" s="34"/>
      <c r="H33" s="49"/>
      <c r="I33" s="50">
        <f ca="1">(bayonne[[#This Row],[Issue match]]="Victoire")*4 + (bayonne[[#This Row],[Issue match]]="Nul")*2 + bayonne[[#This Row],[Bonus off]] + bayonne[[#This Row],[Bonus déf]]</f>
        <v>0</v>
      </c>
      <c r="J33" s="1"/>
      <c r="L33" s="1"/>
      <c r="M33" s="1"/>
      <c r="N33" s="1"/>
      <c r="S33" s="1"/>
      <c r="T33" s="1"/>
      <c r="U33" s="1"/>
      <c r="V33" s="1"/>
    </row>
    <row r="34" spans="1:22">
      <c r="A34" s="1"/>
      <c r="B34" s="1"/>
      <c r="C34" s="1"/>
      <c r="D34" s="1"/>
      <c r="E34" s="1"/>
      <c r="F34" s="1"/>
      <c r="G34" s="1"/>
      <c r="H34" s="1"/>
      <c r="I34" s="1"/>
      <c r="J34" s="1"/>
      <c r="L34" s="1"/>
      <c r="M34" s="1"/>
      <c r="N34" s="1"/>
      <c r="S34" s="1"/>
      <c r="T34" s="1"/>
      <c r="U34" s="1"/>
      <c r="V34" s="1"/>
    </row>
    <row r="35" spans="1:22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  <c r="N35" s="1"/>
      <c r="S35" s="1"/>
      <c r="T35" s="1"/>
      <c r="U35" s="1"/>
      <c r="V35" s="1"/>
    </row>
    <row r="36" spans="1:22">
      <c r="A36" s="74" t="s">
        <v>23</v>
      </c>
      <c r="B36" s="74" t="s">
        <v>14</v>
      </c>
      <c r="C36" s="15">
        <v>14</v>
      </c>
      <c r="D36" s="48">
        <v>4</v>
      </c>
      <c r="E36" s="15">
        <v>3</v>
      </c>
      <c r="F36" s="3">
        <f t="shared" ref="F36:F48" si="1">(D36+E36)/C36</f>
        <v>0.5</v>
      </c>
      <c r="G36" s="48">
        <v>3</v>
      </c>
      <c r="H36" s="48">
        <v>4</v>
      </c>
      <c r="I36" s="3">
        <f t="shared" ref="I36:I48" si="2">(G36+H36)/C36</f>
        <v>0.5</v>
      </c>
      <c r="J36" s="48"/>
      <c r="K36" s="3">
        <f t="shared" ref="K36:K48" si="3">100%-(F36+I36)</f>
        <v>0</v>
      </c>
      <c r="L36" s="11">
        <f t="shared" ref="L36:L48" si="4">SUM(F36+I36+K36)</f>
        <v>1</v>
      </c>
      <c r="M36" s="25"/>
    </row>
    <row r="37" spans="1:22">
      <c r="A37" s="74" t="s">
        <v>23</v>
      </c>
      <c r="B37" s="74" t="s">
        <v>24</v>
      </c>
      <c r="C37" s="15">
        <v>15</v>
      </c>
      <c r="D37" s="48">
        <v>5</v>
      </c>
      <c r="E37" s="15">
        <v>2</v>
      </c>
      <c r="F37" s="3">
        <f t="shared" si="1"/>
        <v>0.46666666666666667</v>
      </c>
      <c r="G37" s="48">
        <v>2</v>
      </c>
      <c r="H37" s="48">
        <v>6</v>
      </c>
      <c r="I37" s="3">
        <f t="shared" si="2"/>
        <v>0.53333333333333333</v>
      </c>
      <c r="J37" s="48"/>
      <c r="K37" s="3">
        <f t="shared" si="3"/>
        <v>0</v>
      </c>
      <c r="L37" s="11">
        <f t="shared" si="4"/>
        <v>1</v>
      </c>
    </row>
    <row r="38" spans="1:22">
      <c r="A38" s="74" t="s">
        <v>23</v>
      </c>
      <c r="B38" s="74" t="s">
        <v>25</v>
      </c>
      <c r="C38" s="15">
        <v>32</v>
      </c>
      <c r="D38" s="48">
        <v>10</v>
      </c>
      <c r="E38" s="15">
        <v>0</v>
      </c>
      <c r="F38" s="3">
        <f t="shared" si="1"/>
        <v>0.3125</v>
      </c>
      <c r="G38" s="48">
        <v>5</v>
      </c>
      <c r="H38" s="48">
        <v>12</v>
      </c>
      <c r="I38" s="3">
        <f t="shared" si="2"/>
        <v>0.53125</v>
      </c>
      <c r="J38" s="48">
        <v>5</v>
      </c>
      <c r="K38" s="3">
        <f t="shared" si="3"/>
        <v>0.15625</v>
      </c>
      <c r="L38" s="11">
        <f t="shared" si="4"/>
        <v>1</v>
      </c>
    </row>
    <row r="39" spans="1:22">
      <c r="A39" s="74" t="s">
        <v>23</v>
      </c>
      <c r="B39" s="74" t="s">
        <v>37</v>
      </c>
      <c r="C39" s="15">
        <v>25</v>
      </c>
      <c r="D39" s="48">
        <v>8</v>
      </c>
      <c r="E39" s="15">
        <v>1</v>
      </c>
      <c r="F39" s="3">
        <f t="shared" si="1"/>
        <v>0.36</v>
      </c>
      <c r="G39" s="48">
        <v>2</v>
      </c>
      <c r="H39" s="48">
        <v>11</v>
      </c>
      <c r="I39" s="3">
        <f t="shared" si="2"/>
        <v>0.52</v>
      </c>
      <c r="J39" s="48">
        <v>3</v>
      </c>
      <c r="K39" s="3">
        <f t="shared" si="3"/>
        <v>0.12</v>
      </c>
      <c r="L39" s="11">
        <f t="shared" si="4"/>
        <v>1</v>
      </c>
    </row>
    <row r="40" spans="1:22">
      <c r="A40" s="74" t="s">
        <v>23</v>
      </c>
      <c r="B40" s="74" t="s">
        <v>26</v>
      </c>
      <c r="C40" s="15">
        <v>26</v>
      </c>
      <c r="D40" s="48">
        <v>10</v>
      </c>
      <c r="E40" s="15">
        <v>0</v>
      </c>
      <c r="F40" s="3">
        <f t="shared" si="1"/>
        <v>0.38461538461538464</v>
      </c>
      <c r="G40" s="48">
        <v>3</v>
      </c>
      <c r="H40" s="48">
        <v>12</v>
      </c>
      <c r="I40" s="3">
        <f t="shared" si="2"/>
        <v>0.57692307692307687</v>
      </c>
      <c r="J40" s="48">
        <v>1</v>
      </c>
      <c r="K40" s="3">
        <f t="shared" si="3"/>
        <v>3.8461538461538547E-2</v>
      </c>
      <c r="L40" s="11">
        <f t="shared" si="4"/>
        <v>1</v>
      </c>
    </row>
    <row r="41" spans="1:22">
      <c r="A41" s="74" t="s">
        <v>23</v>
      </c>
      <c r="B41" s="74" t="s">
        <v>27</v>
      </c>
      <c r="C41" s="15">
        <v>15</v>
      </c>
      <c r="D41" s="48">
        <v>4</v>
      </c>
      <c r="E41" s="15">
        <v>1</v>
      </c>
      <c r="F41" s="3">
        <f t="shared" si="1"/>
        <v>0.33333333333333331</v>
      </c>
      <c r="G41" s="48">
        <v>3</v>
      </c>
      <c r="H41" s="48">
        <v>3</v>
      </c>
      <c r="I41" s="3">
        <f t="shared" si="2"/>
        <v>0.4</v>
      </c>
      <c r="J41" s="48">
        <v>4</v>
      </c>
      <c r="K41" s="3">
        <f t="shared" si="3"/>
        <v>0.26666666666666661</v>
      </c>
      <c r="L41" s="11">
        <f t="shared" si="4"/>
        <v>1</v>
      </c>
    </row>
    <row r="42" spans="1:22">
      <c r="A42" s="74" t="s">
        <v>23</v>
      </c>
      <c r="B42" s="74" t="s">
        <v>28</v>
      </c>
      <c r="C42" s="15">
        <v>13</v>
      </c>
      <c r="D42" s="48">
        <v>3</v>
      </c>
      <c r="E42" s="15">
        <v>2</v>
      </c>
      <c r="F42" s="3">
        <f t="shared" si="1"/>
        <v>0.38461538461538464</v>
      </c>
      <c r="G42" s="48">
        <v>1</v>
      </c>
      <c r="H42" s="48">
        <v>4</v>
      </c>
      <c r="I42" s="3">
        <f t="shared" si="2"/>
        <v>0.38461538461538464</v>
      </c>
      <c r="J42" s="48">
        <v>3</v>
      </c>
      <c r="K42" s="3">
        <f t="shared" si="3"/>
        <v>0.23076923076923073</v>
      </c>
      <c r="L42" s="11">
        <f t="shared" si="4"/>
        <v>1</v>
      </c>
    </row>
    <row r="43" spans="1:22">
      <c r="A43" s="74" t="s">
        <v>23</v>
      </c>
      <c r="B43" s="74" t="s">
        <v>29</v>
      </c>
      <c r="C43" s="15">
        <v>32</v>
      </c>
      <c r="D43" s="48">
        <v>8</v>
      </c>
      <c r="E43" s="15">
        <v>2</v>
      </c>
      <c r="F43" s="3">
        <f t="shared" si="1"/>
        <v>0.3125</v>
      </c>
      <c r="G43" s="48">
        <v>6</v>
      </c>
      <c r="H43" s="48">
        <v>12</v>
      </c>
      <c r="I43" s="3">
        <f t="shared" si="2"/>
        <v>0.5625</v>
      </c>
      <c r="J43" s="48">
        <v>4</v>
      </c>
      <c r="K43" s="3">
        <f t="shared" si="3"/>
        <v>0.125</v>
      </c>
      <c r="L43" s="11">
        <f t="shared" si="4"/>
        <v>1</v>
      </c>
    </row>
    <row r="44" spans="1:22">
      <c r="A44" s="74" t="s">
        <v>23</v>
      </c>
      <c r="B44" s="74" t="s">
        <v>30</v>
      </c>
      <c r="C44" s="15">
        <v>26</v>
      </c>
      <c r="D44" s="48">
        <v>10</v>
      </c>
      <c r="E44" s="15">
        <v>1</v>
      </c>
      <c r="F44" s="3">
        <f t="shared" si="1"/>
        <v>0.42307692307692307</v>
      </c>
      <c r="G44" s="48">
        <v>3</v>
      </c>
      <c r="H44" s="48">
        <v>12</v>
      </c>
      <c r="I44" s="3">
        <f t="shared" si="2"/>
        <v>0.57692307692307687</v>
      </c>
      <c r="J44" s="48"/>
      <c r="K44" s="3">
        <f t="shared" si="3"/>
        <v>0</v>
      </c>
      <c r="L44" s="11">
        <f t="shared" si="4"/>
        <v>1</v>
      </c>
    </row>
    <row r="45" spans="1:22">
      <c r="A45" s="74" t="s">
        <v>23</v>
      </c>
      <c r="B45" s="74" t="s">
        <v>31</v>
      </c>
      <c r="C45" s="15">
        <v>7</v>
      </c>
      <c r="D45" s="48">
        <v>2</v>
      </c>
      <c r="E45" s="15">
        <v>0</v>
      </c>
      <c r="F45" s="3">
        <f t="shared" si="1"/>
        <v>0.2857142857142857</v>
      </c>
      <c r="G45" s="48">
        <v>1</v>
      </c>
      <c r="H45" s="48">
        <v>2</v>
      </c>
      <c r="I45" s="3">
        <f t="shared" si="2"/>
        <v>0.42857142857142855</v>
      </c>
      <c r="J45" s="48">
        <v>2</v>
      </c>
      <c r="K45" s="3">
        <f t="shared" si="3"/>
        <v>0.28571428571428581</v>
      </c>
      <c r="L45" s="11">
        <f t="shared" si="4"/>
        <v>1</v>
      </c>
    </row>
    <row r="46" spans="1:22">
      <c r="A46" s="74" t="s">
        <v>23</v>
      </c>
      <c r="B46" s="74" t="s">
        <v>32</v>
      </c>
      <c r="C46" s="15">
        <v>23</v>
      </c>
      <c r="D46" s="48">
        <v>4</v>
      </c>
      <c r="E46" s="15">
        <v>3</v>
      </c>
      <c r="F46" s="3">
        <f t="shared" si="1"/>
        <v>0.30434782608695654</v>
      </c>
      <c r="G46" s="48">
        <v>5</v>
      </c>
      <c r="H46" s="48">
        <v>6</v>
      </c>
      <c r="I46" s="3">
        <f t="shared" si="2"/>
        <v>0.47826086956521741</v>
      </c>
      <c r="J46" s="48">
        <v>5</v>
      </c>
      <c r="K46" s="3">
        <f t="shared" si="3"/>
        <v>0.21739130434782605</v>
      </c>
      <c r="L46" s="11">
        <f t="shared" si="4"/>
        <v>1</v>
      </c>
    </row>
    <row r="47" spans="1:22">
      <c r="A47" s="74" t="s">
        <v>23</v>
      </c>
      <c r="B47" s="74" t="s">
        <v>15</v>
      </c>
      <c r="C47" s="15">
        <v>25</v>
      </c>
      <c r="D47" s="14">
        <v>6</v>
      </c>
      <c r="E47" s="15">
        <v>2</v>
      </c>
      <c r="F47" s="3">
        <f t="shared" si="1"/>
        <v>0.32</v>
      </c>
      <c r="G47" s="14">
        <v>3</v>
      </c>
      <c r="H47" s="14">
        <v>8</v>
      </c>
      <c r="I47" s="3">
        <f t="shared" si="2"/>
        <v>0.44</v>
      </c>
      <c r="J47" s="14">
        <v>6</v>
      </c>
      <c r="K47" s="3">
        <f t="shared" si="3"/>
        <v>0.24</v>
      </c>
      <c r="L47" s="11">
        <f t="shared" si="4"/>
        <v>1</v>
      </c>
    </row>
    <row r="48" spans="1:22">
      <c r="A48" s="74" t="s">
        <v>23</v>
      </c>
      <c r="B48" s="74" t="s">
        <v>33</v>
      </c>
      <c r="C48" s="15">
        <v>26</v>
      </c>
      <c r="D48" s="14">
        <v>7</v>
      </c>
      <c r="E48" s="15">
        <v>1</v>
      </c>
      <c r="F48" s="3">
        <f t="shared" si="1"/>
        <v>0.30769230769230771</v>
      </c>
      <c r="G48" s="14">
        <v>6</v>
      </c>
      <c r="H48" s="14">
        <v>12</v>
      </c>
      <c r="I48" s="3">
        <f t="shared" si="2"/>
        <v>0.69230769230769229</v>
      </c>
      <c r="J48" s="14"/>
      <c r="K48" s="3">
        <f t="shared" si="3"/>
        <v>0</v>
      </c>
      <c r="L48" s="11">
        <f t="shared" si="4"/>
        <v>1</v>
      </c>
    </row>
    <row r="50" spans="1:12">
      <c r="A50" s="92" t="s">
        <v>166</v>
      </c>
    </row>
    <row r="51" spans="1:12">
      <c r="A51" s="88" t="s">
        <v>16</v>
      </c>
      <c r="B51" s="88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23</v>
      </c>
      <c r="B52" s="91" t="s">
        <v>14</v>
      </c>
      <c r="C52" s="109">
        <f>COUNTIFS(Bayonne1[adversaire],B52)</f>
        <v>0</v>
      </c>
      <c r="D52" s="110">
        <f>COUNTIFS(Bayonne1[adversaire],B52,Bayonne1[Lieu Match],"domicile",Bayonne1[Issue match],"victoire")</f>
        <v>0</v>
      </c>
      <c r="E52" s="110">
        <f>COUNTIFS(Bayonne1[adversaire],B52,Bayonne1[Lieu Match],"Extérieur",Bayonne1[Issue match],"victoire")</f>
        <v>0</v>
      </c>
      <c r="F52" s="111" t="e">
        <f>(D52+E52)/C52</f>
        <v>#DIV/0!</v>
      </c>
      <c r="G52" s="112">
        <f>COUNTIFS(Bayonne1[adversaire],B52,Bayonne1[Lieu Match],"domicile",Bayonne1[Issue match],"défaite")</f>
        <v>0</v>
      </c>
      <c r="H52" s="113">
        <f>COUNTIFS(Bayonne1[adversaire],B52,Bayonne1[Lieu Match],"Extérieur",Bayonne1[Issue match],"défaite")</f>
        <v>0</v>
      </c>
      <c r="I52" s="114" t="e">
        <f>(G52+H52)/C52</f>
        <v>#DIV/0!</v>
      </c>
      <c r="J52" s="115">
        <f>COUNTIFS(Bayonne1[adversaire],B53,Bayonne1[Lieu Match],"Domicile",Bayonne1[Issue match],"Nul")+COUNTIFS(Bayonne1[adversaire],B53,Bayonne1[Lieu Match],"Extérieur",Bayonne1[Issue match],"Nul")</f>
        <v>0</v>
      </c>
      <c r="K52" s="116" t="e">
        <f>100%-(F52+I52)</f>
        <v>#DIV/0!</v>
      </c>
      <c r="L52" s="117" t="e">
        <f>SUM(F52+I52+K52)</f>
        <v>#DIV/0!</v>
      </c>
    </row>
    <row r="53" spans="1:12">
      <c r="A53" s="90" t="s">
        <v>23</v>
      </c>
      <c r="B53" s="91" t="s">
        <v>24</v>
      </c>
      <c r="C53" s="109">
        <f>COUNTIFS(Bayonne1[adversaire],B53)</f>
        <v>0</v>
      </c>
      <c r="D53" s="110">
        <f>COUNTIFS(Bayonne1[adversaire],B53,Bayonne1[Lieu Match],"domicile",Bayonne1[Issue match],"victoire")</f>
        <v>0</v>
      </c>
      <c r="E53" s="110">
        <f>COUNTIFS(Bayonne1[adversaire],B53,Bayonne1[Lieu Match],"Extérieur",Bayonne1[Issue match],"victoire")</f>
        <v>0</v>
      </c>
      <c r="F53" s="111" t="e">
        <f t="shared" ref="F53:F64" si="5">(D53+E53)/C53</f>
        <v>#DIV/0!</v>
      </c>
      <c r="G53" s="112">
        <f>COUNTIFS(Bayonne1[adversaire],B53,Bayonne1[Lieu Match],"domicile",Bayonne1[Issue match],"défaite")</f>
        <v>0</v>
      </c>
      <c r="H53" s="113">
        <f>COUNTIFS(Bayonne1[adversaire],B53,Bayonne1[Lieu Match],"Extérieur",Bayonne1[Issue match],"défaite")</f>
        <v>0</v>
      </c>
      <c r="I53" s="114" t="e">
        <f t="shared" ref="I53:I64" si="6">(G53+H53)/C53</f>
        <v>#DIV/0!</v>
      </c>
      <c r="J53" s="115">
        <f>COUNTIFS(Bayonne1[adversaire],B54,Bayonne1[Lieu Match],"Domicile",Bayonne1[Issue match],"Nul")+COUNTIFS(Bayonne1[adversaire],B54,Bayonne1[Lieu Match],"Extérieur",Bayonne1[Issue match],"Nul")</f>
        <v>0</v>
      </c>
      <c r="K53" s="116" t="e">
        <f t="shared" ref="K53:K64" si="7">100%-(F53+I53)</f>
        <v>#DIV/0!</v>
      </c>
      <c r="L53" s="117" t="e">
        <f t="shared" ref="L53:L64" si="8">SUM(F53+I53+K53)</f>
        <v>#DIV/0!</v>
      </c>
    </row>
    <row r="54" spans="1:12">
      <c r="A54" s="90" t="s">
        <v>23</v>
      </c>
      <c r="B54" s="91" t="s">
        <v>25</v>
      </c>
      <c r="C54" s="109">
        <f>COUNTIFS(Bayonne1[adversaire],B54)</f>
        <v>0</v>
      </c>
      <c r="D54" s="110">
        <f>COUNTIFS(Bayonne1[adversaire],B54,Bayonne1[Lieu Match],"domicile",Bayonne1[Issue match],"victoire")</f>
        <v>0</v>
      </c>
      <c r="E54" s="110">
        <f>COUNTIFS(Bayonne1[adversaire],B54,Bayonne1[Lieu Match],"Extérieur",Bayonne1[Issue match],"victoire")</f>
        <v>0</v>
      </c>
      <c r="F54" s="111" t="e">
        <f t="shared" si="5"/>
        <v>#DIV/0!</v>
      </c>
      <c r="G54" s="112">
        <f>COUNTIFS(Bayonne1[adversaire],B54,Bayonne1[Lieu Match],"domicile",Bayonne1[Issue match],"défaite")</f>
        <v>0</v>
      </c>
      <c r="H54" s="113">
        <f>COUNTIFS(Bayonne1[adversaire],B54,Bayonne1[Lieu Match],"Extérieur",Bayonne1[Issue match],"défaite")</f>
        <v>0</v>
      </c>
      <c r="I54" s="114" t="e">
        <f t="shared" si="6"/>
        <v>#DIV/0!</v>
      </c>
      <c r="J54" s="115">
        <f>COUNTIFS(Bayonne1[adversaire],B55,Bayonne1[Lieu Match],"Domicile",Bayonne1[Issue match],"Nul")+COUNTIFS(Bayonne1[adversaire],B55,Bayonne1[Lieu Match],"Extérieur",Bayonne1[Issue match],"Nul")</f>
        <v>0</v>
      </c>
      <c r="K54" s="116" t="e">
        <f t="shared" si="7"/>
        <v>#DIV/0!</v>
      </c>
      <c r="L54" s="117" t="e">
        <f t="shared" si="8"/>
        <v>#DIV/0!</v>
      </c>
    </row>
    <row r="55" spans="1:12">
      <c r="A55" s="90" t="s">
        <v>23</v>
      </c>
      <c r="B55" s="91" t="s">
        <v>37</v>
      </c>
      <c r="C55" s="109">
        <f>COUNTIFS(Bayonne1[adversaire],B55)</f>
        <v>0</v>
      </c>
      <c r="D55" s="110">
        <f>COUNTIFS(Bayonne1[adversaire],B55,Bayonne1[Lieu Match],"domicile",Bayonne1[Issue match],"victoire")</f>
        <v>0</v>
      </c>
      <c r="E55" s="110">
        <f>COUNTIFS(Bayonne1[adversaire],B55,Bayonne1[Lieu Match],"Extérieur",Bayonne1[Issue match],"victoire")</f>
        <v>0</v>
      </c>
      <c r="F55" s="111" t="e">
        <f t="shared" si="5"/>
        <v>#DIV/0!</v>
      </c>
      <c r="G55" s="112">
        <f>COUNTIFS(Bayonne1[adversaire],B55,Bayonne1[Lieu Match],"domicile",Bayonne1[Issue match],"défaite")</f>
        <v>0</v>
      </c>
      <c r="H55" s="113">
        <f>COUNTIFS(Bayonne1[adversaire],B55,Bayonne1[Lieu Match],"Extérieur",Bayonne1[Issue match],"défaite")</f>
        <v>0</v>
      </c>
      <c r="I55" s="114" t="e">
        <f t="shared" si="6"/>
        <v>#DIV/0!</v>
      </c>
      <c r="J55" s="115">
        <f>COUNTIFS(Bayonne1[adversaire],B56,Bayonne1[Lieu Match],"Domicile",Bayonne1[Issue match],"Nul")+COUNTIFS(Bayonne1[adversaire],B56,Bayonne1[Lieu Match],"Extérieur",Bayonne1[Issue match],"Nul")</f>
        <v>0</v>
      </c>
      <c r="K55" s="116" t="e">
        <f t="shared" si="7"/>
        <v>#DIV/0!</v>
      </c>
      <c r="L55" s="117" t="e">
        <f t="shared" si="8"/>
        <v>#DIV/0!</v>
      </c>
    </row>
    <row r="56" spans="1:12">
      <c r="A56" s="90" t="s">
        <v>23</v>
      </c>
      <c r="B56" s="91" t="s">
        <v>26</v>
      </c>
      <c r="C56" s="109">
        <f>COUNTIFS(Bayonne1[adversaire],B56)</f>
        <v>0</v>
      </c>
      <c r="D56" s="110">
        <f>COUNTIFS(Bayonne1[adversaire],B56,Bayonne1[Lieu Match],"domicile",Bayonne1[Issue match],"victoire")</f>
        <v>0</v>
      </c>
      <c r="E56" s="110">
        <f>COUNTIFS(Bayonne1[adversaire],B56,Bayonne1[Lieu Match],"Extérieur",Bayonne1[Issue match],"victoire")</f>
        <v>0</v>
      </c>
      <c r="F56" s="111" t="e">
        <f t="shared" si="5"/>
        <v>#DIV/0!</v>
      </c>
      <c r="G56" s="112">
        <f>COUNTIFS(Bayonne1[adversaire],B56,Bayonne1[Lieu Match],"domicile",Bayonne1[Issue match],"défaite")</f>
        <v>0</v>
      </c>
      <c r="H56" s="113">
        <f>COUNTIFS(Bayonne1[adversaire],B56,Bayonne1[Lieu Match],"Extérieur",Bayonne1[Issue match],"défaite")</f>
        <v>0</v>
      </c>
      <c r="I56" s="114" t="e">
        <f t="shared" si="6"/>
        <v>#DIV/0!</v>
      </c>
      <c r="J56" s="115">
        <f>COUNTIFS(Bayonne1[adversaire],B57,Bayonne1[Lieu Match],"Domicile",Bayonne1[Issue match],"Nul")+COUNTIFS(Bayonne1[adversaire],B57,Bayonne1[Lieu Match],"Extérieur",Bayonne1[Issue match],"Nul")</f>
        <v>0</v>
      </c>
      <c r="K56" s="116" t="e">
        <f t="shared" si="7"/>
        <v>#DIV/0!</v>
      </c>
      <c r="L56" s="117" t="e">
        <f t="shared" si="8"/>
        <v>#DIV/0!</v>
      </c>
    </row>
    <row r="57" spans="1:12">
      <c r="A57" s="90" t="s">
        <v>23</v>
      </c>
      <c r="B57" s="91" t="s">
        <v>27</v>
      </c>
      <c r="C57" s="109">
        <f>COUNTIFS(Bayonne1[adversaire],B57)</f>
        <v>0</v>
      </c>
      <c r="D57" s="110">
        <f>COUNTIFS(Bayonne1[adversaire],B57,Bayonne1[Lieu Match],"domicile",Bayonne1[Issue match],"victoire")</f>
        <v>0</v>
      </c>
      <c r="E57" s="110">
        <f>COUNTIFS(Bayonne1[adversaire],B57,Bayonne1[Lieu Match],"Extérieur",Bayonne1[Issue match],"victoire")</f>
        <v>0</v>
      </c>
      <c r="F57" s="111" t="e">
        <f t="shared" si="5"/>
        <v>#DIV/0!</v>
      </c>
      <c r="G57" s="112">
        <f>COUNTIFS(Bayonne1[adversaire],B57,Bayonne1[Lieu Match],"domicile",Bayonne1[Issue match],"défaite")</f>
        <v>0</v>
      </c>
      <c r="H57" s="113">
        <f>COUNTIFS(Bayonne1[adversaire],B57,Bayonne1[Lieu Match],"Extérieur",Bayonne1[Issue match],"défaite")</f>
        <v>0</v>
      </c>
      <c r="I57" s="114" t="e">
        <f t="shared" si="6"/>
        <v>#DIV/0!</v>
      </c>
      <c r="J57" s="115">
        <f>COUNTIFS(Bayonne1[adversaire],B58,Bayonne1[Lieu Match],"Domicile",Bayonne1[Issue match],"Nul")+COUNTIFS(Bayonne1[adversaire],B58,Bayonne1[Lieu Match],"Extérieur",Bayonne1[Issue match],"Nul")</f>
        <v>0</v>
      </c>
      <c r="K57" s="116" t="e">
        <f t="shared" si="7"/>
        <v>#DIV/0!</v>
      </c>
      <c r="L57" s="117" t="e">
        <f t="shared" si="8"/>
        <v>#DIV/0!</v>
      </c>
    </row>
    <row r="58" spans="1:12">
      <c r="A58" s="90" t="s">
        <v>23</v>
      </c>
      <c r="B58" s="91" t="s">
        <v>28</v>
      </c>
      <c r="C58" s="109">
        <f>COUNTIFS(Bayonne1[adversaire],B58)</f>
        <v>0</v>
      </c>
      <c r="D58" s="110">
        <f>COUNTIFS(Bayonne1[adversaire],B58,Bayonne1[Lieu Match],"domicile",Bayonne1[Issue match],"victoire")</f>
        <v>0</v>
      </c>
      <c r="E58" s="110">
        <f>COUNTIFS(Bayonne1[adversaire],B58,Bayonne1[Lieu Match],"Extérieur",Bayonne1[Issue match],"victoire")</f>
        <v>0</v>
      </c>
      <c r="F58" s="111" t="e">
        <f t="shared" si="5"/>
        <v>#DIV/0!</v>
      </c>
      <c r="G58" s="112">
        <f>COUNTIFS(Bayonne1[adversaire],B58,Bayonne1[Lieu Match],"domicile",Bayonne1[Issue match],"défaite")</f>
        <v>0</v>
      </c>
      <c r="H58" s="113">
        <f>COUNTIFS(Bayonne1[adversaire],B58,Bayonne1[Lieu Match],"Extérieur",Bayonne1[Issue match],"défaite")</f>
        <v>0</v>
      </c>
      <c r="I58" s="114" t="e">
        <f t="shared" si="6"/>
        <v>#DIV/0!</v>
      </c>
      <c r="J58" s="115">
        <f>COUNTIFS(Bayonne1[adversaire],B59,Bayonne1[Lieu Match],"Domicile",Bayonne1[Issue match],"Nul")+COUNTIFS(Bayonne1[adversaire],B59,Bayonne1[Lieu Match],"Extérieur",Bayonne1[Issue match],"Nul")</f>
        <v>0</v>
      </c>
      <c r="K58" s="116" t="e">
        <f t="shared" si="7"/>
        <v>#DIV/0!</v>
      </c>
      <c r="L58" s="117" t="e">
        <f t="shared" si="8"/>
        <v>#DIV/0!</v>
      </c>
    </row>
    <row r="59" spans="1:12">
      <c r="A59" s="90" t="s">
        <v>23</v>
      </c>
      <c r="B59" s="91" t="s">
        <v>29</v>
      </c>
      <c r="C59" s="109">
        <f>COUNTIFS(Bayonne1[adversaire],B59)</f>
        <v>0</v>
      </c>
      <c r="D59" s="110">
        <f>COUNTIFS(Bayonne1[adversaire],B59,Bayonne1[Lieu Match],"domicile",Bayonne1[Issue match],"victoire")</f>
        <v>0</v>
      </c>
      <c r="E59" s="110">
        <f>COUNTIFS(Bayonne1[adversaire],B59,Bayonne1[Lieu Match],"Extérieur",Bayonne1[Issue match],"victoire")</f>
        <v>0</v>
      </c>
      <c r="F59" s="111" t="e">
        <f t="shared" si="5"/>
        <v>#DIV/0!</v>
      </c>
      <c r="G59" s="112">
        <f>COUNTIFS(Bayonne1[adversaire],B59,Bayonne1[Lieu Match],"domicile",Bayonne1[Issue match],"défaite")</f>
        <v>0</v>
      </c>
      <c r="H59" s="113">
        <f>COUNTIFS(Bayonne1[adversaire],B59,Bayonne1[Lieu Match],"Extérieur",Bayonne1[Issue match],"défaite")</f>
        <v>0</v>
      </c>
      <c r="I59" s="114" t="e">
        <f t="shared" si="6"/>
        <v>#DIV/0!</v>
      </c>
      <c r="J59" s="115">
        <f>COUNTIFS(Bayonne1[adversaire],B60,Bayonne1[Lieu Match],"Domicile",Bayonne1[Issue match],"Nul")+COUNTIFS(Bayonne1[adversaire],B60,Bayonne1[Lieu Match],"Extérieur",Bayonne1[Issue match],"Nul")</f>
        <v>0</v>
      </c>
      <c r="K59" s="116" t="e">
        <f t="shared" si="7"/>
        <v>#DIV/0!</v>
      </c>
      <c r="L59" s="117" t="e">
        <f t="shared" si="8"/>
        <v>#DIV/0!</v>
      </c>
    </row>
    <row r="60" spans="1:12">
      <c r="A60" s="90" t="s">
        <v>23</v>
      </c>
      <c r="B60" s="91" t="s">
        <v>30</v>
      </c>
      <c r="C60" s="109">
        <f>COUNTIFS(Bayonne1[adversaire],B60)</f>
        <v>0</v>
      </c>
      <c r="D60" s="110">
        <f>COUNTIFS(Bayonne1[adversaire],B60,Bayonne1[Lieu Match],"domicile",Bayonne1[Issue match],"victoire")</f>
        <v>0</v>
      </c>
      <c r="E60" s="110">
        <f>COUNTIFS(Bayonne1[adversaire],B60,Bayonne1[Lieu Match],"Extérieur",Bayonne1[Issue match],"victoire")</f>
        <v>0</v>
      </c>
      <c r="F60" s="111" t="e">
        <f t="shared" si="5"/>
        <v>#DIV/0!</v>
      </c>
      <c r="G60" s="112">
        <f>COUNTIFS(Bayonne1[adversaire],B60,Bayonne1[Lieu Match],"domicile",Bayonne1[Issue match],"défaite")</f>
        <v>0</v>
      </c>
      <c r="H60" s="113">
        <f>COUNTIFS(Bayonne1[adversaire],B60,Bayonne1[Lieu Match],"Extérieur",Bayonne1[Issue match],"défaite")</f>
        <v>0</v>
      </c>
      <c r="I60" s="114" t="e">
        <f t="shared" si="6"/>
        <v>#DIV/0!</v>
      </c>
      <c r="J60" s="115">
        <f>COUNTIFS(Bayonne1[adversaire],B61,Bayonne1[Lieu Match],"Domicile",Bayonne1[Issue match],"Nul")+COUNTIFS(Bayonne1[adversaire],B61,Bayonne1[Lieu Match],"Extérieur",Bayonne1[Issue match],"Nul")</f>
        <v>0</v>
      </c>
      <c r="K60" s="116" t="e">
        <f t="shared" si="7"/>
        <v>#DIV/0!</v>
      </c>
      <c r="L60" s="117" t="e">
        <f t="shared" si="8"/>
        <v>#DIV/0!</v>
      </c>
    </row>
    <row r="61" spans="1:12">
      <c r="A61" s="90" t="s">
        <v>23</v>
      </c>
      <c r="B61" s="91" t="s">
        <v>31</v>
      </c>
      <c r="C61" s="109">
        <f>COUNTIFS(Bayonne1[adversaire],B61)</f>
        <v>0</v>
      </c>
      <c r="D61" s="110">
        <f>COUNTIFS(Bayonne1[adversaire],B61,Bayonne1[Lieu Match],"domicile",Bayonne1[Issue match],"victoire")</f>
        <v>0</v>
      </c>
      <c r="E61" s="110">
        <f>COUNTIFS(Bayonne1[adversaire],B61,Bayonne1[Lieu Match],"Extérieur",Bayonne1[Issue match],"victoire")</f>
        <v>0</v>
      </c>
      <c r="F61" s="111" t="e">
        <f t="shared" si="5"/>
        <v>#DIV/0!</v>
      </c>
      <c r="G61" s="112">
        <f>COUNTIFS(Bayonne1[adversaire],B61,Bayonne1[Lieu Match],"domicile",Bayonne1[Issue match],"défaite")</f>
        <v>0</v>
      </c>
      <c r="H61" s="113">
        <f>COUNTIFS(Bayonne1[adversaire],B61,Bayonne1[Lieu Match],"Extérieur",Bayonne1[Issue match],"défaite")</f>
        <v>0</v>
      </c>
      <c r="I61" s="114" t="e">
        <f t="shared" si="6"/>
        <v>#DIV/0!</v>
      </c>
      <c r="J61" s="115">
        <f>COUNTIFS(Bayonne1[adversaire],B62,Bayonne1[Lieu Match],"Domicile",Bayonne1[Issue match],"Nul")+COUNTIFS(Bayonne1[adversaire],B62,Bayonne1[Lieu Match],"Extérieur",Bayonne1[Issue match],"Nul")</f>
        <v>0</v>
      </c>
      <c r="K61" s="116" t="e">
        <f t="shared" si="7"/>
        <v>#DIV/0!</v>
      </c>
      <c r="L61" s="117" t="e">
        <f t="shared" si="8"/>
        <v>#DIV/0!</v>
      </c>
    </row>
    <row r="62" spans="1:12">
      <c r="A62" s="90" t="s">
        <v>23</v>
      </c>
      <c r="B62" s="91" t="s">
        <v>32</v>
      </c>
      <c r="C62" s="109">
        <f>COUNTIFS(Bayonne1[adversaire],B62)</f>
        <v>0</v>
      </c>
      <c r="D62" s="110">
        <f>COUNTIFS(Bayonne1[adversaire],B62,Bayonne1[Lieu Match],"domicile",Bayonne1[Issue match],"victoire")</f>
        <v>0</v>
      </c>
      <c r="E62" s="110">
        <f>COUNTIFS(Bayonne1[adversaire],B62,Bayonne1[Lieu Match],"Extérieur",Bayonne1[Issue match],"victoire")</f>
        <v>0</v>
      </c>
      <c r="F62" s="111" t="e">
        <f t="shared" si="5"/>
        <v>#DIV/0!</v>
      </c>
      <c r="G62" s="112">
        <f>COUNTIFS(Bayonne1[adversaire],B62,Bayonne1[Lieu Match],"domicile",Bayonne1[Issue match],"défaite")</f>
        <v>0</v>
      </c>
      <c r="H62" s="113">
        <f>COUNTIFS(Bayonne1[adversaire],B62,Bayonne1[Lieu Match],"Extérieur",Bayonne1[Issue match],"défaite")</f>
        <v>0</v>
      </c>
      <c r="I62" s="114" t="e">
        <f t="shared" si="6"/>
        <v>#DIV/0!</v>
      </c>
      <c r="J62" s="115">
        <f>COUNTIFS(Bayonne1[adversaire],B63,Bayonne1[Lieu Match],"Domicile",Bayonne1[Issue match],"Nul")+COUNTIFS(Bayonne1[adversaire],B63,Bayonne1[Lieu Match],"Extérieur",Bayonne1[Issue match],"Nul")</f>
        <v>0</v>
      </c>
      <c r="K62" s="116" t="e">
        <f t="shared" si="7"/>
        <v>#DIV/0!</v>
      </c>
      <c r="L62" s="117" t="e">
        <f t="shared" si="8"/>
        <v>#DIV/0!</v>
      </c>
    </row>
    <row r="63" spans="1:12">
      <c r="A63" s="90" t="s">
        <v>23</v>
      </c>
      <c r="B63" s="91" t="s">
        <v>15</v>
      </c>
      <c r="C63" s="109">
        <f>COUNTIFS(Bayonne1[adversaire],B63)</f>
        <v>0</v>
      </c>
      <c r="D63" s="110">
        <f>COUNTIFS(Bayonne1[adversaire],B63,Bayonne1[Lieu Match],"domicile",Bayonne1[Issue match],"victoire")</f>
        <v>0</v>
      </c>
      <c r="E63" s="110">
        <f>COUNTIFS(Bayonne1[adversaire],B63,Bayonne1[Lieu Match],"Extérieur",Bayonne1[Issue match],"victoire")</f>
        <v>0</v>
      </c>
      <c r="F63" s="111" t="e">
        <f t="shared" si="5"/>
        <v>#DIV/0!</v>
      </c>
      <c r="G63" s="112">
        <f>COUNTIFS(Bayonne1[adversaire],B63,Bayonne1[Lieu Match],"domicile",Bayonne1[Issue match],"défaite")</f>
        <v>0</v>
      </c>
      <c r="H63" s="113">
        <f>COUNTIFS(Bayonne1[adversaire],B63,Bayonne1[Lieu Match],"Extérieur",Bayonne1[Issue match],"défaite")</f>
        <v>0</v>
      </c>
      <c r="I63" s="114" t="e">
        <f t="shared" si="6"/>
        <v>#DIV/0!</v>
      </c>
      <c r="J63" s="115">
        <f>COUNTIFS(Bayonne1[adversaire],B64,Bayonne1[Lieu Match],"Domicile",Bayonne1[Issue match],"Nul")+COUNTIFS(Bayonne1[adversaire],B64,Bayonne1[Lieu Match],"Extérieur",Bayonne1[Issue match],"Nul")</f>
        <v>0</v>
      </c>
      <c r="K63" s="116" t="e">
        <f t="shared" si="7"/>
        <v>#DIV/0!</v>
      </c>
      <c r="L63" s="117" t="e">
        <f t="shared" si="8"/>
        <v>#DIV/0!</v>
      </c>
    </row>
    <row r="64" spans="1:12">
      <c r="A64" s="90" t="s">
        <v>23</v>
      </c>
      <c r="B64" s="91" t="s">
        <v>33</v>
      </c>
      <c r="C64" s="109">
        <f>COUNTIFS(Bayonne1[adversaire],B64)</f>
        <v>0</v>
      </c>
      <c r="D64" s="110">
        <f>COUNTIFS(Bayonne1[adversaire],B64,Bayonne1[Lieu Match],"domicile",Bayonne1[Issue match],"victoire")</f>
        <v>0</v>
      </c>
      <c r="E64" s="110">
        <f>COUNTIFS(Bayonne1[adversaire],B64,Bayonne1[Lieu Match],"Extérieur",Bayonne1[Issue match],"victoire")</f>
        <v>0</v>
      </c>
      <c r="F64" s="111" t="e">
        <f t="shared" si="5"/>
        <v>#DIV/0!</v>
      </c>
      <c r="G64" s="112">
        <f>COUNTIFS(Bayonne1[adversaire],B64,Bayonne1[Lieu Match],"domicile",Bayonne1[Issue match],"défaite")</f>
        <v>0</v>
      </c>
      <c r="H64" s="113">
        <f>COUNTIFS(Bayonne1[adversaire],B64,Bayonne1[Lieu Match],"Extérieur",Bayonne1[Issue match],"défaite")</f>
        <v>0</v>
      </c>
      <c r="I64" s="114" t="e">
        <f t="shared" si="6"/>
        <v>#DIV/0!</v>
      </c>
      <c r="J64" s="115">
        <f>COUNTIFS(Bayonne1[adversaire],B65,Bayonne1[Lieu Match],"Domicile",Bayonne1[Issue match],"Nul")+COUNTIFS(Bayonne1[adversaire],B65,Bayonne1[Lieu Match],"Extérieur",Bayonne1[Issue match],"Nul")</f>
        <v>0</v>
      </c>
      <c r="K64" s="116" t="e">
        <f t="shared" si="7"/>
        <v>#DIV/0!</v>
      </c>
      <c r="L64" s="117" t="e">
        <f t="shared" si="8"/>
        <v>#DIV/0!</v>
      </c>
    </row>
  </sheetData>
  <mergeCells count="7">
    <mergeCell ref="Q1:S1"/>
    <mergeCell ref="Q9:S9"/>
    <mergeCell ref="A35:B35"/>
    <mergeCell ref="A1:A2"/>
    <mergeCell ref="B1:E1"/>
    <mergeCell ref="G1:H1"/>
    <mergeCell ref="L1:N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V64"/>
  <sheetViews>
    <sheetView zoomScale="85" zoomScaleNormal="85" zoomScalePageLayoutView="85" workbookViewId="0">
      <selection activeCell="H13" sqref="H13"/>
    </sheetView>
  </sheetViews>
  <sheetFormatPr baseColWidth="10" defaultColWidth="10.5" defaultRowHeight="14" x14ac:dyDescent="0"/>
  <cols>
    <col min="1" max="1" width="13.33203125" bestFit="1" customWidth="1"/>
    <col min="2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12.1640625" bestFit="1" customWidth="1"/>
    <col min="9" max="9" width="9.5" bestFit="1" customWidth="1"/>
    <col min="10" max="10" width="4.1640625" bestFit="1" customWidth="1"/>
    <col min="11" max="11" width="14.33203125" bestFit="1" customWidth="1"/>
    <col min="12" max="12" width="9.6640625" bestFit="1" customWidth="1"/>
    <col min="13" max="13" width="12.1640625" bestFit="1" customWidth="1"/>
    <col min="16" max="16" width="14.33203125" bestFit="1" customWidth="1"/>
    <col min="17" max="17" width="12.1640625" bestFit="1" customWidth="1"/>
  </cols>
  <sheetData>
    <row r="1" spans="1:22">
      <c r="A1" s="125" t="s">
        <v>43</v>
      </c>
      <c r="B1" s="118" t="s">
        <v>0</v>
      </c>
      <c r="C1" s="120"/>
      <c r="D1" s="120"/>
      <c r="E1" s="119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  <c r="V1" s="1"/>
    </row>
    <row r="2" spans="1:22">
      <c r="A2" s="126"/>
      <c r="B2" s="62" t="s">
        <v>1</v>
      </c>
      <c r="C2" s="62" t="s">
        <v>4</v>
      </c>
      <c r="D2" s="62" t="s">
        <v>35</v>
      </c>
      <c r="E2" s="62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SUMIFS(bordeaux[Score D],bordeaux[Lieu Match],"domicile")</f>
        <v>96</v>
      </c>
      <c r="M2" s="72">
        <f ca="1">SUMIFS(agen[Score E],agen[Lieu Match],"domicile")</f>
        <v>72</v>
      </c>
      <c r="N2" s="72">
        <f ca="1">L2-M2</f>
        <v>24</v>
      </c>
      <c r="O2" s="1"/>
      <c r="P2" s="10" t="s">
        <v>7</v>
      </c>
      <c r="Q2" s="13">
        <v>158</v>
      </c>
      <c r="R2" s="72">
        <v>164</v>
      </c>
      <c r="S2" s="72">
        <v>-6</v>
      </c>
      <c r="T2" s="53"/>
      <c r="U2" s="54"/>
    </row>
    <row r="3" spans="1:22">
      <c r="A3" s="10" t="s">
        <v>2</v>
      </c>
      <c r="B3" s="15">
        <f ca="1">COUNTIF(bordeaux[Lieu Match],"domicile")</f>
        <v>13</v>
      </c>
      <c r="C3" s="62">
        <f ca="1">COUNTIFS(bordeaux[Issue match],"victoire",bordeaux[Lieu Match],"domicile")</f>
        <v>2</v>
      </c>
      <c r="D3" s="62">
        <f ca="1">COUNTIFS(bordeaux[Issue match],"nul",bordeaux[Lieu Match],"domicile")</f>
        <v>0</v>
      </c>
      <c r="E3" s="62">
        <f ca="1">COUNTIFS(bordeaux[Issue match],"défaite",bordeaux[Lieu Match],"domicile")</f>
        <v>11</v>
      </c>
      <c r="F3" s="77">
        <f ca="1">C3+E3+D3-D3</f>
        <v>13</v>
      </c>
      <c r="G3" s="6" t="s">
        <v>43</v>
      </c>
      <c r="H3" s="7" t="s">
        <v>40</v>
      </c>
      <c r="K3" s="10" t="s">
        <v>9</v>
      </c>
      <c r="L3" s="18">
        <f ca="1">L2/F3</f>
        <v>7.384615384615385</v>
      </c>
      <c r="M3" s="18">
        <f ca="1">M2/F3</f>
        <v>5.5384615384615383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55"/>
      <c r="U3" s="53"/>
    </row>
    <row r="4" spans="1:22">
      <c r="A4" s="10" t="s">
        <v>3</v>
      </c>
      <c r="B4" s="15">
        <f ca="1">COUNTIF(bordeaux[[#All],[Lieu Match]],"extérieur")</f>
        <v>13</v>
      </c>
      <c r="C4" s="62">
        <f ca="1">COUNTIFS(bordeaux[Issue match],"victoire",bordeaux[Lieu Match],"extérieur")</f>
        <v>0</v>
      </c>
      <c r="D4" s="62">
        <f ca="1">COUNTIFS(bordeaux[Issue match],"nul",bordeaux[Lieu Match],"extérieur")</f>
        <v>0</v>
      </c>
      <c r="E4" s="62">
        <f ca="1">COUNTIFS(bordeaux[Issue match],"défaite",bordeaux[Lieu Match],"extérieur")</f>
        <v>13</v>
      </c>
      <c r="F4" s="77">
        <f ca="1">C4+E4+D4-D4</f>
        <v>13</v>
      </c>
      <c r="G4" s="8">
        <f t="array" ref="G4">INDEX($C$35:$L$46,MATCH(1,($A$35:$A$46=$A$1)*($B$35:$B$46=$H$3),0),4)</f>
        <v>0.5714285714285714</v>
      </c>
      <c r="H4" s="8">
        <f t="array" ref="H4">INDEX($C$35:$L$46,MATCH(1,($A$35:$A$46=$G$3)*($B$35:$B$46=$H$3),0),7)</f>
        <v>0.35714285714285715</v>
      </c>
      <c r="K4" s="10" t="s">
        <v>8</v>
      </c>
      <c r="L4" s="72">
        <f ca="1">SUMIFS(bordeaux[Score D],bordeaux[Lieu Match],"extérieur")</f>
        <v>76</v>
      </c>
      <c r="M4" s="72">
        <f ca="1">SUMIFS(bordeaux[Score E],bordeaux[Lieu Match],"extérieur")</f>
        <v>40</v>
      </c>
      <c r="N4" s="13">
        <f ca="1">L4-M4</f>
        <v>36</v>
      </c>
      <c r="O4" s="1"/>
      <c r="P4" s="10" t="s">
        <v>8</v>
      </c>
      <c r="Q4" s="72">
        <v>140</v>
      </c>
      <c r="R4" s="72">
        <v>206</v>
      </c>
      <c r="S4" s="13">
        <v>-66</v>
      </c>
      <c r="T4" s="54"/>
      <c r="U4" s="54"/>
    </row>
    <row r="5" spans="1:22">
      <c r="A5" s="10" t="s">
        <v>36</v>
      </c>
      <c r="B5" s="15">
        <f ca="1">B3+B4</f>
        <v>26</v>
      </c>
      <c r="C5" s="15">
        <f t="shared" ref="C5:E5" ca="1" si="0">C3+C4</f>
        <v>2</v>
      </c>
      <c r="D5" s="15">
        <f t="shared" ca="1" si="0"/>
        <v>0</v>
      </c>
      <c r="E5" s="15">
        <f t="shared" ca="1" si="0"/>
        <v>24</v>
      </c>
      <c r="F5" s="77">
        <f ca="1">C5+E5+D5-D5</f>
        <v>26</v>
      </c>
      <c r="G5" s="9">
        <f>100/G4/100</f>
        <v>1.75</v>
      </c>
      <c r="H5" s="9">
        <f>100/H4/100</f>
        <v>2.8</v>
      </c>
      <c r="K5" s="10" t="s">
        <v>9</v>
      </c>
      <c r="L5" s="18">
        <f ca="1">L4/F4</f>
        <v>5.8461538461538458</v>
      </c>
      <c r="M5" s="18">
        <f ca="1">M4/F4</f>
        <v>3.0769230769230771</v>
      </c>
      <c r="N5" s="13"/>
      <c r="O5" s="1"/>
      <c r="P5" s="10" t="s">
        <v>9</v>
      </c>
      <c r="Q5" s="18">
        <v>17.5</v>
      </c>
      <c r="R5" s="18">
        <v>25.75</v>
      </c>
      <c r="S5" s="13"/>
      <c r="T5" s="56"/>
      <c r="U5" s="56"/>
    </row>
    <row r="6" spans="1:22">
      <c r="A6" s="1"/>
      <c r="B6" s="1"/>
      <c r="C6" s="1"/>
      <c r="D6" s="1"/>
      <c r="E6" s="1"/>
      <c r="F6" s="1"/>
      <c r="K6" s="10" t="s">
        <v>10</v>
      </c>
      <c r="L6" s="13">
        <f ca="1">L2+M4</f>
        <v>136</v>
      </c>
      <c r="M6" s="13">
        <f ca="1">M2+L4</f>
        <v>148</v>
      </c>
      <c r="N6" s="13">
        <f ca="1">L6-M6</f>
        <v>-12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</row>
    <row r="7" spans="1:22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5.2307692307692308</v>
      </c>
      <c r="M7" s="18">
        <f ca="1">M6/F5</f>
        <v>5.6923076923076925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</row>
    <row r="8" spans="1:22">
      <c r="A8" s="39" t="s">
        <v>124</v>
      </c>
      <c r="B8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Paris</v>
      </c>
      <c r="C8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8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8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8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8" s="34">
        <v>0</v>
      </c>
      <c r="H8" s="49">
        <v>1</v>
      </c>
      <c r="I8" s="50">
        <f ca="1">(bordeaux[[#This Row],[Issue match]]="Victoire")*4 + (bordeaux[[#This Row],[Issue match]]="Nul")*2 + bordeaux[[#This Row],[Bonus off]] + bordeaux[[#This Row],[Bonus déf]]</f>
        <v>1</v>
      </c>
      <c r="K8" s="1"/>
      <c r="L8" s="1"/>
      <c r="M8" s="1"/>
      <c r="N8" s="1"/>
      <c r="O8" s="1"/>
      <c r="P8" s="1"/>
      <c r="Q8" s="1"/>
      <c r="R8" s="1"/>
      <c r="S8" s="1"/>
    </row>
    <row r="9" spans="1:22">
      <c r="A9" s="39" t="s">
        <v>125</v>
      </c>
      <c r="B9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Brive</v>
      </c>
      <c r="C9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9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Victoire</v>
      </c>
      <c r="E9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25</v>
      </c>
      <c r="F9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20</v>
      </c>
      <c r="G9" s="34">
        <v>0</v>
      </c>
      <c r="H9" s="49">
        <v>0</v>
      </c>
      <c r="I9" s="50">
        <f ca="1">(bordeaux[[#This Row],[Issue match]]="Victoire")*4 + (bordeaux[[#This Row],[Issue match]]="Nul")*2 + bordeaux[[#This Row],[Bonus off]] + bordeaux[[#This Row],[Bonus déf]]</f>
        <v>4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2">
      <c r="A10" s="39" t="s">
        <v>126</v>
      </c>
      <c r="B10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Lyon</v>
      </c>
      <c r="C10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10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10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27</v>
      </c>
      <c r="F10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10</v>
      </c>
      <c r="G10" s="34">
        <v>0</v>
      </c>
      <c r="H10" s="49"/>
      <c r="I10" s="50">
        <f ca="1">(bordeaux[[#This Row],[Issue match]]="Victoire")*4 + (bordeaux[[#This Row],[Issue match]]="Nul")*2 + bordeaux[[#This Row],[Bonus off]] + bordeaux[[#This Row],[Bonus déf]]</f>
        <v>0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2">
      <c r="A11" s="39" t="s">
        <v>127</v>
      </c>
      <c r="B11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Clermont</v>
      </c>
      <c r="C11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11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11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11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11" s="34"/>
      <c r="H11" s="49"/>
      <c r="I11" s="50">
        <f ca="1">(bordeaux[[#This Row],[Issue match]]="Victoire")*4 + (bordeaux[[#This Row],[Issue match]]="Nul")*2 + bordeaux[[#This Row],[Bonus off]] + bordeaux[[#This Row],[Bonus déf]]</f>
        <v>0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2">
      <c r="A12" s="39" t="s">
        <v>128</v>
      </c>
      <c r="B12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Pau</v>
      </c>
      <c r="C12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12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12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29</v>
      </c>
      <c r="F12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24</v>
      </c>
      <c r="G12" s="34">
        <v>0</v>
      </c>
      <c r="H12" s="49">
        <v>1</v>
      </c>
      <c r="I12" s="50">
        <f ca="1">(bordeaux[[#This Row],[Issue match]]="Victoire")*4 + (bordeaux[[#This Row],[Issue match]]="Nul")*2 + bordeaux[[#This Row],[Bonus off]] + bordeaux[[#This Row],[Bonus déf]]</f>
        <v>1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2">
      <c r="A13" s="39" t="s">
        <v>129</v>
      </c>
      <c r="B13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La Rochelle</v>
      </c>
      <c r="C13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13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13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20</v>
      </c>
      <c r="F13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6</v>
      </c>
      <c r="G13" s="34">
        <v>0</v>
      </c>
      <c r="H13" s="49">
        <v>0</v>
      </c>
      <c r="I13" s="50">
        <f ca="1">(bordeaux[[#This Row],[Issue match]]="Victoire")*4 + (bordeaux[[#This Row],[Issue match]]="Nul")*2 + bordeaux[[#This Row],[Bonus off]] + bordeaux[[#This Row],[Bonus déf]]</f>
        <v>0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2">
      <c r="A14" s="39" t="s">
        <v>130</v>
      </c>
      <c r="B14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Agen</v>
      </c>
      <c r="C14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14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Victoire</v>
      </c>
      <c r="E14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71</v>
      </c>
      <c r="F14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5</v>
      </c>
      <c r="G14" s="34"/>
      <c r="H14" s="49"/>
      <c r="I14" s="50">
        <f ca="1">(bordeaux[[#This Row],[Issue match]]="Victoire")*4 + (bordeaux[[#This Row],[Issue match]]="Nul")*2 + bordeaux[[#This Row],[Bonus off]] + bordeaux[[#This Row],[Bonus déf]]</f>
        <v>4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2">
      <c r="A15" s="39" t="s">
        <v>131</v>
      </c>
      <c r="B15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Bayonne</v>
      </c>
      <c r="C15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15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15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15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15" s="34"/>
      <c r="H15" s="49"/>
      <c r="I15" s="50">
        <f ca="1">(bordeaux[[#This Row],[Issue match]]="Victoire")*4 + (bordeaux[[#This Row],[Issue match]]="Nul")*2 + bordeaux[[#This Row],[Bonus off]] + bordeaux[[#This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2">
      <c r="A16" s="39" t="s">
        <v>132</v>
      </c>
      <c r="B16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Castres</v>
      </c>
      <c r="C16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16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16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16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16" s="34"/>
      <c r="H16" s="49"/>
      <c r="I16" s="50">
        <f ca="1">(bordeaux[[#This Row],[Issue match]]="Victoire")*4 + (bordeaux[[#This Row],[Issue match]]="Nul")*2 + bordeaux[[#This Row],[Bonus off]] + bordeaux[[#This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1">
      <c r="A17" s="39" t="s">
        <v>133</v>
      </c>
      <c r="B17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Montpellier</v>
      </c>
      <c r="C17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17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17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17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17" s="34"/>
      <c r="H17" s="49"/>
      <c r="I17" s="50">
        <f ca="1">(bordeaux[[#This Row],[Issue match]]="Victoire")*4 + (bordeaux[[#This Row],[Issue match]]="Nul")*2 + bordeaux[[#This Row],[Bonus off]] + bordeaux[[#This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1">
      <c r="A18" s="39" t="s">
        <v>134</v>
      </c>
      <c r="B18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Racing 92</v>
      </c>
      <c r="C18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18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18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18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18" s="34"/>
      <c r="H18" s="49"/>
      <c r="I18" s="50">
        <f ca="1">(bordeaux[[#This Row],[Issue match]]="Victoire")*4 + (bordeaux[[#This Row],[Issue match]]="Nul")*2 + bordeaux[[#This Row],[Bonus off]] + bordeaux[[#This Row],[Bonus déf]]</f>
        <v>0</v>
      </c>
      <c r="K18" s="10" t="s">
        <v>7</v>
      </c>
      <c r="L18" s="13"/>
      <c r="M18" s="72"/>
      <c r="N18" s="72"/>
      <c r="O18" s="1"/>
      <c r="P18" s="1"/>
      <c r="Q18" s="1"/>
      <c r="R18" s="1"/>
      <c r="S18" s="1"/>
    </row>
    <row r="19" spans="1:21">
      <c r="A19" s="39" t="s">
        <v>135</v>
      </c>
      <c r="B19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Toulouse</v>
      </c>
      <c r="C19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19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19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19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19" s="34"/>
      <c r="H19" s="49"/>
      <c r="I19" s="50">
        <f ca="1">(bordeaux[[#This Row],[Issue match]]="Victoire")*4 + (bordeaux[[#This Row],[Issue match]]="Nul")*2 + bordeaux[[#This Row],[Bonus off]] + bordeaux[[#This Row],[Bonus déf]]</f>
        <v>0</v>
      </c>
      <c r="K19" s="10" t="s">
        <v>9</v>
      </c>
      <c r="L19" s="18"/>
      <c r="M19" s="18"/>
      <c r="N19" s="13"/>
      <c r="O19" s="1"/>
      <c r="P19" s="1" t="s">
        <v>43</v>
      </c>
      <c r="Q19" s="26" t="s">
        <v>41</v>
      </c>
      <c r="R19" s="1"/>
      <c r="S19" s="1"/>
    </row>
    <row r="20" spans="1:21">
      <c r="A20" s="39" t="s">
        <v>136</v>
      </c>
      <c r="B20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Toulon</v>
      </c>
      <c r="C20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20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0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0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0" s="34"/>
      <c r="H20" s="49"/>
      <c r="I20" s="50">
        <f ca="1">(bordeaux[[#This Row],[Issue match]]="Victoire")*4 + (bordeaux[[#This Row],[Issue match]]="Nul")*2 + bordeaux[[#This Row],[Bonus off]] + bordeaux[[#This Row],[Bonus déf]]</f>
        <v>0</v>
      </c>
      <c r="K20" s="10" t="s">
        <v>8</v>
      </c>
      <c r="L20" s="72"/>
      <c r="M20" s="72"/>
      <c r="N20" s="13"/>
      <c r="O20" s="1"/>
      <c r="P20" s="1" t="s">
        <v>43</v>
      </c>
      <c r="Q20" s="12" t="s">
        <v>42</v>
      </c>
      <c r="R20" s="1"/>
      <c r="S20" s="1"/>
      <c r="T20" s="1"/>
      <c r="U20" s="1"/>
    </row>
    <row r="21" spans="1:21">
      <c r="A21" s="39" t="s">
        <v>137</v>
      </c>
      <c r="B21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Lyon</v>
      </c>
      <c r="C21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21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1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1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1" s="34"/>
      <c r="H21" s="49"/>
      <c r="I21" s="50">
        <f ca="1">(bordeaux[[#This Row],[Issue match]]="Victoire")*4 + (bordeaux[[#This Row],[Issue match]]="Nul")*2 + bordeaux[[#This Row],[Bonus off]] + bordeaux[[#This Row],[Bonus déf]]</f>
        <v>0</v>
      </c>
      <c r="K21" s="10" t="s">
        <v>9</v>
      </c>
      <c r="L21" s="18"/>
      <c r="M21" s="18"/>
      <c r="N21" s="13"/>
      <c r="O21" s="1"/>
      <c r="P21" s="1" t="s">
        <v>43</v>
      </c>
      <c r="Q21" s="12" t="s">
        <v>40</v>
      </c>
      <c r="R21" s="1"/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Clermont</v>
      </c>
      <c r="C22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22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2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2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2" s="34"/>
      <c r="H22" s="49"/>
      <c r="I22" s="50">
        <f ca="1">(bordeaux[[#This Row],[Issue match]]="Victoire")*4 + (bordeaux[[#This Row],[Issue match]]="Nul")*2 + bordeaux[[#This Row],[Bonus off]] + bordeaux[[#This Row],[Bonus déf]]</f>
        <v>0</v>
      </c>
      <c r="K22" s="10" t="s">
        <v>10</v>
      </c>
      <c r="L22" s="13"/>
      <c r="M22" s="13"/>
      <c r="N22" s="13"/>
      <c r="O22" s="1"/>
      <c r="P22" s="1" t="s">
        <v>43</v>
      </c>
      <c r="Q22" s="12" t="s">
        <v>44</v>
      </c>
      <c r="R22" s="1"/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Paris</v>
      </c>
      <c r="C23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23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3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3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3" s="34"/>
      <c r="H23" s="49"/>
      <c r="I23" s="50">
        <f ca="1">(bordeaux[[#This Row],[Issue match]]="Victoire")*4 + (bordeaux[[#This Row],[Issue match]]="Nul")*2 + bordeaux[[#This Row],[Bonus off]] + bordeaux[[#This Row],[Bonus déf]]</f>
        <v>0</v>
      </c>
      <c r="K23" s="10" t="s">
        <v>9</v>
      </c>
      <c r="L23" s="18"/>
      <c r="M23" s="18"/>
      <c r="N23" s="13"/>
      <c r="O23" s="1"/>
      <c r="P23" s="1" t="s">
        <v>43</v>
      </c>
      <c r="Q23" s="12" t="s">
        <v>45</v>
      </c>
      <c r="R23" s="1"/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Brive</v>
      </c>
      <c r="C24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24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4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4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4" s="34"/>
      <c r="H24" s="49"/>
      <c r="I24" s="50">
        <f ca="1">(bordeaux[[#This Row],[Issue match]]="Victoire")*4 + (bordeaux[[#This Row],[Issue match]]="Nul")*2 + bordeaux[[#This Row],[Bonus off]] + bordeaux[[#This Row],[Bonus déf]]</f>
        <v>0</v>
      </c>
      <c r="K24" s="1"/>
      <c r="L24" s="1"/>
      <c r="M24" s="1"/>
      <c r="N24" s="1"/>
      <c r="O24" s="1"/>
      <c r="P24" s="1" t="s">
        <v>43</v>
      </c>
      <c r="Q24" s="12" t="s">
        <v>46</v>
      </c>
      <c r="R24" s="1"/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Pau</v>
      </c>
      <c r="C25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25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5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5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5" s="34"/>
      <c r="H25" s="49"/>
      <c r="I25" s="50">
        <f ca="1">(bordeaux[[#This Row],[Issue match]]="Victoire")*4 + (bordeaux[[#This Row],[Issue match]]="Nul")*2 + bordeaux[[#This Row],[Bonus off]] + bordeaux[[#This Row],[Bonus déf]]</f>
        <v>0</v>
      </c>
      <c r="K25" s="10" t="s">
        <v>6</v>
      </c>
      <c r="L25" s="69"/>
      <c r="M25" s="70"/>
      <c r="N25" s="71"/>
      <c r="O25" s="1"/>
      <c r="P25" s="1" t="s">
        <v>43</v>
      </c>
      <c r="Q25" s="12" t="s">
        <v>47</v>
      </c>
      <c r="R25" s="1"/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Racing 92</v>
      </c>
      <c r="C26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26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6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6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6" s="34"/>
      <c r="H26" s="49"/>
      <c r="I26" s="50">
        <f ca="1">(bordeaux[[#This Row],[Issue match]]="Victoire")*4 + (bordeaux[[#This Row],[Issue match]]="Nul")*2 + bordeaux[[#This Row],[Bonus off]] + bordeaux[[#This Row],[Bonus déf]]</f>
        <v>0</v>
      </c>
      <c r="K26" s="10" t="s">
        <v>7</v>
      </c>
      <c r="L26" s="13"/>
      <c r="M26" s="72"/>
      <c r="N26" s="72"/>
      <c r="O26" s="1"/>
      <c r="P26" s="1" t="s">
        <v>43</v>
      </c>
      <c r="Q26" s="12" t="s">
        <v>48</v>
      </c>
      <c r="R26" s="1"/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La Rochelle</v>
      </c>
      <c r="C27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27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7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7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7" s="34"/>
      <c r="H27" s="49"/>
      <c r="I27" s="50">
        <f ca="1">(bordeaux[[#This Row],[Issue match]]="Victoire")*4 + (bordeaux[[#This Row],[Issue match]]="Nul")*2 + bordeaux[[#This Row],[Bonus off]] + bordeaux[[#This Row],[Bonus déf]]</f>
        <v>0</v>
      </c>
      <c r="K27" s="10" t="s">
        <v>9</v>
      </c>
      <c r="L27" s="18"/>
      <c r="M27" s="18"/>
      <c r="N27" s="13"/>
      <c r="O27" s="1"/>
      <c r="P27" s="1" t="s">
        <v>43</v>
      </c>
      <c r="Q27" s="12" t="s">
        <v>49</v>
      </c>
      <c r="R27" s="1"/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Agen</v>
      </c>
      <c r="C28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28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8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8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8" s="34"/>
      <c r="H28" s="49"/>
      <c r="I28" s="50">
        <f ca="1">(bordeaux[[#This Row],[Issue match]]="Victoire")*4 + (bordeaux[[#This Row],[Issue match]]="Nul")*2 + bordeaux[[#This Row],[Bonus off]] + bordeaux[[#This Row],[Bonus déf]]</f>
        <v>0</v>
      </c>
      <c r="K28" s="10" t="s">
        <v>8</v>
      </c>
      <c r="L28" s="72"/>
      <c r="M28" s="72"/>
      <c r="N28" s="13"/>
      <c r="O28" s="1"/>
      <c r="P28" s="1" t="s">
        <v>43</v>
      </c>
      <c r="Q28" s="12" t="s">
        <v>50</v>
      </c>
      <c r="R28" s="1"/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Montpellier</v>
      </c>
      <c r="C29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29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29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29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29" s="34"/>
      <c r="H29" s="49"/>
      <c r="I29" s="50">
        <f ca="1">(bordeaux[[#This Row],[Issue match]]="Victoire")*4 + (bordeaux[[#This Row],[Issue match]]="Nul")*2 + bordeaux[[#This Row],[Bonus off]] + bordeaux[[#This Row],[Bonus déf]]</f>
        <v>0</v>
      </c>
      <c r="K29" s="10" t="s">
        <v>9</v>
      </c>
      <c r="L29" s="18"/>
      <c r="M29" s="18"/>
      <c r="N29" s="13"/>
      <c r="O29" s="1"/>
      <c r="P29" s="1" t="s">
        <v>43</v>
      </c>
      <c r="Q29" s="12" t="s">
        <v>51</v>
      </c>
      <c r="R29" s="1"/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Bayonne</v>
      </c>
      <c r="C30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30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30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30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30" s="34"/>
      <c r="H30" s="49"/>
      <c r="I30" s="50">
        <f ca="1">(bordeaux[[#This Row],[Issue match]]="Victoire")*4 + (bordeaux[[#This Row],[Issue match]]="Nul")*2 + bordeaux[[#This Row],[Bonus off]] + bordeaux[[#This Row],[Bonus déf]]</f>
        <v>0</v>
      </c>
      <c r="K30" s="10" t="s">
        <v>10</v>
      </c>
      <c r="L30" s="13"/>
      <c r="M30" s="13"/>
      <c r="N30" s="13"/>
      <c r="O30" s="1"/>
      <c r="P30" s="1" t="s">
        <v>43</v>
      </c>
      <c r="Q30" s="12" t="s">
        <v>52</v>
      </c>
      <c r="R30" s="1"/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Castres</v>
      </c>
      <c r="C31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31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31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31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31" s="34"/>
      <c r="H31" s="49"/>
      <c r="I31" s="50">
        <f ca="1">(bordeaux[[#This Row],[Issue match]]="Victoire")*4 + (bordeaux[[#This Row],[Issue match]]="Nul")*2 + bordeaux[[#This Row],[Bonus off]] + bordeaux[[#This Row],[Bonus déf]]</f>
        <v>0</v>
      </c>
      <c r="K31" s="10" t="s">
        <v>9</v>
      </c>
      <c r="L31" s="18"/>
      <c r="M31" s="18"/>
      <c r="N31" s="13"/>
      <c r="O31" s="1"/>
      <c r="P31" s="1" t="s">
        <v>43</v>
      </c>
      <c r="Q31" s="12" t="s">
        <v>53</v>
      </c>
      <c r="R31" s="1"/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Toulon</v>
      </c>
      <c r="C32" s="3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Extérieur</v>
      </c>
      <c r="D32" s="52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32" s="45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32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32" s="34"/>
      <c r="H32" s="49"/>
      <c r="I32" s="50">
        <f ca="1">(bordeaux[[#This Row],[Issue match]]="Victoire")*4 + (bordeaux[[#This Row],[Issue match]]="Nul")*2 + bordeaux[[#This Row],[Bonus off]] + bordeaux[[#This Row],[Bonus déf]]</f>
        <v>0</v>
      </c>
      <c r="J32" s="1"/>
      <c r="K32" s="1"/>
      <c r="L32" s="1"/>
      <c r="M32" s="1"/>
    </row>
    <row r="33" spans="1:13">
      <c r="A33" s="40" t="s">
        <v>149</v>
      </c>
      <c r="B33" s="57" t="str">
        <f ca="1">CONCATENATE(
IFERROR( INDEX(INDIRECT("resultat!C"&amp;PRODUCT(7,MATCH(bordeaux[[#This Row],[journée]],bordeaux[journée],0)-1)+2&amp;":C"&amp;PRODUCT(7,MATCH(bordeaux[[#This Row],[journée]],bordeaux[journée],0))+1),
IFERROR(MATCH($A$1, INDIRECT("resultat!f"&amp;PRODUCT(7,MATCH(bordeaux[[#This Row],[journée]],bordeaux[journée],0)-1)+2&amp;":f"&amp;PRODUCT(7,MATCH(bordeaux[[#This Row],[journée]],bordeaux[journée],0))+1),0 ),""),0),""),
IFERROR( INDEX(INDIRECT("resultat!f"&amp;PRODUCT(7,MATCH(bordeaux[[#This Row],[journée]],bordeaux[journée],0)-1)+2&amp;":f"&amp;PRODUCT(7,MATCH(bordeaux[[#This Row],[journée]],bordeaux[journée],0))+1),
IFERROR(MATCH($A$1, INDIRECT("resultat!c"&amp;PRODUCT(7,MATCH(bordeaux[[#This Row],[journée]],bordeaux[journée],0)-1)+2&amp;":c"&amp;PRODUCT(7,MATCH(bordeaux[[#This Row],[journée]],bordeaux[journée],0))+1),0 ),""),0),"") )</f>
        <v>Toulouse</v>
      </c>
      <c r="C33" s="58" t="str">
        <f ca="1">IF(AND(ISNA(MATCH($A$1,INDIRECT("resultat!f"&amp;PRODUCT(7,MATCH(bordeaux[[#This Row],[journée]],bordeaux[journée],0)-1)+2&amp;":f"&amp;PRODUCT(7,MATCH(bordeaux[[#This Row],[journée]],bordeaux[journée],0))+1),0)),
ISNA(MATCH($A$1,INDIRECT("resultat!c"&amp;PRODUCT(7,MATCH(bordeaux[[#This Row],[journée]],bordeaux[journée],0)-1)+2&amp;":c"&amp;PRODUCT(7,MATCH(bordeaux[[#This Row],[journée]],bordeaux[journée],0))+1),0))),"",IF(ISNA(MATCH($A$1,INDIRECT("resultat!f"&amp;PRODUCT(7,MATCH(bordeaux[[#This Row],[journée]],bordeaux[journée],0)-1)+2&amp;":f"&amp;PRODUCT(7,MATCH(bordeaux[[#This Row],[journée]],bordeaux[journée],0))+1),0)),
"Domicile","Extérieur"))</f>
        <v>Domicile</v>
      </c>
      <c r="D33" s="59" t="str">
        <f ca="1">IFERROR(  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$A$1, "Victoire",
IF( INDEX(INDIRECT("resultat!h"&amp;PRODUCT(7,MATCH(bordeaux[[#This Row],[journée]],bordeaux[journée],0)-1)+2&amp;":h"&amp;PRODUCT(7,MATCH(bordeaux[[#This Row],[journée]],bordeaux[journée],0))+1),
CONCATENATE(
IFERROR(MATCH( $A$1, INDIRECT("resultat!C"&amp;PRODUCT(7,MATCH(bordeaux[[#This Row],[journée]],bordeaux[journée],0)-1)+2&amp;":C"&amp;PRODUCT(7,MATCH(bordeaux[[#This Row],[journée]],bordeaux[journée],0))+1),0),""),
IFERROR(MATCH($A$1, INDIRECT("resultat!f"&amp;PRODUCT(7,MATCH(bordeaux[[#This Row],[journée]],bordeaux[journée],0)-1)+2&amp;":f"&amp;PRODUCT(7,MATCH(bordeaux[[#This Row],[journée]],bordeaux[journée],0))+1),0 ),"")),0) = "Nul", "Nul", "Défaite" )), "")</f>
        <v>Défaite</v>
      </c>
      <c r="E33" s="60">
        <f ca="1">SUMIFS(resultat[Score D],resultat[Journée],bordeaux[[#This Row],[journée]],resultat[Domicile],bordeaux[[#This Row],[adversaire]]) + SUMIFS(resultat[Score D],resultat[Journée],bordeaux[[#This Row],[journée]],resultat[Exterieur],bordeaux[[#This Row],[adversaire]])</f>
        <v>0</v>
      </c>
      <c r="F33" s="46">
        <f ca="1">SUMIFS(resultat[Score E],resultat[Journée],bordeaux[[#This Row],[journée]],resultat[Domicile],bordeaux[[#This Row],[adversaire]])  + SUMIFS(resultat[Score E],resultat[Journée],bordeaux[[#This Row],[journée]],resultat[Exterieur],bordeaux[[#This Row],[adversaire]])</f>
        <v>0</v>
      </c>
      <c r="G33" s="34"/>
      <c r="H33" s="49"/>
      <c r="I33" s="50">
        <f ca="1">(bordeaux[[#This Row],[Issue match]]="Victoire")*4 + (bordeaux[[#This Row],[Issue match]]="Nul")*2 + bordeaux[[#This Row],[Bonus off]] + bordeaux[[#This Row],[Bonus déf]]</f>
        <v>0</v>
      </c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13">
      <c r="A36" s="74" t="s">
        <v>24</v>
      </c>
      <c r="B36" s="74" t="s">
        <v>14</v>
      </c>
      <c r="C36" s="48">
        <v>19</v>
      </c>
      <c r="D36" s="48">
        <v>7</v>
      </c>
      <c r="E36" s="48">
        <v>3</v>
      </c>
      <c r="F36" s="19">
        <f t="shared" ref="F36:F48" si="1">(D36+E36)/C36</f>
        <v>0.52631578947368418</v>
      </c>
      <c r="G36" s="48">
        <v>3</v>
      </c>
      <c r="H36" s="20">
        <v>6</v>
      </c>
      <c r="I36" s="19">
        <f t="shared" ref="I36:I48" si="2">(G36+H36)/C36</f>
        <v>0.47368421052631576</v>
      </c>
      <c r="J36" s="48"/>
      <c r="K36" s="3">
        <f t="shared" ref="K36:K48" si="3">100%-(F36+I36)</f>
        <v>0</v>
      </c>
      <c r="L36" s="11">
        <f t="shared" ref="L36:L48" si="4">SUM(F36+I36+K36)</f>
        <v>1</v>
      </c>
      <c r="M36" s="25"/>
    </row>
    <row r="37" spans="1:13">
      <c r="A37" s="74" t="s">
        <v>24</v>
      </c>
      <c r="B37" s="74" t="s">
        <v>23</v>
      </c>
      <c r="C37" s="48">
        <v>15</v>
      </c>
      <c r="D37" s="48">
        <v>6</v>
      </c>
      <c r="E37" s="48">
        <v>2</v>
      </c>
      <c r="F37" s="19">
        <f t="shared" si="1"/>
        <v>0.53333333333333333</v>
      </c>
      <c r="G37" s="48">
        <v>2</v>
      </c>
      <c r="H37" s="48">
        <v>5</v>
      </c>
      <c r="I37" s="19">
        <f t="shared" si="2"/>
        <v>0.46666666666666667</v>
      </c>
      <c r="J37" s="48"/>
      <c r="K37" s="3">
        <f t="shared" si="3"/>
        <v>0</v>
      </c>
      <c r="L37" s="11">
        <f t="shared" si="4"/>
        <v>1</v>
      </c>
    </row>
    <row r="38" spans="1:13">
      <c r="A38" s="74" t="s">
        <v>24</v>
      </c>
      <c r="B38" s="74" t="s">
        <v>25</v>
      </c>
      <c r="C38" s="48">
        <v>14</v>
      </c>
      <c r="D38" s="48">
        <v>6</v>
      </c>
      <c r="E38" s="48">
        <v>2</v>
      </c>
      <c r="F38" s="19">
        <f t="shared" si="1"/>
        <v>0.5714285714285714</v>
      </c>
      <c r="G38" s="48">
        <v>0</v>
      </c>
      <c r="H38" s="48">
        <v>5</v>
      </c>
      <c r="I38" s="19">
        <f t="shared" si="2"/>
        <v>0.35714285714285715</v>
      </c>
      <c r="J38" s="48">
        <v>1</v>
      </c>
      <c r="K38" s="3">
        <f t="shared" si="3"/>
        <v>7.1428571428571397E-2</v>
      </c>
      <c r="L38" s="11">
        <f t="shared" si="4"/>
        <v>1</v>
      </c>
    </row>
    <row r="39" spans="1:13">
      <c r="A39" s="74" t="s">
        <v>24</v>
      </c>
      <c r="B39" s="74" t="s">
        <v>37</v>
      </c>
      <c r="C39" s="48">
        <v>22</v>
      </c>
      <c r="D39" s="48">
        <v>7</v>
      </c>
      <c r="E39" s="48">
        <v>3</v>
      </c>
      <c r="F39" s="19">
        <f t="shared" si="1"/>
        <v>0.45454545454545453</v>
      </c>
      <c r="G39" s="48">
        <v>4</v>
      </c>
      <c r="H39" s="48">
        <v>7</v>
      </c>
      <c r="I39" s="19">
        <f t="shared" si="2"/>
        <v>0.5</v>
      </c>
      <c r="J39" s="48">
        <v>1</v>
      </c>
      <c r="K39" s="3">
        <f t="shared" si="3"/>
        <v>4.5454545454545414E-2</v>
      </c>
      <c r="L39" s="11">
        <f t="shared" si="4"/>
        <v>1</v>
      </c>
    </row>
    <row r="40" spans="1:13">
      <c r="A40" s="74" t="s">
        <v>24</v>
      </c>
      <c r="B40" s="74" t="s">
        <v>26</v>
      </c>
      <c r="C40" s="48">
        <v>27</v>
      </c>
      <c r="D40" s="48">
        <v>6</v>
      </c>
      <c r="E40" s="48">
        <v>1</v>
      </c>
      <c r="F40" s="19">
        <f t="shared" si="1"/>
        <v>0.25925925925925924</v>
      </c>
      <c r="G40" s="48">
        <v>6</v>
      </c>
      <c r="H40" s="48">
        <v>10</v>
      </c>
      <c r="I40" s="19">
        <f t="shared" si="2"/>
        <v>0.59259259259259256</v>
      </c>
      <c r="J40" s="48">
        <v>4</v>
      </c>
      <c r="K40" s="3">
        <f t="shared" si="3"/>
        <v>0.14814814814814814</v>
      </c>
      <c r="L40" s="11">
        <f t="shared" si="4"/>
        <v>1</v>
      </c>
    </row>
    <row r="41" spans="1:13">
      <c r="A41" s="74" t="s">
        <v>24</v>
      </c>
      <c r="B41" s="74" t="s">
        <v>27</v>
      </c>
      <c r="C41" s="48">
        <v>24</v>
      </c>
      <c r="D41" s="48">
        <v>8</v>
      </c>
      <c r="E41" s="48">
        <v>3</v>
      </c>
      <c r="F41" s="19">
        <f t="shared" si="1"/>
        <v>0.45833333333333331</v>
      </c>
      <c r="G41" s="48">
        <v>4</v>
      </c>
      <c r="H41" s="48">
        <v>9</v>
      </c>
      <c r="I41" s="19">
        <f t="shared" si="2"/>
        <v>0.54166666666666663</v>
      </c>
      <c r="J41" s="48"/>
      <c r="K41" s="3">
        <f t="shared" si="3"/>
        <v>0</v>
      </c>
      <c r="L41" s="11">
        <f t="shared" si="4"/>
        <v>1</v>
      </c>
    </row>
    <row r="42" spans="1:13">
      <c r="A42" s="74" t="s">
        <v>24</v>
      </c>
      <c r="B42" s="74" t="s">
        <v>28</v>
      </c>
      <c r="C42" s="48">
        <v>27</v>
      </c>
      <c r="D42" s="48">
        <v>10</v>
      </c>
      <c r="E42" s="48">
        <v>1</v>
      </c>
      <c r="F42" s="19">
        <f t="shared" si="1"/>
        <v>0.40740740740740738</v>
      </c>
      <c r="G42" s="48">
        <v>3</v>
      </c>
      <c r="H42" s="48">
        <v>11</v>
      </c>
      <c r="I42" s="19">
        <f t="shared" si="2"/>
        <v>0.51851851851851849</v>
      </c>
      <c r="J42" s="48">
        <v>2</v>
      </c>
      <c r="K42" s="3">
        <f t="shared" si="3"/>
        <v>7.4074074074074181E-2</v>
      </c>
      <c r="L42" s="11">
        <f t="shared" si="4"/>
        <v>1</v>
      </c>
    </row>
    <row r="43" spans="1:13">
      <c r="A43" s="74" t="s">
        <v>24</v>
      </c>
      <c r="B43" s="74" t="s">
        <v>29</v>
      </c>
      <c r="C43" s="48">
        <v>17</v>
      </c>
      <c r="D43" s="48">
        <v>2</v>
      </c>
      <c r="E43" s="48">
        <v>1</v>
      </c>
      <c r="F43" s="19">
        <f t="shared" si="1"/>
        <v>0.17647058823529413</v>
      </c>
      <c r="G43" s="48">
        <v>5</v>
      </c>
      <c r="H43" s="48">
        <v>7</v>
      </c>
      <c r="I43" s="19">
        <f t="shared" si="2"/>
        <v>0.70588235294117652</v>
      </c>
      <c r="J43" s="48">
        <v>2</v>
      </c>
      <c r="K43" s="3">
        <f t="shared" si="3"/>
        <v>0.11764705882352933</v>
      </c>
      <c r="L43" s="11">
        <f t="shared" si="4"/>
        <v>1</v>
      </c>
    </row>
    <row r="44" spans="1:13">
      <c r="A44" s="74" t="s">
        <v>24</v>
      </c>
      <c r="B44" s="74" t="s">
        <v>30</v>
      </c>
      <c r="C44" s="48">
        <v>19</v>
      </c>
      <c r="D44" s="48">
        <v>9</v>
      </c>
      <c r="E44" s="48">
        <v>1</v>
      </c>
      <c r="F44" s="19">
        <f t="shared" si="1"/>
        <v>0.52631578947368418</v>
      </c>
      <c r="G44" s="48">
        <v>1</v>
      </c>
      <c r="H44" s="48">
        <v>8</v>
      </c>
      <c r="I44" s="19">
        <f t="shared" si="2"/>
        <v>0.47368421052631576</v>
      </c>
      <c r="J44" s="48"/>
      <c r="K44" s="3">
        <f t="shared" si="3"/>
        <v>0</v>
      </c>
      <c r="L44" s="11">
        <f t="shared" si="4"/>
        <v>1</v>
      </c>
    </row>
    <row r="45" spans="1:13">
      <c r="A45" s="74" t="s">
        <v>24</v>
      </c>
      <c r="B45" s="74" t="s">
        <v>31</v>
      </c>
      <c r="C45" s="48">
        <v>21</v>
      </c>
      <c r="D45" s="48">
        <v>7</v>
      </c>
      <c r="E45" s="48">
        <v>4</v>
      </c>
      <c r="F45" s="19">
        <f t="shared" si="1"/>
        <v>0.52380952380952384</v>
      </c>
      <c r="G45" s="48">
        <v>3</v>
      </c>
      <c r="H45" s="48">
        <v>7</v>
      </c>
      <c r="I45" s="19">
        <f t="shared" si="2"/>
        <v>0.47619047619047616</v>
      </c>
      <c r="J45" s="48"/>
      <c r="K45" s="3">
        <f t="shared" si="3"/>
        <v>0</v>
      </c>
      <c r="L45" s="11">
        <f t="shared" si="4"/>
        <v>1</v>
      </c>
    </row>
    <row r="46" spans="1:13">
      <c r="A46" s="74" t="s">
        <v>24</v>
      </c>
      <c r="B46" s="74" t="s">
        <v>32</v>
      </c>
      <c r="C46" s="48">
        <v>26</v>
      </c>
      <c r="D46" s="48">
        <v>7</v>
      </c>
      <c r="E46" s="48">
        <v>2</v>
      </c>
      <c r="F46" s="19">
        <f t="shared" si="1"/>
        <v>0.34615384615384615</v>
      </c>
      <c r="G46" s="48">
        <v>6</v>
      </c>
      <c r="H46" s="48">
        <v>10</v>
      </c>
      <c r="I46" s="19">
        <f t="shared" si="2"/>
        <v>0.61538461538461542</v>
      </c>
      <c r="J46" s="48">
        <v>1</v>
      </c>
      <c r="K46" s="3">
        <f t="shared" si="3"/>
        <v>3.8461538461538436E-2</v>
      </c>
      <c r="L46" s="11">
        <f t="shared" si="4"/>
        <v>1</v>
      </c>
    </row>
    <row r="47" spans="1:13">
      <c r="A47" s="74" t="s">
        <v>24</v>
      </c>
      <c r="B47" s="74" t="s">
        <v>15</v>
      </c>
      <c r="C47" s="24">
        <v>22</v>
      </c>
      <c r="D47" s="24">
        <v>8</v>
      </c>
      <c r="E47" s="24">
        <v>0</v>
      </c>
      <c r="F47" s="19">
        <f t="shared" si="1"/>
        <v>0.36363636363636365</v>
      </c>
      <c r="G47" s="24">
        <v>4</v>
      </c>
      <c r="H47" s="24">
        <v>10</v>
      </c>
      <c r="I47" s="19">
        <f t="shared" si="2"/>
        <v>0.63636363636363635</v>
      </c>
      <c r="J47" s="24"/>
      <c r="K47" s="3">
        <f t="shared" si="3"/>
        <v>0</v>
      </c>
      <c r="L47" s="11">
        <f t="shared" si="4"/>
        <v>1</v>
      </c>
    </row>
    <row r="48" spans="1:13">
      <c r="A48" s="74" t="s">
        <v>24</v>
      </c>
      <c r="B48" s="74" t="s">
        <v>33</v>
      </c>
      <c r="C48" s="24">
        <v>18</v>
      </c>
      <c r="D48" s="24">
        <v>5</v>
      </c>
      <c r="E48" s="24">
        <v>0</v>
      </c>
      <c r="F48" s="19">
        <f t="shared" si="1"/>
        <v>0.27777777777777779</v>
      </c>
      <c r="G48" s="24">
        <v>4</v>
      </c>
      <c r="H48" s="24">
        <v>8</v>
      </c>
      <c r="I48" s="19">
        <f t="shared" si="2"/>
        <v>0.66666666666666663</v>
      </c>
      <c r="J48" s="24">
        <v>1</v>
      </c>
      <c r="K48" s="3">
        <f t="shared" si="3"/>
        <v>5.555555555555558E-2</v>
      </c>
      <c r="L48" s="11">
        <f t="shared" si="4"/>
        <v>1</v>
      </c>
    </row>
    <row r="50" spans="1:12">
      <c r="A50" s="92" t="s">
        <v>166</v>
      </c>
    </row>
    <row r="51" spans="1:12">
      <c r="A51" s="88" t="s">
        <v>16</v>
      </c>
      <c r="B51" s="88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24</v>
      </c>
      <c r="B52" s="91" t="s">
        <v>14</v>
      </c>
      <c r="C52" s="109">
        <f>COUNTIFS(Bordeaux1[adversaire],B52)</f>
        <v>0</v>
      </c>
      <c r="D52" s="110">
        <f>COUNTIFS(Bordeaux1[adversaire],B52,Bordeaux1[Lieu Match],"domicile",Bordeaux1[Issue match],"victoire")</f>
        <v>0</v>
      </c>
      <c r="E52" s="110">
        <f>COUNTIFS(Bordeaux1[adversaire],B52,Bordeaux1[Lieu Match],"Extérieur",Bordeaux1[Issue match],"victoire")</f>
        <v>0</v>
      </c>
      <c r="F52" s="111" t="e">
        <f>(D52+E52)/C52</f>
        <v>#DIV/0!</v>
      </c>
      <c r="G52" s="112">
        <f>COUNTIFS(Bordeaux1[adversaire],B52,Bordeaux1[Lieu Match],"domicile",Bordeaux1[Issue match],"défaite")</f>
        <v>0</v>
      </c>
      <c r="H52" s="113">
        <f>COUNTIFS(Bordeaux1[adversaire],B52,Bordeaux1[Lieu Match],"Extérieur",Bordeaux1[Issue match],"défaite")</f>
        <v>0</v>
      </c>
      <c r="I52" s="114" t="e">
        <f>(G52+H52)/C52</f>
        <v>#DIV/0!</v>
      </c>
      <c r="J52" s="115">
        <f>COUNTIFS(Bordeaux1[adversaire],B52,Bordeaux1[Lieu Match],"Domicile",Bordeaux1[Issue match],"Nul")+COUNTIFS(Bordeaux1[adversaire],B52,Bordeaux1[Lieu Match],"Extérieur",Bordeaux1[Issue match],"Nul")</f>
        <v>0</v>
      </c>
      <c r="K52" s="116" t="e">
        <f>100%-(F52+I52)</f>
        <v>#DIV/0!</v>
      </c>
      <c r="L52" s="117" t="e">
        <f>SUM(F52+I52+K52)</f>
        <v>#DIV/0!</v>
      </c>
    </row>
    <row r="53" spans="1:12">
      <c r="A53" s="90" t="s">
        <v>24</v>
      </c>
      <c r="B53" s="91" t="s">
        <v>23</v>
      </c>
      <c r="C53" s="109">
        <f>COUNTIFS(Bordeaux1[adversaire],B53)</f>
        <v>0</v>
      </c>
      <c r="D53" s="110">
        <f>COUNTIFS(Bordeaux1[adversaire],B53,Bordeaux1[Lieu Match],"domicile",Bordeaux1[Issue match],"victoire")</f>
        <v>0</v>
      </c>
      <c r="E53" s="110">
        <f>COUNTIFS(Bordeaux1[adversaire],B53,Bordeaux1[Lieu Match],"Extérieur",Bordeaux1[Issue match],"victoire")</f>
        <v>0</v>
      </c>
      <c r="F53" s="111" t="e">
        <f t="shared" ref="F53:F64" si="5">(D53+E53)/C53</f>
        <v>#DIV/0!</v>
      </c>
      <c r="G53" s="112">
        <f>COUNTIFS(Bordeaux1[adversaire],B53,Bordeaux1[Lieu Match],"domicile",Bordeaux1[Issue match],"défaite")</f>
        <v>0</v>
      </c>
      <c r="H53" s="113">
        <f>COUNTIFS(Bordeaux1[adversaire],B53,Bordeaux1[Lieu Match],"Extérieur",Bordeaux1[Issue match],"défaite")</f>
        <v>0</v>
      </c>
      <c r="I53" s="114" t="e">
        <f t="shared" ref="I53:I64" si="6">(G53+H53)/C53</f>
        <v>#DIV/0!</v>
      </c>
      <c r="J53" s="115">
        <f>COUNTIFS(Bordeaux1[adversaire],B53,Bordeaux1[Lieu Match],"Domicile",Bordeaux1[Issue match],"Nul")+COUNTIFS(Bordeaux1[adversaire],B53,Bordeaux1[Lieu Match],"Extérieur",Bordeaux1[Issue match],"Nul")</f>
        <v>0</v>
      </c>
      <c r="K53" s="116" t="e">
        <f t="shared" ref="K53:K64" si="7">100%-(F53+I53)</f>
        <v>#DIV/0!</v>
      </c>
      <c r="L53" s="117" t="e">
        <f t="shared" ref="L53:L64" si="8">SUM(F53+I53+K53)</f>
        <v>#DIV/0!</v>
      </c>
    </row>
    <row r="54" spans="1:12">
      <c r="A54" s="90" t="s">
        <v>24</v>
      </c>
      <c r="B54" s="91" t="s">
        <v>25</v>
      </c>
      <c r="C54" s="109">
        <f>COUNTIFS(Bordeaux1[adversaire],B54)</f>
        <v>0</v>
      </c>
      <c r="D54" s="110">
        <f>COUNTIFS(Bordeaux1[adversaire],B54,Bordeaux1[Lieu Match],"domicile",Bordeaux1[Issue match],"victoire")</f>
        <v>0</v>
      </c>
      <c r="E54" s="110">
        <f>COUNTIFS(Bordeaux1[adversaire],B54,Bordeaux1[Lieu Match],"Extérieur",Bordeaux1[Issue match],"victoire")</f>
        <v>0</v>
      </c>
      <c r="F54" s="111" t="e">
        <f t="shared" si="5"/>
        <v>#DIV/0!</v>
      </c>
      <c r="G54" s="112">
        <f>COUNTIFS(Bordeaux1[adversaire],B54,Bordeaux1[Lieu Match],"domicile",Bordeaux1[Issue match],"défaite")</f>
        <v>0</v>
      </c>
      <c r="H54" s="113">
        <f>COUNTIFS(Bordeaux1[adversaire],B54,Bordeaux1[Lieu Match],"Extérieur",Bordeaux1[Issue match],"défaite")</f>
        <v>0</v>
      </c>
      <c r="I54" s="114" t="e">
        <f t="shared" si="6"/>
        <v>#DIV/0!</v>
      </c>
      <c r="J54" s="115">
        <f>COUNTIFS(Bordeaux1[adversaire],B54,Bordeaux1[Lieu Match],"Domicile",Bordeaux1[Issue match],"Nul")+COUNTIFS(Bordeaux1[adversaire],B54,Bordeaux1[Lieu Match],"Extérieur",Bordeaux1[Issue match],"Nul")</f>
        <v>0</v>
      </c>
      <c r="K54" s="116" t="e">
        <f t="shared" si="7"/>
        <v>#DIV/0!</v>
      </c>
      <c r="L54" s="117" t="e">
        <f t="shared" si="8"/>
        <v>#DIV/0!</v>
      </c>
    </row>
    <row r="55" spans="1:12">
      <c r="A55" s="90" t="s">
        <v>24</v>
      </c>
      <c r="B55" s="91" t="s">
        <v>37</v>
      </c>
      <c r="C55" s="109">
        <f>COUNTIFS(Bordeaux1[adversaire],B55)</f>
        <v>0</v>
      </c>
      <c r="D55" s="110">
        <f>COUNTIFS(Bordeaux1[adversaire],B55,Bordeaux1[Lieu Match],"domicile",Bordeaux1[Issue match],"victoire")</f>
        <v>0</v>
      </c>
      <c r="E55" s="110">
        <f>COUNTIFS(Bordeaux1[adversaire],B55,Bordeaux1[Lieu Match],"Extérieur",Bordeaux1[Issue match],"victoire")</f>
        <v>0</v>
      </c>
      <c r="F55" s="111" t="e">
        <f t="shared" si="5"/>
        <v>#DIV/0!</v>
      </c>
      <c r="G55" s="112">
        <f>COUNTIFS(Bordeaux1[adversaire],B55,Bordeaux1[Lieu Match],"domicile",Bordeaux1[Issue match],"défaite")</f>
        <v>0</v>
      </c>
      <c r="H55" s="113">
        <f>COUNTIFS(Bordeaux1[adversaire],B55,Bordeaux1[Lieu Match],"Extérieur",Bordeaux1[Issue match],"défaite")</f>
        <v>0</v>
      </c>
      <c r="I55" s="114" t="e">
        <f t="shared" si="6"/>
        <v>#DIV/0!</v>
      </c>
      <c r="J55" s="115">
        <f>COUNTIFS(Bordeaux1[adversaire],B55,Bordeaux1[Lieu Match],"Domicile",Bordeaux1[Issue match],"Nul")+COUNTIFS(Bordeaux1[adversaire],B55,Bordeaux1[Lieu Match],"Extérieur",Bordeaux1[Issue match],"Nul")</f>
        <v>0</v>
      </c>
      <c r="K55" s="116" t="e">
        <f t="shared" si="7"/>
        <v>#DIV/0!</v>
      </c>
      <c r="L55" s="117" t="e">
        <f t="shared" si="8"/>
        <v>#DIV/0!</v>
      </c>
    </row>
    <row r="56" spans="1:12">
      <c r="A56" s="90" t="s">
        <v>24</v>
      </c>
      <c r="B56" s="91" t="s">
        <v>26</v>
      </c>
      <c r="C56" s="109">
        <f>COUNTIFS(Bordeaux1[adversaire],B56)</f>
        <v>0</v>
      </c>
      <c r="D56" s="110">
        <f>COUNTIFS(Bordeaux1[adversaire],B56,Bordeaux1[Lieu Match],"domicile",Bordeaux1[Issue match],"victoire")</f>
        <v>0</v>
      </c>
      <c r="E56" s="110">
        <f>COUNTIFS(Bordeaux1[adversaire],B56,Bordeaux1[Lieu Match],"Extérieur",Bordeaux1[Issue match],"victoire")</f>
        <v>0</v>
      </c>
      <c r="F56" s="111" t="e">
        <f t="shared" si="5"/>
        <v>#DIV/0!</v>
      </c>
      <c r="G56" s="112">
        <f>COUNTIFS(Bordeaux1[adversaire],B56,Bordeaux1[Lieu Match],"domicile",Bordeaux1[Issue match],"défaite")</f>
        <v>0</v>
      </c>
      <c r="H56" s="113">
        <f>COUNTIFS(Bordeaux1[adversaire],B56,Bordeaux1[Lieu Match],"Extérieur",Bordeaux1[Issue match],"défaite")</f>
        <v>0</v>
      </c>
      <c r="I56" s="114" t="e">
        <f t="shared" si="6"/>
        <v>#DIV/0!</v>
      </c>
      <c r="J56" s="115">
        <f>COUNTIFS(Bordeaux1[adversaire],B56,Bordeaux1[Lieu Match],"Domicile",Bordeaux1[Issue match],"Nul")+COUNTIFS(Bordeaux1[adversaire],B56,Bordeaux1[Lieu Match],"Extérieur",Bordeaux1[Issue match],"Nul")</f>
        <v>0</v>
      </c>
      <c r="K56" s="116" t="e">
        <f t="shared" si="7"/>
        <v>#DIV/0!</v>
      </c>
      <c r="L56" s="117" t="e">
        <f t="shared" si="8"/>
        <v>#DIV/0!</v>
      </c>
    </row>
    <row r="57" spans="1:12">
      <c r="A57" s="90" t="s">
        <v>24</v>
      </c>
      <c r="B57" s="91" t="s">
        <v>27</v>
      </c>
      <c r="C57" s="109">
        <f>COUNTIFS(Bordeaux1[adversaire],B57)</f>
        <v>0</v>
      </c>
      <c r="D57" s="110">
        <f>COUNTIFS(Bordeaux1[adversaire],B57,Bordeaux1[Lieu Match],"domicile",Bordeaux1[Issue match],"victoire")</f>
        <v>0</v>
      </c>
      <c r="E57" s="110">
        <f>COUNTIFS(Bordeaux1[adversaire],B57,Bordeaux1[Lieu Match],"Extérieur",Bordeaux1[Issue match],"victoire")</f>
        <v>0</v>
      </c>
      <c r="F57" s="111" t="e">
        <f t="shared" si="5"/>
        <v>#DIV/0!</v>
      </c>
      <c r="G57" s="112">
        <f>COUNTIFS(Bordeaux1[adversaire],B57,Bordeaux1[Lieu Match],"domicile",Bordeaux1[Issue match],"défaite")</f>
        <v>0</v>
      </c>
      <c r="H57" s="113">
        <f>COUNTIFS(Bordeaux1[adversaire],B57,Bordeaux1[Lieu Match],"Extérieur",Bordeaux1[Issue match],"défaite")</f>
        <v>0</v>
      </c>
      <c r="I57" s="114" t="e">
        <f t="shared" si="6"/>
        <v>#DIV/0!</v>
      </c>
      <c r="J57" s="115">
        <f>COUNTIFS(Bordeaux1[adversaire],B57,Bordeaux1[Lieu Match],"Domicile",Bordeaux1[Issue match],"Nul")+COUNTIFS(Bordeaux1[adversaire],B57,Bordeaux1[Lieu Match],"Extérieur",Bordeaux1[Issue match],"Nul")</f>
        <v>0</v>
      </c>
      <c r="K57" s="116" t="e">
        <f t="shared" si="7"/>
        <v>#DIV/0!</v>
      </c>
      <c r="L57" s="117" t="e">
        <f t="shared" si="8"/>
        <v>#DIV/0!</v>
      </c>
    </row>
    <row r="58" spans="1:12">
      <c r="A58" s="90" t="s">
        <v>24</v>
      </c>
      <c r="B58" s="91" t="s">
        <v>28</v>
      </c>
      <c r="C58" s="109">
        <f>COUNTIFS(Bordeaux1[adversaire],B58)</f>
        <v>0</v>
      </c>
      <c r="D58" s="110">
        <f>COUNTIFS(Bordeaux1[adversaire],B58,Bordeaux1[Lieu Match],"domicile",Bordeaux1[Issue match],"victoire")</f>
        <v>0</v>
      </c>
      <c r="E58" s="110">
        <f>COUNTIFS(Bordeaux1[adversaire],B58,Bordeaux1[Lieu Match],"Extérieur",Bordeaux1[Issue match],"victoire")</f>
        <v>0</v>
      </c>
      <c r="F58" s="111" t="e">
        <f t="shared" si="5"/>
        <v>#DIV/0!</v>
      </c>
      <c r="G58" s="112">
        <f>COUNTIFS(Bordeaux1[adversaire],B58,Bordeaux1[Lieu Match],"domicile",Bordeaux1[Issue match],"défaite")</f>
        <v>0</v>
      </c>
      <c r="H58" s="113">
        <f>COUNTIFS(Bordeaux1[adversaire],B58,Bordeaux1[Lieu Match],"Extérieur",Bordeaux1[Issue match],"défaite")</f>
        <v>0</v>
      </c>
      <c r="I58" s="114" t="e">
        <f t="shared" si="6"/>
        <v>#DIV/0!</v>
      </c>
      <c r="J58" s="115">
        <f>COUNTIFS(Bordeaux1[adversaire],B58,Bordeaux1[Lieu Match],"Domicile",Bordeaux1[Issue match],"Nul")+COUNTIFS(Bordeaux1[adversaire],B58,Bordeaux1[Lieu Match],"Extérieur",Bordeaux1[Issue match],"Nul")</f>
        <v>0</v>
      </c>
      <c r="K58" s="116" t="e">
        <f t="shared" si="7"/>
        <v>#DIV/0!</v>
      </c>
      <c r="L58" s="117" t="e">
        <f t="shared" si="8"/>
        <v>#DIV/0!</v>
      </c>
    </row>
    <row r="59" spans="1:12">
      <c r="A59" s="90" t="s">
        <v>24</v>
      </c>
      <c r="B59" s="91" t="s">
        <v>29</v>
      </c>
      <c r="C59" s="109">
        <f>COUNTIFS(Bordeaux1[adversaire],B59)</f>
        <v>0</v>
      </c>
      <c r="D59" s="110">
        <f>COUNTIFS(Bordeaux1[adversaire],B59,Bordeaux1[Lieu Match],"domicile",Bordeaux1[Issue match],"victoire")</f>
        <v>0</v>
      </c>
      <c r="E59" s="110">
        <f>COUNTIFS(Bordeaux1[adversaire],B59,Bordeaux1[Lieu Match],"Extérieur",Bordeaux1[Issue match],"victoire")</f>
        <v>0</v>
      </c>
      <c r="F59" s="111" t="e">
        <f t="shared" si="5"/>
        <v>#DIV/0!</v>
      </c>
      <c r="G59" s="112">
        <f>COUNTIFS(Bordeaux1[adversaire],B59,Bordeaux1[Lieu Match],"domicile",Bordeaux1[Issue match],"défaite")</f>
        <v>0</v>
      </c>
      <c r="H59" s="113">
        <f>COUNTIFS(Bordeaux1[adversaire],B59,Bordeaux1[Lieu Match],"Extérieur",Bordeaux1[Issue match],"défaite")</f>
        <v>0</v>
      </c>
      <c r="I59" s="114" t="e">
        <f t="shared" si="6"/>
        <v>#DIV/0!</v>
      </c>
      <c r="J59" s="115">
        <f>COUNTIFS(Bordeaux1[adversaire],B59,Bordeaux1[Lieu Match],"Domicile",Bordeaux1[Issue match],"Nul")+COUNTIFS(Bordeaux1[adversaire],B59,Bordeaux1[Lieu Match],"Extérieur",Bordeaux1[Issue match],"Nul")</f>
        <v>0</v>
      </c>
      <c r="K59" s="116" t="e">
        <f t="shared" si="7"/>
        <v>#DIV/0!</v>
      </c>
      <c r="L59" s="117" t="e">
        <f t="shared" si="8"/>
        <v>#DIV/0!</v>
      </c>
    </row>
    <row r="60" spans="1:12">
      <c r="A60" s="90" t="s">
        <v>24</v>
      </c>
      <c r="B60" s="91" t="s">
        <v>30</v>
      </c>
      <c r="C60" s="109">
        <f>COUNTIFS(Bordeaux1[adversaire],B60)</f>
        <v>0</v>
      </c>
      <c r="D60" s="110">
        <f>COUNTIFS(Bordeaux1[adversaire],B60,Bordeaux1[Lieu Match],"domicile",Bordeaux1[Issue match],"victoire")</f>
        <v>0</v>
      </c>
      <c r="E60" s="110">
        <f>COUNTIFS(Bordeaux1[adversaire],B60,Bordeaux1[Lieu Match],"Extérieur",Bordeaux1[Issue match],"victoire")</f>
        <v>0</v>
      </c>
      <c r="F60" s="111" t="e">
        <f t="shared" si="5"/>
        <v>#DIV/0!</v>
      </c>
      <c r="G60" s="112">
        <f>COUNTIFS(Bordeaux1[adversaire],B60,Bordeaux1[Lieu Match],"domicile",Bordeaux1[Issue match],"défaite")</f>
        <v>0</v>
      </c>
      <c r="H60" s="113">
        <f>COUNTIFS(Bordeaux1[adversaire],B60,Bordeaux1[Lieu Match],"Extérieur",Bordeaux1[Issue match],"défaite")</f>
        <v>0</v>
      </c>
      <c r="I60" s="114" t="e">
        <f t="shared" si="6"/>
        <v>#DIV/0!</v>
      </c>
      <c r="J60" s="115">
        <f>COUNTIFS(Bordeaux1[adversaire],B60,Bordeaux1[Lieu Match],"Domicile",Bordeaux1[Issue match],"Nul")+COUNTIFS(Bordeaux1[adversaire],B60,Bordeaux1[Lieu Match],"Extérieur",Bordeaux1[Issue match],"Nul")</f>
        <v>0</v>
      </c>
      <c r="K60" s="116" t="e">
        <f t="shared" si="7"/>
        <v>#DIV/0!</v>
      </c>
      <c r="L60" s="117" t="e">
        <f t="shared" si="8"/>
        <v>#DIV/0!</v>
      </c>
    </row>
    <row r="61" spans="1:12">
      <c r="A61" s="90" t="s">
        <v>24</v>
      </c>
      <c r="B61" s="91" t="s">
        <v>31</v>
      </c>
      <c r="C61" s="109">
        <f>COUNTIFS(Bordeaux1[adversaire],B61)</f>
        <v>0</v>
      </c>
      <c r="D61" s="110">
        <f>COUNTIFS(Bordeaux1[adversaire],B61,Bordeaux1[Lieu Match],"domicile",Bordeaux1[Issue match],"victoire")</f>
        <v>0</v>
      </c>
      <c r="E61" s="110">
        <f>COUNTIFS(Bordeaux1[adversaire],B61,Bordeaux1[Lieu Match],"Extérieur",Bordeaux1[Issue match],"victoire")</f>
        <v>0</v>
      </c>
      <c r="F61" s="111" t="e">
        <f t="shared" si="5"/>
        <v>#DIV/0!</v>
      </c>
      <c r="G61" s="112">
        <f>COUNTIFS(Bordeaux1[adversaire],B61,Bordeaux1[Lieu Match],"domicile",Bordeaux1[Issue match],"défaite")</f>
        <v>0</v>
      </c>
      <c r="H61" s="113">
        <f>COUNTIFS(Bordeaux1[adversaire],B61,Bordeaux1[Lieu Match],"Extérieur",Bordeaux1[Issue match],"défaite")</f>
        <v>0</v>
      </c>
      <c r="I61" s="114" t="e">
        <f t="shared" si="6"/>
        <v>#DIV/0!</v>
      </c>
      <c r="J61" s="115">
        <f>COUNTIFS(Bordeaux1[adversaire],B61,Bordeaux1[Lieu Match],"Domicile",Bordeaux1[Issue match],"Nul")+COUNTIFS(Bordeaux1[adversaire],B61,Bordeaux1[Lieu Match],"Extérieur",Bordeaux1[Issue match],"Nul")</f>
        <v>0</v>
      </c>
      <c r="K61" s="116" t="e">
        <f t="shared" si="7"/>
        <v>#DIV/0!</v>
      </c>
      <c r="L61" s="117" t="e">
        <f t="shared" si="8"/>
        <v>#DIV/0!</v>
      </c>
    </row>
    <row r="62" spans="1:12">
      <c r="A62" s="90" t="s">
        <v>24</v>
      </c>
      <c r="B62" s="91" t="s">
        <v>32</v>
      </c>
      <c r="C62" s="109">
        <f>COUNTIFS(Bordeaux1[adversaire],B62)</f>
        <v>0</v>
      </c>
      <c r="D62" s="110">
        <f>COUNTIFS(Bordeaux1[adversaire],B62,Bordeaux1[Lieu Match],"domicile",Bordeaux1[Issue match],"victoire")</f>
        <v>0</v>
      </c>
      <c r="E62" s="110">
        <f>COUNTIFS(Bordeaux1[adversaire],B62,Bordeaux1[Lieu Match],"Extérieur",Bordeaux1[Issue match],"victoire")</f>
        <v>0</v>
      </c>
      <c r="F62" s="111" t="e">
        <f t="shared" si="5"/>
        <v>#DIV/0!</v>
      </c>
      <c r="G62" s="112">
        <f>COUNTIFS(Bordeaux1[adversaire],B62,Bordeaux1[Lieu Match],"domicile",Bordeaux1[Issue match],"défaite")</f>
        <v>0</v>
      </c>
      <c r="H62" s="113">
        <f>COUNTIFS(Bordeaux1[adversaire],B62,Bordeaux1[Lieu Match],"Extérieur",Bordeaux1[Issue match],"défaite")</f>
        <v>0</v>
      </c>
      <c r="I62" s="114" t="e">
        <f t="shared" si="6"/>
        <v>#DIV/0!</v>
      </c>
      <c r="J62" s="115">
        <f>COUNTIFS(Bordeaux1[adversaire],B62,Bordeaux1[Lieu Match],"Domicile",Bordeaux1[Issue match],"Nul")+COUNTIFS(Bordeaux1[adversaire],B62,Bordeaux1[Lieu Match],"Extérieur",Bordeaux1[Issue match],"Nul")</f>
        <v>0</v>
      </c>
      <c r="K62" s="116" t="e">
        <f t="shared" si="7"/>
        <v>#DIV/0!</v>
      </c>
      <c r="L62" s="117" t="e">
        <f t="shared" si="8"/>
        <v>#DIV/0!</v>
      </c>
    </row>
    <row r="63" spans="1:12">
      <c r="A63" s="90" t="s">
        <v>24</v>
      </c>
      <c r="B63" s="91" t="s">
        <v>15</v>
      </c>
      <c r="C63" s="109">
        <f>COUNTIFS(Bordeaux1[adversaire],B63)</f>
        <v>0</v>
      </c>
      <c r="D63" s="110">
        <f>COUNTIFS(Bordeaux1[adversaire],B63,Bordeaux1[Lieu Match],"domicile",Bordeaux1[Issue match],"victoire")</f>
        <v>0</v>
      </c>
      <c r="E63" s="110">
        <f>COUNTIFS(Bordeaux1[adversaire],B63,Bordeaux1[Lieu Match],"Extérieur",Bordeaux1[Issue match],"victoire")</f>
        <v>0</v>
      </c>
      <c r="F63" s="111" t="e">
        <f t="shared" si="5"/>
        <v>#DIV/0!</v>
      </c>
      <c r="G63" s="112">
        <f>COUNTIFS(Bordeaux1[adversaire],B63,Bordeaux1[Lieu Match],"domicile",Bordeaux1[Issue match],"défaite")</f>
        <v>0</v>
      </c>
      <c r="H63" s="113">
        <f>COUNTIFS(Bordeaux1[adversaire],B63,Bordeaux1[Lieu Match],"Extérieur",Bordeaux1[Issue match],"défaite")</f>
        <v>0</v>
      </c>
      <c r="I63" s="114" t="e">
        <f t="shared" si="6"/>
        <v>#DIV/0!</v>
      </c>
      <c r="J63" s="115">
        <f>COUNTIFS(Bordeaux1[adversaire],B63,Bordeaux1[Lieu Match],"Domicile",Bordeaux1[Issue match],"Nul")+COUNTIFS(Bordeaux1[adversaire],B63,Bordeaux1[Lieu Match],"Extérieur",Bordeaux1[Issue match],"Nul")</f>
        <v>0</v>
      </c>
      <c r="K63" s="116" t="e">
        <f t="shared" si="7"/>
        <v>#DIV/0!</v>
      </c>
      <c r="L63" s="117" t="e">
        <f t="shared" si="8"/>
        <v>#DIV/0!</v>
      </c>
    </row>
    <row r="64" spans="1:12">
      <c r="A64" s="90" t="s">
        <v>24</v>
      </c>
      <c r="B64" s="91" t="s">
        <v>33</v>
      </c>
      <c r="C64" s="109">
        <f>COUNTIFS(Bordeaux1[adversaire],B64)</f>
        <v>0</v>
      </c>
      <c r="D64" s="110">
        <f>COUNTIFS(Bordeaux1[adversaire],B64,Bordeaux1[Lieu Match],"domicile",Bordeaux1[Issue match],"victoire")</f>
        <v>0</v>
      </c>
      <c r="E64" s="110">
        <f>COUNTIFS(Bordeaux1[adversaire],B64,Bordeaux1[Lieu Match],"Extérieur",Bordeaux1[Issue match],"victoire")</f>
        <v>0</v>
      </c>
      <c r="F64" s="111" t="e">
        <f t="shared" si="5"/>
        <v>#DIV/0!</v>
      </c>
      <c r="G64" s="112">
        <f>COUNTIFS(Bordeaux1[adversaire],B64,Bordeaux1[Lieu Match],"domicile",Bordeaux1[Issue match],"défaite")</f>
        <v>0</v>
      </c>
      <c r="H64" s="113">
        <f>COUNTIFS(Bordeaux1[adversaire],B64,Bordeaux1[Lieu Match],"Extérieur",Bordeaux1[Issue match],"défaite")</f>
        <v>0</v>
      </c>
      <c r="I64" s="114" t="e">
        <f t="shared" si="6"/>
        <v>#DIV/0!</v>
      </c>
      <c r="J64" s="115">
        <f>COUNTIFS(Bordeaux1[adversaire],B64,Bordeaux1[Lieu Match],"Domicile",Bordeaux1[Issue match],"Nul")+COUNTIFS(Bordeaux1[adversaire],B64,Bordeaux1[Lieu Match],"Extérieur",Bordeaux1[Issue match],"Nul")</f>
        <v>0</v>
      </c>
      <c r="K64" s="116" t="e">
        <f t="shared" si="7"/>
        <v>#DIV/0!</v>
      </c>
      <c r="L64" s="117" t="e">
        <f t="shared" si="8"/>
        <v>#DIV/0!</v>
      </c>
    </row>
  </sheetData>
  <mergeCells count="7">
    <mergeCell ref="Q1:S1"/>
    <mergeCell ref="Q9:S9"/>
    <mergeCell ref="A35:B35"/>
    <mergeCell ref="A1:A2"/>
    <mergeCell ref="B1:E1"/>
    <mergeCell ref="G1:H1"/>
    <mergeCell ref="L1:N1"/>
  </mergeCells>
  <dataValidations count="2">
    <dataValidation type="list" allowBlank="1" showInputMessage="1" showErrorMessage="1" sqref="U3">
      <formula1>$Q$1:$Q$13</formula1>
    </dataValidation>
    <dataValidation type="list" allowBlank="1" showInputMessage="1" showErrorMessage="1" sqref="H3">
      <formula1>$Q$19:$Q$31</formula1>
    </dataValidation>
  </dataValidation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V64"/>
  <sheetViews>
    <sheetView zoomScale="85" zoomScaleNormal="85" zoomScalePageLayoutView="85" workbookViewId="0">
      <selection activeCell="H13" sqref="H13"/>
    </sheetView>
  </sheetViews>
  <sheetFormatPr baseColWidth="10" defaultColWidth="10.5" defaultRowHeight="14" x14ac:dyDescent="0"/>
  <cols>
    <col min="1" max="1" width="13.33203125" bestFit="1" customWidth="1"/>
    <col min="2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4.83203125" bestFit="1" customWidth="1"/>
    <col min="11" max="11" width="14.33203125" bestFit="1" customWidth="1"/>
    <col min="12" max="12" width="9.33203125" bestFit="1" customWidth="1"/>
    <col min="13" max="13" width="12.1640625" bestFit="1" customWidth="1"/>
    <col min="16" max="16" width="14.33203125" bestFit="1" customWidth="1"/>
  </cols>
  <sheetData>
    <row r="1" spans="1:22">
      <c r="A1" s="121" t="s">
        <v>40</v>
      </c>
      <c r="B1" s="118" t="s">
        <v>0</v>
      </c>
      <c r="C1" s="120"/>
      <c r="D1" s="120"/>
      <c r="E1" s="119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  <c r="V1" s="1"/>
    </row>
    <row r="2" spans="1:22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SUMIFS(brive[Score D],brive[Lieu Match],"domicile")</f>
        <v>98</v>
      </c>
      <c r="M2" s="72">
        <f ca="1">SUMIFS(brive[Score E],brive[Lieu Match],"domicile")</f>
        <v>115</v>
      </c>
      <c r="N2" s="72">
        <f ca="1">L2-M2</f>
        <v>-17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  <c r="V2" s="1"/>
    </row>
    <row r="3" spans="1:22">
      <c r="A3" s="10" t="s">
        <v>2</v>
      </c>
      <c r="B3" s="15">
        <f ca="1">COUNTIF(brive[Lieu Match],"domicile")</f>
        <v>13</v>
      </c>
      <c r="C3" s="63">
        <f ca="1">COUNTIFS(brive[Issue match],"victoire",brive[Lieu Match],"domicile")</f>
        <v>2</v>
      </c>
      <c r="D3" s="63">
        <f ca="1">COUNTIFS(brive[Issue match],"nul",brive[Lieu Match],"domicile")</f>
        <v>0</v>
      </c>
      <c r="E3" s="63">
        <f ca="1">COUNTIFS(brive[Issue match],"défaite",brive[Lieu Match],"domicile")</f>
        <v>11</v>
      </c>
      <c r="F3" s="77">
        <f ca="1">C3+E3+D3-D3</f>
        <v>13</v>
      </c>
      <c r="G3" s="6" t="s">
        <v>40</v>
      </c>
      <c r="H3" s="7" t="s">
        <v>53</v>
      </c>
      <c r="K3" s="10" t="s">
        <v>9</v>
      </c>
      <c r="L3" s="18">
        <f ca="1">L2/F3</f>
        <v>7.5384615384615383</v>
      </c>
      <c r="M3" s="18">
        <f ca="1">M2/F3</f>
        <v>8.8461538461538467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  <c r="V3" s="1"/>
    </row>
    <row r="4" spans="1:22">
      <c r="A4" s="10" t="s">
        <v>3</v>
      </c>
      <c r="B4" s="15">
        <f ca="1">COUNTIF(brive[Lieu Match],"extérieur")</f>
        <v>13</v>
      </c>
      <c r="C4" s="63">
        <f ca="1">COUNTIFS(brive[Issue match],"victoire",brive[Lieu Match],"extérieur")</f>
        <v>0</v>
      </c>
      <c r="D4" s="63">
        <f ca="1">COUNTIFS(brive[Issue match],"nul",brive[Lieu Match],"extérieur")</f>
        <v>0</v>
      </c>
      <c r="E4" s="63">
        <f ca="1">COUNTIFS(brive[Issue match],"défaite",brive[Lieu Match],"extérieur")</f>
        <v>13</v>
      </c>
      <c r="F4" s="77">
        <f ca="1">C4+E4+D4-D4</f>
        <v>13</v>
      </c>
      <c r="G4" s="8">
        <f t="array" ref="G4">INDEX($C$35:$L$48,MATCH(1,($A$35:$A$48=$A$1)*($B$35:$B$48=$H$3),0),4)</f>
        <v>0.27586206896551724</v>
      </c>
      <c r="H4" s="8">
        <f t="array" ref="H4">INDEX($C$35:$L$48,MATCH(1,($A$35:$A$48=$G$3)*($B$35:$B$48=$H$3),0),7)</f>
        <v>0.62068965517241381</v>
      </c>
      <c r="K4" s="10" t="s">
        <v>8</v>
      </c>
      <c r="L4" s="72">
        <f ca="1">SUMIFS(brive[Score D],brive[Lieu Match],"extérieur")</f>
        <v>55</v>
      </c>
      <c r="M4" s="72">
        <f ca="1">SUMIFS(brive[Score E],brive[Lieu Match],"extérieur")</f>
        <v>26</v>
      </c>
      <c r="N4" s="13">
        <f ca="1">L4-M4</f>
        <v>29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  <c r="V4" s="1"/>
    </row>
    <row r="5" spans="1:22">
      <c r="A5" s="10" t="s">
        <v>36</v>
      </c>
      <c r="B5" s="15">
        <f ca="1">B3+B4</f>
        <v>26</v>
      </c>
      <c r="C5" s="15">
        <f t="shared" ref="C5:E5" ca="1" si="0">C3+C4</f>
        <v>2</v>
      </c>
      <c r="D5" s="15">
        <f t="shared" ca="1" si="0"/>
        <v>0</v>
      </c>
      <c r="E5" s="15">
        <f t="shared" ca="1" si="0"/>
        <v>24</v>
      </c>
      <c r="F5" s="77">
        <f ca="1">C5+E5+D5-D5</f>
        <v>26</v>
      </c>
      <c r="G5" s="9">
        <f>100/G4/100</f>
        <v>3.625</v>
      </c>
      <c r="H5" s="9">
        <f>100/H4/100</f>
        <v>1.6111111111111112</v>
      </c>
      <c r="K5" s="10" t="s">
        <v>9</v>
      </c>
      <c r="L5" s="18">
        <f ca="1">L4/F4</f>
        <v>4.2307692307692308</v>
      </c>
      <c r="M5" s="18">
        <f ca="1">M4/F4</f>
        <v>2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  <c r="V5" s="1"/>
    </row>
    <row r="6" spans="1:22">
      <c r="A6" s="1"/>
      <c r="B6" s="1"/>
      <c r="C6" s="1"/>
      <c r="D6" s="1"/>
      <c r="E6" s="1"/>
      <c r="F6" s="1"/>
      <c r="K6" s="10" t="s">
        <v>10</v>
      </c>
      <c r="L6" s="13">
        <f ca="1">L2+M4</f>
        <v>124</v>
      </c>
      <c r="M6" s="13">
        <f ca="1">M2+L4</f>
        <v>170</v>
      </c>
      <c r="N6" s="13">
        <f ca="1">L6-M6</f>
        <v>-46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  <c r="V6" s="1"/>
    </row>
    <row r="7" spans="1:22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4.7692307692307692</v>
      </c>
      <c r="M7" s="18">
        <f ca="1">M6/F5</f>
        <v>6.5384615384615383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</row>
    <row r="8" spans="1:22">
      <c r="A8" s="39" t="s">
        <v>124</v>
      </c>
      <c r="B8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Bayonne</v>
      </c>
      <c r="C8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8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Victoire</v>
      </c>
      <c r="E8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42</v>
      </c>
      <c r="F8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23</v>
      </c>
      <c r="G8" s="34">
        <v>0</v>
      </c>
      <c r="H8" s="49">
        <v>0</v>
      </c>
      <c r="I8" s="50">
        <f ca="1">(brive[[#This Row],[Issue match]]="Victoire")*4 + (brive[[#This Row],[Issue match]]="Nul")*2 + brive[[#This Row],[Bonus off]] + brive[[#This Row],[Bonus déf]]</f>
        <v>4</v>
      </c>
      <c r="K8" s="1"/>
      <c r="L8" s="1"/>
      <c r="M8" s="1"/>
      <c r="N8" s="1"/>
      <c r="O8" s="1"/>
      <c r="P8" s="1"/>
      <c r="Q8" s="1"/>
      <c r="R8" s="1"/>
      <c r="S8" s="1"/>
    </row>
    <row r="9" spans="1:22">
      <c r="A9" s="39" t="s">
        <v>125</v>
      </c>
      <c r="B9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Bordeaux</v>
      </c>
      <c r="C9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9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9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25</v>
      </c>
      <c r="F9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20</v>
      </c>
      <c r="G9" s="34">
        <v>0</v>
      </c>
      <c r="H9" s="49">
        <v>1</v>
      </c>
      <c r="I9" s="50">
        <f ca="1">(brive[[#This Row],[Issue match]]="Victoire")*4 + (brive[[#This Row],[Issue match]]="Nul")*2 + brive[[#This Row],[Bonus off]] + brive[[#This Row],[Bonus déf]]</f>
        <v>1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2">
      <c r="A10" s="39" t="s">
        <v>126</v>
      </c>
      <c r="B10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Pau</v>
      </c>
      <c r="C10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10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Victoire</v>
      </c>
      <c r="E10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19</v>
      </c>
      <c r="F10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13</v>
      </c>
      <c r="G10" s="34">
        <v>0</v>
      </c>
      <c r="H10" s="49">
        <v>0</v>
      </c>
      <c r="I10" s="50">
        <f ca="1">(brive[[#This Row],[Issue match]]="Victoire")*4 + (brive[[#This Row],[Issue match]]="Nul")*2 + brive[[#This Row],[Bonus off]] + brive[[#This Row],[Bonus déf]]</f>
        <v>4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2">
      <c r="A11" s="39" t="s">
        <v>127</v>
      </c>
      <c r="B11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Castres</v>
      </c>
      <c r="C11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11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11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11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11" s="34"/>
      <c r="H11" s="49"/>
      <c r="I11" s="50">
        <f ca="1">(brive[[#This Row],[Issue match]]="Victoire")*4 + (brive[[#This Row],[Issue match]]="Nul")*2 + brive[[#This Row],[Bonus off]] + brive[[#This Row],[Bonus déf]]</f>
        <v>0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2">
      <c r="A12" s="39" t="s">
        <v>128</v>
      </c>
      <c r="B12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Toulouse</v>
      </c>
      <c r="C12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12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12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16</v>
      </c>
      <c r="F12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36</v>
      </c>
      <c r="G12" s="34">
        <v>0</v>
      </c>
      <c r="H12" s="49">
        <v>0</v>
      </c>
      <c r="I12" s="50">
        <f ca="1">(brive[[#This Row],[Issue match]]="Victoire")*4 + (brive[[#This Row],[Issue match]]="Nul")*2 + brive[[#This Row],[Bonus off]] + brive[[#This Row],[Bonus déf]]</f>
        <v>0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2">
      <c r="A13" s="39" t="s">
        <v>129</v>
      </c>
      <c r="B13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Montpellier</v>
      </c>
      <c r="C13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13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13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30</v>
      </c>
      <c r="F13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6</v>
      </c>
      <c r="G13" s="34">
        <v>0</v>
      </c>
      <c r="H13" s="49">
        <v>0</v>
      </c>
      <c r="I13" s="50">
        <f ca="1">(brive[[#This Row],[Issue match]]="Victoire")*4 + (brive[[#This Row],[Issue match]]="Nul")*2 + brive[[#This Row],[Bonus off]] + brive[[#This Row],[Bonus déf]]</f>
        <v>0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2">
      <c r="A14" s="39" t="s">
        <v>130</v>
      </c>
      <c r="B14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Clermont</v>
      </c>
      <c r="C14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14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14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21</v>
      </c>
      <c r="F14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43</v>
      </c>
      <c r="G14" s="34"/>
      <c r="H14" s="49"/>
      <c r="I14" s="50">
        <f ca="1">(brive[[#This Row],[Issue match]]="Victoire")*4 + (brive[[#This Row],[Issue match]]="Nul")*2 + brive[[#This Row],[Bonus off]] + brive[[#This Row],[Bonus déf]]</f>
        <v>0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2">
      <c r="A15" s="39" t="s">
        <v>131</v>
      </c>
      <c r="B15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Toulon</v>
      </c>
      <c r="C15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15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15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15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15" s="34"/>
      <c r="H15" s="49"/>
      <c r="I15" s="50">
        <f ca="1">(brive[[#This Row],[Issue match]]="Victoire")*4 + (brive[[#This Row],[Issue match]]="Nul")*2 + brive[[#This Row],[Bonus off]] + brive[[#This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2">
      <c r="A16" s="39" t="s">
        <v>132</v>
      </c>
      <c r="B16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Racing 92</v>
      </c>
      <c r="C16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16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16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16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16" s="34"/>
      <c r="H16" s="49"/>
      <c r="I16" s="50">
        <f ca="1">(brive[[#This Row],[Issue match]]="Victoire")*4 + (brive[[#This Row],[Issue match]]="Nul")*2 + brive[[#This Row],[Bonus off]] + brive[[#This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1">
      <c r="A17" s="39" t="s">
        <v>133</v>
      </c>
      <c r="B17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La Rochelle</v>
      </c>
      <c r="C17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17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17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17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17" s="34"/>
      <c r="H17" s="49"/>
      <c r="I17" s="50">
        <f ca="1">(brive[[#This Row],[Issue match]]="Victoire")*4 + (brive[[#This Row],[Issue match]]="Nul")*2 + brive[[#This Row],[Bonus off]] + brive[[#This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1">
      <c r="A18" s="39" t="s">
        <v>134</v>
      </c>
      <c r="B18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Agen</v>
      </c>
      <c r="C18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18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18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18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18" s="34"/>
      <c r="H18" s="49"/>
      <c r="I18" s="50">
        <f ca="1">(brive[[#This Row],[Issue match]]="Victoire")*4 + (brive[[#This Row],[Issue match]]="Nul")*2 + brive[[#This Row],[Bonus off]] + brive[[#This Row],[Bonus déf]]</f>
        <v>0</v>
      </c>
      <c r="K18" s="10" t="s">
        <v>7</v>
      </c>
      <c r="L18" s="13"/>
      <c r="M18" s="72"/>
      <c r="N18" s="72"/>
      <c r="O18" s="1"/>
      <c r="P18" s="1"/>
      <c r="Q18" s="1"/>
      <c r="R18" s="1"/>
      <c r="S18" s="1"/>
    </row>
    <row r="19" spans="1:21">
      <c r="A19" s="39" t="s">
        <v>135</v>
      </c>
      <c r="B19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Lyon</v>
      </c>
      <c r="C19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19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19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19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19" s="34"/>
      <c r="H19" s="49"/>
      <c r="I19" s="50">
        <f ca="1">(brive[[#This Row],[Issue match]]="Victoire")*4 + (brive[[#This Row],[Issue match]]="Nul")*2 + brive[[#This Row],[Bonus off]] + brive[[#This Row],[Bonus déf]]</f>
        <v>0</v>
      </c>
      <c r="K19" s="10" t="s">
        <v>9</v>
      </c>
      <c r="L19" s="18"/>
      <c r="M19" s="18"/>
      <c r="N19" s="13"/>
      <c r="O19" s="1"/>
      <c r="P19" s="1" t="s">
        <v>40</v>
      </c>
      <c r="Q19" s="26" t="s">
        <v>41</v>
      </c>
      <c r="R19" s="1"/>
      <c r="S19" s="1"/>
    </row>
    <row r="20" spans="1:21">
      <c r="A20" s="39" t="s">
        <v>136</v>
      </c>
      <c r="B20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Paris</v>
      </c>
      <c r="C20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20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0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0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0" s="34"/>
      <c r="H20" s="49"/>
      <c r="I20" s="50">
        <f ca="1">(brive[[#This Row],[Issue match]]="Victoire")*4 + (brive[[#This Row],[Issue match]]="Nul")*2 + brive[[#This Row],[Bonus off]] + brive[[#This Row],[Bonus déf]]</f>
        <v>0</v>
      </c>
      <c r="K20" s="10" t="s">
        <v>8</v>
      </c>
      <c r="L20" s="72"/>
      <c r="M20" s="72"/>
      <c r="N20" s="13"/>
      <c r="O20" s="1"/>
      <c r="P20" s="1" t="s">
        <v>40</v>
      </c>
      <c r="Q20" s="12" t="s">
        <v>42</v>
      </c>
      <c r="R20" s="1"/>
      <c r="S20" s="1"/>
      <c r="T20" s="1"/>
      <c r="U20" s="1"/>
    </row>
    <row r="21" spans="1:21">
      <c r="A21" s="39" t="s">
        <v>137</v>
      </c>
      <c r="B21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Montpellier</v>
      </c>
      <c r="C21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21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1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1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1" s="34"/>
      <c r="H21" s="49"/>
      <c r="I21" s="50">
        <f ca="1">(brive[[#This Row],[Issue match]]="Victoire")*4 + (brive[[#This Row],[Issue match]]="Nul")*2 + brive[[#This Row],[Bonus off]] + brive[[#This Row],[Bonus déf]]</f>
        <v>0</v>
      </c>
      <c r="K21" s="10" t="s">
        <v>9</v>
      </c>
      <c r="L21" s="18"/>
      <c r="M21" s="18"/>
      <c r="N21" s="13"/>
      <c r="O21" s="1"/>
      <c r="P21" s="1" t="s">
        <v>40</v>
      </c>
      <c r="Q21" s="12" t="s">
        <v>43</v>
      </c>
      <c r="R21" s="1"/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Toulon</v>
      </c>
      <c r="C22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22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2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2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2" s="34"/>
      <c r="H22" s="49"/>
      <c r="I22" s="50">
        <f ca="1">(brive[[#This Row],[Issue match]]="Victoire")*4 + (brive[[#This Row],[Issue match]]="Nul")*2 + brive[[#This Row],[Bonus off]] + brive[[#This Row],[Bonus déf]]</f>
        <v>0</v>
      </c>
      <c r="K22" s="10" t="s">
        <v>10</v>
      </c>
      <c r="L22" s="13"/>
      <c r="M22" s="13"/>
      <c r="N22" s="13"/>
      <c r="O22" s="1"/>
      <c r="P22" s="1" t="s">
        <v>40</v>
      </c>
      <c r="Q22" s="12" t="s">
        <v>44</v>
      </c>
      <c r="R22" s="1"/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Bayonne</v>
      </c>
      <c r="C23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23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3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3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3" s="34"/>
      <c r="H23" s="49"/>
      <c r="I23" s="50">
        <f ca="1">(brive[[#This Row],[Issue match]]="Victoire")*4 + (brive[[#This Row],[Issue match]]="Nul")*2 + brive[[#This Row],[Bonus off]] + brive[[#This Row],[Bonus déf]]</f>
        <v>0</v>
      </c>
      <c r="K23" s="10" t="s">
        <v>9</v>
      </c>
      <c r="L23" s="18"/>
      <c r="M23" s="18"/>
      <c r="N23" s="13"/>
      <c r="O23" s="1"/>
      <c r="P23" s="1" t="s">
        <v>40</v>
      </c>
      <c r="Q23" s="12" t="s">
        <v>45</v>
      </c>
      <c r="R23" s="1"/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Bordeaux</v>
      </c>
      <c r="C24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24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4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4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4" s="34"/>
      <c r="H24" s="49"/>
      <c r="I24" s="50">
        <f ca="1">(brive[[#This Row],[Issue match]]="Victoire")*4 + (brive[[#This Row],[Issue match]]="Nul")*2 + brive[[#This Row],[Bonus off]] + brive[[#This Row],[Bonus déf]]</f>
        <v>0</v>
      </c>
      <c r="K24" s="1"/>
      <c r="L24" s="1"/>
      <c r="M24" s="1"/>
      <c r="N24" s="1"/>
      <c r="O24" s="1"/>
      <c r="P24" s="1" t="s">
        <v>40</v>
      </c>
      <c r="Q24" s="12" t="s">
        <v>46</v>
      </c>
      <c r="R24" s="1"/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Toulouse</v>
      </c>
      <c r="C25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25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5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5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5" s="34"/>
      <c r="H25" s="49"/>
      <c r="I25" s="50">
        <f ca="1">(brive[[#This Row],[Issue match]]="Victoire")*4 + (brive[[#This Row],[Issue match]]="Nul")*2 + brive[[#This Row],[Bonus off]] + brive[[#This Row],[Bonus déf]]</f>
        <v>0</v>
      </c>
      <c r="K25" s="10" t="s">
        <v>6</v>
      </c>
      <c r="L25" s="69"/>
      <c r="M25" s="70"/>
      <c r="N25" s="71"/>
      <c r="O25" s="1"/>
      <c r="P25" s="1" t="s">
        <v>40</v>
      </c>
      <c r="Q25" s="12" t="s">
        <v>47</v>
      </c>
      <c r="R25" s="1"/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Pau</v>
      </c>
      <c r="C26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26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6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6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6" s="34"/>
      <c r="H26" s="49"/>
      <c r="I26" s="50">
        <f ca="1">(brive[[#This Row],[Issue match]]="Victoire")*4 + (brive[[#This Row],[Issue match]]="Nul")*2 + brive[[#This Row],[Bonus off]] + brive[[#This Row],[Bonus déf]]</f>
        <v>0</v>
      </c>
      <c r="K26" s="10" t="s">
        <v>7</v>
      </c>
      <c r="L26" s="13"/>
      <c r="M26" s="72"/>
      <c r="N26" s="72"/>
      <c r="O26" s="1"/>
      <c r="P26" s="1" t="s">
        <v>40</v>
      </c>
      <c r="Q26" s="12" t="s">
        <v>48</v>
      </c>
      <c r="R26" s="1"/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Agen</v>
      </c>
      <c r="C27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27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7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7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7" s="34"/>
      <c r="H27" s="49"/>
      <c r="I27" s="50">
        <f ca="1">(brive[[#This Row],[Issue match]]="Victoire")*4 + (brive[[#This Row],[Issue match]]="Nul")*2 + brive[[#This Row],[Bonus off]] + brive[[#This Row],[Bonus déf]]</f>
        <v>0</v>
      </c>
      <c r="K27" s="10" t="s">
        <v>9</v>
      </c>
      <c r="L27" s="18"/>
      <c r="M27" s="18"/>
      <c r="N27" s="13"/>
      <c r="O27" s="1"/>
      <c r="P27" s="1" t="s">
        <v>40</v>
      </c>
      <c r="Q27" s="12" t="s">
        <v>49</v>
      </c>
      <c r="R27" s="1"/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Clermont</v>
      </c>
      <c r="C28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28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8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8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8" s="34"/>
      <c r="H28" s="49"/>
      <c r="I28" s="50">
        <f ca="1">(brive[[#This Row],[Issue match]]="Victoire")*4 + (brive[[#This Row],[Issue match]]="Nul")*2 + brive[[#This Row],[Bonus off]] + brive[[#This Row],[Bonus déf]]</f>
        <v>0</v>
      </c>
      <c r="K28" s="10" t="s">
        <v>8</v>
      </c>
      <c r="L28" s="72"/>
      <c r="M28" s="72"/>
      <c r="N28" s="13"/>
      <c r="O28" s="1"/>
      <c r="P28" s="1" t="s">
        <v>40</v>
      </c>
      <c r="Q28" s="12" t="s">
        <v>50</v>
      </c>
      <c r="R28" s="1"/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Clermont</v>
      </c>
      <c r="C29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29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29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29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29" s="34"/>
      <c r="H29" s="49"/>
      <c r="I29" s="50">
        <f ca="1">(brive[[#This Row],[Issue match]]="Victoire")*4 + (brive[[#This Row],[Issue match]]="Nul")*2 + brive[[#This Row],[Bonus off]] + brive[[#This Row],[Bonus déf]]</f>
        <v>0</v>
      </c>
      <c r="K29" s="10" t="s">
        <v>9</v>
      </c>
      <c r="L29" s="18"/>
      <c r="M29" s="18"/>
      <c r="N29" s="13"/>
      <c r="O29" s="1"/>
      <c r="P29" s="1" t="s">
        <v>40</v>
      </c>
      <c r="Q29" s="12" t="s">
        <v>51</v>
      </c>
      <c r="R29" s="1"/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Paris</v>
      </c>
      <c r="C30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30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30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30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30" s="34"/>
      <c r="H30" s="49"/>
      <c r="I30" s="50">
        <f ca="1">(brive[[#This Row],[Issue match]]="Victoire")*4 + (brive[[#This Row],[Issue match]]="Nul")*2 + brive[[#This Row],[Bonus off]] + brive[[#This Row],[Bonus déf]]</f>
        <v>0</v>
      </c>
      <c r="K30" s="10" t="s">
        <v>10</v>
      </c>
      <c r="L30" s="13"/>
      <c r="M30" s="13"/>
      <c r="N30" s="13"/>
      <c r="O30" s="1"/>
      <c r="P30" s="1" t="s">
        <v>40</v>
      </c>
      <c r="Q30" s="12" t="s">
        <v>52</v>
      </c>
      <c r="R30" s="1"/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Lyon</v>
      </c>
      <c r="C31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31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31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31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31" s="34"/>
      <c r="H31" s="49"/>
      <c r="I31" s="50">
        <f ca="1">(brive[[#This Row],[Issue match]]="Victoire")*4 + (brive[[#This Row],[Issue match]]="Nul")*2 + brive[[#This Row],[Bonus off]] + brive[[#This Row],[Bonus déf]]</f>
        <v>0</v>
      </c>
      <c r="K31" s="10" t="s">
        <v>9</v>
      </c>
      <c r="L31" s="18"/>
      <c r="M31" s="18"/>
      <c r="N31" s="13"/>
      <c r="O31" s="1"/>
      <c r="P31" s="1" t="s">
        <v>40</v>
      </c>
      <c r="Q31" s="12" t="s">
        <v>53</v>
      </c>
      <c r="R31" s="1"/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Castres</v>
      </c>
      <c r="C32" s="3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Domicile</v>
      </c>
      <c r="D32" s="52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32" s="45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32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32" s="34"/>
      <c r="H32" s="49"/>
      <c r="I32" s="50">
        <f ca="1">(brive[[#This Row],[Issue match]]="Victoire")*4 + (brive[[#This Row],[Issue match]]="Nul")*2 + brive[[#This Row],[Bonus off]] + brive[[#This Row],[Bonus déf]]</f>
        <v>0</v>
      </c>
      <c r="J32" s="1"/>
      <c r="K32" s="1"/>
      <c r="L32" s="1"/>
      <c r="M32" s="1"/>
    </row>
    <row r="33" spans="1:13">
      <c r="A33" s="40" t="s">
        <v>149</v>
      </c>
      <c r="B33" s="57" t="str">
        <f ca="1">CONCATENATE(
IFERROR( INDEX(INDIRECT("resultat!C"&amp;PRODUCT(7,MATCH(brive[[#This Row],[journée]],brive[journée],0)-1)+2&amp;":C"&amp;PRODUCT(7,MATCH(brive[[#This Row],[journée]],brive[journée],0))+1),
IFERROR(MATCH($A$1, INDIRECT("resultat!f"&amp;PRODUCT(7,MATCH(brive[[#This Row],[journée]],brive[journée],0)-1)+2&amp;":f"&amp;PRODUCT(7,MATCH(brive[[#This Row],[journée]],brive[journée],0))+1),0 ),""),0),""),
IFERROR( INDEX(INDIRECT("resultat!f"&amp;PRODUCT(7,MATCH(brive[[#This Row],[journée]],brive[journée],0)-1)+2&amp;":f"&amp;PRODUCT(7,MATCH(brive[[#This Row],[journée]],brive[journée],0))+1),
IFERROR(MATCH($A$1, INDIRECT("resultat!c"&amp;PRODUCT(7,MATCH(brive[[#This Row],[journée]],brive[journée],0)-1)+2&amp;":c"&amp;PRODUCT(7,MATCH(brive[[#This Row],[journée]],brive[journée],0))+1),0 ),""),0),"") )</f>
        <v>Racing 92</v>
      </c>
      <c r="C33" s="58" t="str">
        <f ca="1">IF(AND(ISNA(MATCH($A$1,INDIRECT("resultat!f"&amp;PRODUCT(7,MATCH(brive[[#This Row],[journée]],brive[journée],0)-1)+2&amp;":f"&amp;PRODUCT(7,MATCH(brive[[#This Row],[journée]],brive[journée],0))+1),0)),
ISNA(MATCH($A$1,INDIRECT("resultat!c"&amp;PRODUCT(7,MATCH(brive[[#This Row],[journée]],brive[journée],0)-1)+2&amp;":c"&amp;PRODUCT(7,MATCH(brive[[#This Row],[journée]],brive[journée],0))+1),0))),"",IF(ISNA(MATCH($A$1,INDIRECT("resultat!f"&amp;PRODUCT(7,MATCH(brive[[#This Row],[journée]],brive[journée],0)-1)+2&amp;":f"&amp;PRODUCT(7,MATCH(brive[[#This Row],[journée]],brive[journée],0))+1),0)),
"Domicile","Extérieur"))</f>
        <v>Extérieur</v>
      </c>
      <c r="D33" s="59" t="str">
        <f ca="1">IFERROR(  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$A$1, "Victoire",
IF( INDEX(INDIRECT("resultat!h"&amp;PRODUCT(7,MATCH(brive[[#This Row],[journée]],brive[journée],0)-1)+2&amp;":h"&amp;PRODUCT(7,MATCH(brive[[#This Row],[journée]],brive[journée],0))+1),
CONCATENATE(
IFERROR(MATCH( $A$1, INDIRECT("resultat!C"&amp;PRODUCT(7,MATCH(brive[[#This Row],[journée]],brive[journée],0)-1)+2&amp;":C"&amp;PRODUCT(7,MATCH(brive[[#This Row],[journée]],brive[journée],0))+1),0),""),
IFERROR(MATCH($A$1, INDIRECT("resultat!f"&amp;PRODUCT(7,MATCH(brive[[#This Row],[journée]],brive[journée],0)-1)+2&amp;":f"&amp;PRODUCT(7,MATCH(brive[[#This Row],[journée]],brive[journée],0))+1),0 ),"")),0) = "Nul", "Nul", "Défaite" )), "")</f>
        <v>Défaite</v>
      </c>
      <c r="E33" s="60">
        <f ca="1">SUMIFS(resultat[Score D],resultat[Journée],brive[[#This Row],[journée]],resultat[Domicile],brive[[#This Row],[adversaire]]) + SUMIFS(resultat[Score D],resultat[Journée],brive[[#This Row],[journée]],resultat[Exterieur],brive[[#This Row],[adversaire]])</f>
        <v>0</v>
      </c>
      <c r="F33" s="46">
        <f ca="1">SUMIFS(resultat[Score E],resultat[Journée],brive[[#This Row],[journée]],resultat[Domicile],brive[[#This Row],[adversaire]])  + SUMIFS(resultat[Score E],resultat[Journée],brive[[#This Row],[journée]],resultat[Exterieur],brive[[#This Row],[adversaire]])</f>
        <v>0</v>
      </c>
      <c r="G33" s="34"/>
      <c r="H33" s="49"/>
      <c r="I33" s="50">
        <f ca="1">(brive[[#This Row],[Issue match]]="Victoire")*4 + (brive[[#This Row],[Issue match]]="Nul")*2 + brive[[#This Row],[Bonus off]] + brive[[#This Row],[Bonus déf]]</f>
        <v>0</v>
      </c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13">
      <c r="A36" s="74" t="s">
        <v>25</v>
      </c>
      <c r="B36" s="74" t="s">
        <v>14</v>
      </c>
      <c r="C36" s="15">
        <v>20</v>
      </c>
      <c r="D36" s="48">
        <v>7</v>
      </c>
      <c r="E36" s="48">
        <v>1</v>
      </c>
      <c r="F36" s="3">
        <f t="shared" ref="F36:F48" si="1">(D36+E36)/C36</f>
        <v>0.4</v>
      </c>
      <c r="G36" s="48">
        <v>3</v>
      </c>
      <c r="H36" s="15">
        <v>9</v>
      </c>
      <c r="I36" s="3">
        <f>(G36+H36)/C36</f>
        <v>0.6</v>
      </c>
      <c r="J36" s="48"/>
      <c r="K36" s="21">
        <f t="shared" ref="K36:K48" si="2">100%-(F36+I36)</f>
        <v>0</v>
      </c>
      <c r="L36" s="11">
        <f t="shared" ref="L36:L48" si="3">SUM(F36+I36+K36)</f>
        <v>1</v>
      </c>
      <c r="M36" s="25"/>
    </row>
    <row r="37" spans="1:13">
      <c r="A37" s="74" t="s">
        <v>25</v>
      </c>
      <c r="B37" s="74" t="s">
        <v>23</v>
      </c>
      <c r="C37" s="15">
        <v>32</v>
      </c>
      <c r="D37" s="48">
        <v>12</v>
      </c>
      <c r="E37" s="48">
        <v>5</v>
      </c>
      <c r="F37" s="3">
        <f t="shared" si="1"/>
        <v>0.53125</v>
      </c>
      <c r="G37" s="48">
        <v>0</v>
      </c>
      <c r="H37" s="15">
        <v>10</v>
      </c>
      <c r="I37" s="3">
        <f t="shared" ref="I37:I48" si="4">(G37+H37)/C37</f>
        <v>0.3125</v>
      </c>
      <c r="J37" s="48">
        <v>5</v>
      </c>
      <c r="K37" s="21">
        <f t="shared" si="2"/>
        <v>0.15625</v>
      </c>
      <c r="L37" s="11">
        <f t="shared" si="3"/>
        <v>1</v>
      </c>
    </row>
    <row r="38" spans="1:13">
      <c r="A38" s="74" t="s">
        <v>25</v>
      </c>
      <c r="B38" s="74" t="s">
        <v>24</v>
      </c>
      <c r="C38" s="15">
        <v>14</v>
      </c>
      <c r="D38" s="48">
        <v>5</v>
      </c>
      <c r="E38" s="48">
        <v>0</v>
      </c>
      <c r="F38" s="3">
        <v>0.33</v>
      </c>
      <c r="G38" s="48">
        <v>2</v>
      </c>
      <c r="H38" s="15">
        <v>6</v>
      </c>
      <c r="I38" s="3">
        <f t="shared" si="4"/>
        <v>0.5714285714285714</v>
      </c>
      <c r="J38" s="48">
        <v>1</v>
      </c>
      <c r="K38" s="21">
        <f t="shared" si="2"/>
        <v>9.8571428571428532E-2</v>
      </c>
      <c r="L38" s="11">
        <f t="shared" si="3"/>
        <v>1</v>
      </c>
    </row>
    <row r="39" spans="1:13">
      <c r="A39" s="74" t="s">
        <v>25</v>
      </c>
      <c r="B39" s="74" t="s">
        <v>38</v>
      </c>
      <c r="C39" s="15">
        <v>29</v>
      </c>
      <c r="D39" s="48">
        <v>11</v>
      </c>
      <c r="E39" s="48">
        <v>0</v>
      </c>
      <c r="F39" s="3">
        <f t="shared" si="1"/>
        <v>0.37931034482758619</v>
      </c>
      <c r="G39" s="48">
        <v>2</v>
      </c>
      <c r="H39" s="15">
        <v>14</v>
      </c>
      <c r="I39" s="3">
        <f t="shared" si="4"/>
        <v>0.55172413793103448</v>
      </c>
      <c r="J39" s="48">
        <v>2</v>
      </c>
      <c r="K39" s="21">
        <f t="shared" si="2"/>
        <v>6.8965517241379337E-2</v>
      </c>
      <c r="L39" s="11">
        <f t="shared" si="3"/>
        <v>1</v>
      </c>
    </row>
    <row r="40" spans="1:13">
      <c r="A40" s="74" t="s">
        <v>25</v>
      </c>
      <c r="B40" s="74" t="s">
        <v>26</v>
      </c>
      <c r="C40" s="15">
        <v>29</v>
      </c>
      <c r="D40" s="48">
        <v>7</v>
      </c>
      <c r="E40" s="48">
        <v>2</v>
      </c>
      <c r="F40" s="3">
        <f t="shared" si="1"/>
        <v>0.31034482758620691</v>
      </c>
      <c r="G40" s="48">
        <v>7</v>
      </c>
      <c r="H40" s="15">
        <v>12</v>
      </c>
      <c r="I40" s="3">
        <f t="shared" si="4"/>
        <v>0.65517241379310343</v>
      </c>
      <c r="J40" s="48">
        <v>1</v>
      </c>
      <c r="K40" s="21">
        <f t="shared" si="2"/>
        <v>3.4482758620689724E-2</v>
      </c>
      <c r="L40" s="11">
        <f t="shared" si="3"/>
        <v>1</v>
      </c>
    </row>
    <row r="41" spans="1:13">
      <c r="A41" s="74" t="s">
        <v>25</v>
      </c>
      <c r="B41" s="74" t="s">
        <v>27</v>
      </c>
      <c r="C41" s="15">
        <v>15</v>
      </c>
      <c r="D41" s="48">
        <v>5</v>
      </c>
      <c r="E41" s="48">
        <v>0</v>
      </c>
      <c r="F41" s="3">
        <f t="shared" si="1"/>
        <v>0.33333333333333331</v>
      </c>
      <c r="G41" s="48">
        <v>0</v>
      </c>
      <c r="H41" s="15">
        <v>8</v>
      </c>
      <c r="I41" s="3">
        <f t="shared" si="4"/>
        <v>0.53333333333333333</v>
      </c>
      <c r="J41" s="48">
        <v>2</v>
      </c>
      <c r="K41" s="21">
        <f t="shared" si="2"/>
        <v>0.1333333333333333</v>
      </c>
      <c r="L41" s="11">
        <f t="shared" si="3"/>
        <v>1</v>
      </c>
    </row>
    <row r="42" spans="1:13">
      <c r="A42" s="74" t="s">
        <v>25</v>
      </c>
      <c r="B42" s="74" t="s">
        <v>28</v>
      </c>
      <c r="C42" s="15">
        <v>14</v>
      </c>
      <c r="D42" s="48">
        <v>3</v>
      </c>
      <c r="E42" s="48">
        <v>1</v>
      </c>
      <c r="F42" s="3">
        <f t="shared" si="1"/>
        <v>0.2857142857142857</v>
      </c>
      <c r="G42" s="48">
        <v>2</v>
      </c>
      <c r="H42" s="15">
        <v>4</v>
      </c>
      <c r="I42" s="3">
        <f t="shared" si="4"/>
        <v>0.42857142857142855</v>
      </c>
      <c r="J42" s="48">
        <v>4</v>
      </c>
      <c r="K42" s="21">
        <f t="shared" si="2"/>
        <v>0.28571428571428581</v>
      </c>
      <c r="L42" s="11">
        <f t="shared" si="3"/>
        <v>1</v>
      </c>
    </row>
    <row r="43" spans="1:13">
      <c r="A43" s="74" t="s">
        <v>25</v>
      </c>
      <c r="B43" s="74" t="s">
        <v>29</v>
      </c>
      <c r="C43" s="15">
        <v>31</v>
      </c>
      <c r="D43" s="48">
        <v>11</v>
      </c>
      <c r="E43" s="48">
        <v>5</v>
      </c>
      <c r="F43" s="3">
        <f t="shared" si="1"/>
        <v>0.5161290322580645</v>
      </c>
      <c r="G43" s="48">
        <v>2</v>
      </c>
      <c r="H43" s="15">
        <v>9</v>
      </c>
      <c r="I43" s="3">
        <f t="shared" si="4"/>
        <v>0.35483870967741937</v>
      </c>
      <c r="J43" s="48">
        <v>4</v>
      </c>
      <c r="K43" s="21">
        <f t="shared" si="2"/>
        <v>0.12903225806451613</v>
      </c>
      <c r="L43" s="11">
        <f t="shared" si="3"/>
        <v>1</v>
      </c>
    </row>
    <row r="44" spans="1:13">
      <c r="A44" s="74" t="s">
        <v>25</v>
      </c>
      <c r="B44" s="74" t="s">
        <v>30</v>
      </c>
      <c r="C44" s="15">
        <v>30</v>
      </c>
      <c r="D44" s="48">
        <v>13</v>
      </c>
      <c r="E44" s="48">
        <v>2</v>
      </c>
      <c r="F44" s="3">
        <f t="shared" si="1"/>
        <v>0.5</v>
      </c>
      <c r="G44" s="48">
        <v>3</v>
      </c>
      <c r="H44" s="15">
        <v>12</v>
      </c>
      <c r="I44" s="3">
        <f t="shared" si="4"/>
        <v>0.5</v>
      </c>
      <c r="J44" s="48"/>
      <c r="K44" s="21">
        <f t="shared" si="2"/>
        <v>0</v>
      </c>
      <c r="L44" s="11">
        <f t="shared" si="3"/>
        <v>1</v>
      </c>
    </row>
    <row r="45" spans="1:13">
      <c r="A45" s="74" t="s">
        <v>25</v>
      </c>
      <c r="B45" s="74" t="s">
        <v>31</v>
      </c>
      <c r="C45" s="15">
        <v>17</v>
      </c>
      <c r="D45" s="48">
        <v>7</v>
      </c>
      <c r="E45" s="48">
        <v>1</v>
      </c>
      <c r="F45" s="3">
        <f t="shared" si="1"/>
        <v>0.47058823529411764</v>
      </c>
      <c r="G45" s="48">
        <v>1</v>
      </c>
      <c r="H45" s="15">
        <v>7</v>
      </c>
      <c r="I45" s="3">
        <f t="shared" si="4"/>
        <v>0.47058823529411764</v>
      </c>
      <c r="J45" s="48">
        <v>1</v>
      </c>
      <c r="K45" s="21">
        <f t="shared" si="2"/>
        <v>5.8823529411764719E-2</v>
      </c>
      <c r="L45" s="11">
        <f t="shared" si="3"/>
        <v>1</v>
      </c>
    </row>
    <row r="46" spans="1:13">
      <c r="A46" s="74" t="s">
        <v>25</v>
      </c>
      <c r="B46" s="74" t="s">
        <v>32</v>
      </c>
      <c r="C46" s="15">
        <v>21</v>
      </c>
      <c r="D46" s="48">
        <v>3</v>
      </c>
      <c r="E46" s="48">
        <v>0</v>
      </c>
      <c r="F46" s="3">
        <f t="shared" si="1"/>
        <v>0.14285714285714285</v>
      </c>
      <c r="G46" s="48">
        <v>5</v>
      </c>
      <c r="H46" s="15">
        <v>7</v>
      </c>
      <c r="I46" s="3">
        <f t="shared" si="4"/>
        <v>0.5714285714285714</v>
      </c>
      <c r="J46" s="48">
        <v>6</v>
      </c>
      <c r="K46" s="21">
        <f t="shared" si="2"/>
        <v>0.28571428571428581</v>
      </c>
      <c r="L46" s="11">
        <f t="shared" si="3"/>
        <v>1</v>
      </c>
    </row>
    <row r="47" spans="1:13">
      <c r="A47" s="74" t="s">
        <v>25</v>
      </c>
      <c r="B47" s="74" t="s">
        <v>15</v>
      </c>
      <c r="C47" s="15">
        <v>26</v>
      </c>
      <c r="D47" s="14">
        <v>9</v>
      </c>
      <c r="E47" s="14">
        <v>2</v>
      </c>
      <c r="F47" s="3">
        <f t="shared" si="1"/>
        <v>0.42307692307692307</v>
      </c>
      <c r="G47" s="14">
        <v>2</v>
      </c>
      <c r="H47" s="15">
        <v>8</v>
      </c>
      <c r="I47" s="3">
        <f t="shared" si="4"/>
        <v>0.38461538461538464</v>
      </c>
      <c r="J47" s="14">
        <v>5</v>
      </c>
      <c r="K47" s="21">
        <f t="shared" si="2"/>
        <v>0.19230769230769229</v>
      </c>
      <c r="L47" s="11">
        <f t="shared" si="3"/>
        <v>1</v>
      </c>
    </row>
    <row r="48" spans="1:13">
      <c r="A48" s="74" t="s">
        <v>25</v>
      </c>
      <c r="B48" s="74" t="s">
        <v>33</v>
      </c>
      <c r="C48" s="15">
        <v>29</v>
      </c>
      <c r="D48" s="14">
        <v>7</v>
      </c>
      <c r="E48" s="14">
        <v>1</v>
      </c>
      <c r="F48" s="3">
        <f t="shared" si="1"/>
        <v>0.27586206896551724</v>
      </c>
      <c r="G48" s="14">
        <v>5</v>
      </c>
      <c r="H48" s="15">
        <v>13</v>
      </c>
      <c r="I48" s="3">
        <f t="shared" si="4"/>
        <v>0.62068965517241381</v>
      </c>
      <c r="J48" s="14">
        <v>3</v>
      </c>
      <c r="K48" s="21">
        <f t="shared" si="2"/>
        <v>0.10344827586206895</v>
      </c>
      <c r="L48" s="11">
        <f t="shared" si="3"/>
        <v>1</v>
      </c>
    </row>
    <row r="50" spans="1:12">
      <c r="A50" s="92" t="s">
        <v>166</v>
      </c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25</v>
      </c>
      <c r="B52" s="91" t="s">
        <v>14</v>
      </c>
      <c r="C52" s="109">
        <f>COUNTIFS(Brive1[adversaire],B52)</f>
        <v>0</v>
      </c>
      <c r="D52" s="110">
        <f>COUNTIFS(Brive1[adversaire],B52,Brive1[Lieu Match],"domicile",Brive1[Issue match],"victoire")</f>
        <v>0</v>
      </c>
      <c r="E52" s="110">
        <f>COUNTIFS(Brive1[adversaire],B52,Brive1[Lieu Match],"Extérieur",Brive1[Issue match],"victoire")</f>
        <v>0</v>
      </c>
      <c r="F52" s="111" t="e">
        <f>(D52+E52)/C52</f>
        <v>#DIV/0!</v>
      </c>
      <c r="G52" s="112">
        <f>COUNTIFS(Brive1[adversaire],B52,Brive1[Lieu Match],"domicile",Brive1[Issue match],"défaite")</f>
        <v>0</v>
      </c>
      <c r="H52" s="113">
        <f>COUNTIFS(Brive1[adversaire],B52,Brive1[Lieu Match],"Extérieur",Brive1[Issue match],"défaite")</f>
        <v>0</v>
      </c>
      <c r="I52" s="114" t="e">
        <f>(G52+H52)/C52</f>
        <v>#DIV/0!</v>
      </c>
      <c r="J52" s="115">
        <f>COUNTIFS(Brive1[adversaire],B52,Brive1[Lieu Match],"Domicile",Brive1[Issue match],"Nul")+COUNTIFS(Brive1[adversaire],B52,Brive1[Lieu Match],"Extérieur",Brive1[Issue match],"Nul")</f>
        <v>0</v>
      </c>
      <c r="K52" s="116" t="e">
        <f>100%-(F52+I52)</f>
        <v>#DIV/0!</v>
      </c>
      <c r="L52" s="117" t="e">
        <f>SUM(F52+I52+K52)</f>
        <v>#DIV/0!</v>
      </c>
    </row>
    <row r="53" spans="1:12">
      <c r="A53" s="90" t="s">
        <v>25</v>
      </c>
      <c r="B53" s="91" t="s">
        <v>23</v>
      </c>
      <c r="C53" s="109">
        <f>COUNTIFS(Brive1[adversaire],B53)</f>
        <v>0</v>
      </c>
      <c r="D53" s="110">
        <f>COUNTIFS(Brive1[adversaire],B53,Brive1[Lieu Match],"domicile",Brive1[Issue match],"victoire")</f>
        <v>0</v>
      </c>
      <c r="E53" s="110">
        <f>COUNTIFS(Brive1[adversaire],B53,Brive1[Lieu Match],"Extérieur",Brive1[Issue match],"victoire")</f>
        <v>0</v>
      </c>
      <c r="F53" s="111" t="e">
        <f t="shared" ref="F53:F64" si="5">(D53+E53)/C53</f>
        <v>#DIV/0!</v>
      </c>
      <c r="G53" s="112">
        <f>COUNTIFS(Brive1[adversaire],B53,Brive1[Lieu Match],"domicile",Brive1[Issue match],"défaite")</f>
        <v>0</v>
      </c>
      <c r="H53" s="113">
        <f>COUNTIFS(Brive1[adversaire],B53,Brive1[Lieu Match],"Extérieur",Brive1[Issue match],"défaite")</f>
        <v>0</v>
      </c>
      <c r="I53" s="114" t="e">
        <f t="shared" ref="I53:I64" si="6">(G53+H53)/C53</f>
        <v>#DIV/0!</v>
      </c>
      <c r="J53" s="115">
        <f>COUNTIFS(Brive1[adversaire],B53,Brive1[Lieu Match],"Domicile",Brive1[Issue match],"Nul")+COUNTIFS(Brive1[adversaire],B53,Brive1[Lieu Match],"Extérieur",Brive1[Issue match],"Nul")</f>
        <v>0</v>
      </c>
      <c r="K53" s="116" t="e">
        <f t="shared" ref="K53:K64" si="7">100%-(F53+I53)</f>
        <v>#DIV/0!</v>
      </c>
      <c r="L53" s="117" t="e">
        <f t="shared" ref="L53:L64" si="8">SUM(F53+I53+K53)</f>
        <v>#DIV/0!</v>
      </c>
    </row>
    <row r="54" spans="1:12">
      <c r="A54" s="90" t="s">
        <v>25</v>
      </c>
      <c r="B54" s="91" t="s">
        <v>24</v>
      </c>
      <c r="C54" s="109">
        <f>COUNTIFS(Brive1[adversaire],B54)</f>
        <v>0</v>
      </c>
      <c r="D54" s="110">
        <f>COUNTIFS(Brive1[adversaire],B54,Brive1[Lieu Match],"domicile",Brive1[Issue match],"victoire")</f>
        <v>0</v>
      </c>
      <c r="E54" s="110">
        <f>COUNTIFS(Brive1[adversaire],B54,Brive1[Lieu Match],"Extérieur",Brive1[Issue match],"victoire")</f>
        <v>0</v>
      </c>
      <c r="F54" s="111" t="e">
        <f t="shared" si="5"/>
        <v>#DIV/0!</v>
      </c>
      <c r="G54" s="112">
        <f>COUNTIFS(Brive1[adversaire],B54,Brive1[Lieu Match],"domicile",Brive1[Issue match],"défaite")</f>
        <v>0</v>
      </c>
      <c r="H54" s="113">
        <f>COUNTIFS(Brive1[adversaire],B54,Brive1[Lieu Match],"Extérieur",Brive1[Issue match],"défaite")</f>
        <v>0</v>
      </c>
      <c r="I54" s="114" t="e">
        <f t="shared" si="6"/>
        <v>#DIV/0!</v>
      </c>
      <c r="J54" s="115">
        <f>COUNTIFS(Brive1[adversaire],B54,Brive1[Lieu Match],"Domicile",Brive1[Issue match],"Nul")+COUNTIFS(Brive1[adversaire],B54,Brive1[Lieu Match],"Extérieur",Brive1[Issue match],"Nul")</f>
        <v>0</v>
      </c>
      <c r="K54" s="116" t="e">
        <f t="shared" si="7"/>
        <v>#DIV/0!</v>
      </c>
      <c r="L54" s="117" t="e">
        <f t="shared" si="8"/>
        <v>#DIV/0!</v>
      </c>
    </row>
    <row r="55" spans="1:12">
      <c r="A55" s="90" t="s">
        <v>25</v>
      </c>
      <c r="B55" s="91" t="s">
        <v>38</v>
      </c>
      <c r="C55" s="109">
        <f>COUNTIFS(Brive1[adversaire],B55)</f>
        <v>0</v>
      </c>
      <c r="D55" s="110">
        <f>COUNTIFS(Brive1[adversaire],B55,Brive1[Lieu Match],"domicile",Brive1[Issue match],"victoire")</f>
        <v>0</v>
      </c>
      <c r="E55" s="110">
        <f>COUNTIFS(Brive1[adversaire],B55,Brive1[Lieu Match],"Extérieur",Brive1[Issue match],"victoire")</f>
        <v>0</v>
      </c>
      <c r="F55" s="111" t="e">
        <f t="shared" si="5"/>
        <v>#DIV/0!</v>
      </c>
      <c r="G55" s="112">
        <f>COUNTIFS(Brive1[adversaire],B55,Brive1[Lieu Match],"domicile",Brive1[Issue match],"défaite")</f>
        <v>0</v>
      </c>
      <c r="H55" s="113">
        <f>COUNTIFS(Brive1[adversaire],B55,Brive1[Lieu Match],"Extérieur",Brive1[Issue match],"défaite")</f>
        <v>0</v>
      </c>
      <c r="I55" s="114" t="e">
        <f t="shared" si="6"/>
        <v>#DIV/0!</v>
      </c>
      <c r="J55" s="115">
        <f>COUNTIFS(Brive1[adversaire],B55,Brive1[Lieu Match],"Domicile",Brive1[Issue match],"Nul")+COUNTIFS(Brive1[adversaire],B55,Brive1[Lieu Match],"Extérieur",Brive1[Issue match],"Nul")</f>
        <v>0</v>
      </c>
      <c r="K55" s="116" t="e">
        <f t="shared" si="7"/>
        <v>#DIV/0!</v>
      </c>
      <c r="L55" s="117" t="e">
        <f t="shared" si="8"/>
        <v>#DIV/0!</v>
      </c>
    </row>
    <row r="56" spans="1:12">
      <c r="A56" s="90" t="s">
        <v>25</v>
      </c>
      <c r="B56" s="91" t="s">
        <v>26</v>
      </c>
      <c r="C56" s="109">
        <f>COUNTIFS(Brive1[adversaire],B56)</f>
        <v>0</v>
      </c>
      <c r="D56" s="110">
        <f>COUNTIFS(Brive1[adversaire],B56,Brive1[Lieu Match],"domicile",Brive1[Issue match],"victoire")</f>
        <v>0</v>
      </c>
      <c r="E56" s="110">
        <f>COUNTIFS(Brive1[adversaire],B56,Brive1[Lieu Match],"Extérieur",Brive1[Issue match],"victoire")</f>
        <v>0</v>
      </c>
      <c r="F56" s="111" t="e">
        <f t="shared" si="5"/>
        <v>#DIV/0!</v>
      </c>
      <c r="G56" s="112">
        <f>COUNTIFS(Brive1[adversaire],B56,Brive1[Lieu Match],"domicile",Brive1[Issue match],"défaite")</f>
        <v>0</v>
      </c>
      <c r="H56" s="113">
        <f>COUNTIFS(Brive1[adversaire],B56,Brive1[Lieu Match],"Extérieur",Brive1[Issue match],"défaite")</f>
        <v>0</v>
      </c>
      <c r="I56" s="114" t="e">
        <f t="shared" si="6"/>
        <v>#DIV/0!</v>
      </c>
      <c r="J56" s="115">
        <f>COUNTIFS(Brive1[adversaire],B56,Brive1[Lieu Match],"Domicile",Brive1[Issue match],"Nul")+COUNTIFS(Brive1[adversaire],B56,Brive1[Lieu Match],"Extérieur",Brive1[Issue match],"Nul")</f>
        <v>0</v>
      </c>
      <c r="K56" s="116" t="e">
        <f t="shared" si="7"/>
        <v>#DIV/0!</v>
      </c>
      <c r="L56" s="117" t="e">
        <f t="shared" si="8"/>
        <v>#DIV/0!</v>
      </c>
    </row>
    <row r="57" spans="1:12">
      <c r="A57" s="90" t="s">
        <v>25</v>
      </c>
      <c r="B57" s="91" t="s">
        <v>27</v>
      </c>
      <c r="C57" s="109">
        <f>COUNTIFS(Brive1[adversaire],B57)</f>
        <v>0</v>
      </c>
      <c r="D57" s="110">
        <f>COUNTIFS(Brive1[adversaire],B57,Brive1[Lieu Match],"domicile",Brive1[Issue match],"victoire")</f>
        <v>0</v>
      </c>
      <c r="E57" s="110">
        <f>COUNTIFS(Brive1[adversaire],B57,Brive1[Lieu Match],"Extérieur",Brive1[Issue match],"victoire")</f>
        <v>0</v>
      </c>
      <c r="F57" s="111" t="e">
        <f t="shared" si="5"/>
        <v>#DIV/0!</v>
      </c>
      <c r="G57" s="112">
        <f>COUNTIFS(Brive1[adversaire],B57,Brive1[Lieu Match],"domicile",Brive1[Issue match],"défaite")</f>
        <v>0</v>
      </c>
      <c r="H57" s="113">
        <f>COUNTIFS(Brive1[adversaire],B57,Brive1[Lieu Match],"Extérieur",Brive1[Issue match],"défaite")</f>
        <v>0</v>
      </c>
      <c r="I57" s="114" t="e">
        <f t="shared" si="6"/>
        <v>#DIV/0!</v>
      </c>
      <c r="J57" s="115">
        <f>COUNTIFS(Brive1[adversaire],B57,Brive1[Lieu Match],"Domicile",Brive1[Issue match],"Nul")+COUNTIFS(Brive1[adversaire],B57,Brive1[Lieu Match],"Extérieur",Brive1[Issue match],"Nul")</f>
        <v>0</v>
      </c>
      <c r="K57" s="116" t="e">
        <f t="shared" si="7"/>
        <v>#DIV/0!</v>
      </c>
      <c r="L57" s="117" t="e">
        <f t="shared" si="8"/>
        <v>#DIV/0!</v>
      </c>
    </row>
    <row r="58" spans="1:12">
      <c r="A58" s="90" t="s">
        <v>25</v>
      </c>
      <c r="B58" s="91" t="s">
        <v>28</v>
      </c>
      <c r="C58" s="109">
        <f>COUNTIFS(Brive1[adversaire],B58)</f>
        <v>0</v>
      </c>
      <c r="D58" s="110">
        <f>COUNTIFS(Brive1[adversaire],B58,Brive1[Lieu Match],"domicile",Brive1[Issue match],"victoire")</f>
        <v>0</v>
      </c>
      <c r="E58" s="110">
        <f>COUNTIFS(Brive1[adversaire],B58,Brive1[Lieu Match],"Extérieur",Brive1[Issue match],"victoire")</f>
        <v>0</v>
      </c>
      <c r="F58" s="111" t="e">
        <f t="shared" si="5"/>
        <v>#DIV/0!</v>
      </c>
      <c r="G58" s="112">
        <f>COUNTIFS(Brive1[adversaire],B58,Brive1[Lieu Match],"domicile",Brive1[Issue match],"défaite")</f>
        <v>0</v>
      </c>
      <c r="H58" s="113">
        <f>COUNTIFS(Brive1[adversaire],B58,Brive1[Lieu Match],"Extérieur",Brive1[Issue match],"défaite")</f>
        <v>0</v>
      </c>
      <c r="I58" s="114" t="e">
        <f t="shared" si="6"/>
        <v>#DIV/0!</v>
      </c>
      <c r="J58" s="115">
        <f>COUNTIFS(Brive1[adversaire],B58,Brive1[Lieu Match],"Domicile",Brive1[Issue match],"Nul")+COUNTIFS(Brive1[adversaire],B58,Brive1[Lieu Match],"Extérieur",Brive1[Issue match],"Nul")</f>
        <v>0</v>
      </c>
      <c r="K58" s="116" t="e">
        <f t="shared" si="7"/>
        <v>#DIV/0!</v>
      </c>
      <c r="L58" s="117" t="e">
        <f t="shared" si="8"/>
        <v>#DIV/0!</v>
      </c>
    </row>
    <row r="59" spans="1:12">
      <c r="A59" s="90" t="s">
        <v>25</v>
      </c>
      <c r="B59" s="91" t="s">
        <v>29</v>
      </c>
      <c r="C59" s="109">
        <f>COUNTIFS(Brive1[adversaire],B59)</f>
        <v>0</v>
      </c>
      <c r="D59" s="110">
        <f>COUNTIFS(Brive1[adversaire],B59,Brive1[Lieu Match],"domicile",Brive1[Issue match],"victoire")</f>
        <v>0</v>
      </c>
      <c r="E59" s="110">
        <f>COUNTIFS(Brive1[adversaire],B59,Brive1[Lieu Match],"Extérieur",Brive1[Issue match],"victoire")</f>
        <v>0</v>
      </c>
      <c r="F59" s="111" t="e">
        <f t="shared" si="5"/>
        <v>#DIV/0!</v>
      </c>
      <c r="G59" s="112">
        <f>COUNTIFS(Brive1[adversaire],B59,Brive1[Lieu Match],"domicile",Brive1[Issue match],"défaite")</f>
        <v>0</v>
      </c>
      <c r="H59" s="113">
        <f>COUNTIFS(Brive1[adversaire],B59,Brive1[Lieu Match],"Extérieur",Brive1[Issue match],"défaite")</f>
        <v>0</v>
      </c>
      <c r="I59" s="114" t="e">
        <f t="shared" si="6"/>
        <v>#DIV/0!</v>
      </c>
      <c r="J59" s="115">
        <f>COUNTIFS(Brive1[adversaire],B59,Brive1[Lieu Match],"Domicile",Brive1[Issue match],"Nul")+COUNTIFS(Brive1[adversaire],B59,Brive1[Lieu Match],"Extérieur",Brive1[Issue match],"Nul")</f>
        <v>0</v>
      </c>
      <c r="K59" s="116" t="e">
        <f t="shared" si="7"/>
        <v>#DIV/0!</v>
      </c>
      <c r="L59" s="117" t="e">
        <f t="shared" si="8"/>
        <v>#DIV/0!</v>
      </c>
    </row>
    <row r="60" spans="1:12">
      <c r="A60" s="90" t="s">
        <v>25</v>
      </c>
      <c r="B60" s="91" t="s">
        <v>30</v>
      </c>
      <c r="C60" s="109">
        <f>COUNTIFS(Brive1[adversaire],B60)</f>
        <v>0</v>
      </c>
      <c r="D60" s="110">
        <f>COUNTIFS(Brive1[adversaire],B60,Brive1[Lieu Match],"domicile",Brive1[Issue match],"victoire")</f>
        <v>0</v>
      </c>
      <c r="E60" s="110">
        <f>COUNTIFS(Brive1[adversaire],B60,Brive1[Lieu Match],"Extérieur",Brive1[Issue match],"victoire")</f>
        <v>0</v>
      </c>
      <c r="F60" s="111" t="e">
        <f t="shared" si="5"/>
        <v>#DIV/0!</v>
      </c>
      <c r="G60" s="112">
        <f>COUNTIFS(Brive1[adversaire],B60,Brive1[Lieu Match],"domicile",Brive1[Issue match],"défaite")</f>
        <v>0</v>
      </c>
      <c r="H60" s="113">
        <f>COUNTIFS(Brive1[adversaire],B60,Brive1[Lieu Match],"Extérieur",Brive1[Issue match],"défaite")</f>
        <v>0</v>
      </c>
      <c r="I60" s="114" t="e">
        <f t="shared" si="6"/>
        <v>#DIV/0!</v>
      </c>
      <c r="J60" s="115">
        <f>COUNTIFS(Brive1[adversaire],B60,Brive1[Lieu Match],"Domicile",Brive1[Issue match],"Nul")+COUNTIFS(Brive1[adversaire],B60,Brive1[Lieu Match],"Extérieur",Brive1[Issue match],"Nul")</f>
        <v>0</v>
      </c>
      <c r="K60" s="116" t="e">
        <f t="shared" si="7"/>
        <v>#DIV/0!</v>
      </c>
      <c r="L60" s="117" t="e">
        <f t="shared" si="8"/>
        <v>#DIV/0!</v>
      </c>
    </row>
    <row r="61" spans="1:12">
      <c r="A61" s="90" t="s">
        <v>25</v>
      </c>
      <c r="B61" s="91" t="s">
        <v>31</v>
      </c>
      <c r="C61" s="109">
        <f>COUNTIFS(Brive1[adversaire],B61)</f>
        <v>0</v>
      </c>
      <c r="D61" s="110">
        <f>COUNTIFS(Brive1[adversaire],B61,Brive1[Lieu Match],"domicile",Brive1[Issue match],"victoire")</f>
        <v>0</v>
      </c>
      <c r="E61" s="110">
        <f>COUNTIFS(Brive1[adversaire],B61,Brive1[Lieu Match],"Extérieur",Brive1[Issue match],"victoire")</f>
        <v>0</v>
      </c>
      <c r="F61" s="111" t="e">
        <f t="shared" si="5"/>
        <v>#DIV/0!</v>
      </c>
      <c r="G61" s="112">
        <f>COUNTIFS(Brive1[adversaire],B61,Brive1[Lieu Match],"domicile",Brive1[Issue match],"défaite")</f>
        <v>0</v>
      </c>
      <c r="H61" s="113">
        <f>COUNTIFS(Brive1[adversaire],B61,Brive1[Lieu Match],"Extérieur",Brive1[Issue match],"défaite")</f>
        <v>0</v>
      </c>
      <c r="I61" s="114" t="e">
        <f t="shared" si="6"/>
        <v>#DIV/0!</v>
      </c>
      <c r="J61" s="115">
        <f>COUNTIFS(Brive1[adversaire],B61,Brive1[Lieu Match],"Domicile",Brive1[Issue match],"Nul")+COUNTIFS(Brive1[adversaire],B61,Brive1[Lieu Match],"Extérieur",Brive1[Issue match],"Nul")</f>
        <v>0</v>
      </c>
      <c r="K61" s="116" t="e">
        <f t="shared" si="7"/>
        <v>#DIV/0!</v>
      </c>
      <c r="L61" s="117" t="e">
        <f t="shared" si="8"/>
        <v>#DIV/0!</v>
      </c>
    </row>
    <row r="62" spans="1:12">
      <c r="A62" s="90" t="s">
        <v>25</v>
      </c>
      <c r="B62" s="91" t="s">
        <v>32</v>
      </c>
      <c r="C62" s="109">
        <f>COUNTIFS(Brive1[adversaire],B62)</f>
        <v>0</v>
      </c>
      <c r="D62" s="110">
        <f>COUNTIFS(Brive1[adversaire],B62,Brive1[Lieu Match],"domicile",Brive1[Issue match],"victoire")</f>
        <v>0</v>
      </c>
      <c r="E62" s="110">
        <f>COUNTIFS(Brive1[adversaire],B62,Brive1[Lieu Match],"Extérieur",Brive1[Issue match],"victoire")</f>
        <v>0</v>
      </c>
      <c r="F62" s="111" t="e">
        <f t="shared" si="5"/>
        <v>#DIV/0!</v>
      </c>
      <c r="G62" s="112">
        <f>COUNTIFS(Brive1[adversaire],B62,Brive1[Lieu Match],"domicile",Brive1[Issue match],"défaite")</f>
        <v>0</v>
      </c>
      <c r="H62" s="113">
        <f>COUNTIFS(Brive1[adversaire],B62,Brive1[Lieu Match],"Extérieur",Brive1[Issue match],"défaite")</f>
        <v>0</v>
      </c>
      <c r="I62" s="114" t="e">
        <f t="shared" si="6"/>
        <v>#DIV/0!</v>
      </c>
      <c r="J62" s="115">
        <f>COUNTIFS(Brive1[adversaire],B62,Brive1[Lieu Match],"Domicile",Brive1[Issue match],"Nul")+COUNTIFS(Brive1[adversaire],B62,Brive1[Lieu Match],"Extérieur",Brive1[Issue match],"Nul")</f>
        <v>0</v>
      </c>
      <c r="K62" s="116" t="e">
        <f t="shared" si="7"/>
        <v>#DIV/0!</v>
      </c>
      <c r="L62" s="117" t="e">
        <f t="shared" si="8"/>
        <v>#DIV/0!</v>
      </c>
    </row>
    <row r="63" spans="1:12">
      <c r="A63" s="90" t="s">
        <v>25</v>
      </c>
      <c r="B63" s="91" t="s">
        <v>15</v>
      </c>
      <c r="C63" s="109">
        <f>COUNTIFS(Brive1[adversaire],B63)</f>
        <v>0</v>
      </c>
      <c r="D63" s="110">
        <f>COUNTIFS(Brive1[adversaire],B63,Brive1[Lieu Match],"domicile",Brive1[Issue match],"victoire")</f>
        <v>0</v>
      </c>
      <c r="E63" s="110">
        <f>COUNTIFS(Brive1[adversaire],B63,Brive1[Lieu Match],"Extérieur",Brive1[Issue match],"victoire")</f>
        <v>0</v>
      </c>
      <c r="F63" s="111" t="e">
        <f t="shared" si="5"/>
        <v>#DIV/0!</v>
      </c>
      <c r="G63" s="112">
        <f>COUNTIFS(Brive1[adversaire],B63,Brive1[Lieu Match],"domicile",Brive1[Issue match],"défaite")</f>
        <v>0</v>
      </c>
      <c r="H63" s="113">
        <f>COUNTIFS(Brive1[adversaire],B63,Brive1[Lieu Match],"Extérieur",Brive1[Issue match],"défaite")</f>
        <v>0</v>
      </c>
      <c r="I63" s="114" t="e">
        <f t="shared" si="6"/>
        <v>#DIV/0!</v>
      </c>
      <c r="J63" s="115">
        <f>COUNTIFS(Brive1[adversaire],B63,Brive1[Lieu Match],"Domicile",Brive1[Issue match],"Nul")+COUNTIFS(Brive1[adversaire],B63,Brive1[Lieu Match],"Extérieur",Brive1[Issue match],"Nul")</f>
        <v>0</v>
      </c>
      <c r="K63" s="116" t="e">
        <f t="shared" si="7"/>
        <v>#DIV/0!</v>
      </c>
      <c r="L63" s="117" t="e">
        <f t="shared" si="8"/>
        <v>#DIV/0!</v>
      </c>
    </row>
    <row r="64" spans="1:12">
      <c r="A64" s="90" t="s">
        <v>25</v>
      </c>
      <c r="B64" s="91" t="s">
        <v>33</v>
      </c>
      <c r="C64" s="109">
        <f>COUNTIFS(Brive1[adversaire],B64)</f>
        <v>0</v>
      </c>
      <c r="D64" s="110">
        <f>COUNTIFS(Brive1[adversaire],B64,Brive1[Lieu Match],"domicile",Brive1[Issue match],"victoire")</f>
        <v>0</v>
      </c>
      <c r="E64" s="110">
        <f>COUNTIFS(Brive1[adversaire],B64,Brive1[Lieu Match],"Extérieur",Brive1[Issue match],"victoire")</f>
        <v>0</v>
      </c>
      <c r="F64" s="111" t="e">
        <f t="shared" si="5"/>
        <v>#DIV/0!</v>
      </c>
      <c r="G64" s="112">
        <f>COUNTIFS(Brive1[adversaire],B64,Brive1[Lieu Match],"domicile",Brive1[Issue match],"défaite")</f>
        <v>0</v>
      </c>
      <c r="H64" s="113">
        <f>COUNTIFS(Brive1[adversaire],B64,Brive1[Lieu Match],"Extérieur",Brive1[Issue match],"défaite")</f>
        <v>0</v>
      </c>
      <c r="I64" s="114" t="e">
        <f t="shared" si="6"/>
        <v>#DIV/0!</v>
      </c>
      <c r="J64" s="115">
        <f>COUNTIFS(Brive1[adversaire],B64,Brive1[Lieu Match],"Domicile",Brive1[Issue match],"Nul")+COUNTIFS(Brive1[adversaire],B64,Brive1[Lieu Match],"Extérieur",Brive1[Issue match],"Nul")</f>
        <v>0</v>
      </c>
      <c r="K64" s="116" t="e">
        <f t="shared" si="7"/>
        <v>#DIV/0!</v>
      </c>
      <c r="L64" s="117" t="e">
        <f t="shared" si="8"/>
        <v>#DIV/0!</v>
      </c>
    </row>
  </sheetData>
  <mergeCells count="7">
    <mergeCell ref="Q1:S1"/>
    <mergeCell ref="Q9:S9"/>
    <mergeCell ref="A35:B35"/>
    <mergeCell ref="A1:A2"/>
    <mergeCell ref="B1:E1"/>
    <mergeCell ref="G1:H1"/>
    <mergeCell ref="L1:N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V64"/>
  <sheetViews>
    <sheetView zoomScale="85" zoomScaleNormal="85" zoomScalePageLayoutView="85" workbookViewId="0">
      <selection activeCell="H13" sqref="H13"/>
    </sheetView>
  </sheetViews>
  <sheetFormatPr baseColWidth="10" defaultColWidth="10.5" defaultRowHeight="14" x14ac:dyDescent="0"/>
  <cols>
    <col min="1" max="1" width="13.33203125" bestFit="1" customWidth="1"/>
    <col min="2" max="3" width="13.1640625" bestFit="1" customWidth="1"/>
    <col min="4" max="4" width="11" bestFit="1" customWidth="1"/>
    <col min="5" max="5" width="12.5" bestFit="1" customWidth="1"/>
    <col min="6" max="6" width="7.83203125" bestFit="1" customWidth="1"/>
    <col min="7" max="7" width="14.5" bestFit="1" customWidth="1"/>
    <col min="8" max="8" width="9.83203125" bestFit="1" customWidth="1"/>
    <col min="9" max="9" width="7.83203125" bestFit="1" customWidth="1"/>
    <col min="10" max="10" width="4.1640625" bestFit="1" customWidth="1"/>
    <col min="11" max="11" width="14.33203125" bestFit="1" customWidth="1"/>
    <col min="12" max="12" width="9.33203125" bestFit="1" customWidth="1"/>
    <col min="13" max="13" width="12.1640625" bestFit="1" customWidth="1"/>
    <col min="16" max="16" width="14.33203125" bestFit="1" customWidth="1"/>
  </cols>
  <sheetData>
    <row r="1" spans="1:22">
      <c r="A1" s="121" t="s">
        <v>44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  <c r="V1" s="1"/>
    </row>
    <row r="2" spans="1:22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SUMIFS(castres[Score D],castres[Lieu Match],"domicile")</f>
        <v>44</v>
      </c>
      <c r="M2" s="72">
        <f ca="1">SUMIFS(castres[Score E],castres[Lieu Match],"domicile")</f>
        <v>48</v>
      </c>
      <c r="N2" s="72">
        <f ca="1">L2-M2</f>
        <v>-4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  <c r="V2" s="1"/>
    </row>
    <row r="3" spans="1:22">
      <c r="A3" s="10" t="s">
        <v>2</v>
      </c>
      <c r="B3" s="15">
        <f ca="1">COUNTIF(castres[Lieu Match],"domicile")</f>
        <v>13</v>
      </c>
      <c r="C3" s="63">
        <f ca="1">COUNTIFS(castres[Issue match],"victoire",castres[Lieu Match],"domicile")</f>
        <v>1</v>
      </c>
      <c r="D3" s="63">
        <f ca="1">COUNTIFS(castres[Issue match],"nul",castres[Lieu Match],"domicile")</f>
        <v>0</v>
      </c>
      <c r="E3" s="63">
        <f ca="1">COUNTIFS(castres[Issue match],"défaite",castres[Lieu Match],"domicile")</f>
        <v>12</v>
      </c>
      <c r="F3" s="77">
        <f ca="1">C3+E3+D3-D3</f>
        <v>13</v>
      </c>
      <c r="G3" s="6" t="s">
        <v>44</v>
      </c>
      <c r="H3" s="7" t="s">
        <v>49</v>
      </c>
      <c r="K3" s="10" t="s">
        <v>9</v>
      </c>
      <c r="L3" s="18">
        <f ca="1">L2/F3</f>
        <v>3.3846153846153846</v>
      </c>
      <c r="M3" s="18">
        <f ca="1">M2/F3</f>
        <v>3.6923076923076925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  <c r="V3" s="1"/>
    </row>
    <row r="4" spans="1:22">
      <c r="A4" s="10" t="s">
        <v>3</v>
      </c>
      <c r="B4" s="15">
        <f ca="1">COUNTIF(castres[Lieu Match],"extérieur")</f>
        <v>13</v>
      </c>
      <c r="C4" s="63">
        <f ca="1">COUNTIFS(castres[Issue match],"victoire",castres[Lieu Match],"extérieur")</f>
        <v>1</v>
      </c>
      <c r="D4" s="63">
        <f ca="1">COUNTIFS(castres[Issue match],"nul",castres[Lieu Match],"extérieur")</f>
        <v>0</v>
      </c>
      <c r="E4" s="63">
        <f ca="1">COUNTIFS(castres[Issue match],"défaite",castres[Lieu Match],"extérieur")</f>
        <v>12</v>
      </c>
      <c r="F4" s="77">
        <f ca="1">C4+E4+D4-D4</f>
        <v>13</v>
      </c>
      <c r="G4" s="8">
        <f t="array" ref="G4">INDEX($C$35:$L$46,MATCH(1,($A$35:$A$46=$A$1)*($B$35:$B$46=$H$3),0),4)</f>
        <v>0.27777777777777779</v>
      </c>
      <c r="H4" s="8">
        <f t="array" ref="H4">INDEX($C$35:$L$46,MATCH(1,($A$35:$A$46=$G$3)*($B$35:$B$46=$H$3),0),7)</f>
        <v>0.66666666666666663</v>
      </c>
      <c r="K4" s="10" t="s">
        <v>8</v>
      </c>
      <c r="L4" s="72">
        <f ca="1">SUMIFS(castres[Score D],castres[Lieu Match],"extérieur")</f>
        <v>103</v>
      </c>
      <c r="M4" s="72">
        <f ca="1">SUMIFS(castres[Score E],castres[Lieu Match],"extérieur")</f>
        <v>35</v>
      </c>
      <c r="N4" s="13">
        <f ca="1">L4-M4</f>
        <v>68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  <c r="V4" s="1"/>
    </row>
    <row r="5" spans="1:22">
      <c r="A5" s="10" t="s">
        <v>36</v>
      </c>
      <c r="B5" s="15">
        <f ca="1">B3+B4</f>
        <v>26</v>
      </c>
      <c r="C5" s="15">
        <f t="shared" ref="C5:E5" ca="1" si="0">C3+C4</f>
        <v>2</v>
      </c>
      <c r="D5" s="15">
        <f t="shared" ca="1" si="0"/>
        <v>0</v>
      </c>
      <c r="E5" s="15">
        <f t="shared" ca="1" si="0"/>
        <v>24</v>
      </c>
      <c r="F5" s="77">
        <f ca="1">C5+E5+D5-D5</f>
        <v>26</v>
      </c>
      <c r="G5" s="9">
        <f>100/G4/100</f>
        <v>3.6</v>
      </c>
      <c r="H5" s="9">
        <f>100/H4/100</f>
        <v>1.5</v>
      </c>
      <c r="K5" s="10" t="s">
        <v>9</v>
      </c>
      <c r="L5" s="18">
        <f ca="1">L4/F4</f>
        <v>7.9230769230769234</v>
      </c>
      <c r="M5" s="18">
        <f ca="1">M4/F4</f>
        <v>2.6923076923076925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  <c r="V5" s="1"/>
    </row>
    <row r="6" spans="1:22">
      <c r="A6" s="1"/>
      <c r="B6" s="1"/>
      <c r="C6" s="1"/>
      <c r="D6" s="1"/>
      <c r="E6" s="1"/>
      <c r="F6" s="1"/>
      <c r="K6" s="10" t="s">
        <v>10</v>
      </c>
      <c r="L6" s="13">
        <f ca="1">L2+M4</f>
        <v>79</v>
      </c>
      <c r="M6" s="13">
        <f ca="1">M2+L4</f>
        <v>151</v>
      </c>
      <c r="N6" s="13">
        <f ca="1">L6-M6</f>
        <v>-72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  <c r="V6" s="1"/>
    </row>
    <row r="7" spans="1:22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3.0384615384615383</v>
      </c>
      <c r="M7" s="18">
        <f ca="1">M6/F5</f>
        <v>5.8076923076923075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  <c r="T7" s="1"/>
      <c r="U7" s="1"/>
    </row>
    <row r="8" spans="1:22">
      <c r="A8" s="39" t="s">
        <v>124</v>
      </c>
      <c r="B8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Agen</v>
      </c>
      <c r="C8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8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Victoire</v>
      </c>
      <c r="E8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22</v>
      </c>
      <c r="F8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26</v>
      </c>
      <c r="G8" s="34">
        <v>0</v>
      </c>
      <c r="H8" s="49">
        <v>0</v>
      </c>
      <c r="I8" s="50">
        <f ca="1">(castres[[#This Row],[Issue match]]="Victoire")*4 + (castres[[#This Row],[Issue match]]="Nul")*2 + castres[[#This Row],[Bonus off]] + castres[[#This Row],[Bonus déf]]</f>
        <v>4</v>
      </c>
      <c r="K8" s="1"/>
      <c r="L8" s="1"/>
      <c r="M8" s="1"/>
      <c r="N8" s="1"/>
      <c r="O8" s="1"/>
      <c r="P8" s="1"/>
      <c r="Q8" s="1"/>
      <c r="R8" s="1"/>
      <c r="S8" s="1"/>
    </row>
    <row r="9" spans="1:22">
      <c r="A9" s="39" t="s">
        <v>125</v>
      </c>
      <c r="B9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Paris</v>
      </c>
      <c r="C9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9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9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16</v>
      </c>
      <c r="F9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22</v>
      </c>
      <c r="G9" s="34">
        <v>0</v>
      </c>
      <c r="H9" s="49">
        <v>0</v>
      </c>
      <c r="I9" s="50">
        <f ca="1">(castres[[#This Row],[Issue match]]="Victoire")*4 + (castres[[#This Row],[Issue match]]="Nul")*2 + castres[[#This Row],[Bonus off]] + castres[[#This Row],[Bonus déf]]</f>
        <v>0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2">
      <c r="A10" s="39" t="s">
        <v>126</v>
      </c>
      <c r="B10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Montpellier</v>
      </c>
      <c r="C10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10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10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10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10" s="34"/>
      <c r="H10" s="49"/>
      <c r="I10" s="50">
        <f ca="1">(castres[[#This Row],[Issue match]]="Victoire")*4 + (castres[[#This Row],[Issue match]]="Nul")*2 + castres[[#This Row],[Bonus off]] + castres[[#This Row],[Bonus déf]]</f>
        <v>0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2">
      <c r="A11" s="39" t="s">
        <v>127</v>
      </c>
      <c r="B11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Brive</v>
      </c>
      <c r="C11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11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11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11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11" s="34"/>
      <c r="H11" s="49"/>
      <c r="I11" s="50">
        <f ca="1">(castres[[#This Row],[Issue match]]="Victoire")*4 + (castres[[#This Row],[Issue match]]="Nul")*2 + castres[[#This Row],[Bonus off]] + castres[[#This Row],[Bonus déf]]</f>
        <v>0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2">
      <c r="A12" s="39" t="s">
        <v>128</v>
      </c>
      <c r="B12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La Rochelle</v>
      </c>
      <c r="C12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12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12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62</v>
      </c>
      <c r="F12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3</v>
      </c>
      <c r="G12" s="34">
        <v>0</v>
      </c>
      <c r="H12" s="49">
        <v>0</v>
      </c>
      <c r="I12" s="50">
        <f ca="1">(castres[[#This Row],[Issue match]]="Victoire")*4 + (castres[[#This Row],[Issue match]]="Nul")*2 + castres[[#This Row],[Bonus off]] + castres[[#This Row],[Bonus déf]]</f>
        <v>0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2">
      <c r="A13" s="39" t="s">
        <v>129</v>
      </c>
      <c r="B13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Toulon</v>
      </c>
      <c r="C13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13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13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19</v>
      </c>
      <c r="F13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6</v>
      </c>
      <c r="G13" s="34">
        <v>0</v>
      </c>
      <c r="H13" s="49">
        <v>0</v>
      </c>
      <c r="I13" s="50">
        <f ca="1">(castres[[#This Row],[Issue match]]="Victoire")*4 + (castres[[#This Row],[Issue match]]="Nul")*2 + castres[[#This Row],[Bonus off]] + castres[[#This Row],[Bonus déf]]</f>
        <v>0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2">
      <c r="A14" s="39" t="s">
        <v>130</v>
      </c>
      <c r="B14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Racing 92</v>
      </c>
      <c r="C14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14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Victoire</v>
      </c>
      <c r="E14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28</v>
      </c>
      <c r="F14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26</v>
      </c>
      <c r="G14" s="34"/>
      <c r="H14" s="49"/>
      <c r="I14" s="50">
        <f ca="1">(castres[[#This Row],[Issue match]]="Victoire")*4 + (castres[[#This Row],[Issue match]]="Nul")*2 + castres[[#This Row],[Bonus off]] + castres[[#This Row],[Bonus déf]]</f>
        <v>4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2">
      <c r="A15" s="39" t="s">
        <v>131</v>
      </c>
      <c r="B15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Toulouse</v>
      </c>
      <c r="C15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15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15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15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15" s="34"/>
      <c r="H15" s="49"/>
      <c r="I15" s="50">
        <f ca="1">(castres[[#This Row],[Issue match]]="Victoire")*4 + (castres[[#This Row],[Issue match]]="Nul")*2 + castres[[#This Row],[Bonus off]] + castres[[#This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2">
      <c r="A16" s="39" t="s">
        <v>132</v>
      </c>
      <c r="B16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Bordeaux</v>
      </c>
      <c r="C16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16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16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16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16" s="34"/>
      <c r="H16" s="49"/>
      <c r="I16" s="50">
        <f ca="1">(castres[[#This Row],[Issue match]]="Victoire")*4 + (castres[[#This Row],[Issue match]]="Nul")*2 + castres[[#This Row],[Bonus off]] + castres[[#This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1">
      <c r="A17" s="39" t="s">
        <v>133</v>
      </c>
      <c r="B17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Clermont</v>
      </c>
      <c r="C17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17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17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17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17" s="34"/>
      <c r="H17" s="49"/>
      <c r="I17" s="50">
        <f ca="1">(castres[[#This Row],[Issue match]]="Victoire")*4 + (castres[[#This Row],[Issue match]]="Nul")*2 + castres[[#This Row],[Bonus off]] + castres[[#This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1">
      <c r="A18" s="39" t="s">
        <v>134</v>
      </c>
      <c r="B18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Pau</v>
      </c>
      <c r="C18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18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18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18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18" s="34"/>
      <c r="H18" s="49"/>
      <c r="I18" s="50">
        <f ca="1">(castres[[#This Row],[Issue match]]="Victoire")*4 + (castres[[#This Row],[Issue match]]="Nul")*2 + castres[[#This Row],[Bonus off]] + castres[[#This Row],[Bonus déf]]</f>
        <v>0</v>
      </c>
      <c r="K18" s="10" t="s">
        <v>7</v>
      </c>
      <c r="L18" s="13"/>
      <c r="M18" s="72"/>
      <c r="N18" s="72"/>
      <c r="O18" s="1"/>
      <c r="P18" s="1"/>
      <c r="R18" s="1"/>
      <c r="S18" s="1"/>
    </row>
    <row r="19" spans="1:21">
      <c r="A19" s="39" t="s">
        <v>135</v>
      </c>
      <c r="B19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Bayonne</v>
      </c>
      <c r="C19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19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19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19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19" s="34"/>
      <c r="H19" s="49"/>
      <c r="I19" s="50">
        <f ca="1">(castres[[#This Row],[Issue match]]="Victoire")*4 + (castres[[#This Row],[Issue match]]="Nul")*2 + castres[[#This Row],[Bonus off]] + castres[[#This Row],[Bonus déf]]</f>
        <v>0</v>
      </c>
      <c r="K19" s="10" t="s">
        <v>9</v>
      </c>
      <c r="L19" s="18"/>
      <c r="M19" s="18"/>
      <c r="N19" s="13"/>
      <c r="O19" s="1"/>
      <c r="P19" s="1" t="s">
        <v>44</v>
      </c>
      <c r="Q19" s="12" t="s">
        <v>41</v>
      </c>
      <c r="R19" s="1"/>
      <c r="S19" s="1"/>
    </row>
    <row r="20" spans="1:21">
      <c r="A20" s="39" t="s">
        <v>136</v>
      </c>
      <c r="B20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Lyon</v>
      </c>
      <c r="C20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20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0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0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0" s="34"/>
      <c r="H20" s="49"/>
      <c r="I20" s="50">
        <f ca="1">(castres[[#This Row],[Issue match]]="Victoire")*4 + (castres[[#This Row],[Issue match]]="Nul")*2 + castres[[#This Row],[Bonus off]] + castres[[#This Row],[Bonus déf]]</f>
        <v>0</v>
      </c>
      <c r="K20" s="10" t="s">
        <v>8</v>
      </c>
      <c r="L20" s="72"/>
      <c r="M20" s="72"/>
      <c r="N20" s="13"/>
      <c r="O20" s="1"/>
      <c r="P20" s="1" t="s">
        <v>44</v>
      </c>
      <c r="Q20" s="26" t="s">
        <v>42</v>
      </c>
      <c r="R20" s="1"/>
      <c r="S20" s="1"/>
      <c r="T20" s="1"/>
      <c r="U20" s="1"/>
    </row>
    <row r="21" spans="1:21">
      <c r="A21" s="39" t="s">
        <v>137</v>
      </c>
      <c r="B21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Agen</v>
      </c>
      <c r="C21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21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1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1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1" s="34"/>
      <c r="H21" s="49"/>
      <c r="I21" s="50">
        <f ca="1">(castres[[#This Row],[Issue match]]="Victoire")*4 + (castres[[#This Row],[Issue match]]="Nul")*2 + castres[[#This Row],[Bonus off]] + castres[[#This Row],[Bonus déf]]</f>
        <v>0</v>
      </c>
      <c r="K21" s="10" t="s">
        <v>9</v>
      </c>
      <c r="L21" s="18"/>
      <c r="M21" s="18"/>
      <c r="N21" s="13"/>
      <c r="O21" s="1"/>
      <c r="P21" s="1" t="s">
        <v>44</v>
      </c>
      <c r="Q21" s="12" t="s">
        <v>43</v>
      </c>
      <c r="R21" s="1"/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Paris</v>
      </c>
      <c r="C22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22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2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2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2" s="34"/>
      <c r="H22" s="49"/>
      <c r="I22" s="50">
        <f ca="1">(castres[[#This Row],[Issue match]]="Victoire")*4 + (castres[[#This Row],[Issue match]]="Nul")*2 + castres[[#This Row],[Bonus off]] + castres[[#This Row],[Bonus déf]]</f>
        <v>0</v>
      </c>
      <c r="K22" s="10" t="s">
        <v>10</v>
      </c>
      <c r="L22" s="13"/>
      <c r="M22" s="13"/>
      <c r="N22" s="13"/>
      <c r="O22" s="1"/>
      <c r="P22" s="1" t="s">
        <v>44</v>
      </c>
      <c r="Q22" s="12" t="s">
        <v>40</v>
      </c>
      <c r="R22" s="1"/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Montpellier</v>
      </c>
      <c r="C23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23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3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3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3" s="34"/>
      <c r="H23" s="49"/>
      <c r="I23" s="50">
        <f ca="1">(castres[[#This Row],[Issue match]]="Victoire")*4 + (castres[[#This Row],[Issue match]]="Nul")*2 + castres[[#This Row],[Bonus off]] + castres[[#This Row],[Bonus déf]]</f>
        <v>0</v>
      </c>
      <c r="K23" s="10" t="s">
        <v>9</v>
      </c>
      <c r="L23" s="18"/>
      <c r="M23" s="18"/>
      <c r="N23" s="13"/>
      <c r="O23" s="1"/>
      <c r="P23" s="1" t="s">
        <v>44</v>
      </c>
      <c r="Q23" s="12" t="s">
        <v>45</v>
      </c>
      <c r="R23" s="1"/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Racing 92</v>
      </c>
      <c r="C24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24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4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4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4" s="34"/>
      <c r="H24" s="49"/>
      <c r="I24" s="50">
        <f ca="1">(castres[[#This Row],[Issue match]]="Victoire")*4 + (castres[[#This Row],[Issue match]]="Nul")*2 + castres[[#This Row],[Bonus off]] + castres[[#This Row],[Bonus déf]]</f>
        <v>0</v>
      </c>
      <c r="K24" s="1"/>
      <c r="L24" s="1"/>
      <c r="M24" s="1"/>
      <c r="N24" s="1"/>
      <c r="O24" s="1"/>
      <c r="P24" s="1" t="s">
        <v>44</v>
      </c>
      <c r="Q24" s="12" t="s">
        <v>46</v>
      </c>
      <c r="R24" s="1"/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La Rochelle</v>
      </c>
      <c r="C25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25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5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5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5" s="34"/>
      <c r="H25" s="49"/>
      <c r="I25" s="50">
        <f ca="1">(castres[[#This Row],[Issue match]]="Victoire")*4 + (castres[[#This Row],[Issue match]]="Nul")*2 + castres[[#This Row],[Bonus off]] + castres[[#This Row],[Bonus déf]]</f>
        <v>0</v>
      </c>
      <c r="K25" s="10" t="s">
        <v>6</v>
      </c>
      <c r="L25" s="69"/>
      <c r="M25" s="70"/>
      <c r="N25" s="71"/>
      <c r="O25" s="1"/>
      <c r="P25" s="1" t="s">
        <v>44</v>
      </c>
      <c r="Q25" s="12" t="s">
        <v>47</v>
      </c>
      <c r="R25" s="1"/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Clermont</v>
      </c>
      <c r="C26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26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6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6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6" s="34"/>
      <c r="H26" s="49"/>
      <c r="I26" s="50">
        <f ca="1">(castres[[#This Row],[Issue match]]="Victoire")*4 + (castres[[#This Row],[Issue match]]="Nul")*2 + castres[[#This Row],[Bonus off]] + castres[[#This Row],[Bonus déf]]</f>
        <v>0</v>
      </c>
      <c r="K26" s="10" t="s">
        <v>7</v>
      </c>
      <c r="L26" s="13"/>
      <c r="M26" s="72"/>
      <c r="N26" s="72"/>
      <c r="O26" s="1"/>
      <c r="P26" s="1" t="s">
        <v>44</v>
      </c>
      <c r="Q26" s="12" t="s">
        <v>48</v>
      </c>
      <c r="R26" s="1"/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Pau</v>
      </c>
      <c r="C27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27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7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7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7" s="34"/>
      <c r="H27" s="49"/>
      <c r="I27" s="50">
        <f ca="1">(castres[[#This Row],[Issue match]]="Victoire")*4 + (castres[[#This Row],[Issue match]]="Nul")*2 + castres[[#This Row],[Bonus off]] + castres[[#This Row],[Bonus déf]]</f>
        <v>0</v>
      </c>
      <c r="K27" s="10" t="s">
        <v>9</v>
      </c>
      <c r="L27" s="18"/>
      <c r="M27" s="18"/>
      <c r="N27" s="13"/>
      <c r="O27" s="1"/>
      <c r="P27" s="1" t="s">
        <v>44</v>
      </c>
      <c r="Q27" s="12" t="s">
        <v>49</v>
      </c>
      <c r="R27" s="1"/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Toulouse</v>
      </c>
      <c r="C28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28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8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8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8" s="34"/>
      <c r="H28" s="49"/>
      <c r="I28" s="50">
        <f ca="1">(castres[[#This Row],[Issue match]]="Victoire")*4 + (castres[[#This Row],[Issue match]]="Nul")*2 + castres[[#This Row],[Bonus off]] + castres[[#This Row],[Bonus déf]]</f>
        <v>0</v>
      </c>
      <c r="K28" s="10" t="s">
        <v>8</v>
      </c>
      <c r="L28" s="72"/>
      <c r="M28" s="72"/>
      <c r="N28" s="13"/>
      <c r="O28" s="1"/>
      <c r="P28" s="1" t="s">
        <v>44</v>
      </c>
      <c r="Q28" s="12" t="s">
        <v>50</v>
      </c>
      <c r="R28" s="1"/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Lyon</v>
      </c>
      <c r="C29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29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29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29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29" s="34"/>
      <c r="H29" s="49"/>
      <c r="I29" s="50">
        <f ca="1">(castres[[#This Row],[Issue match]]="Victoire")*4 + (castres[[#This Row],[Issue match]]="Nul")*2 + castres[[#This Row],[Bonus off]] + castres[[#This Row],[Bonus déf]]</f>
        <v>0</v>
      </c>
      <c r="K29" s="10" t="s">
        <v>9</v>
      </c>
      <c r="L29" s="18"/>
      <c r="M29" s="18"/>
      <c r="N29" s="13"/>
      <c r="O29" s="1"/>
      <c r="P29" s="1" t="s">
        <v>44</v>
      </c>
      <c r="Q29" s="12" t="s">
        <v>51</v>
      </c>
      <c r="R29" s="1"/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Lyon</v>
      </c>
      <c r="C30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30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30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30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30" s="34"/>
      <c r="H30" s="49"/>
      <c r="I30" s="50">
        <f ca="1">(castres[[#This Row],[Issue match]]="Victoire")*4 + (castres[[#This Row],[Issue match]]="Nul")*2 + castres[[#This Row],[Bonus off]] + castres[[#This Row],[Bonus déf]]</f>
        <v>0</v>
      </c>
      <c r="K30" s="10" t="s">
        <v>10</v>
      </c>
      <c r="L30" s="13"/>
      <c r="M30" s="13"/>
      <c r="N30" s="13"/>
      <c r="O30" s="1"/>
      <c r="P30" s="1" t="s">
        <v>44</v>
      </c>
      <c r="Q30" s="12" t="s">
        <v>52</v>
      </c>
      <c r="R30" s="1"/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Bordeaux</v>
      </c>
      <c r="C31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31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31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31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31" s="34"/>
      <c r="H31" s="49"/>
      <c r="I31" s="50">
        <f ca="1">(castres[[#This Row],[Issue match]]="Victoire")*4 + (castres[[#This Row],[Issue match]]="Nul")*2 + castres[[#This Row],[Bonus off]] + castres[[#This Row],[Bonus déf]]</f>
        <v>0</v>
      </c>
      <c r="K31" s="10" t="s">
        <v>9</v>
      </c>
      <c r="L31" s="18"/>
      <c r="M31" s="18"/>
      <c r="N31" s="13"/>
      <c r="O31" s="1"/>
      <c r="P31" s="1" t="s">
        <v>44</v>
      </c>
      <c r="Q31" s="12" t="s">
        <v>53</v>
      </c>
      <c r="R31" s="1"/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Brive</v>
      </c>
      <c r="C32" s="3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Extérieur</v>
      </c>
      <c r="D32" s="52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32" s="45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32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32" s="34"/>
      <c r="H32" s="49"/>
      <c r="I32" s="50">
        <f ca="1">(castres[[#This Row],[Issue match]]="Victoire")*4 + (castres[[#This Row],[Issue match]]="Nul")*2 + castres[[#This Row],[Bonus off]] + castres[[#This Row],[Bonus déf]]</f>
        <v>0</v>
      </c>
      <c r="J32" s="1"/>
      <c r="K32" s="1"/>
      <c r="L32" s="1"/>
      <c r="M32" s="1"/>
    </row>
    <row r="33" spans="1:13">
      <c r="A33" s="40" t="s">
        <v>149</v>
      </c>
      <c r="B33" s="57" t="str">
        <f ca="1">CONCATENATE(
IFERROR( INDEX(INDIRECT("resultat!C"&amp;PRODUCT(7,MATCH(castres[[#This Row],[journée]],castres[journée],0)-1)+2&amp;":C"&amp;PRODUCT(7,MATCH(castres[[#This Row],[journée]],castres[journée],0))+1),
IFERROR(MATCH($A$1, INDIRECT("resultat!f"&amp;PRODUCT(7,MATCH(castres[[#This Row],[journée]],castres[journée],0)-1)+2&amp;":f"&amp;PRODUCT(7,MATCH(castres[[#This Row],[journée]],castres[journée],0))+1),0 ),""),0),""),
IFERROR( INDEX(INDIRECT("resultat!f"&amp;PRODUCT(7,MATCH(castres[[#This Row],[journée]],castres[journée],0)-1)+2&amp;":f"&amp;PRODUCT(7,MATCH(castres[[#This Row],[journée]],castres[journée],0))+1),
IFERROR(MATCH($A$1, INDIRECT("resultat!c"&amp;PRODUCT(7,MATCH(castres[[#This Row],[journée]],castres[journée],0)-1)+2&amp;":c"&amp;PRODUCT(7,MATCH(castres[[#This Row],[journée]],castres[journée],0))+1),0 ),""),0),"") )</f>
        <v>Toulon</v>
      </c>
      <c r="C33" s="58" t="str">
        <f ca="1">IF(AND(ISNA(MATCH($A$1,INDIRECT("resultat!f"&amp;PRODUCT(7,MATCH(castres[[#This Row],[journée]],castres[journée],0)-1)+2&amp;":f"&amp;PRODUCT(7,MATCH(castres[[#This Row],[journée]],castres[journée],0))+1),0)),
ISNA(MATCH($A$1,INDIRECT("resultat!c"&amp;PRODUCT(7,MATCH(castres[[#This Row],[journée]],castres[journée],0)-1)+2&amp;":c"&amp;PRODUCT(7,MATCH(castres[[#This Row],[journée]],castres[journée],0))+1),0))),"",IF(ISNA(MATCH($A$1,INDIRECT("resultat!f"&amp;PRODUCT(7,MATCH(castres[[#This Row],[journée]],castres[journée],0)-1)+2&amp;":f"&amp;PRODUCT(7,MATCH(castres[[#This Row],[journée]],castres[journée],0))+1),0)),
"Domicile","Extérieur"))</f>
        <v>Domicile</v>
      </c>
      <c r="D33" s="59" t="str">
        <f ca="1">IFERROR(  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$A$1, "Victoire",
IF( INDEX(INDIRECT("resultat!h"&amp;PRODUCT(7,MATCH(castres[[#This Row],[journée]],castres[journée],0)-1)+2&amp;":h"&amp;PRODUCT(7,MATCH(castres[[#This Row],[journée]],castres[journée],0))+1),
CONCATENATE(
IFERROR(MATCH( $A$1, INDIRECT("resultat!C"&amp;PRODUCT(7,MATCH(castres[[#This Row],[journée]],castres[journée],0)-1)+2&amp;":C"&amp;PRODUCT(7,MATCH(castres[[#This Row],[journée]],castres[journée],0))+1),0),""),
IFERROR(MATCH($A$1, INDIRECT("resultat!f"&amp;PRODUCT(7,MATCH(castres[[#This Row],[journée]],castres[journée],0)-1)+2&amp;":f"&amp;PRODUCT(7,MATCH(castres[[#This Row],[journée]],castres[journée],0))+1),0 ),"")),0) = "Nul", "Nul", "Défaite" )), "")</f>
        <v>Défaite</v>
      </c>
      <c r="E33" s="60">
        <f ca="1">SUMIFS(resultat[Score D],resultat[Journée],castres[[#This Row],[journée]],resultat[Domicile],castres[[#This Row],[adversaire]]) + SUMIFS(resultat[Score D],resultat[Journée],castres[[#This Row],[journée]],resultat[Exterieur],castres[[#This Row],[adversaire]])</f>
        <v>0</v>
      </c>
      <c r="F33" s="46">
        <f ca="1">SUMIFS(resultat[Score E],resultat[Journée],castres[[#This Row],[journée]],resultat[Domicile],castres[[#This Row],[adversaire]])  + SUMIFS(resultat[Score E],resultat[Journée],castres[[#This Row],[journée]],resultat[Exterieur],castres[[#This Row],[adversaire]])</f>
        <v>0</v>
      </c>
      <c r="G33" s="34"/>
      <c r="H33" s="49"/>
      <c r="I33" s="50">
        <f ca="1">(castres[[#This Row],[Issue match]]="Victoire")*4 + (castres[[#This Row],[Issue match]]="Nul")*2 + castres[[#This Row],[Bonus off]] + castres[[#This Row],[Bonus déf]]</f>
        <v>0</v>
      </c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18" t="str">
        <f>'Agen '!A35</f>
        <v>club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13">
      <c r="A36" s="74" t="s">
        <v>37</v>
      </c>
      <c r="B36" s="74" t="s">
        <v>14</v>
      </c>
      <c r="C36" s="48">
        <v>26</v>
      </c>
      <c r="D36" s="48">
        <v>9</v>
      </c>
      <c r="E36" s="48">
        <v>5</v>
      </c>
      <c r="F36" s="19">
        <f t="shared" ref="F36:F48" si="1">(D36+E36)/C36</f>
        <v>0.53846153846153844</v>
      </c>
      <c r="G36" s="48">
        <v>3</v>
      </c>
      <c r="H36" s="48">
        <v>7</v>
      </c>
      <c r="I36" s="19">
        <f t="shared" ref="I36:I48" si="2">(G36+H36)/C36</f>
        <v>0.38461538461538464</v>
      </c>
      <c r="J36" s="48">
        <v>2</v>
      </c>
      <c r="K36" s="21">
        <f t="shared" ref="K36:K48" si="3">100%-(F36+I36)</f>
        <v>7.6923076923076872E-2</v>
      </c>
      <c r="L36" s="11">
        <f t="shared" ref="L36:L48" si="4">SUM(F36+I36+K36)</f>
        <v>1</v>
      </c>
      <c r="M36" s="25"/>
    </row>
    <row r="37" spans="1:13">
      <c r="A37" s="74" t="s">
        <v>37</v>
      </c>
      <c r="B37" s="74" t="s">
        <v>23</v>
      </c>
      <c r="C37" s="48">
        <v>25</v>
      </c>
      <c r="D37" s="48">
        <v>11</v>
      </c>
      <c r="E37" s="48">
        <v>2</v>
      </c>
      <c r="F37" s="19">
        <f t="shared" si="1"/>
        <v>0.52</v>
      </c>
      <c r="G37" s="48">
        <v>1</v>
      </c>
      <c r="H37" s="48">
        <v>8</v>
      </c>
      <c r="I37" s="19">
        <f t="shared" si="2"/>
        <v>0.36</v>
      </c>
      <c r="J37" s="48">
        <v>3</v>
      </c>
      <c r="K37" s="21">
        <f t="shared" si="3"/>
        <v>0.12</v>
      </c>
      <c r="L37" s="11">
        <f t="shared" si="4"/>
        <v>1</v>
      </c>
    </row>
    <row r="38" spans="1:13">
      <c r="A38" s="74" t="s">
        <v>37</v>
      </c>
      <c r="B38" s="74" t="s">
        <v>24</v>
      </c>
      <c r="C38" s="48">
        <v>22</v>
      </c>
      <c r="D38" s="48">
        <v>7</v>
      </c>
      <c r="E38" s="48">
        <v>4</v>
      </c>
      <c r="F38" s="19">
        <f t="shared" si="1"/>
        <v>0.5</v>
      </c>
      <c r="G38" s="48">
        <v>3</v>
      </c>
      <c r="H38" s="48">
        <v>7</v>
      </c>
      <c r="I38" s="19">
        <f t="shared" si="2"/>
        <v>0.45454545454545453</v>
      </c>
      <c r="J38" s="48">
        <v>1</v>
      </c>
      <c r="K38" s="21">
        <f t="shared" si="3"/>
        <v>4.5454545454545414E-2</v>
      </c>
      <c r="L38" s="11">
        <f t="shared" si="4"/>
        <v>1</v>
      </c>
    </row>
    <row r="39" spans="1:13">
      <c r="A39" s="74" t="s">
        <v>37</v>
      </c>
      <c r="B39" s="74" t="s">
        <v>25</v>
      </c>
      <c r="C39" s="48">
        <v>29</v>
      </c>
      <c r="D39" s="48">
        <v>14</v>
      </c>
      <c r="E39" s="48">
        <v>2</v>
      </c>
      <c r="F39" s="19">
        <f t="shared" si="1"/>
        <v>0.55172413793103448</v>
      </c>
      <c r="G39" s="48">
        <v>0</v>
      </c>
      <c r="H39" s="48">
        <v>11</v>
      </c>
      <c r="I39" s="19">
        <f t="shared" si="2"/>
        <v>0.37931034482758619</v>
      </c>
      <c r="J39" s="48">
        <v>2</v>
      </c>
      <c r="K39" s="21">
        <f t="shared" si="3"/>
        <v>6.8965517241379337E-2</v>
      </c>
      <c r="L39" s="11">
        <f t="shared" si="4"/>
        <v>1</v>
      </c>
    </row>
    <row r="40" spans="1:13">
      <c r="A40" s="74" t="s">
        <v>37</v>
      </c>
      <c r="B40" s="74" t="s">
        <v>26</v>
      </c>
      <c r="C40" s="48">
        <v>39</v>
      </c>
      <c r="D40" s="48">
        <v>15</v>
      </c>
      <c r="E40" s="48">
        <v>6</v>
      </c>
      <c r="F40" s="19">
        <f t="shared" si="1"/>
        <v>0.53846153846153844</v>
      </c>
      <c r="G40" s="48">
        <v>1</v>
      </c>
      <c r="H40" s="48">
        <v>15</v>
      </c>
      <c r="I40" s="19">
        <f t="shared" si="2"/>
        <v>0.41025641025641024</v>
      </c>
      <c r="J40" s="48">
        <v>3</v>
      </c>
      <c r="K40" s="21">
        <f t="shared" si="3"/>
        <v>5.1282051282051322E-2</v>
      </c>
      <c r="L40" s="11">
        <f t="shared" si="4"/>
        <v>1</v>
      </c>
    </row>
    <row r="41" spans="1:13">
      <c r="A41" s="74" t="s">
        <v>37</v>
      </c>
      <c r="B41" s="74" t="s">
        <v>27</v>
      </c>
      <c r="C41" s="48">
        <v>16</v>
      </c>
      <c r="D41" s="48">
        <v>5</v>
      </c>
      <c r="E41" s="48">
        <v>1</v>
      </c>
      <c r="F41" s="19">
        <f t="shared" si="1"/>
        <v>0.375</v>
      </c>
      <c r="G41" s="48">
        <v>2</v>
      </c>
      <c r="H41" s="48">
        <v>7</v>
      </c>
      <c r="I41" s="19">
        <f t="shared" si="2"/>
        <v>0.5625</v>
      </c>
      <c r="J41" s="48">
        <v>1</v>
      </c>
      <c r="K41" s="21">
        <f t="shared" si="3"/>
        <v>6.25E-2</v>
      </c>
      <c r="L41" s="11">
        <f t="shared" si="4"/>
        <v>1</v>
      </c>
    </row>
    <row r="42" spans="1:13">
      <c r="A42" s="74" t="s">
        <v>37</v>
      </c>
      <c r="B42" s="74" t="s">
        <v>28</v>
      </c>
      <c r="C42" s="48">
        <v>11</v>
      </c>
      <c r="D42" s="48">
        <v>4</v>
      </c>
      <c r="E42" s="48">
        <v>3</v>
      </c>
      <c r="F42" s="19">
        <f t="shared" si="1"/>
        <v>0.63636363636363635</v>
      </c>
      <c r="G42" s="48">
        <v>1</v>
      </c>
      <c r="H42" s="48">
        <v>2</v>
      </c>
      <c r="I42" s="19">
        <f t="shared" si="2"/>
        <v>0.27272727272727271</v>
      </c>
      <c r="J42" s="48">
        <v>1</v>
      </c>
      <c r="K42" s="21">
        <f t="shared" si="3"/>
        <v>9.0909090909090939E-2</v>
      </c>
      <c r="L42" s="11">
        <f t="shared" si="4"/>
        <v>1</v>
      </c>
    </row>
    <row r="43" spans="1:13">
      <c r="A43" s="74" t="s">
        <v>37</v>
      </c>
      <c r="B43" s="74" t="s">
        <v>29</v>
      </c>
      <c r="C43" s="48">
        <v>39</v>
      </c>
      <c r="D43" s="48">
        <v>15</v>
      </c>
      <c r="E43" s="48">
        <v>8</v>
      </c>
      <c r="F43" s="19">
        <f t="shared" si="1"/>
        <v>0.58974358974358976</v>
      </c>
      <c r="G43" s="48">
        <v>5</v>
      </c>
      <c r="H43" s="48">
        <v>11</v>
      </c>
      <c r="I43" s="19">
        <f t="shared" si="2"/>
        <v>0.41025641025641024</v>
      </c>
      <c r="J43" s="48"/>
      <c r="K43" s="21">
        <f t="shared" si="3"/>
        <v>0</v>
      </c>
      <c r="L43" s="11">
        <f t="shared" si="4"/>
        <v>1</v>
      </c>
    </row>
    <row r="44" spans="1:13">
      <c r="A44" s="74" t="s">
        <v>37</v>
      </c>
      <c r="B44" s="74" t="s">
        <v>30</v>
      </c>
      <c r="C44" s="48">
        <v>36</v>
      </c>
      <c r="D44" s="48">
        <v>10</v>
      </c>
      <c r="E44" s="48">
        <v>0</v>
      </c>
      <c r="F44" s="19">
        <f t="shared" si="1"/>
        <v>0.27777777777777779</v>
      </c>
      <c r="G44" s="48">
        <v>8</v>
      </c>
      <c r="H44" s="48">
        <v>16</v>
      </c>
      <c r="I44" s="19">
        <f t="shared" si="2"/>
        <v>0.66666666666666663</v>
      </c>
      <c r="J44" s="48">
        <v>2</v>
      </c>
      <c r="K44" s="21">
        <f t="shared" si="3"/>
        <v>5.555555555555558E-2</v>
      </c>
      <c r="L44" s="11">
        <f t="shared" si="4"/>
        <v>1</v>
      </c>
    </row>
    <row r="45" spans="1:13">
      <c r="A45" s="74" t="s">
        <v>37</v>
      </c>
      <c r="B45" s="74" t="s">
        <v>31</v>
      </c>
      <c r="C45" s="48">
        <v>20</v>
      </c>
      <c r="D45" s="48">
        <v>9</v>
      </c>
      <c r="E45" s="48">
        <v>3</v>
      </c>
      <c r="F45" s="19">
        <f t="shared" si="1"/>
        <v>0.6</v>
      </c>
      <c r="G45" s="48">
        <v>1</v>
      </c>
      <c r="H45" s="48">
        <v>6</v>
      </c>
      <c r="I45" s="19">
        <f t="shared" si="2"/>
        <v>0.35</v>
      </c>
      <c r="J45" s="48">
        <v>1</v>
      </c>
      <c r="K45" s="21">
        <f t="shared" si="3"/>
        <v>5.0000000000000044E-2</v>
      </c>
      <c r="L45" s="11">
        <f t="shared" si="4"/>
        <v>1</v>
      </c>
    </row>
    <row r="46" spans="1:13">
      <c r="A46" s="74" t="s">
        <v>37</v>
      </c>
      <c r="B46" s="74" t="s">
        <v>32</v>
      </c>
      <c r="C46" s="48">
        <v>25</v>
      </c>
      <c r="D46" s="48">
        <v>8</v>
      </c>
      <c r="E46" s="48">
        <v>2</v>
      </c>
      <c r="F46" s="19">
        <f t="shared" si="1"/>
        <v>0.4</v>
      </c>
      <c r="G46" s="48">
        <v>4</v>
      </c>
      <c r="H46" s="48">
        <v>10</v>
      </c>
      <c r="I46" s="19">
        <f t="shared" si="2"/>
        <v>0.56000000000000005</v>
      </c>
      <c r="J46" s="48">
        <v>1</v>
      </c>
      <c r="K46" s="21">
        <f t="shared" si="3"/>
        <v>3.9999999999999925E-2</v>
      </c>
      <c r="L46" s="11">
        <f t="shared" si="4"/>
        <v>1</v>
      </c>
    </row>
    <row r="47" spans="1:13">
      <c r="A47" s="74" t="s">
        <v>37</v>
      </c>
      <c r="B47" s="74" t="s">
        <v>15</v>
      </c>
      <c r="C47" s="27">
        <v>30</v>
      </c>
      <c r="D47" s="27">
        <v>10</v>
      </c>
      <c r="E47" s="27">
        <v>3</v>
      </c>
      <c r="F47" s="19">
        <f>(D47+E47)/C47</f>
        <v>0.43333333333333335</v>
      </c>
      <c r="G47" s="27">
        <v>2</v>
      </c>
      <c r="H47" s="27">
        <v>14</v>
      </c>
      <c r="I47" s="19">
        <f t="shared" si="2"/>
        <v>0.53333333333333333</v>
      </c>
      <c r="J47" s="27">
        <v>1</v>
      </c>
      <c r="K47" s="21">
        <f t="shared" si="3"/>
        <v>3.3333333333333326E-2</v>
      </c>
      <c r="L47" s="11">
        <f t="shared" si="4"/>
        <v>1</v>
      </c>
    </row>
    <row r="48" spans="1:13">
      <c r="A48" s="74" t="s">
        <v>37</v>
      </c>
      <c r="B48" s="74" t="s">
        <v>33</v>
      </c>
      <c r="C48" s="27">
        <v>34</v>
      </c>
      <c r="D48" s="27">
        <v>8</v>
      </c>
      <c r="E48" s="27">
        <v>3</v>
      </c>
      <c r="F48" s="19">
        <f t="shared" si="1"/>
        <v>0.3235294117647059</v>
      </c>
      <c r="G48" s="27">
        <v>7</v>
      </c>
      <c r="H48" s="27">
        <v>16</v>
      </c>
      <c r="I48" s="19">
        <f t="shared" si="2"/>
        <v>0.67647058823529416</v>
      </c>
      <c r="J48" s="27"/>
      <c r="K48" s="21">
        <f t="shared" si="3"/>
        <v>0</v>
      </c>
      <c r="L48" s="11">
        <f t="shared" si="4"/>
        <v>1</v>
      </c>
    </row>
    <row r="50" spans="1:12">
      <c r="A50" s="92" t="s">
        <v>166</v>
      </c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37</v>
      </c>
      <c r="B52" s="91" t="s">
        <v>14</v>
      </c>
      <c r="C52" s="109">
        <f>COUNTIFS(Castres1[adversaire],B52)</f>
        <v>0</v>
      </c>
      <c r="D52" s="110">
        <f>COUNTIFS(Castres1[adversaire],B52,Castres1[Lieu Match],"domicile",Castres1[Issue match],"victoire")</f>
        <v>0</v>
      </c>
      <c r="E52" s="110">
        <f>COUNTIFS(Castres1[adversaire],B52,Castres1[Lieu Match],"Extérieur",Castres1[Issue match],"victoire")</f>
        <v>0</v>
      </c>
      <c r="F52" s="111" t="e">
        <f t="shared" ref="F52" si="5">(D52+E52)/C52</f>
        <v>#DIV/0!</v>
      </c>
      <c r="G52" s="112">
        <f>COUNTIFS(Castres1[adversaire],B52,Castres1[Lieu Match],"domicile",Castres1[Issue match],"défaite")</f>
        <v>0</v>
      </c>
      <c r="H52" s="113">
        <f>COUNTIFS(Castres1[adversaire],B52,Castres1[Lieu Match],"Extérieur",Castres1[Issue match],"défaite")</f>
        <v>0</v>
      </c>
      <c r="I52" s="114" t="e">
        <f>(G52+H52)/C52</f>
        <v>#DIV/0!</v>
      </c>
      <c r="J52" s="115">
        <f>COUNTIFS(Castres1[adversaire],B52,Castres1[Lieu Match],"Domicile",Castres1[Issue match],"Nul")+COUNTIFS(Castres1[adversaire],B52,Castres1[Lieu Match],"Extérieur",Castres1[Issue match],"Nul")</f>
        <v>0</v>
      </c>
      <c r="K52" s="116" t="e">
        <f>100%-(F52+I52)</f>
        <v>#DIV/0!</v>
      </c>
      <c r="L52" s="117" t="e">
        <f>SUM(F52+I52+K52)</f>
        <v>#DIV/0!</v>
      </c>
    </row>
    <row r="53" spans="1:12">
      <c r="A53" s="90" t="s">
        <v>37</v>
      </c>
      <c r="B53" s="91" t="s">
        <v>23</v>
      </c>
      <c r="C53" s="109">
        <f>COUNTIFS(Castres1[adversaire],B53)</f>
        <v>0</v>
      </c>
      <c r="D53" s="110">
        <f>COUNTIFS(Castres1[adversaire],B53,Castres1[Lieu Match],"domicile",Castres1[Issue match],"victoire")</f>
        <v>0</v>
      </c>
      <c r="E53" s="110">
        <f>COUNTIFS(Castres1[adversaire],B53,Castres1[Lieu Match],"Extérieur",Castres1[Issue match],"victoire")</f>
        <v>0</v>
      </c>
      <c r="F53" s="111" t="e">
        <f t="shared" ref="F53:F64" si="6">(D53+E53)/C53</f>
        <v>#DIV/0!</v>
      </c>
      <c r="G53" s="112">
        <f>COUNTIFS(Castres1[adversaire],B53,Castres1[Lieu Match],"domicile",Castres1[Issue match],"défaite")</f>
        <v>0</v>
      </c>
      <c r="H53" s="113">
        <f>COUNTIFS(Castres1[adversaire],B53,Castres1[Lieu Match],"Extérieur",Castres1[Issue match],"défaite")</f>
        <v>0</v>
      </c>
      <c r="I53" s="114" t="e">
        <f t="shared" ref="I53:I64" si="7">(G53+H53)/C53</f>
        <v>#DIV/0!</v>
      </c>
      <c r="J53" s="115">
        <f>COUNTIFS(Castres1[adversaire],B53,Castres1[Lieu Match],"Domicile",Castres1[Issue match],"Nul")+COUNTIFS(Castres1[adversaire],B53,Castres1[Lieu Match],"Extérieur",Castres1[Issue match],"Nul")</f>
        <v>0</v>
      </c>
      <c r="K53" s="116" t="e">
        <f t="shared" ref="K53:K64" si="8">100%-(F53+I53)</f>
        <v>#DIV/0!</v>
      </c>
      <c r="L53" s="117" t="e">
        <f t="shared" ref="L53:L64" si="9">SUM(F53+I53+K53)</f>
        <v>#DIV/0!</v>
      </c>
    </row>
    <row r="54" spans="1:12">
      <c r="A54" s="90" t="s">
        <v>37</v>
      </c>
      <c r="B54" s="91" t="s">
        <v>24</v>
      </c>
      <c r="C54" s="109">
        <f>COUNTIFS(Castres1[adversaire],B54)</f>
        <v>0</v>
      </c>
      <c r="D54" s="110">
        <f>COUNTIFS(Castres1[adversaire],B54,Castres1[Lieu Match],"domicile",Castres1[Issue match],"victoire")</f>
        <v>0</v>
      </c>
      <c r="E54" s="110">
        <f>COUNTIFS(Castres1[adversaire],B54,Castres1[Lieu Match],"Extérieur",Castres1[Issue match],"victoire")</f>
        <v>0</v>
      </c>
      <c r="F54" s="111" t="e">
        <f t="shared" si="6"/>
        <v>#DIV/0!</v>
      </c>
      <c r="G54" s="112">
        <f>COUNTIFS(Castres1[adversaire],B54,Castres1[Lieu Match],"domicile",Castres1[Issue match],"défaite")</f>
        <v>0</v>
      </c>
      <c r="H54" s="113">
        <f>COUNTIFS(Castres1[adversaire],B54,Castres1[Lieu Match],"Extérieur",Castres1[Issue match],"défaite")</f>
        <v>0</v>
      </c>
      <c r="I54" s="114" t="e">
        <f t="shared" si="7"/>
        <v>#DIV/0!</v>
      </c>
      <c r="J54" s="115">
        <f>COUNTIFS(Castres1[adversaire],B54,Castres1[Lieu Match],"Domicile",Castres1[Issue match],"Nul")+COUNTIFS(Castres1[adversaire],B54,Castres1[Lieu Match],"Extérieur",Castres1[Issue match],"Nul")</f>
        <v>0</v>
      </c>
      <c r="K54" s="116" t="e">
        <f t="shared" si="8"/>
        <v>#DIV/0!</v>
      </c>
      <c r="L54" s="117" t="e">
        <f t="shared" si="9"/>
        <v>#DIV/0!</v>
      </c>
    </row>
    <row r="55" spans="1:12">
      <c r="A55" s="90" t="s">
        <v>37</v>
      </c>
      <c r="B55" s="91" t="s">
        <v>25</v>
      </c>
      <c r="C55" s="109">
        <f>COUNTIFS(Castres1[adversaire],B55)</f>
        <v>0</v>
      </c>
      <c r="D55" s="110">
        <f>COUNTIFS(Castres1[adversaire],B55,Castres1[Lieu Match],"domicile",Castres1[Issue match],"victoire")</f>
        <v>0</v>
      </c>
      <c r="E55" s="110">
        <f>COUNTIFS(Castres1[adversaire],B55,Castres1[Lieu Match],"Extérieur",Castres1[Issue match],"victoire")</f>
        <v>0</v>
      </c>
      <c r="F55" s="111" t="e">
        <f t="shared" si="6"/>
        <v>#DIV/0!</v>
      </c>
      <c r="G55" s="112">
        <f>COUNTIFS(Castres1[adversaire],B55,Castres1[Lieu Match],"domicile",Castres1[Issue match],"défaite")</f>
        <v>0</v>
      </c>
      <c r="H55" s="113">
        <f>COUNTIFS(Castres1[adversaire],B55,Castres1[Lieu Match],"Extérieur",Castres1[Issue match],"défaite")</f>
        <v>0</v>
      </c>
      <c r="I55" s="114" t="e">
        <f t="shared" si="7"/>
        <v>#DIV/0!</v>
      </c>
      <c r="J55" s="115">
        <f>COUNTIFS(Castres1[adversaire],B55,Castres1[Lieu Match],"Domicile",Castres1[Issue match],"Nul")+COUNTIFS(Castres1[adversaire],B55,Castres1[Lieu Match],"Extérieur",Castres1[Issue match],"Nul")</f>
        <v>0</v>
      </c>
      <c r="K55" s="116" t="e">
        <f t="shared" si="8"/>
        <v>#DIV/0!</v>
      </c>
      <c r="L55" s="117" t="e">
        <f t="shared" si="9"/>
        <v>#DIV/0!</v>
      </c>
    </row>
    <row r="56" spans="1:12">
      <c r="A56" s="90" t="s">
        <v>37</v>
      </c>
      <c r="B56" s="91" t="s">
        <v>26</v>
      </c>
      <c r="C56" s="109">
        <f>COUNTIFS(Castres1[adversaire],B56)</f>
        <v>0</v>
      </c>
      <c r="D56" s="110">
        <f>COUNTIFS(Castres1[adversaire],B56,Castres1[Lieu Match],"domicile",Castres1[Issue match],"victoire")</f>
        <v>0</v>
      </c>
      <c r="E56" s="110">
        <f>COUNTIFS(Castres1[adversaire],B56,Castres1[Lieu Match],"Extérieur",Castres1[Issue match],"victoire")</f>
        <v>0</v>
      </c>
      <c r="F56" s="111" t="e">
        <f t="shared" si="6"/>
        <v>#DIV/0!</v>
      </c>
      <c r="G56" s="112">
        <f>COUNTIFS(Castres1[adversaire],B56,Castres1[Lieu Match],"domicile",Castres1[Issue match],"défaite")</f>
        <v>0</v>
      </c>
      <c r="H56" s="113">
        <f>COUNTIFS(Castres1[adversaire],B56,Castres1[Lieu Match],"Extérieur",Castres1[Issue match],"défaite")</f>
        <v>0</v>
      </c>
      <c r="I56" s="114" t="e">
        <f t="shared" si="7"/>
        <v>#DIV/0!</v>
      </c>
      <c r="J56" s="115">
        <f>COUNTIFS(Castres1[adversaire],B56,Castres1[Lieu Match],"Domicile",Castres1[Issue match],"Nul")+COUNTIFS(Castres1[adversaire],B56,Castres1[Lieu Match],"Extérieur",Castres1[Issue match],"Nul")</f>
        <v>0</v>
      </c>
      <c r="K56" s="116" t="e">
        <f t="shared" si="8"/>
        <v>#DIV/0!</v>
      </c>
      <c r="L56" s="117" t="e">
        <f t="shared" si="9"/>
        <v>#DIV/0!</v>
      </c>
    </row>
    <row r="57" spans="1:12">
      <c r="A57" s="90" t="s">
        <v>37</v>
      </c>
      <c r="B57" s="91" t="s">
        <v>27</v>
      </c>
      <c r="C57" s="109">
        <f>COUNTIFS(Castres1[adversaire],B57)</f>
        <v>0</v>
      </c>
      <c r="D57" s="110">
        <f>COUNTIFS(Castres1[adversaire],B57,Castres1[Lieu Match],"domicile",Castres1[Issue match],"victoire")</f>
        <v>0</v>
      </c>
      <c r="E57" s="110">
        <f>COUNTIFS(Castres1[adversaire],B57,Castres1[Lieu Match],"Extérieur",Castres1[Issue match],"victoire")</f>
        <v>0</v>
      </c>
      <c r="F57" s="111" t="e">
        <f t="shared" si="6"/>
        <v>#DIV/0!</v>
      </c>
      <c r="G57" s="112">
        <f>COUNTIFS(Castres1[adversaire],B57,Castres1[Lieu Match],"domicile",Castres1[Issue match],"défaite")</f>
        <v>0</v>
      </c>
      <c r="H57" s="113">
        <f>COUNTIFS(Castres1[adversaire],B57,Castres1[Lieu Match],"Extérieur",Castres1[Issue match],"défaite")</f>
        <v>0</v>
      </c>
      <c r="I57" s="114" t="e">
        <f t="shared" si="7"/>
        <v>#DIV/0!</v>
      </c>
      <c r="J57" s="115">
        <f>COUNTIFS(Castres1[adversaire],B57,Castres1[Lieu Match],"Domicile",Castres1[Issue match],"Nul")+COUNTIFS(Castres1[adversaire],B57,Castres1[Lieu Match],"Extérieur",Castres1[Issue match],"Nul")</f>
        <v>0</v>
      </c>
      <c r="K57" s="116" t="e">
        <f t="shared" si="8"/>
        <v>#DIV/0!</v>
      </c>
      <c r="L57" s="117" t="e">
        <f t="shared" si="9"/>
        <v>#DIV/0!</v>
      </c>
    </row>
    <row r="58" spans="1:12">
      <c r="A58" s="90" t="s">
        <v>37</v>
      </c>
      <c r="B58" s="91" t="s">
        <v>28</v>
      </c>
      <c r="C58" s="109">
        <f>COUNTIFS(Castres1[adversaire],B58)</f>
        <v>0</v>
      </c>
      <c r="D58" s="110">
        <f>COUNTIFS(Castres1[adversaire],B58,Castres1[Lieu Match],"domicile",Castres1[Issue match],"victoire")</f>
        <v>0</v>
      </c>
      <c r="E58" s="110">
        <f>COUNTIFS(Castres1[adversaire],B58,Castres1[Lieu Match],"Extérieur",Castres1[Issue match],"victoire")</f>
        <v>0</v>
      </c>
      <c r="F58" s="111" t="e">
        <f t="shared" si="6"/>
        <v>#DIV/0!</v>
      </c>
      <c r="G58" s="112">
        <f>COUNTIFS(Castres1[adversaire],B58,Castres1[Lieu Match],"domicile",Castres1[Issue match],"défaite")</f>
        <v>0</v>
      </c>
      <c r="H58" s="113">
        <f>COUNTIFS(Castres1[adversaire],B58,Castres1[Lieu Match],"Extérieur",Castres1[Issue match],"défaite")</f>
        <v>0</v>
      </c>
      <c r="I58" s="114" t="e">
        <f t="shared" si="7"/>
        <v>#DIV/0!</v>
      </c>
      <c r="J58" s="115">
        <f>COUNTIFS(Castres1[adversaire],B58,Castres1[Lieu Match],"Domicile",Castres1[Issue match],"Nul")+COUNTIFS(Castres1[adversaire],B58,Castres1[Lieu Match],"Extérieur",Castres1[Issue match],"Nul")</f>
        <v>0</v>
      </c>
      <c r="K58" s="116" t="e">
        <f t="shared" si="8"/>
        <v>#DIV/0!</v>
      </c>
      <c r="L58" s="117" t="e">
        <f t="shared" si="9"/>
        <v>#DIV/0!</v>
      </c>
    </row>
    <row r="59" spans="1:12">
      <c r="A59" s="90" t="s">
        <v>37</v>
      </c>
      <c r="B59" s="91" t="s">
        <v>29</v>
      </c>
      <c r="C59" s="109">
        <f>COUNTIFS(Castres1[adversaire],B59)</f>
        <v>0</v>
      </c>
      <c r="D59" s="110">
        <f>COUNTIFS(Castres1[adversaire],B59,Castres1[Lieu Match],"domicile",Castres1[Issue match],"victoire")</f>
        <v>0</v>
      </c>
      <c r="E59" s="110">
        <f>COUNTIFS(Castres1[adversaire],B59,Castres1[Lieu Match],"Extérieur",Castres1[Issue match],"victoire")</f>
        <v>0</v>
      </c>
      <c r="F59" s="111" t="e">
        <f t="shared" si="6"/>
        <v>#DIV/0!</v>
      </c>
      <c r="G59" s="112">
        <f>COUNTIFS(Castres1[adversaire],B59,Castres1[Lieu Match],"domicile",Castres1[Issue match],"défaite")</f>
        <v>0</v>
      </c>
      <c r="H59" s="113">
        <f>COUNTIFS(Castres1[adversaire],B59,Castres1[Lieu Match],"Extérieur",Castres1[Issue match],"défaite")</f>
        <v>0</v>
      </c>
      <c r="I59" s="114" t="e">
        <f t="shared" si="7"/>
        <v>#DIV/0!</v>
      </c>
      <c r="J59" s="115">
        <f>COUNTIFS(Castres1[adversaire],B59,Castres1[Lieu Match],"Domicile",Castres1[Issue match],"Nul")+COUNTIFS(Castres1[adversaire],B59,Castres1[Lieu Match],"Extérieur",Castres1[Issue match],"Nul")</f>
        <v>0</v>
      </c>
      <c r="K59" s="116" t="e">
        <f t="shared" si="8"/>
        <v>#DIV/0!</v>
      </c>
      <c r="L59" s="117" t="e">
        <f t="shared" si="9"/>
        <v>#DIV/0!</v>
      </c>
    </row>
    <row r="60" spans="1:12">
      <c r="A60" s="90" t="s">
        <v>37</v>
      </c>
      <c r="B60" s="91" t="s">
        <v>30</v>
      </c>
      <c r="C60" s="109">
        <f>COUNTIFS(Castres1[adversaire],B60)</f>
        <v>0</v>
      </c>
      <c r="D60" s="110">
        <f>COUNTIFS(Castres1[adversaire],B60,Castres1[Lieu Match],"domicile",Castres1[Issue match],"victoire")</f>
        <v>0</v>
      </c>
      <c r="E60" s="110">
        <f>COUNTIFS(Castres1[adversaire],B60,Castres1[Lieu Match],"Extérieur",Castres1[Issue match],"victoire")</f>
        <v>0</v>
      </c>
      <c r="F60" s="111" t="e">
        <f t="shared" si="6"/>
        <v>#DIV/0!</v>
      </c>
      <c r="G60" s="112">
        <f>COUNTIFS(Castres1[adversaire],B60,Castres1[Lieu Match],"domicile",Castres1[Issue match],"défaite")</f>
        <v>0</v>
      </c>
      <c r="H60" s="113">
        <f>COUNTIFS(Castres1[adversaire],B60,Castres1[Lieu Match],"Extérieur",Castres1[Issue match],"défaite")</f>
        <v>0</v>
      </c>
      <c r="I60" s="114" t="e">
        <f t="shared" si="7"/>
        <v>#DIV/0!</v>
      </c>
      <c r="J60" s="115">
        <f>COUNTIFS(Castres1[adversaire],B60,Castres1[Lieu Match],"Domicile",Castres1[Issue match],"Nul")+COUNTIFS(Castres1[adversaire],B60,Castres1[Lieu Match],"Extérieur",Castres1[Issue match],"Nul")</f>
        <v>0</v>
      </c>
      <c r="K60" s="116" t="e">
        <f t="shared" si="8"/>
        <v>#DIV/0!</v>
      </c>
      <c r="L60" s="117" t="e">
        <f t="shared" si="9"/>
        <v>#DIV/0!</v>
      </c>
    </row>
    <row r="61" spans="1:12">
      <c r="A61" s="90" t="s">
        <v>37</v>
      </c>
      <c r="B61" s="91" t="s">
        <v>31</v>
      </c>
      <c r="C61" s="109">
        <f>COUNTIFS(Castres1[adversaire],B61)</f>
        <v>0</v>
      </c>
      <c r="D61" s="110">
        <f>COUNTIFS(Castres1[adversaire],B61,Castres1[Lieu Match],"domicile",Castres1[Issue match],"victoire")</f>
        <v>0</v>
      </c>
      <c r="E61" s="110">
        <f>COUNTIFS(Castres1[adversaire],B61,Castres1[Lieu Match],"Extérieur",Castres1[Issue match],"victoire")</f>
        <v>0</v>
      </c>
      <c r="F61" s="111" t="e">
        <f t="shared" si="6"/>
        <v>#DIV/0!</v>
      </c>
      <c r="G61" s="112">
        <f>COUNTIFS(Castres1[adversaire],B61,Castres1[Lieu Match],"domicile",Castres1[Issue match],"défaite")</f>
        <v>0</v>
      </c>
      <c r="H61" s="113">
        <f>COUNTIFS(Castres1[adversaire],B61,Castres1[Lieu Match],"Extérieur",Castres1[Issue match],"défaite")</f>
        <v>0</v>
      </c>
      <c r="I61" s="114" t="e">
        <f t="shared" si="7"/>
        <v>#DIV/0!</v>
      </c>
      <c r="J61" s="115">
        <f>COUNTIFS(Castres1[adversaire],B61,Castres1[Lieu Match],"Domicile",Castres1[Issue match],"Nul")+COUNTIFS(Castres1[adversaire],B61,Castres1[Lieu Match],"Extérieur",Castres1[Issue match],"Nul")</f>
        <v>0</v>
      </c>
      <c r="K61" s="116" t="e">
        <f t="shared" si="8"/>
        <v>#DIV/0!</v>
      </c>
      <c r="L61" s="117" t="e">
        <f t="shared" si="9"/>
        <v>#DIV/0!</v>
      </c>
    </row>
    <row r="62" spans="1:12">
      <c r="A62" s="90" t="s">
        <v>37</v>
      </c>
      <c r="B62" s="91" t="s">
        <v>32</v>
      </c>
      <c r="C62" s="109">
        <f>COUNTIFS(Castres1[adversaire],B62)</f>
        <v>0</v>
      </c>
      <c r="D62" s="110">
        <f>COUNTIFS(Castres1[adversaire],B62,Castres1[Lieu Match],"domicile",Castres1[Issue match],"victoire")</f>
        <v>0</v>
      </c>
      <c r="E62" s="110">
        <f>COUNTIFS(Castres1[adversaire],B62,Castres1[Lieu Match],"Extérieur",Castres1[Issue match],"victoire")</f>
        <v>0</v>
      </c>
      <c r="F62" s="111" t="e">
        <f t="shared" si="6"/>
        <v>#DIV/0!</v>
      </c>
      <c r="G62" s="112">
        <f>COUNTIFS(Castres1[adversaire],B62,Castres1[Lieu Match],"domicile",Castres1[Issue match],"défaite")</f>
        <v>0</v>
      </c>
      <c r="H62" s="113">
        <f>COUNTIFS(Castres1[adversaire],B62,Castres1[Lieu Match],"Extérieur",Castres1[Issue match],"défaite")</f>
        <v>0</v>
      </c>
      <c r="I62" s="114" t="e">
        <f t="shared" si="7"/>
        <v>#DIV/0!</v>
      </c>
      <c r="J62" s="115">
        <f>COUNTIFS(Castres1[adversaire],B62,Castres1[Lieu Match],"Domicile",Castres1[Issue match],"Nul")+COUNTIFS(Castres1[adversaire],B62,Castres1[Lieu Match],"Extérieur",Castres1[Issue match],"Nul")</f>
        <v>0</v>
      </c>
      <c r="K62" s="116" t="e">
        <f t="shared" si="8"/>
        <v>#DIV/0!</v>
      </c>
      <c r="L62" s="117" t="e">
        <f t="shared" si="9"/>
        <v>#DIV/0!</v>
      </c>
    </row>
    <row r="63" spans="1:12">
      <c r="A63" s="90" t="s">
        <v>37</v>
      </c>
      <c r="B63" s="91" t="s">
        <v>15</v>
      </c>
      <c r="C63" s="109">
        <f>COUNTIFS(Castres1[adversaire],B63)</f>
        <v>0</v>
      </c>
      <c r="D63" s="110">
        <f>COUNTIFS(Castres1[adversaire],B63,Castres1[Lieu Match],"domicile",Castres1[Issue match],"victoire")</f>
        <v>0</v>
      </c>
      <c r="E63" s="110">
        <f>COUNTIFS(Castres1[adversaire],B63,Castres1[Lieu Match],"Extérieur",Castres1[Issue match],"victoire")</f>
        <v>0</v>
      </c>
      <c r="F63" s="111" t="e">
        <f t="shared" si="6"/>
        <v>#DIV/0!</v>
      </c>
      <c r="G63" s="112">
        <f>COUNTIFS(Castres1[adversaire],B63,Castres1[Lieu Match],"domicile",Castres1[Issue match],"défaite")</f>
        <v>0</v>
      </c>
      <c r="H63" s="113">
        <f>COUNTIFS(Castres1[adversaire],B63,Castres1[Lieu Match],"Extérieur",Castres1[Issue match],"défaite")</f>
        <v>0</v>
      </c>
      <c r="I63" s="114" t="e">
        <f t="shared" si="7"/>
        <v>#DIV/0!</v>
      </c>
      <c r="J63" s="115">
        <f>COUNTIFS(Castres1[adversaire],B63,Castres1[Lieu Match],"Domicile",Castres1[Issue match],"Nul")+COUNTIFS(Castres1[adversaire],B63,Castres1[Lieu Match],"Extérieur",Castres1[Issue match],"Nul")</f>
        <v>0</v>
      </c>
      <c r="K63" s="116" t="e">
        <f t="shared" si="8"/>
        <v>#DIV/0!</v>
      </c>
      <c r="L63" s="117" t="e">
        <f t="shared" si="9"/>
        <v>#DIV/0!</v>
      </c>
    </row>
    <row r="64" spans="1:12">
      <c r="A64" s="90" t="s">
        <v>37</v>
      </c>
      <c r="B64" s="91" t="s">
        <v>33</v>
      </c>
      <c r="C64" s="109">
        <f>COUNTIFS(Castres1[adversaire],B64)</f>
        <v>0</v>
      </c>
      <c r="D64" s="110">
        <f>COUNTIFS(Castres1[adversaire],B64,Castres1[Lieu Match],"domicile",Castres1[Issue match],"victoire")</f>
        <v>0</v>
      </c>
      <c r="E64" s="110">
        <f>COUNTIFS(Castres1[adversaire],B64,Castres1[Lieu Match],"Extérieur",Castres1[Issue match],"victoire")</f>
        <v>0</v>
      </c>
      <c r="F64" s="111" t="e">
        <f t="shared" si="6"/>
        <v>#DIV/0!</v>
      </c>
      <c r="G64" s="112">
        <f>COUNTIFS(Castres1[adversaire],B64,Castres1[Lieu Match],"domicile",Castres1[Issue match],"défaite")</f>
        <v>0</v>
      </c>
      <c r="H64" s="113">
        <f>COUNTIFS(Castres1[adversaire],B64,Castres1[Lieu Match],"Extérieur",Castres1[Issue match],"défaite")</f>
        <v>0</v>
      </c>
      <c r="I64" s="114" t="e">
        <f t="shared" si="7"/>
        <v>#DIV/0!</v>
      </c>
      <c r="J64" s="115">
        <f>COUNTIFS(Castres1[adversaire],B64,Castres1[Lieu Match],"Domicile",Castres1[Issue match],"Nul")+COUNTIFS(Castres1[adversaire],B64,Castres1[Lieu Match],"Extérieur",Castres1[Issue match],"Nul")</f>
        <v>0</v>
      </c>
      <c r="K64" s="116" t="e">
        <f t="shared" si="8"/>
        <v>#DIV/0!</v>
      </c>
      <c r="L64" s="117" t="e">
        <f t="shared" si="9"/>
        <v>#DIV/0!</v>
      </c>
    </row>
  </sheetData>
  <mergeCells count="7">
    <mergeCell ref="Q1:S1"/>
    <mergeCell ref="Q9:S9"/>
    <mergeCell ref="A35:B35"/>
    <mergeCell ref="A1:A2"/>
    <mergeCell ref="B1:E1"/>
    <mergeCell ref="L1:N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V64"/>
  <sheetViews>
    <sheetView zoomScale="85" zoomScaleNormal="85" zoomScalePageLayoutView="85" workbookViewId="0">
      <selection activeCell="H14" sqref="H14"/>
    </sheetView>
  </sheetViews>
  <sheetFormatPr baseColWidth="10" defaultColWidth="10.5" defaultRowHeight="14" x14ac:dyDescent="0"/>
  <cols>
    <col min="1" max="1" width="13.33203125" bestFit="1" customWidth="1"/>
    <col min="2" max="4" width="13.1640625" bestFit="1" customWidth="1"/>
    <col min="5" max="5" width="12.5" customWidth="1"/>
    <col min="6" max="6" width="9.5" bestFit="1" customWidth="1"/>
    <col min="7" max="7" width="14.5" bestFit="1" customWidth="1"/>
    <col min="8" max="8" width="9.83203125" bestFit="1" customWidth="1"/>
    <col min="9" max="9" width="9.5" bestFit="1" customWidth="1"/>
    <col min="10" max="10" width="3.5" bestFit="1" customWidth="1"/>
    <col min="11" max="11" width="14.33203125" bestFit="1" customWidth="1"/>
    <col min="12" max="12" width="9.5" bestFit="1" customWidth="1"/>
    <col min="13" max="13" width="12.1640625" bestFit="1" customWidth="1"/>
    <col min="16" max="16" width="14.33203125" bestFit="1" customWidth="1"/>
  </cols>
  <sheetData>
    <row r="1" spans="1:22">
      <c r="A1" s="121" t="s">
        <v>45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  <c r="V1" s="1"/>
    </row>
    <row r="2" spans="1:22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SUMIFS(clermont[Score D],clermont[Lieu Match],"domicile")</f>
        <v>155</v>
      </c>
      <c r="M2" s="72">
        <f ca="1">SUMIFS(clermont[Score E],clermont[Lieu Match],"domicile")</f>
        <v>88</v>
      </c>
      <c r="N2" s="72">
        <f ca="1">L2-M2</f>
        <v>67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  <c r="V2" s="1"/>
    </row>
    <row r="3" spans="1:22">
      <c r="A3" s="10" t="s">
        <v>2</v>
      </c>
      <c r="B3" s="15">
        <f ca="1">COUNTIF(clermont[Lieu Match],"domicile")</f>
        <v>13</v>
      </c>
      <c r="C3" s="63">
        <f ca="1">COUNTIFS(clermont[Issue match],"victoire",clermont[Lieu Match],"domicile")</f>
        <v>4</v>
      </c>
      <c r="D3" s="63">
        <f ca="1">COUNTIFS(clermont[Issue match],"nul",clermont[Lieu Match],"domicile")</f>
        <v>0</v>
      </c>
      <c r="E3" s="63">
        <f ca="1">COUNTIFS(clermont[Issue match],"défaite",clermont[Lieu Match],"domicile")</f>
        <v>9</v>
      </c>
      <c r="F3" s="77">
        <f ca="1">C3+E3+D3-D3</f>
        <v>13</v>
      </c>
      <c r="G3" s="6" t="s">
        <v>45</v>
      </c>
      <c r="H3" s="7" t="s">
        <v>50</v>
      </c>
      <c r="K3" s="10" t="s">
        <v>9</v>
      </c>
      <c r="L3" s="18">
        <f ca="1">L2/F3</f>
        <v>11.923076923076923</v>
      </c>
      <c r="M3" s="18">
        <f ca="1">M2/F3</f>
        <v>6.7692307692307692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  <c r="V3" s="1"/>
    </row>
    <row r="4" spans="1:22">
      <c r="A4" s="10" t="s">
        <v>3</v>
      </c>
      <c r="B4" s="15">
        <f ca="1">COUNTIF(clermont[Lieu Match],"extérieur")</f>
        <v>13</v>
      </c>
      <c r="C4" s="63">
        <f ca="1">COUNTIFS(clermont[Issue match],"victoire",clermont[Lieu Match],"extérieur")</f>
        <v>1</v>
      </c>
      <c r="D4" s="63">
        <f ca="1">COUNTIFS(clermont[Issue match],"nul",clermont[Lieu Match],"extérieur")</f>
        <v>0</v>
      </c>
      <c r="E4" s="63">
        <f ca="1">COUNTIFS(clermont[Issue match],"défaite",clermont[Lieu Match],"extérieur")</f>
        <v>12</v>
      </c>
      <c r="F4" s="77">
        <f ca="1">C4+E4+D4-D4</f>
        <v>13</v>
      </c>
      <c r="G4" s="8">
        <f t="array" ref="G4">INDEX($C$36:$L$48,MATCH(1,($A$36:$A$48=$A$1)*($B$36:$B$48=$H$3),0),4)</f>
        <v>0.66666666666666663</v>
      </c>
      <c r="H4" s="8">
        <f t="array" ref="H4">INDEX($C$36:$L$48,MATCH(1,($A$36:$A$48=$G$3)*($B$36:$B$48=$H$3),0),7)</f>
        <v>0.33333333333333331</v>
      </c>
      <c r="K4" s="10" t="s">
        <v>8</v>
      </c>
      <c r="L4" s="72">
        <f ca="1">SUMIFS(clermont[Score D],clermont[Lieu Match],"extérieur")</f>
        <v>42</v>
      </c>
      <c r="M4" s="72">
        <f ca="1">SUMIFS(clermont[Score E],clermont[Lieu Match],"extérieur")</f>
        <v>62</v>
      </c>
      <c r="N4" s="13">
        <f ca="1">L4-M4</f>
        <v>-20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  <c r="V4" s="1"/>
    </row>
    <row r="5" spans="1:22">
      <c r="A5" s="10" t="s">
        <v>36</v>
      </c>
      <c r="B5" s="15">
        <f ca="1">B3+B4</f>
        <v>26</v>
      </c>
      <c r="C5" s="15">
        <f t="shared" ref="C5:E5" ca="1" si="0">C3+C4</f>
        <v>5</v>
      </c>
      <c r="D5" s="15">
        <f t="shared" ca="1" si="0"/>
        <v>0</v>
      </c>
      <c r="E5" s="15">
        <f t="shared" ca="1" si="0"/>
        <v>21</v>
      </c>
      <c r="F5" s="77">
        <f ca="1">C5+E5+D5-D5</f>
        <v>26</v>
      </c>
      <c r="G5" s="9">
        <f>100/G4/100</f>
        <v>1.5</v>
      </c>
      <c r="H5" s="9">
        <f>100/H4/100</f>
        <v>3</v>
      </c>
      <c r="K5" s="10" t="s">
        <v>9</v>
      </c>
      <c r="L5" s="18">
        <f ca="1">L4/F4</f>
        <v>3.2307692307692308</v>
      </c>
      <c r="M5" s="18">
        <f ca="1">M4/F4</f>
        <v>4.7692307692307692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  <c r="V5" s="1"/>
    </row>
    <row r="6" spans="1:22">
      <c r="A6" s="1"/>
      <c r="B6" s="1"/>
      <c r="C6" s="1"/>
      <c r="D6" s="1"/>
      <c r="E6" s="1"/>
      <c r="F6" s="1"/>
      <c r="K6" s="10" t="s">
        <v>10</v>
      </c>
      <c r="L6" s="13">
        <f ca="1">L2+M4</f>
        <v>217</v>
      </c>
      <c r="M6" s="13">
        <f ca="1">M2+L4</f>
        <v>130</v>
      </c>
      <c r="N6" s="13">
        <f ca="1">L6-M6</f>
        <v>87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  <c r="V6" s="1"/>
    </row>
    <row r="7" spans="1:22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8.3461538461538467</v>
      </c>
      <c r="M7" s="18">
        <f ca="1">M6/F5</f>
        <v>5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</row>
    <row r="8" spans="1:22">
      <c r="A8" s="39" t="s">
        <v>124</v>
      </c>
      <c r="B8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Toulouse</v>
      </c>
      <c r="C8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8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Victoire</v>
      </c>
      <c r="E8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33</v>
      </c>
      <c r="F8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30</v>
      </c>
      <c r="G8" s="34">
        <v>0</v>
      </c>
      <c r="H8" s="49">
        <v>0</v>
      </c>
      <c r="I8" s="50">
        <f ca="1">(clermont[[#This Row],[Issue match]]="Victoire")*4 + (clermont[[#This Row],[Issue match]]="Nul")*2 + clermont[[#This Row],[Bonus off]] + clermont[[#This Row],[Bonus déf]]</f>
        <v>4</v>
      </c>
      <c r="K8" s="1"/>
      <c r="L8" s="1"/>
      <c r="M8" s="1"/>
      <c r="N8" s="1"/>
      <c r="O8" s="1"/>
      <c r="P8" s="1"/>
      <c r="Q8" s="1"/>
      <c r="R8" s="1"/>
      <c r="S8" s="1"/>
    </row>
    <row r="9" spans="1:22">
      <c r="A9" s="39" t="s">
        <v>125</v>
      </c>
      <c r="B9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Bayonne</v>
      </c>
      <c r="C9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9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9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21</v>
      </c>
      <c r="F9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19</v>
      </c>
      <c r="G9" s="34">
        <v>0</v>
      </c>
      <c r="H9" s="49">
        <v>1</v>
      </c>
      <c r="I9" s="50">
        <f ca="1">(clermont[[#This Row],[Issue match]]="Victoire")*4 + (clermont[[#This Row],[Issue match]]="Nul")*2 + clermont[[#This Row],[Bonus off]] + clermont[[#This Row],[Bonus déf]]</f>
        <v>1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2">
      <c r="A10" s="39" t="s">
        <v>126</v>
      </c>
      <c r="B10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Agen</v>
      </c>
      <c r="C10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10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Victoire</v>
      </c>
      <c r="E10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31</v>
      </c>
      <c r="F10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12</v>
      </c>
      <c r="G10" s="34">
        <v>0</v>
      </c>
      <c r="H10" s="49">
        <v>0</v>
      </c>
      <c r="I10" s="50">
        <f ca="1">(clermont[[#This Row],[Issue match]]="Victoire")*4 + (clermont[[#This Row],[Issue match]]="Nul")*2 + clermont[[#This Row],[Bonus off]] + clermont[[#This Row],[Bonus déf]]</f>
        <v>4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2">
      <c r="A11" s="39" t="s">
        <v>127</v>
      </c>
      <c r="B11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Bordeaux</v>
      </c>
      <c r="C11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11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11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11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11" s="34"/>
      <c r="H11" s="49"/>
      <c r="I11" s="50">
        <f ca="1">(clermont[[#This Row],[Issue match]]="Victoire")*4 + (clermont[[#This Row],[Issue match]]="Nul")*2 + clermont[[#This Row],[Bonus off]] + clermont[[#This Row],[Bonus déf]]</f>
        <v>0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2">
      <c r="A12" s="39" t="s">
        <v>128</v>
      </c>
      <c r="B12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Paris</v>
      </c>
      <c r="C12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12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Victoire</v>
      </c>
      <c r="E12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41</v>
      </c>
      <c r="F12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27</v>
      </c>
      <c r="G12" s="34">
        <v>0</v>
      </c>
      <c r="H12" s="49">
        <v>0</v>
      </c>
      <c r="I12" s="50">
        <f ca="1">(clermont[[#This Row],[Issue match]]="Victoire")*4 + (clermont[[#This Row],[Issue match]]="Nul")*2 + clermont[[#This Row],[Bonus off]] + clermont[[#This Row],[Bonus déf]]</f>
        <v>4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2">
      <c r="A13" s="39" t="s">
        <v>129</v>
      </c>
      <c r="B13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Pau</v>
      </c>
      <c r="C13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13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Victoire</v>
      </c>
      <c r="E13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50</v>
      </c>
      <c r="F13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19</v>
      </c>
      <c r="G13" s="34">
        <v>1</v>
      </c>
      <c r="H13" s="49">
        <v>0</v>
      </c>
      <c r="I13" s="50">
        <f ca="1">(clermont[[#This Row],[Issue match]]="Victoire")*4 + (clermont[[#This Row],[Issue match]]="Nul")*2 + clermont[[#This Row],[Bonus off]] + clermont[[#This Row],[Bonus déf]]</f>
        <v>5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2">
      <c r="A14" s="39" t="s">
        <v>130</v>
      </c>
      <c r="B14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Brive</v>
      </c>
      <c r="C14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14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Victoire</v>
      </c>
      <c r="E14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21</v>
      </c>
      <c r="F14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43</v>
      </c>
      <c r="G14" s="34"/>
      <c r="H14" s="49"/>
      <c r="I14" s="50">
        <f ca="1">(clermont[[#This Row],[Issue match]]="Victoire")*4 + (clermont[[#This Row],[Issue match]]="Nul")*2 + clermont[[#This Row],[Bonus off]] + clermont[[#This Row],[Bonus déf]]</f>
        <v>4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2">
      <c r="A15" s="39" t="s">
        <v>131</v>
      </c>
      <c r="B15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La Rochelle</v>
      </c>
      <c r="C15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15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15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15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15" s="34"/>
      <c r="H15" s="49"/>
      <c r="I15" s="50">
        <f ca="1">(clermont[[#This Row],[Issue match]]="Victoire")*4 + (clermont[[#This Row],[Issue match]]="Nul")*2 + clermont[[#This Row],[Bonus off]] + clermont[[#This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2">
      <c r="A16" s="39" t="s">
        <v>132</v>
      </c>
      <c r="B16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La Rochelle</v>
      </c>
      <c r="C16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16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16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16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16" s="34"/>
      <c r="H16" s="49"/>
      <c r="I16" s="50">
        <f ca="1">(clermont[[#This Row],[Issue match]]="Victoire")*4 + (clermont[[#This Row],[Issue match]]="Nul")*2 + clermont[[#This Row],[Bonus off]] + clermont[[#This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1">
      <c r="A17" s="39" t="s">
        <v>133</v>
      </c>
      <c r="B17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Castres</v>
      </c>
      <c r="C17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17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17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17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17" s="34"/>
      <c r="H17" s="49"/>
      <c r="I17" s="50">
        <f ca="1">(clermont[[#This Row],[Issue match]]="Victoire")*4 + (clermont[[#This Row],[Issue match]]="Nul")*2 + clermont[[#This Row],[Bonus off]] + clermont[[#This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1">
      <c r="A18" s="39" t="s">
        <v>134</v>
      </c>
      <c r="B18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Montpellier</v>
      </c>
      <c r="C18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18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18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18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18" s="34"/>
      <c r="H18" s="49"/>
      <c r="I18" s="50">
        <f ca="1">(clermont[[#This Row],[Issue match]]="Victoire")*4 + (clermont[[#This Row],[Issue match]]="Nul")*2 + clermont[[#This Row],[Bonus off]] + clermont[[#This Row],[Bonus déf]]</f>
        <v>0</v>
      </c>
      <c r="K18" s="10" t="s">
        <v>7</v>
      </c>
      <c r="L18" s="13"/>
      <c r="M18" s="72"/>
      <c r="N18" s="72"/>
      <c r="O18" s="1"/>
      <c r="P18" s="1"/>
      <c r="Q18" s="1"/>
      <c r="R18" s="1"/>
      <c r="S18" s="1"/>
    </row>
    <row r="19" spans="1:21">
      <c r="A19" s="39" t="s">
        <v>135</v>
      </c>
      <c r="B19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Toulon</v>
      </c>
      <c r="C19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19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19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19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19" s="34"/>
      <c r="H19" s="49"/>
      <c r="I19" s="50">
        <f ca="1">(clermont[[#This Row],[Issue match]]="Victoire")*4 + (clermont[[#This Row],[Issue match]]="Nul")*2 + clermont[[#This Row],[Bonus off]] + clermont[[#This Row],[Bonus déf]]</f>
        <v>0</v>
      </c>
      <c r="K19" s="10" t="s">
        <v>9</v>
      </c>
      <c r="L19" s="18"/>
      <c r="M19" s="18"/>
      <c r="N19" s="13"/>
      <c r="O19" s="1"/>
      <c r="P19" s="1" t="s">
        <v>45</v>
      </c>
      <c r="Q19" s="26" t="s">
        <v>41</v>
      </c>
      <c r="R19" s="1"/>
      <c r="S19" s="1"/>
    </row>
    <row r="20" spans="1:21">
      <c r="A20" s="39" t="s">
        <v>136</v>
      </c>
      <c r="B20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Racing 92</v>
      </c>
      <c r="C20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20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0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0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0" s="34"/>
      <c r="H20" s="49"/>
      <c r="I20" s="50">
        <f ca="1">(clermont[[#This Row],[Issue match]]="Victoire")*4 + (clermont[[#This Row],[Issue match]]="Nul")*2 + clermont[[#This Row],[Bonus off]] + clermont[[#This Row],[Bonus déf]]</f>
        <v>0</v>
      </c>
      <c r="K20" s="10" t="s">
        <v>8</v>
      </c>
      <c r="L20" s="72"/>
      <c r="M20" s="72"/>
      <c r="N20" s="13"/>
      <c r="O20" s="1"/>
      <c r="P20" s="1" t="s">
        <v>45</v>
      </c>
      <c r="Q20" s="76" t="s">
        <v>42</v>
      </c>
      <c r="R20" s="1"/>
      <c r="S20" s="1"/>
      <c r="T20" s="1"/>
      <c r="U20" s="1"/>
    </row>
    <row r="21" spans="1:21">
      <c r="A21" s="39" t="s">
        <v>137</v>
      </c>
      <c r="B21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Pau</v>
      </c>
      <c r="C21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21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1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1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1" s="34"/>
      <c r="H21" s="49"/>
      <c r="I21" s="50">
        <f ca="1">(clermont[[#This Row],[Issue match]]="Victoire")*4 + (clermont[[#This Row],[Issue match]]="Nul")*2 + clermont[[#This Row],[Bonus off]] + clermont[[#This Row],[Bonus déf]]</f>
        <v>0</v>
      </c>
      <c r="K21" s="10" t="s">
        <v>9</v>
      </c>
      <c r="L21" s="18"/>
      <c r="M21" s="18"/>
      <c r="N21" s="13"/>
      <c r="O21" s="1"/>
      <c r="P21" s="1" t="s">
        <v>45</v>
      </c>
      <c r="Q21" s="12" t="s">
        <v>43</v>
      </c>
      <c r="R21" s="1"/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Bordeaux</v>
      </c>
      <c r="C22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22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2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2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2" s="34"/>
      <c r="H22" s="49"/>
      <c r="I22" s="50">
        <f ca="1">(clermont[[#This Row],[Issue match]]="Victoire")*4 + (clermont[[#This Row],[Issue match]]="Nul")*2 + clermont[[#This Row],[Bonus off]] + clermont[[#This Row],[Bonus déf]]</f>
        <v>0</v>
      </c>
      <c r="K22" s="10" t="s">
        <v>10</v>
      </c>
      <c r="L22" s="13"/>
      <c r="M22" s="13"/>
      <c r="N22" s="13"/>
      <c r="O22" s="1"/>
      <c r="P22" s="1" t="s">
        <v>45</v>
      </c>
      <c r="Q22" s="12" t="s">
        <v>40</v>
      </c>
      <c r="R22" s="1"/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Agen</v>
      </c>
      <c r="C23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23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3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3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3" s="34"/>
      <c r="H23" s="49"/>
      <c r="I23" s="50">
        <f ca="1">(clermont[[#This Row],[Issue match]]="Victoire")*4 + (clermont[[#This Row],[Issue match]]="Nul")*2 + clermont[[#This Row],[Bonus off]] + clermont[[#This Row],[Bonus déf]]</f>
        <v>0</v>
      </c>
      <c r="K23" s="10" t="s">
        <v>9</v>
      </c>
      <c r="L23" s="18"/>
      <c r="M23" s="18"/>
      <c r="N23" s="13"/>
      <c r="O23" s="1"/>
      <c r="P23" s="1" t="s">
        <v>45</v>
      </c>
      <c r="Q23" s="12" t="s">
        <v>44</v>
      </c>
      <c r="R23" s="1"/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Bayonne</v>
      </c>
      <c r="C24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24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4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4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4" s="34"/>
      <c r="H24" s="49"/>
      <c r="I24" s="50">
        <f ca="1">(clermont[[#This Row],[Issue match]]="Victoire")*4 + (clermont[[#This Row],[Issue match]]="Nul")*2 + clermont[[#This Row],[Bonus off]] + clermont[[#This Row],[Bonus déf]]</f>
        <v>0</v>
      </c>
      <c r="K24" s="1"/>
      <c r="L24" s="1"/>
      <c r="M24" s="1"/>
      <c r="N24" s="1"/>
      <c r="O24" s="1"/>
      <c r="P24" s="1" t="s">
        <v>45</v>
      </c>
      <c r="Q24" s="12" t="s">
        <v>46</v>
      </c>
      <c r="R24" s="1"/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Montpellier</v>
      </c>
      <c r="C25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25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5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5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5" s="34"/>
      <c r="H25" s="49"/>
      <c r="I25" s="50">
        <f ca="1">(clermont[[#This Row],[Issue match]]="Victoire")*4 + (clermont[[#This Row],[Issue match]]="Nul")*2 + clermont[[#This Row],[Bonus off]] + clermont[[#This Row],[Bonus déf]]</f>
        <v>0</v>
      </c>
      <c r="K25" s="10" t="s">
        <v>6</v>
      </c>
      <c r="L25" s="69"/>
      <c r="M25" s="70"/>
      <c r="N25" s="71"/>
      <c r="O25" s="1"/>
      <c r="P25" s="1" t="s">
        <v>45</v>
      </c>
      <c r="Q25" s="12" t="s">
        <v>47</v>
      </c>
      <c r="R25" s="1"/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Castres</v>
      </c>
      <c r="C26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26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6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6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6" s="34"/>
      <c r="H26" s="49"/>
      <c r="I26" s="50">
        <f ca="1">(clermont[[#This Row],[Issue match]]="Victoire")*4 + (clermont[[#This Row],[Issue match]]="Nul")*2 + clermont[[#This Row],[Bonus off]] + clermont[[#This Row],[Bonus déf]]</f>
        <v>0</v>
      </c>
      <c r="K26" s="10" t="s">
        <v>7</v>
      </c>
      <c r="L26" s="13"/>
      <c r="M26" s="72"/>
      <c r="N26" s="72"/>
      <c r="O26" s="1"/>
      <c r="P26" s="1" t="s">
        <v>45</v>
      </c>
      <c r="Q26" s="12" t="s">
        <v>48</v>
      </c>
      <c r="R26" s="1"/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Paris</v>
      </c>
      <c r="C27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27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7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7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7" s="34"/>
      <c r="H27" s="49"/>
      <c r="I27" s="50">
        <f ca="1">(clermont[[#This Row],[Issue match]]="Victoire")*4 + (clermont[[#This Row],[Issue match]]="Nul")*2 + clermont[[#This Row],[Bonus off]] + clermont[[#This Row],[Bonus déf]]</f>
        <v>0</v>
      </c>
      <c r="K27" s="10" t="s">
        <v>9</v>
      </c>
      <c r="L27" s="18"/>
      <c r="M27" s="18"/>
      <c r="N27" s="13"/>
      <c r="O27" s="1"/>
      <c r="P27" s="1" t="s">
        <v>45</v>
      </c>
      <c r="Q27" s="12" t="s">
        <v>49</v>
      </c>
      <c r="R27" s="1"/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Brive</v>
      </c>
      <c r="C28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28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8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8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8" s="34"/>
      <c r="H28" s="49"/>
      <c r="I28" s="50">
        <f ca="1">(clermont[[#This Row],[Issue match]]="Victoire")*4 + (clermont[[#This Row],[Issue match]]="Nul")*2 + clermont[[#This Row],[Bonus off]] + clermont[[#This Row],[Bonus déf]]</f>
        <v>0</v>
      </c>
      <c r="K28" s="10" t="s">
        <v>8</v>
      </c>
      <c r="L28" s="72"/>
      <c r="M28" s="72"/>
      <c r="N28" s="13"/>
      <c r="O28" s="1"/>
      <c r="P28" s="1" t="s">
        <v>45</v>
      </c>
      <c r="Q28" s="12" t="s">
        <v>50</v>
      </c>
      <c r="R28" s="1"/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Brive</v>
      </c>
      <c r="C29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29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29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29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29" s="34"/>
      <c r="H29" s="49"/>
      <c r="I29" s="50">
        <f ca="1">(clermont[[#This Row],[Issue match]]="Victoire")*4 + (clermont[[#This Row],[Issue match]]="Nul")*2 + clermont[[#This Row],[Bonus off]] + clermont[[#This Row],[Bonus déf]]</f>
        <v>0</v>
      </c>
      <c r="K29" s="10" t="s">
        <v>9</v>
      </c>
      <c r="L29" s="18"/>
      <c r="M29" s="18"/>
      <c r="N29" s="13"/>
      <c r="O29" s="1"/>
      <c r="P29" s="1" t="s">
        <v>45</v>
      </c>
      <c r="Q29" s="12" t="s">
        <v>51</v>
      </c>
      <c r="R29" s="1"/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Racing 92</v>
      </c>
      <c r="C30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30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30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30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30" s="34"/>
      <c r="H30" s="49"/>
      <c r="I30" s="50">
        <f ca="1">(clermont[[#This Row],[Issue match]]="Victoire")*4 + (clermont[[#This Row],[Issue match]]="Nul")*2 + clermont[[#This Row],[Bonus off]] + clermont[[#This Row],[Bonus déf]]</f>
        <v>0</v>
      </c>
      <c r="K30" s="10" t="s">
        <v>10</v>
      </c>
      <c r="L30" s="13"/>
      <c r="M30" s="13"/>
      <c r="N30" s="13"/>
      <c r="O30" s="1"/>
      <c r="P30" s="1" t="s">
        <v>45</v>
      </c>
      <c r="Q30" s="12" t="s">
        <v>52</v>
      </c>
      <c r="R30" s="1"/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Toulon</v>
      </c>
      <c r="C31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31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31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31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31" s="34"/>
      <c r="H31" s="49"/>
      <c r="I31" s="50">
        <f ca="1">(clermont[[#This Row],[Issue match]]="Victoire")*4 + (clermont[[#This Row],[Issue match]]="Nul")*2 + clermont[[#This Row],[Bonus off]] + clermont[[#This Row],[Bonus déf]]</f>
        <v>0</v>
      </c>
      <c r="K31" s="10" t="s">
        <v>9</v>
      </c>
      <c r="L31" s="18"/>
      <c r="M31" s="18"/>
      <c r="N31" s="13"/>
      <c r="O31" s="1"/>
      <c r="P31" s="1" t="s">
        <v>45</v>
      </c>
      <c r="Q31" s="12" t="s">
        <v>53</v>
      </c>
      <c r="R31" s="1"/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Toulouse</v>
      </c>
      <c r="C32" s="3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Extérieur</v>
      </c>
      <c r="D32" s="52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32" s="45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32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32" s="34"/>
      <c r="H32" s="49"/>
      <c r="I32" s="50">
        <f ca="1">(clermont[[#This Row],[Issue match]]="Victoire")*4 + (clermont[[#This Row],[Issue match]]="Nul")*2 + clermont[[#This Row],[Bonus off]] + clermont[[#This Row],[Bonus déf]]</f>
        <v>0</v>
      </c>
      <c r="J32" s="1"/>
      <c r="K32" s="1"/>
      <c r="L32" s="1"/>
      <c r="M32" s="1"/>
    </row>
    <row r="33" spans="1:13">
      <c r="A33" s="39" t="s">
        <v>149</v>
      </c>
      <c r="B33" s="57" t="str">
        <f ca="1">CONCATENATE(
IFERROR( INDEX(INDIRECT("resultat!C"&amp;PRODUCT(7,MATCH(clermont[[#This Row],[journée]],clermont[journée],0)-1)+2&amp;":C"&amp;PRODUCT(7,MATCH(clermont[[#This Row],[journée]],clermont[journée],0))+1),
IFERROR(MATCH($A$1, INDIRECT("resultat!f"&amp;PRODUCT(7,MATCH(clermont[[#This Row],[journée]],clermont[journée],0)-1)+2&amp;":f"&amp;PRODUCT(7,MATCH(clermont[[#This Row],[journée]],clermont[journée],0))+1),0 ),""),0),""),
IFERROR( INDEX(INDIRECT("resultat!f"&amp;PRODUCT(7,MATCH(clermont[[#This Row],[journée]],clermont[journée],0)-1)+2&amp;":f"&amp;PRODUCT(7,MATCH(clermont[[#This Row],[journée]],clermont[journée],0))+1),
IFERROR(MATCH($A$1, INDIRECT("resultat!c"&amp;PRODUCT(7,MATCH(clermont[[#This Row],[journée]],clermont[journée],0)-1)+2&amp;":c"&amp;PRODUCT(7,MATCH(clermont[[#This Row],[journée]],clermont[journée],0))+1),0 ),""),0),"") )</f>
        <v>La Rochelle</v>
      </c>
      <c r="C33" s="58" t="str">
        <f ca="1">IF(AND(ISNA(MATCH($A$1,INDIRECT("resultat!f"&amp;PRODUCT(7,MATCH(clermont[[#This Row],[journée]],clermont[journée],0)-1)+2&amp;":f"&amp;PRODUCT(7,MATCH(clermont[[#This Row],[journée]],clermont[journée],0))+1),0)),
ISNA(MATCH($A$1,INDIRECT("resultat!c"&amp;PRODUCT(7,MATCH(clermont[[#This Row],[journée]],clermont[journée],0)-1)+2&amp;":c"&amp;PRODUCT(7,MATCH(clermont[[#This Row],[journée]],clermont[journée],0))+1),0))),"",IF(ISNA(MATCH($A$1,INDIRECT("resultat!f"&amp;PRODUCT(7,MATCH(clermont[[#This Row],[journée]],clermont[journée],0)-1)+2&amp;":f"&amp;PRODUCT(7,MATCH(clermont[[#This Row],[journée]],clermont[journée],0))+1),0)),
"Domicile","Extérieur"))</f>
        <v>Domicile</v>
      </c>
      <c r="D33" s="59" t="str">
        <f ca="1">IFERROR(  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$A$1, "Victoire",
IF( INDEX(INDIRECT("resultat!h"&amp;PRODUCT(7,MATCH(clermont[[#This Row],[journée]],clermont[journée],0)-1)+2&amp;":h"&amp;PRODUCT(7,MATCH(clermont[[#This Row],[journée]],clermont[journée],0))+1),
CONCATENATE(
IFERROR(MATCH( $A$1, INDIRECT("resultat!C"&amp;PRODUCT(7,MATCH(clermont[[#This Row],[journée]],clermont[journée],0)-1)+2&amp;":C"&amp;PRODUCT(7,MATCH(clermont[[#This Row],[journée]],clermont[journée],0))+1),0),""),
IFERROR(MATCH($A$1, INDIRECT("resultat!f"&amp;PRODUCT(7,MATCH(clermont[[#This Row],[journée]],clermont[journée],0)-1)+2&amp;":f"&amp;PRODUCT(7,MATCH(clermont[[#This Row],[journée]],clermont[journée],0))+1),0 ),"")),0) = "Nul", "Nul", "Défaite" )), "")</f>
        <v>Défaite</v>
      </c>
      <c r="E33" s="60">
        <f ca="1">SUMIFS(resultat[Score D],resultat[Journée],clermont[[#This Row],[journée]],resultat[Domicile],clermont[[#This Row],[adversaire]]) + SUMIFS(resultat[Score D],resultat[Journée],clermont[[#This Row],[journée]],resultat[Exterieur],clermont[[#This Row],[adversaire]])</f>
        <v>0</v>
      </c>
      <c r="F33" s="46">
        <f ca="1">SUMIFS(resultat[Score E],resultat[Journée],clermont[[#This Row],[journée]],resultat[Domicile],clermont[[#This Row],[adversaire]])  + SUMIFS(resultat[Score E],resultat[Journée],clermont[[#This Row],[journée]],resultat[Exterieur],clermont[[#This Row],[adversaire]])</f>
        <v>0</v>
      </c>
      <c r="G33" s="34"/>
      <c r="H33" s="49"/>
      <c r="I33" s="50">
        <f ca="1">(clermont[[#This Row],[Issue match]]="Victoire")*4 + (clermont[[#This Row],[Issue match]]="Nul")*2 + clermont[[#This Row],[Bonus off]] + clermont[[#This Row],[Bonus déf]]</f>
        <v>0</v>
      </c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13">
      <c r="A36" s="74" t="s">
        <v>26</v>
      </c>
      <c r="B36" s="74" t="s">
        <v>14</v>
      </c>
      <c r="C36" s="2">
        <v>24</v>
      </c>
      <c r="D36" s="48">
        <v>11</v>
      </c>
      <c r="E36" s="48">
        <v>7</v>
      </c>
      <c r="F36" s="19">
        <f t="shared" ref="F36:F48" si="1">(D36+E36)/C36</f>
        <v>0.75</v>
      </c>
      <c r="G36" s="48">
        <v>1</v>
      </c>
      <c r="H36" s="48">
        <v>5</v>
      </c>
      <c r="I36" s="19">
        <f t="shared" ref="I36:I48" si="2">(G36+H36)/C36</f>
        <v>0.25</v>
      </c>
      <c r="J36" s="48"/>
      <c r="K36" s="21">
        <f t="shared" ref="K36:K48" si="3">100%-(F36+I36)</f>
        <v>0</v>
      </c>
      <c r="L36" s="22">
        <f t="shared" ref="L36:L48" si="4">SUM(F36+I36+K36)</f>
        <v>1</v>
      </c>
      <c r="M36" s="25"/>
    </row>
    <row r="37" spans="1:13">
      <c r="A37" s="74" t="s">
        <v>26</v>
      </c>
      <c r="B37" s="74" t="s">
        <v>23</v>
      </c>
      <c r="C37" s="2">
        <v>26</v>
      </c>
      <c r="D37" s="48">
        <v>12</v>
      </c>
      <c r="E37" s="48">
        <v>3</v>
      </c>
      <c r="F37" s="19">
        <f t="shared" si="1"/>
        <v>0.57692307692307687</v>
      </c>
      <c r="G37" s="48">
        <v>0</v>
      </c>
      <c r="H37" s="48">
        <v>10</v>
      </c>
      <c r="I37" s="19">
        <f t="shared" si="2"/>
        <v>0.38461538461538464</v>
      </c>
      <c r="J37" s="48">
        <v>1</v>
      </c>
      <c r="K37" s="21">
        <f t="shared" si="3"/>
        <v>3.8461538461538547E-2</v>
      </c>
      <c r="L37" s="22">
        <f t="shared" si="4"/>
        <v>1</v>
      </c>
    </row>
    <row r="38" spans="1:13">
      <c r="A38" s="74" t="s">
        <v>26</v>
      </c>
      <c r="B38" s="74" t="s">
        <v>24</v>
      </c>
      <c r="C38" s="2">
        <v>27</v>
      </c>
      <c r="D38" s="48">
        <v>10</v>
      </c>
      <c r="E38" s="48">
        <v>6</v>
      </c>
      <c r="F38" s="19">
        <f t="shared" si="1"/>
        <v>0.59259259259259256</v>
      </c>
      <c r="G38" s="48">
        <v>1</v>
      </c>
      <c r="H38" s="48">
        <v>6</v>
      </c>
      <c r="I38" s="19">
        <f t="shared" si="2"/>
        <v>0.25925925925925924</v>
      </c>
      <c r="J38" s="48">
        <v>4</v>
      </c>
      <c r="K38" s="21">
        <f t="shared" si="3"/>
        <v>0.14814814814814814</v>
      </c>
      <c r="L38" s="22">
        <f t="shared" si="4"/>
        <v>1</v>
      </c>
    </row>
    <row r="39" spans="1:13">
      <c r="A39" s="74" t="s">
        <v>26</v>
      </c>
      <c r="B39" s="74" t="s">
        <v>25</v>
      </c>
      <c r="C39" s="2">
        <v>29</v>
      </c>
      <c r="D39" s="48">
        <v>12</v>
      </c>
      <c r="E39" s="48">
        <v>7</v>
      </c>
      <c r="F39" s="19">
        <f t="shared" si="1"/>
        <v>0.65517241379310343</v>
      </c>
      <c r="G39" s="48">
        <v>2</v>
      </c>
      <c r="H39" s="48">
        <v>7</v>
      </c>
      <c r="I39" s="19">
        <f t="shared" si="2"/>
        <v>0.31034482758620691</v>
      </c>
      <c r="J39" s="48">
        <v>1</v>
      </c>
      <c r="K39" s="21">
        <f t="shared" si="3"/>
        <v>3.4482758620689724E-2</v>
      </c>
      <c r="L39" s="22">
        <f t="shared" si="4"/>
        <v>1</v>
      </c>
    </row>
    <row r="40" spans="1:13">
      <c r="A40" s="74" t="s">
        <v>26</v>
      </c>
      <c r="B40" s="74" t="s">
        <v>37</v>
      </c>
      <c r="C40" s="2">
        <v>39</v>
      </c>
      <c r="D40" s="48">
        <v>15</v>
      </c>
      <c r="E40" s="48">
        <v>1</v>
      </c>
      <c r="F40" s="19">
        <f t="shared" si="1"/>
        <v>0.41025641025641024</v>
      </c>
      <c r="G40" s="48">
        <v>6</v>
      </c>
      <c r="H40" s="48">
        <v>15</v>
      </c>
      <c r="I40" s="19">
        <f t="shared" si="2"/>
        <v>0.53846153846153844</v>
      </c>
      <c r="J40" s="48">
        <v>3</v>
      </c>
      <c r="K40" s="21">
        <f t="shared" si="3"/>
        <v>5.1282051282051322E-2</v>
      </c>
      <c r="L40" s="22">
        <f t="shared" si="4"/>
        <v>1</v>
      </c>
    </row>
    <row r="41" spans="1:13">
      <c r="A41" s="74" t="s">
        <v>26</v>
      </c>
      <c r="B41" s="74" t="s">
        <v>27</v>
      </c>
      <c r="C41" s="2">
        <v>15</v>
      </c>
      <c r="D41" s="48">
        <v>8</v>
      </c>
      <c r="E41" s="48">
        <v>2</v>
      </c>
      <c r="F41" s="19">
        <f t="shared" si="1"/>
        <v>0.66666666666666663</v>
      </c>
      <c r="G41" s="48">
        <v>0</v>
      </c>
      <c r="H41" s="48">
        <v>4</v>
      </c>
      <c r="I41" s="19">
        <f t="shared" si="2"/>
        <v>0.26666666666666666</v>
      </c>
      <c r="J41" s="48">
        <v>1</v>
      </c>
      <c r="K41" s="21">
        <f t="shared" si="3"/>
        <v>6.6666666666666652E-2</v>
      </c>
      <c r="L41" s="22">
        <f t="shared" si="4"/>
        <v>1</v>
      </c>
    </row>
    <row r="42" spans="1:13">
      <c r="A42" s="74" t="s">
        <v>26</v>
      </c>
      <c r="B42" s="74" t="s">
        <v>28</v>
      </c>
      <c r="C42" s="2">
        <v>12</v>
      </c>
      <c r="D42" s="48">
        <v>7</v>
      </c>
      <c r="E42" s="48">
        <v>1</v>
      </c>
      <c r="F42" s="19">
        <f t="shared" si="1"/>
        <v>0.66666666666666663</v>
      </c>
      <c r="G42" s="48">
        <v>0</v>
      </c>
      <c r="H42" s="48">
        <v>3</v>
      </c>
      <c r="I42" s="19">
        <f t="shared" si="2"/>
        <v>0.25</v>
      </c>
      <c r="J42" s="48">
        <v>1</v>
      </c>
      <c r="K42" s="21">
        <f t="shared" si="3"/>
        <v>8.333333333333337E-2</v>
      </c>
      <c r="L42" s="22">
        <f t="shared" si="4"/>
        <v>1</v>
      </c>
    </row>
    <row r="43" spans="1:13">
      <c r="A43" s="74" t="s">
        <v>26</v>
      </c>
      <c r="B43" s="74" t="s">
        <v>29</v>
      </c>
      <c r="C43" s="2">
        <v>34</v>
      </c>
      <c r="D43" s="48">
        <v>13</v>
      </c>
      <c r="E43" s="48">
        <v>6</v>
      </c>
      <c r="F43" s="19">
        <f t="shared" si="1"/>
        <v>0.55882352941176472</v>
      </c>
      <c r="G43" s="48">
        <v>5</v>
      </c>
      <c r="H43" s="48">
        <v>10</v>
      </c>
      <c r="I43" s="19">
        <f t="shared" si="2"/>
        <v>0.44117647058823528</v>
      </c>
      <c r="J43" s="48"/>
      <c r="K43" s="21">
        <f t="shared" si="3"/>
        <v>0</v>
      </c>
      <c r="L43" s="22">
        <f t="shared" si="4"/>
        <v>1</v>
      </c>
    </row>
    <row r="44" spans="1:13">
      <c r="A44" s="74" t="s">
        <v>26</v>
      </c>
      <c r="B44" s="74" t="s">
        <v>30</v>
      </c>
      <c r="C44" s="2">
        <v>39</v>
      </c>
      <c r="D44" s="48">
        <v>17</v>
      </c>
      <c r="E44" s="48">
        <v>5</v>
      </c>
      <c r="F44" s="19">
        <f t="shared" si="1"/>
        <v>0.5641025641025641</v>
      </c>
      <c r="G44" s="48">
        <v>1</v>
      </c>
      <c r="H44" s="48">
        <v>14</v>
      </c>
      <c r="I44" s="19">
        <f t="shared" si="2"/>
        <v>0.38461538461538464</v>
      </c>
      <c r="J44" s="48">
        <v>2</v>
      </c>
      <c r="K44" s="21">
        <f t="shared" si="3"/>
        <v>5.1282051282051322E-2</v>
      </c>
      <c r="L44" s="22">
        <f t="shared" si="4"/>
        <v>1</v>
      </c>
    </row>
    <row r="45" spans="1:13">
      <c r="A45" s="74" t="s">
        <v>26</v>
      </c>
      <c r="B45" s="74" t="s">
        <v>31</v>
      </c>
      <c r="C45" s="2">
        <v>18</v>
      </c>
      <c r="D45" s="48">
        <v>7</v>
      </c>
      <c r="E45" s="48">
        <v>5</v>
      </c>
      <c r="F45" s="19">
        <f t="shared" si="1"/>
        <v>0.66666666666666663</v>
      </c>
      <c r="G45" s="48">
        <v>2</v>
      </c>
      <c r="H45" s="48">
        <v>4</v>
      </c>
      <c r="I45" s="19">
        <f t="shared" si="2"/>
        <v>0.33333333333333331</v>
      </c>
      <c r="J45" s="48"/>
      <c r="K45" s="21">
        <f t="shared" si="3"/>
        <v>0</v>
      </c>
      <c r="L45" s="22">
        <f t="shared" si="4"/>
        <v>1</v>
      </c>
    </row>
    <row r="46" spans="1:13">
      <c r="A46" s="74" t="s">
        <v>26</v>
      </c>
      <c r="B46" s="74" t="s">
        <v>32</v>
      </c>
      <c r="C46" s="2">
        <v>29</v>
      </c>
      <c r="D46" s="48">
        <v>12</v>
      </c>
      <c r="E46" s="48">
        <v>2</v>
      </c>
      <c r="F46" s="19">
        <f t="shared" si="1"/>
        <v>0.48275862068965519</v>
      </c>
      <c r="G46" s="48">
        <v>3</v>
      </c>
      <c r="H46" s="48">
        <v>10</v>
      </c>
      <c r="I46" s="19">
        <f t="shared" si="2"/>
        <v>0.44827586206896552</v>
      </c>
      <c r="J46" s="48">
        <v>2</v>
      </c>
      <c r="K46" s="21">
        <f t="shared" si="3"/>
        <v>6.8965517241379226E-2</v>
      </c>
      <c r="L46" s="22">
        <f t="shared" si="4"/>
        <v>1</v>
      </c>
    </row>
    <row r="47" spans="1:13">
      <c r="A47" s="74" t="s">
        <v>26</v>
      </c>
      <c r="B47" s="74" t="s">
        <v>15</v>
      </c>
      <c r="C47" s="2">
        <v>31</v>
      </c>
      <c r="D47" s="27">
        <v>13</v>
      </c>
      <c r="E47" s="27">
        <v>4</v>
      </c>
      <c r="F47" s="19">
        <f t="shared" si="1"/>
        <v>0.54838709677419351</v>
      </c>
      <c r="G47" s="27">
        <v>3</v>
      </c>
      <c r="H47" s="27">
        <v>9</v>
      </c>
      <c r="I47" s="19">
        <f t="shared" si="2"/>
        <v>0.38709677419354838</v>
      </c>
      <c r="J47" s="27">
        <v>2</v>
      </c>
      <c r="K47" s="21">
        <f t="shared" si="3"/>
        <v>6.4516129032258118E-2</v>
      </c>
      <c r="L47" s="22">
        <f t="shared" si="4"/>
        <v>1</v>
      </c>
    </row>
    <row r="48" spans="1:13">
      <c r="A48" s="74" t="s">
        <v>26</v>
      </c>
      <c r="B48" s="74" t="s">
        <v>33</v>
      </c>
      <c r="C48" s="2">
        <v>40</v>
      </c>
      <c r="D48" s="27">
        <v>17</v>
      </c>
      <c r="E48" s="27">
        <v>4</v>
      </c>
      <c r="F48" s="19">
        <f t="shared" si="1"/>
        <v>0.52500000000000002</v>
      </c>
      <c r="G48" s="27">
        <v>2</v>
      </c>
      <c r="H48" s="27">
        <v>16</v>
      </c>
      <c r="I48" s="19">
        <f t="shared" si="2"/>
        <v>0.45</v>
      </c>
      <c r="J48" s="27">
        <v>1</v>
      </c>
      <c r="K48" s="21">
        <f t="shared" si="3"/>
        <v>2.4999999999999911E-2</v>
      </c>
      <c r="L48" s="22">
        <f t="shared" si="4"/>
        <v>1</v>
      </c>
    </row>
    <row r="50" spans="1:12">
      <c r="A50" s="92" t="s">
        <v>166</v>
      </c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26</v>
      </c>
      <c r="B52" s="91" t="s">
        <v>14</v>
      </c>
      <c r="C52" s="83">
        <f ca="1">COUNTIFS(clermont[adversaire],B52)</f>
        <v>2</v>
      </c>
      <c r="D52" s="84">
        <f ca="1">COUNTIFS(clermont[adversaire],B52,clermont[Lieu Match],"domicile",clermont[Issue match],"victoire")</f>
        <v>1</v>
      </c>
      <c r="E52" s="84">
        <f ca="1">COUNTIFS(clermont[adversaire],B52,clermont[Lieu Match],"Extérieur",clermont[Issue match],"victoire")</f>
        <v>0</v>
      </c>
      <c r="F52" s="82">
        <f t="shared" ref="F52" ca="1" si="5">(D52+E52)/C52</f>
        <v>0.5</v>
      </c>
      <c r="G52" s="78">
        <f ca="1">COUNTIFS(clermont[adversaire],B52,clermont[Lieu Match],"domicile",clermont[Issue match],"défaite")</f>
        <v>0</v>
      </c>
      <c r="H52" s="80">
        <f ca="1">COUNTIFS(clermont[adversaire],B52,clermont[Lieu Match],"Extérieur",clermont[Issue match],"défaite")</f>
        <v>1</v>
      </c>
      <c r="I52" s="79">
        <f t="shared" ref="I52" ca="1" si="6">(G52+H52)/C52</f>
        <v>0.5</v>
      </c>
      <c r="J52" s="85">
        <f ca="1">COUNTIFS(clermont[adversaire],B52,clermont[Lieu Match],"Domicile",clermont[Issue match],"Nul")+COUNTIFS(clermont[adversaire],B52,clermont[Lieu Match],"Extérieur",clermont[Issue match],"Nul")</f>
        <v>0</v>
      </c>
      <c r="K52" s="81">
        <f t="shared" ref="K52" ca="1" si="7">100%-(F52+I52)</f>
        <v>0</v>
      </c>
      <c r="L52" s="89">
        <f t="shared" ref="L52" ca="1" si="8">SUM(F52+I52+K52)</f>
        <v>1</v>
      </c>
    </row>
    <row r="53" spans="1:12">
      <c r="A53" s="90" t="s">
        <v>26</v>
      </c>
      <c r="B53" s="91" t="s">
        <v>23</v>
      </c>
      <c r="C53" s="83">
        <f ca="1">COUNTIFS(clermont[adversaire],B53)</f>
        <v>2</v>
      </c>
      <c r="D53" s="84">
        <f ca="1">COUNTIFS(clermont[adversaire],B53,clermont[Lieu Match],"domicile",clermont[Issue match],"victoire")</f>
        <v>0</v>
      </c>
      <c r="E53" s="84">
        <f ca="1">COUNTIFS(clermont[adversaire],B53,clermont[Lieu Match],"Extérieur",clermont[Issue match],"victoire")</f>
        <v>0</v>
      </c>
      <c r="F53" s="82">
        <f t="shared" ref="F53:F64" ca="1" si="9">(D53+E53)/C53</f>
        <v>0</v>
      </c>
      <c r="G53" s="78">
        <f ca="1">COUNTIFS(clermont[adversaire],B53,clermont[Lieu Match],"domicile",clermont[Issue match],"défaite")</f>
        <v>1</v>
      </c>
      <c r="H53" s="80">
        <f ca="1">COUNTIFS(clermont[adversaire],B53,clermont[Lieu Match],"Extérieur",clermont[Issue match],"défaite")</f>
        <v>1</v>
      </c>
      <c r="I53" s="79">
        <f t="shared" ref="I53:I64" ca="1" si="10">(G53+H53)/C53</f>
        <v>1</v>
      </c>
      <c r="J53" s="85">
        <f ca="1">COUNTIFS(clermont[adversaire],B53,clermont[Lieu Match],"Domicile",clermont[Issue match],"Nul")+COUNTIFS(clermont[adversaire],B53,clermont[Lieu Match],"Extérieur",clermont[Issue match],"Nul")</f>
        <v>0</v>
      </c>
      <c r="K53" s="81">
        <f t="shared" ref="K53:K64" ca="1" si="11">100%-(F53+I53)</f>
        <v>0</v>
      </c>
      <c r="L53" s="89">
        <f t="shared" ref="L53:L64" ca="1" si="12">SUM(F53+I53+K53)</f>
        <v>1</v>
      </c>
    </row>
    <row r="54" spans="1:12">
      <c r="A54" s="90" t="s">
        <v>26</v>
      </c>
      <c r="B54" s="91" t="s">
        <v>24</v>
      </c>
      <c r="C54" s="83">
        <f ca="1">COUNTIFS(clermont[adversaire],B54)</f>
        <v>2</v>
      </c>
      <c r="D54" s="84">
        <f ca="1">COUNTIFS(clermont[adversaire],B54,clermont[Lieu Match],"domicile",clermont[Issue match],"victoire")</f>
        <v>0</v>
      </c>
      <c r="E54" s="84">
        <f ca="1">COUNTIFS(clermont[adversaire],B54,clermont[Lieu Match],"Extérieur",clermont[Issue match],"victoire")</f>
        <v>0</v>
      </c>
      <c r="F54" s="82">
        <f t="shared" ca="1" si="9"/>
        <v>0</v>
      </c>
      <c r="G54" s="78">
        <f ca="1">COUNTIFS(clermont[adversaire],B54,clermont[Lieu Match],"domicile",clermont[Issue match],"défaite")</f>
        <v>1</v>
      </c>
      <c r="H54" s="80">
        <f ca="1">COUNTIFS(clermont[adversaire],B54,clermont[Lieu Match],"Extérieur",clermont[Issue match],"défaite")</f>
        <v>1</v>
      </c>
      <c r="I54" s="79">
        <f t="shared" ca="1" si="10"/>
        <v>1</v>
      </c>
      <c r="J54" s="85">
        <f ca="1">COUNTIFS(clermont[adversaire],B54,clermont[Lieu Match],"Domicile",clermont[Issue match],"Nul")+COUNTIFS(clermont[adversaire],B54,clermont[Lieu Match],"Extérieur",clermont[Issue match],"Nul")</f>
        <v>0</v>
      </c>
      <c r="K54" s="81">
        <f t="shared" ca="1" si="11"/>
        <v>0</v>
      </c>
      <c r="L54" s="89">
        <f t="shared" ca="1" si="12"/>
        <v>1</v>
      </c>
    </row>
    <row r="55" spans="1:12">
      <c r="A55" s="90" t="s">
        <v>26</v>
      </c>
      <c r="B55" s="91" t="s">
        <v>25</v>
      </c>
      <c r="C55" s="83">
        <f ca="1">COUNTIFS(clermont[adversaire],B55)</f>
        <v>3</v>
      </c>
      <c r="D55" s="84">
        <f ca="1">COUNTIFS(clermont[adversaire],B55,clermont[Lieu Match],"domicile",clermont[Issue match],"victoire")</f>
        <v>0</v>
      </c>
      <c r="E55" s="84">
        <f ca="1">COUNTIFS(clermont[adversaire],B55,clermont[Lieu Match],"Extérieur",clermont[Issue match],"victoire")</f>
        <v>1</v>
      </c>
      <c r="F55" s="82">
        <f t="shared" ca="1" si="9"/>
        <v>0.33333333333333331</v>
      </c>
      <c r="G55" s="78">
        <f ca="1">COUNTIFS(clermont[adversaire],B55,clermont[Lieu Match],"domicile",clermont[Issue match],"défaite")</f>
        <v>1</v>
      </c>
      <c r="H55" s="80">
        <f ca="1">COUNTIFS(clermont[adversaire],B55,clermont[Lieu Match],"Extérieur",clermont[Issue match],"défaite")</f>
        <v>1</v>
      </c>
      <c r="I55" s="79">
        <f t="shared" ca="1" si="10"/>
        <v>0.66666666666666663</v>
      </c>
      <c r="J55" s="85">
        <f ca="1">COUNTIFS(clermont[adversaire],B55,clermont[Lieu Match],"Domicile",clermont[Issue match],"Nul")+COUNTIFS(clermont[adversaire],B55,clermont[Lieu Match],"Extérieur",clermont[Issue match],"Nul")</f>
        <v>0</v>
      </c>
      <c r="K55" s="81">
        <f t="shared" ca="1" si="11"/>
        <v>0</v>
      </c>
      <c r="L55" s="89">
        <f t="shared" ca="1" si="12"/>
        <v>1</v>
      </c>
    </row>
    <row r="56" spans="1:12">
      <c r="A56" s="90" t="s">
        <v>26</v>
      </c>
      <c r="B56" s="91" t="s">
        <v>37</v>
      </c>
      <c r="C56" s="83">
        <f ca="1">COUNTIFS(clermont[adversaire],B56)</f>
        <v>2</v>
      </c>
      <c r="D56" s="84">
        <f ca="1">COUNTIFS(clermont[adversaire],B56,clermont[Lieu Match],"domicile",clermont[Issue match],"victoire")</f>
        <v>0</v>
      </c>
      <c r="E56" s="84">
        <f ca="1">COUNTIFS(clermont[adversaire],B56,clermont[Lieu Match],"Extérieur",clermont[Issue match],"victoire")</f>
        <v>0</v>
      </c>
      <c r="F56" s="82">
        <f t="shared" ca="1" si="9"/>
        <v>0</v>
      </c>
      <c r="G56" s="78">
        <f ca="1">COUNTIFS(clermont[adversaire],B56,clermont[Lieu Match],"domicile",clermont[Issue match],"défaite")</f>
        <v>1</v>
      </c>
      <c r="H56" s="80">
        <f ca="1">COUNTIFS(clermont[adversaire],B56,clermont[Lieu Match],"Extérieur",clermont[Issue match],"défaite")</f>
        <v>1</v>
      </c>
      <c r="I56" s="79">
        <f t="shared" ca="1" si="10"/>
        <v>1</v>
      </c>
      <c r="J56" s="85">
        <f ca="1">COUNTIFS(clermont[adversaire],B56,clermont[Lieu Match],"Domicile",clermont[Issue match],"Nul")+COUNTIFS(clermont[adversaire],B56,clermont[Lieu Match],"Extérieur",clermont[Issue match],"Nul")</f>
        <v>0</v>
      </c>
      <c r="K56" s="81">
        <f t="shared" ca="1" si="11"/>
        <v>0</v>
      </c>
      <c r="L56" s="89">
        <f t="shared" ca="1" si="12"/>
        <v>1</v>
      </c>
    </row>
    <row r="57" spans="1:12">
      <c r="A57" s="90" t="s">
        <v>26</v>
      </c>
      <c r="B57" s="91" t="s">
        <v>27</v>
      </c>
      <c r="C57" s="83">
        <f ca="1">COUNTIFS(clermont[adversaire],B57)</f>
        <v>3</v>
      </c>
      <c r="D57" s="84">
        <f ca="1">COUNTIFS(clermont[adversaire],B57,clermont[Lieu Match],"domicile",clermont[Issue match],"victoire")</f>
        <v>0</v>
      </c>
      <c r="E57" s="84">
        <f ca="1">COUNTIFS(clermont[adversaire],B57,clermont[Lieu Match],"Extérieur",clermont[Issue match],"victoire")</f>
        <v>0</v>
      </c>
      <c r="F57" s="82">
        <f t="shared" ca="1" si="9"/>
        <v>0</v>
      </c>
      <c r="G57" s="78">
        <f ca="1">COUNTIFS(clermont[adversaire],B57,clermont[Lieu Match],"domicile",clermont[Issue match],"défaite")</f>
        <v>2</v>
      </c>
      <c r="H57" s="80">
        <f ca="1">COUNTIFS(clermont[adversaire],B57,clermont[Lieu Match],"Extérieur",clermont[Issue match],"défaite")</f>
        <v>1</v>
      </c>
      <c r="I57" s="79">
        <f t="shared" ca="1" si="10"/>
        <v>1</v>
      </c>
      <c r="J57" s="85">
        <f ca="1">COUNTIFS(clermont[adversaire],B57,clermont[Lieu Match],"Domicile",clermont[Issue match],"Nul")+COUNTIFS(clermont[adversaire],B57,clermont[Lieu Match],"Extérieur",clermont[Issue match],"Nul")</f>
        <v>0</v>
      </c>
      <c r="K57" s="81">
        <f t="shared" ca="1" si="11"/>
        <v>0</v>
      </c>
      <c r="L57" s="89">
        <f t="shared" ca="1" si="12"/>
        <v>1</v>
      </c>
    </row>
    <row r="58" spans="1:12">
      <c r="A58" s="90" t="s">
        <v>26</v>
      </c>
      <c r="B58" s="91" t="s">
        <v>28</v>
      </c>
      <c r="C58" s="83">
        <f ca="1">COUNTIFS(clermont[adversaire],B58)</f>
        <v>0</v>
      </c>
      <c r="D58" s="84">
        <f ca="1">COUNTIFS(clermont[adversaire],B58,clermont[Lieu Match],"domicile",clermont[Issue match],"victoire")</f>
        <v>0</v>
      </c>
      <c r="E58" s="84">
        <f ca="1">COUNTIFS(clermont[adversaire],B58,clermont[Lieu Match],"Extérieur",clermont[Issue match],"victoire")</f>
        <v>0</v>
      </c>
      <c r="F58" s="82" t="e">
        <f t="shared" ca="1" si="9"/>
        <v>#DIV/0!</v>
      </c>
      <c r="G58" s="78">
        <f ca="1">COUNTIFS(clermont[adversaire],B58,clermont[Lieu Match],"domicile",clermont[Issue match],"défaite")</f>
        <v>0</v>
      </c>
      <c r="H58" s="80">
        <f ca="1">COUNTIFS(clermont[adversaire],B58,clermont[Lieu Match],"Extérieur",clermont[Issue match],"défaite")</f>
        <v>0</v>
      </c>
      <c r="I58" s="79" t="e">
        <f t="shared" ca="1" si="10"/>
        <v>#DIV/0!</v>
      </c>
      <c r="J58" s="85">
        <f ca="1">COUNTIFS(clermont[adversaire],B58,clermont[Lieu Match],"Domicile",clermont[Issue match],"Nul")+COUNTIFS(clermont[adversaire],B58,clermont[Lieu Match],"Extérieur",clermont[Issue match],"Nul")</f>
        <v>0</v>
      </c>
      <c r="K58" s="81" t="e">
        <f t="shared" ca="1" si="11"/>
        <v>#DIV/0!</v>
      </c>
      <c r="L58" s="89" t="e">
        <f t="shared" ca="1" si="12"/>
        <v>#DIV/0!</v>
      </c>
    </row>
    <row r="59" spans="1:12">
      <c r="A59" s="90" t="s">
        <v>26</v>
      </c>
      <c r="B59" s="91" t="s">
        <v>29</v>
      </c>
      <c r="C59" s="83">
        <f ca="1">COUNTIFS(clermont[adversaire],B59)</f>
        <v>2</v>
      </c>
      <c r="D59" s="84">
        <f ca="1">COUNTIFS(clermont[adversaire],B59,clermont[Lieu Match],"domicile",clermont[Issue match],"victoire")</f>
        <v>0</v>
      </c>
      <c r="E59" s="84">
        <f ca="1">COUNTIFS(clermont[adversaire],B59,clermont[Lieu Match],"Extérieur",clermont[Issue match],"victoire")</f>
        <v>0</v>
      </c>
      <c r="F59" s="82">
        <f t="shared" ca="1" si="9"/>
        <v>0</v>
      </c>
      <c r="G59" s="78">
        <f ca="1">COUNTIFS(clermont[adversaire],B59,clermont[Lieu Match],"domicile",clermont[Issue match],"défaite")</f>
        <v>1</v>
      </c>
      <c r="H59" s="80">
        <f ca="1">COUNTIFS(clermont[adversaire],B59,clermont[Lieu Match],"Extérieur",clermont[Issue match],"défaite")</f>
        <v>1</v>
      </c>
      <c r="I59" s="79">
        <f t="shared" ca="1" si="10"/>
        <v>1</v>
      </c>
      <c r="J59" s="85">
        <f ca="1">COUNTIFS(clermont[adversaire],B59,clermont[Lieu Match],"Domicile",clermont[Issue match],"Nul")+COUNTIFS(clermont[adversaire],B59,clermont[Lieu Match],"Extérieur",clermont[Issue match],"Nul")</f>
        <v>0</v>
      </c>
      <c r="K59" s="81">
        <f t="shared" ca="1" si="11"/>
        <v>0</v>
      </c>
      <c r="L59" s="89">
        <f t="shared" ca="1" si="12"/>
        <v>1</v>
      </c>
    </row>
    <row r="60" spans="1:12">
      <c r="A60" s="90" t="s">
        <v>26</v>
      </c>
      <c r="B60" s="91" t="s">
        <v>30</v>
      </c>
      <c r="C60" s="83">
        <f ca="1">COUNTIFS(clermont[adversaire],B60)</f>
        <v>2</v>
      </c>
      <c r="D60" s="84">
        <f ca="1">COUNTIFS(clermont[adversaire],B60,clermont[Lieu Match],"domicile",clermont[Issue match],"victoire")</f>
        <v>1</v>
      </c>
      <c r="E60" s="84">
        <f ca="1">COUNTIFS(clermont[adversaire],B60,clermont[Lieu Match],"Extérieur",clermont[Issue match],"victoire")</f>
        <v>0</v>
      </c>
      <c r="F60" s="82">
        <f t="shared" ca="1" si="9"/>
        <v>0.5</v>
      </c>
      <c r="G60" s="78">
        <f ca="1">COUNTIFS(clermont[adversaire],B60,clermont[Lieu Match],"domicile",clermont[Issue match],"défaite")</f>
        <v>0</v>
      </c>
      <c r="H60" s="80">
        <f ca="1">COUNTIFS(clermont[adversaire],B60,clermont[Lieu Match],"Extérieur",clermont[Issue match],"défaite")</f>
        <v>1</v>
      </c>
      <c r="I60" s="79">
        <f t="shared" ca="1" si="10"/>
        <v>0.5</v>
      </c>
      <c r="J60" s="85">
        <f ca="1">COUNTIFS(clermont[adversaire],B60,clermont[Lieu Match],"Domicile",clermont[Issue match],"Nul")+COUNTIFS(clermont[adversaire],B60,clermont[Lieu Match],"Extérieur",clermont[Issue match],"Nul")</f>
        <v>0</v>
      </c>
      <c r="K60" s="81">
        <f t="shared" ca="1" si="11"/>
        <v>0</v>
      </c>
      <c r="L60" s="89">
        <f t="shared" ca="1" si="12"/>
        <v>1</v>
      </c>
    </row>
    <row r="61" spans="1:12">
      <c r="A61" s="90" t="s">
        <v>26</v>
      </c>
      <c r="B61" s="91" t="s">
        <v>31</v>
      </c>
      <c r="C61" s="83">
        <f ca="1">COUNTIFS(clermont[adversaire],B61)</f>
        <v>2</v>
      </c>
      <c r="D61" s="84">
        <f ca="1">COUNTIFS(clermont[adversaire],B61,clermont[Lieu Match],"domicile",clermont[Issue match],"victoire")</f>
        <v>1</v>
      </c>
      <c r="E61" s="84">
        <f ca="1">COUNTIFS(clermont[adversaire],B61,clermont[Lieu Match],"Extérieur",clermont[Issue match],"victoire")</f>
        <v>0</v>
      </c>
      <c r="F61" s="82">
        <f t="shared" ca="1" si="9"/>
        <v>0.5</v>
      </c>
      <c r="G61" s="78">
        <f ca="1">COUNTIFS(clermont[adversaire],B61,clermont[Lieu Match],"domicile",clermont[Issue match],"défaite")</f>
        <v>0</v>
      </c>
      <c r="H61" s="80">
        <f ca="1">COUNTIFS(clermont[adversaire],B61,clermont[Lieu Match],"Extérieur",clermont[Issue match],"défaite")</f>
        <v>1</v>
      </c>
      <c r="I61" s="79">
        <f t="shared" ca="1" si="10"/>
        <v>0.5</v>
      </c>
      <c r="J61" s="85">
        <f ca="1">COUNTIFS(clermont[adversaire],B61,clermont[Lieu Match],"Domicile",clermont[Issue match],"Nul")+COUNTIFS(clermont[adversaire],B61,clermont[Lieu Match],"Extérieur",clermont[Issue match],"Nul")</f>
        <v>0</v>
      </c>
      <c r="K61" s="81">
        <f t="shared" ca="1" si="11"/>
        <v>0</v>
      </c>
      <c r="L61" s="89">
        <f t="shared" ca="1" si="12"/>
        <v>1</v>
      </c>
    </row>
    <row r="62" spans="1:12">
      <c r="A62" s="90" t="s">
        <v>26</v>
      </c>
      <c r="B62" s="91" t="s">
        <v>32</v>
      </c>
      <c r="C62" s="83">
        <f ca="1">COUNTIFS(clermont[adversaire],B62)</f>
        <v>2</v>
      </c>
      <c r="D62" s="84">
        <f ca="1">COUNTIFS(clermont[adversaire],B62,clermont[Lieu Match],"domicile",clermont[Issue match],"victoire")</f>
        <v>0</v>
      </c>
      <c r="E62" s="84">
        <f ca="1">COUNTIFS(clermont[adversaire],B62,clermont[Lieu Match],"Extérieur",clermont[Issue match],"victoire")</f>
        <v>0</v>
      </c>
      <c r="F62" s="82">
        <f t="shared" ca="1" si="9"/>
        <v>0</v>
      </c>
      <c r="G62" s="78">
        <f ca="1">COUNTIFS(clermont[adversaire],B62,clermont[Lieu Match],"domicile",clermont[Issue match],"défaite")</f>
        <v>1</v>
      </c>
      <c r="H62" s="80">
        <f ca="1">COUNTIFS(clermont[adversaire],B62,clermont[Lieu Match],"Extérieur",clermont[Issue match],"défaite")</f>
        <v>1</v>
      </c>
      <c r="I62" s="79">
        <f t="shared" ca="1" si="10"/>
        <v>1</v>
      </c>
      <c r="J62" s="85">
        <f ca="1">COUNTIFS(clermont[adversaire],B62,clermont[Lieu Match],"Domicile",clermont[Issue match],"Nul")+COUNTIFS(clermont[adversaire],B62,clermont[Lieu Match],"Extérieur",clermont[Issue match],"Nul")</f>
        <v>0</v>
      </c>
      <c r="K62" s="81">
        <f t="shared" ca="1" si="11"/>
        <v>0</v>
      </c>
      <c r="L62" s="89">
        <f t="shared" ca="1" si="12"/>
        <v>1</v>
      </c>
    </row>
    <row r="63" spans="1:12">
      <c r="A63" s="90" t="s">
        <v>26</v>
      </c>
      <c r="B63" s="91" t="s">
        <v>15</v>
      </c>
      <c r="C63" s="83">
        <f ca="1">COUNTIFS(clermont[adversaire],B63)</f>
        <v>2</v>
      </c>
      <c r="D63" s="84">
        <f ca="1">COUNTIFS(clermont[adversaire],B63,clermont[Lieu Match],"domicile",clermont[Issue match],"victoire")</f>
        <v>0</v>
      </c>
      <c r="E63" s="84">
        <f ca="1">COUNTIFS(clermont[adversaire],B63,clermont[Lieu Match],"Extérieur",clermont[Issue match],"victoire")</f>
        <v>0</v>
      </c>
      <c r="F63" s="82">
        <f t="shared" ca="1" si="9"/>
        <v>0</v>
      </c>
      <c r="G63" s="78">
        <f ca="1">COUNTIFS(clermont[adversaire],B63,clermont[Lieu Match],"domicile",clermont[Issue match],"défaite")</f>
        <v>1</v>
      </c>
      <c r="H63" s="80">
        <f ca="1">COUNTIFS(clermont[adversaire],B63,clermont[Lieu Match],"Extérieur",clermont[Issue match],"défaite")</f>
        <v>1</v>
      </c>
      <c r="I63" s="79">
        <f t="shared" ca="1" si="10"/>
        <v>1</v>
      </c>
      <c r="J63" s="85">
        <f ca="1">COUNTIFS(clermont[adversaire],B63,clermont[Lieu Match],"Domicile",clermont[Issue match],"Nul")+COUNTIFS(clermont[adversaire],B63,clermont[Lieu Match],"Extérieur",clermont[Issue match],"Nul")</f>
        <v>0</v>
      </c>
      <c r="K63" s="81">
        <f t="shared" ca="1" si="11"/>
        <v>0</v>
      </c>
      <c r="L63" s="89">
        <f t="shared" ca="1" si="12"/>
        <v>1</v>
      </c>
    </row>
    <row r="64" spans="1:12">
      <c r="A64" s="90" t="s">
        <v>26</v>
      </c>
      <c r="B64" s="91" t="s">
        <v>33</v>
      </c>
      <c r="C64" s="83">
        <f ca="1">COUNTIFS(clermont[adversaire],B64)</f>
        <v>2</v>
      </c>
      <c r="D64" s="84">
        <f ca="1">COUNTIFS(clermont[adversaire],B64,clermont[Lieu Match],"domicile",clermont[Issue match],"victoire")</f>
        <v>1</v>
      </c>
      <c r="E64" s="84">
        <f ca="1">COUNTIFS(clermont[adversaire],B64,clermont[Lieu Match],"Extérieur",clermont[Issue match],"victoire")</f>
        <v>0</v>
      </c>
      <c r="F64" s="82">
        <f t="shared" ca="1" si="9"/>
        <v>0.5</v>
      </c>
      <c r="G64" s="78">
        <f ca="1">COUNTIFS(clermont[adversaire],B64,clermont[Lieu Match],"domicile",clermont[Issue match],"défaite")</f>
        <v>0</v>
      </c>
      <c r="H64" s="80">
        <f ca="1">COUNTIFS(clermont[adversaire],B64,clermont[Lieu Match],"Extérieur",clermont[Issue match],"défaite")</f>
        <v>1</v>
      </c>
      <c r="I64" s="79">
        <f t="shared" ca="1" si="10"/>
        <v>0.5</v>
      </c>
      <c r="J64" s="85">
        <f ca="1">COUNTIFS(clermont[adversaire],B64,clermont[Lieu Match],"Domicile",clermont[Issue match],"Nul")+COUNTIFS(clermont[adversaire],B64,clermont[Lieu Match],"Extérieur",clermont[Issue match],"Nul")</f>
        <v>0</v>
      </c>
      <c r="K64" s="81">
        <f t="shared" ca="1" si="11"/>
        <v>0</v>
      </c>
      <c r="L64" s="89">
        <f t="shared" ca="1" si="12"/>
        <v>1</v>
      </c>
    </row>
  </sheetData>
  <mergeCells count="7">
    <mergeCell ref="Q1:S1"/>
    <mergeCell ref="Q9:S9"/>
    <mergeCell ref="A35:B35"/>
    <mergeCell ref="A1:A2"/>
    <mergeCell ref="B1:E1"/>
    <mergeCell ref="L1:N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W64"/>
  <sheetViews>
    <sheetView topLeftCell="E1" zoomScale="85" zoomScaleNormal="85" zoomScalePageLayoutView="85" workbookViewId="0">
      <selection activeCell="H13" sqref="H13"/>
    </sheetView>
  </sheetViews>
  <sheetFormatPr baseColWidth="10" defaultColWidth="10.5" defaultRowHeight="14" x14ac:dyDescent="0"/>
  <cols>
    <col min="1" max="1" width="13.33203125" bestFit="1" customWidth="1"/>
    <col min="2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83203125" bestFit="1" customWidth="1"/>
    <col min="9" max="9" width="9.5" bestFit="1" customWidth="1"/>
    <col min="10" max="10" width="4.83203125" bestFit="1" customWidth="1"/>
    <col min="11" max="11" width="14.33203125" bestFit="1" customWidth="1"/>
    <col min="12" max="12" width="11.6640625" bestFit="1" customWidth="1"/>
    <col min="13" max="13" width="12.1640625" bestFit="1" customWidth="1"/>
    <col min="16" max="16" width="14.33203125" bestFit="1" customWidth="1"/>
    <col min="17" max="17" width="12.1640625" bestFit="1" customWidth="1"/>
  </cols>
  <sheetData>
    <row r="1" spans="1:23">
      <c r="A1" s="121" t="s">
        <v>46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  <c r="V1" s="1"/>
      <c r="W1" s="1"/>
    </row>
    <row r="2" spans="1:23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SUMIFS(larochelle[Score D],larochelle[Lieu Match],"domicile")</f>
        <v>111</v>
      </c>
      <c r="M2" s="72">
        <f ca="1">SUMIFS(larochelle[Score E],larochelle[Lieu Match],"domicile")</f>
        <v>24</v>
      </c>
      <c r="N2" s="72">
        <f ca="1">L2-M2</f>
        <v>87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  <c r="V2" s="1"/>
      <c r="W2" s="1"/>
    </row>
    <row r="3" spans="1:23">
      <c r="A3" s="10" t="s">
        <v>2</v>
      </c>
      <c r="B3" s="15">
        <f ca="1">COUNTIF(larochelle[Lieu Match],"domicile")</f>
        <v>12</v>
      </c>
      <c r="C3" s="63">
        <f ca="1">COUNTIFS(larochelle[Issue match],"victoire",larochelle[Lieu Match],"domicile")</f>
        <v>3</v>
      </c>
      <c r="D3" s="63">
        <f ca="1">COUNTIFS(larochelle[Issue match],"nul",larochelle[Lieu Match],"domicile")</f>
        <v>0</v>
      </c>
      <c r="E3" s="63">
        <f ca="1">COUNTIFS(larochelle[Issue match],"défaite",larochelle[Lieu Match],"domicile")</f>
        <v>9</v>
      </c>
      <c r="F3" s="77">
        <f ca="1">C3+E3+D3-D3</f>
        <v>12</v>
      </c>
      <c r="G3" s="6" t="s">
        <v>46</v>
      </c>
      <c r="H3" s="7" t="s">
        <v>43</v>
      </c>
      <c r="K3" s="10" t="s">
        <v>9</v>
      </c>
      <c r="L3" s="18">
        <f ca="1">L2/F3</f>
        <v>9.25</v>
      </c>
      <c r="M3" s="18">
        <f ca="1">M2/F3</f>
        <v>2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  <c r="V3" s="1"/>
      <c r="W3" s="1"/>
    </row>
    <row r="4" spans="1:23">
      <c r="A4" s="10" t="s">
        <v>3</v>
      </c>
      <c r="B4" s="15">
        <f ca="1">COUNTIF(larochelle[Lieu Match],"extérieur")</f>
        <v>13</v>
      </c>
      <c r="C4" s="63">
        <f ca="1">COUNTIFS(larochelle[Issue match],"victoire",larochelle[Lieu Match],"extérieur")</f>
        <v>2</v>
      </c>
      <c r="D4" s="63">
        <f ca="1">COUNTIFS(larochelle[Issue match],"nul",larochelle[Lieu Match],"extérieur")</f>
        <v>0</v>
      </c>
      <c r="E4" s="63">
        <f ca="1">COUNTIFS(larochelle[Issue match],"défaite",larochelle[Lieu Match],"extérieur")</f>
        <v>10</v>
      </c>
      <c r="F4" s="77">
        <f ca="1">C4+E4+D4-D4</f>
        <v>12</v>
      </c>
      <c r="G4" s="8">
        <f t="array" ref="G4">INDEX($C$35:$L$46,MATCH(1,($A$35:$A$46=$A$1)*($B$35:$B$46=$H$3),0),4)</f>
        <v>0.54166666666666663</v>
      </c>
      <c r="H4" s="8">
        <f t="array" ref="H4">INDEX($C$35:$L$46,MATCH(1,($A$35:$A$46=$G$3)*($B$35:$B$46=$H$3),0),7)</f>
        <v>0.45833333333333331</v>
      </c>
      <c r="K4" s="10" t="s">
        <v>8</v>
      </c>
      <c r="L4" s="72">
        <f ca="1">SUMIFS(larochelle[Score D],larochelle[Lieu Match],"extérieur")</f>
        <v>82</v>
      </c>
      <c r="M4" s="72">
        <f ca="1">SUMIFS(larochelle[Score E],larochelle[Lieu Match],"extérieur")</f>
        <v>94</v>
      </c>
      <c r="N4" s="13">
        <f ca="1">L4-M4</f>
        <v>-12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  <c r="V4" s="1"/>
      <c r="W4" s="1"/>
    </row>
    <row r="5" spans="1:23">
      <c r="A5" s="10" t="s">
        <v>36</v>
      </c>
      <c r="B5" s="15">
        <f ca="1">B3+B4</f>
        <v>25</v>
      </c>
      <c r="C5" s="15">
        <f t="shared" ref="C5:E5" ca="1" si="0">C3+C4</f>
        <v>5</v>
      </c>
      <c r="D5" s="15">
        <f t="shared" ca="1" si="0"/>
        <v>0</v>
      </c>
      <c r="E5" s="15">
        <f t="shared" ca="1" si="0"/>
        <v>19</v>
      </c>
      <c r="F5" s="77">
        <f ca="1">C5+E5+D5-D5</f>
        <v>24</v>
      </c>
      <c r="G5" s="9">
        <f>100/G4/100</f>
        <v>1.8461538461538465</v>
      </c>
      <c r="H5" s="9">
        <f>100/H4/100</f>
        <v>2.1818181818181817</v>
      </c>
      <c r="K5" s="10" t="s">
        <v>9</v>
      </c>
      <c r="L5" s="18">
        <f ca="1">L4/F4</f>
        <v>6.833333333333333</v>
      </c>
      <c r="M5" s="18">
        <f ca="1">M4/F4</f>
        <v>7.833333333333333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  <c r="V5" s="1"/>
      <c r="W5" s="1"/>
    </row>
    <row r="6" spans="1:23">
      <c r="A6" s="1"/>
      <c r="B6" s="1"/>
      <c r="C6" s="1"/>
      <c r="D6" s="1"/>
      <c r="E6" s="1"/>
      <c r="F6" s="1"/>
      <c r="K6" s="10" t="s">
        <v>10</v>
      </c>
      <c r="L6" s="13">
        <f ca="1">L2+M4</f>
        <v>205</v>
      </c>
      <c r="M6" s="13">
        <f ca="1">M2+L4</f>
        <v>106</v>
      </c>
      <c r="N6" s="13">
        <f ca="1">L6-M6</f>
        <v>99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</row>
    <row r="7" spans="1:23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8.5416666666666661</v>
      </c>
      <c r="M7" s="18">
        <f ca="1">M6/F5</f>
        <v>4.416666666666667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</row>
    <row r="8" spans="1:23">
      <c r="A8" s="39" t="s">
        <v>124</v>
      </c>
      <c r="B8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Toulon</v>
      </c>
      <c r="C8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8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Victoire</v>
      </c>
      <c r="E8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29</v>
      </c>
      <c r="F8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15</v>
      </c>
      <c r="G8" s="34">
        <v>0</v>
      </c>
      <c r="H8" s="49">
        <v>0</v>
      </c>
      <c r="I8" s="50">
        <f ca="1">(larochelle[[#This Row],[Issue match]]="Victoire")*4 + (larochelle[[#This Row],[Issue match]]="Nul")*2 + larochelle[[#This Row],[Bonus off]] + larochelle[[#This Row],[Bonus déf]]</f>
        <v>4</v>
      </c>
      <c r="K8" s="1"/>
      <c r="L8" s="1"/>
      <c r="M8" s="1"/>
      <c r="N8" s="1"/>
      <c r="O8" s="1"/>
      <c r="P8" s="1"/>
      <c r="Q8" s="1"/>
      <c r="R8" s="1"/>
      <c r="S8" s="1"/>
    </row>
    <row r="9" spans="1:23">
      <c r="A9" s="39" t="s">
        <v>125</v>
      </c>
      <c r="B9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Toulouse</v>
      </c>
      <c r="C9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9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9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39</v>
      </c>
      <c r="F9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23</v>
      </c>
      <c r="G9" s="34">
        <v>0</v>
      </c>
      <c r="H9" s="49">
        <v>0</v>
      </c>
      <c r="I9" s="50">
        <f ca="1">(larochelle[[#This Row],[Issue match]]="Victoire")*4 + (larochelle[[#This Row],[Issue match]]="Nul")*2 + larochelle[[#This Row],[Bonus off]] + larochelle[[#This Row],[Bonus déf]]</f>
        <v>0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3">
      <c r="A10" s="39" t="s">
        <v>126</v>
      </c>
      <c r="B10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Racing 92</v>
      </c>
      <c r="C10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10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10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10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10" s="34"/>
      <c r="H10" s="49"/>
      <c r="I10" s="50">
        <f ca="1">(larochelle[[#This Row],[Issue match]]="Victoire")*4 + (larochelle[[#This Row],[Issue match]]="Nul")*2 + larochelle[[#This Row],[Bonus off]] + larochelle[[#This Row],[Bonus déf]]</f>
        <v>0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3">
      <c r="A11" s="39" t="s">
        <v>127</v>
      </c>
      <c r="B11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Bayonne</v>
      </c>
      <c r="C11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11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Victoire</v>
      </c>
      <c r="E11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19</v>
      </c>
      <c r="F11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36</v>
      </c>
      <c r="G11" s="34">
        <v>1</v>
      </c>
      <c r="H11" s="49">
        <v>0</v>
      </c>
      <c r="I11" s="50">
        <f ca="1">(larochelle[[#This Row],[Issue match]]="Victoire")*4 + (larochelle[[#This Row],[Issue match]]="Nul")*2 + larochelle[[#This Row],[Bonus off]] + larochelle[[#This Row],[Bonus déf]]</f>
        <v>5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3">
      <c r="A12" s="39" t="s">
        <v>128</v>
      </c>
      <c r="B12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Castres</v>
      </c>
      <c r="C12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12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Victoire</v>
      </c>
      <c r="E12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62</v>
      </c>
      <c r="F12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3</v>
      </c>
      <c r="G12" s="34">
        <v>1</v>
      </c>
      <c r="H12" s="49">
        <v>0</v>
      </c>
      <c r="I12" s="50">
        <f ca="1">(larochelle[[#This Row],[Issue match]]="Victoire")*4 + (larochelle[[#This Row],[Issue match]]="Nul")*2 + larochelle[[#This Row],[Bonus off]] + larochelle[[#This Row],[Bonus déf]]</f>
        <v>5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3">
      <c r="A13" s="39" t="s">
        <v>129</v>
      </c>
      <c r="B13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Bordeaux</v>
      </c>
      <c r="C13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13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Victoire</v>
      </c>
      <c r="E13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20</v>
      </c>
      <c r="F13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6</v>
      </c>
      <c r="G13" s="34">
        <v>0</v>
      </c>
      <c r="H13" s="49">
        <v>0</v>
      </c>
      <c r="I13" s="50">
        <f ca="1">(larochelle[[#This Row],[Issue match]]="Victoire")*4 + (larochelle[[#This Row],[Issue match]]="Nul")*2 + larochelle[[#This Row],[Bonus off]] + larochelle[[#This Row],[Bonus déf]]</f>
        <v>4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3">
      <c r="A14" s="39" t="s">
        <v>130</v>
      </c>
      <c r="B14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Pau</v>
      </c>
      <c r="C14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14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Victoire</v>
      </c>
      <c r="E14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24</v>
      </c>
      <c r="F14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35</v>
      </c>
      <c r="G14" s="34"/>
      <c r="H14" s="49"/>
      <c r="I14" s="50">
        <f ca="1">(larochelle[[#This Row],[Issue match]]="Victoire")*4 + (larochelle[[#This Row],[Issue match]]="Nul")*2 + larochelle[[#This Row],[Bonus off]] + larochelle[[#This Row],[Bonus déf]]</f>
        <v>4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3">
      <c r="A15" s="39" t="s">
        <v>131</v>
      </c>
      <c r="B15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Clermont</v>
      </c>
      <c r="C15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15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15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15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15" s="34"/>
      <c r="H15" s="49"/>
      <c r="I15" s="50">
        <f ca="1">(larochelle[[#This Row],[Issue match]]="Victoire")*4 + (larochelle[[#This Row],[Issue match]]="Nul")*2 + larochelle[[#This Row],[Bonus off]] + larochelle[[#This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3">
      <c r="A16" s="39" t="s">
        <v>132</v>
      </c>
      <c r="B16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Clermont</v>
      </c>
      <c r="C16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16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16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16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16" s="34"/>
      <c r="H16" s="49"/>
      <c r="I16" s="50">
        <f ca="1">(larochelle[[#This Row],[Issue match]]="Victoire")*4 + (larochelle[[#This Row],[Issue match]]="Nul")*2 + larochelle[[#This Row],[Bonus off]] + larochelle[[#This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1">
      <c r="A17" s="39" t="s">
        <v>133</v>
      </c>
      <c r="B17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Paris</v>
      </c>
      <c r="C17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17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17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17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17" s="34"/>
      <c r="H17" s="49"/>
      <c r="I17" s="50">
        <f ca="1">(larochelle[[#This Row],[Issue match]]="Victoire")*4 + (larochelle[[#This Row],[Issue match]]="Nul")*2 + larochelle[[#This Row],[Bonus off]] + larochelle[[#This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1">
      <c r="A18" s="39" t="s">
        <v>134</v>
      </c>
      <c r="B18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Lyon</v>
      </c>
      <c r="C18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18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18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18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18" s="34"/>
      <c r="H18" s="49"/>
      <c r="I18" s="50">
        <f ca="1">(larochelle[[#This Row],[Issue match]]="Victoire")*4 + (larochelle[[#This Row],[Issue match]]="Nul")*2 + larochelle[[#This Row],[Bonus off]] + larochelle[[#This Row],[Bonus déf]]</f>
        <v>0</v>
      </c>
      <c r="K18" s="10" t="s">
        <v>7</v>
      </c>
      <c r="L18" s="13"/>
      <c r="M18" s="72"/>
      <c r="N18" s="72"/>
      <c r="O18" s="1"/>
      <c r="P18" s="1"/>
      <c r="R18" s="1"/>
      <c r="S18" s="1"/>
    </row>
    <row r="19" spans="1:21">
      <c r="A19" s="39" t="s">
        <v>135</v>
      </c>
      <c r="B19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Montpellier</v>
      </c>
      <c r="C19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19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19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19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19" s="34"/>
      <c r="H19" s="49"/>
      <c r="I19" s="50">
        <f ca="1">(larochelle[[#This Row],[Issue match]]="Victoire")*4 + (larochelle[[#This Row],[Issue match]]="Nul")*2 + larochelle[[#This Row],[Bonus off]] + larochelle[[#This Row],[Bonus déf]]</f>
        <v>0</v>
      </c>
      <c r="K19" s="10" t="s">
        <v>9</v>
      </c>
      <c r="L19" s="18"/>
      <c r="M19" s="18"/>
      <c r="N19" s="13"/>
      <c r="O19" s="1"/>
      <c r="P19" s="1" t="s">
        <v>46</v>
      </c>
      <c r="Q19" s="12" t="s">
        <v>41</v>
      </c>
      <c r="R19" s="1"/>
      <c r="S19" s="1"/>
      <c r="T19" s="1"/>
      <c r="U19" s="1"/>
    </row>
    <row r="20" spans="1:21" s="1" customFormat="1">
      <c r="A20" s="39" t="s">
        <v>136</v>
      </c>
      <c r="B20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Agen</v>
      </c>
      <c r="C20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20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20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0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0" s="34"/>
      <c r="H20" s="49"/>
      <c r="I20" s="50">
        <f ca="1">(larochelle[[#This Row],[Issue match]]="Victoire")*4 + (larochelle[[#This Row],[Issue match]]="Nul")*2 + larochelle[[#This Row],[Bonus off]] + larochelle[[#This Row],[Bonus déf]]</f>
        <v>0</v>
      </c>
      <c r="K20" s="10" t="s">
        <v>8</v>
      </c>
      <c r="L20" s="72"/>
      <c r="M20" s="72"/>
      <c r="N20" s="13"/>
      <c r="P20" s="1" t="s">
        <v>46</v>
      </c>
      <c r="Q20" s="26" t="s">
        <v>42</v>
      </c>
    </row>
    <row r="21" spans="1:21">
      <c r="A21" s="39" t="s">
        <v>137</v>
      </c>
      <c r="B21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Racing 92</v>
      </c>
      <c r="C21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21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21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1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1" s="34"/>
      <c r="H21" s="49"/>
      <c r="I21" s="50">
        <f ca="1">(larochelle[[#This Row],[Issue match]]="Victoire")*4 + (larochelle[[#This Row],[Issue match]]="Nul")*2 + larochelle[[#This Row],[Bonus off]] + larochelle[[#This Row],[Bonus déf]]</f>
        <v>0</v>
      </c>
      <c r="K21" s="10" t="s">
        <v>9</v>
      </c>
      <c r="L21" s="18"/>
      <c r="M21" s="18"/>
      <c r="N21" s="13"/>
      <c r="O21" s="1"/>
      <c r="P21" s="1" t="s">
        <v>46</v>
      </c>
      <c r="Q21" s="12" t="s">
        <v>43</v>
      </c>
      <c r="R21" s="1"/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Toulouse</v>
      </c>
      <c r="C22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22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22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2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2" s="34"/>
      <c r="H22" s="49"/>
      <c r="I22" s="50">
        <f ca="1">(larochelle[[#This Row],[Issue match]]="Victoire")*4 + (larochelle[[#This Row],[Issue match]]="Nul")*2 + larochelle[[#This Row],[Bonus off]] + larochelle[[#This Row],[Bonus déf]]</f>
        <v>0</v>
      </c>
      <c r="K22" s="10" t="s">
        <v>10</v>
      </c>
      <c r="L22" s="13"/>
      <c r="M22" s="13"/>
      <c r="N22" s="13"/>
      <c r="O22" s="1"/>
      <c r="P22" s="1" t="s">
        <v>46</v>
      </c>
      <c r="Q22" s="12" t="s">
        <v>40</v>
      </c>
      <c r="R22" s="1"/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Toulon</v>
      </c>
      <c r="C23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23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23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3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3" s="34"/>
      <c r="H23" s="49"/>
      <c r="I23" s="50">
        <f ca="1">(larochelle[[#This Row],[Issue match]]="Victoire")*4 + (larochelle[[#This Row],[Issue match]]="Nul")*2 + larochelle[[#This Row],[Bonus off]] + larochelle[[#This Row],[Bonus déf]]</f>
        <v>0</v>
      </c>
      <c r="K23" s="10" t="s">
        <v>9</v>
      </c>
      <c r="L23" s="18"/>
      <c r="M23" s="18"/>
      <c r="N23" s="13"/>
      <c r="O23" s="1"/>
      <c r="P23" s="1" t="s">
        <v>46</v>
      </c>
      <c r="Q23" s="12" t="s">
        <v>44</v>
      </c>
      <c r="R23" s="1"/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Paris</v>
      </c>
      <c r="C24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24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24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4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4" s="34"/>
      <c r="H24" s="49"/>
      <c r="I24" s="50">
        <f ca="1">(larochelle[[#This Row],[Issue match]]="Victoire")*4 + (larochelle[[#This Row],[Issue match]]="Nul")*2 + larochelle[[#This Row],[Bonus off]] + larochelle[[#This Row],[Bonus déf]]</f>
        <v>0</v>
      </c>
      <c r="K24" s="1"/>
      <c r="L24" s="1"/>
      <c r="M24" s="1"/>
      <c r="N24" s="1"/>
      <c r="O24" s="1"/>
      <c r="P24" s="1" t="s">
        <v>46</v>
      </c>
      <c r="Q24" s="12" t="s">
        <v>45</v>
      </c>
      <c r="R24" s="1"/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Castres</v>
      </c>
      <c r="C25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25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25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5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5" s="34"/>
      <c r="H25" s="49"/>
      <c r="I25" s="50">
        <f ca="1">(larochelle[[#This Row],[Issue match]]="Victoire")*4 + (larochelle[[#This Row],[Issue match]]="Nul")*2 + larochelle[[#This Row],[Bonus off]] + larochelle[[#This Row],[Bonus déf]]</f>
        <v>0</v>
      </c>
      <c r="K25" s="10" t="s">
        <v>6</v>
      </c>
      <c r="L25" s="69"/>
      <c r="M25" s="70"/>
      <c r="N25" s="71"/>
      <c r="O25" s="1"/>
      <c r="P25" s="1" t="s">
        <v>46</v>
      </c>
      <c r="Q25" s="12" t="s">
        <v>47</v>
      </c>
      <c r="R25" s="1"/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MontpellierBayonne</v>
      </c>
      <c r="C26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26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/>
      </c>
      <c r="E26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6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6" s="34"/>
      <c r="H26" s="49"/>
      <c r="I26" s="50">
        <f ca="1">(larochelle[[#This Row],[Issue match]]="Victoire")*4 + (larochelle[[#This Row],[Issue match]]="Nul")*2 + larochelle[[#This Row],[Bonus off]] + larochelle[[#This Row],[Bonus déf]]</f>
        <v>0</v>
      </c>
      <c r="K26" s="10" t="s">
        <v>7</v>
      </c>
      <c r="L26" s="13"/>
      <c r="M26" s="72"/>
      <c r="N26" s="72"/>
      <c r="O26" s="1"/>
      <c r="P26" s="1" t="s">
        <v>46</v>
      </c>
      <c r="Q26" s="12" t="s">
        <v>48</v>
      </c>
      <c r="R26" s="1"/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Bordeaux</v>
      </c>
      <c r="C27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27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27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7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7" s="34"/>
      <c r="H27" s="49"/>
      <c r="I27" s="50">
        <f ca="1">(larochelle[[#This Row],[Issue match]]="Victoire")*4 + (larochelle[[#This Row],[Issue match]]="Nul")*2 + larochelle[[#This Row],[Bonus off]] + larochelle[[#This Row],[Bonus déf]]</f>
        <v>0</v>
      </c>
      <c r="K27" s="10" t="s">
        <v>9</v>
      </c>
      <c r="L27" s="18"/>
      <c r="M27" s="18"/>
      <c r="N27" s="13"/>
      <c r="O27" s="1"/>
      <c r="P27" s="1" t="s">
        <v>46</v>
      </c>
      <c r="Q27" s="12" t="s">
        <v>49</v>
      </c>
      <c r="R27" s="1"/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Lyon</v>
      </c>
      <c r="C28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28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28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8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8" s="34"/>
      <c r="H28" s="49"/>
      <c r="I28" s="50">
        <f ca="1">(larochelle[[#This Row],[Issue match]]="Victoire")*4 + (larochelle[[#This Row],[Issue match]]="Nul")*2 + larochelle[[#This Row],[Bonus off]] + larochelle[[#This Row],[Bonus déf]]</f>
        <v>0</v>
      </c>
      <c r="K28" s="10" t="s">
        <v>8</v>
      </c>
      <c r="L28" s="72"/>
      <c r="M28" s="72"/>
      <c r="N28" s="13"/>
      <c r="O28" s="1"/>
      <c r="P28" s="1" t="s">
        <v>46</v>
      </c>
      <c r="Q28" s="12" t="s">
        <v>50</v>
      </c>
      <c r="R28" s="1"/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/>
      </c>
      <c r="C29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/>
      </c>
      <c r="D29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/>
      </c>
      <c r="E29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29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29" s="34"/>
      <c r="H29" s="49"/>
      <c r="I29" s="50">
        <f ca="1">(larochelle[[#This Row],[Issue match]]="Victoire")*4 + (larochelle[[#This Row],[Issue match]]="Nul")*2 + larochelle[[#This Row],[Bonus off]] + larochelle[[#This Row],[Bonus déf]]</f>
        <v>0</v>
      </c>
      <c r="K29" s="10" t="s">
        <v>9</v>
      </c>
      <c r="L29" s="18"/>
      <c r="M29" s="18"/>
      <c r="N29" s="13"/>
      <c r="O29" s="1"/>
      <c r="P29" s="1" t="s">
        <v>46</v>
      </c>
      <c r="Q29" s="12" t="s">
        <v>51</v>
      </c>
      <c r="R29" s="1"/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Montpellier</v>
      </c>
      <c r="C30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30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30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30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30" s="34"/>
      <c r="H30" s="49"/>
      <c r="I30" s="50">
        <f ca="1">(larochelle[[#This Row],[Issue match]]="Victoire")*4 + (larochelle[[#This Row],[Issue match]]="Nul")*2 + larochelle[[#This Row],[Bonus off]] + larochelle[[#This Row],[Bonus déf]]</f>
        <v>0</v>
      </c>
      <c r="K30" s="10" t="s">
        <v>10</v>
      </c>
      <c r="L30" s="13"/>
      <c r="M30" s="13"/>
      <c r="N30" s="13"/>
      <c r="O30" s="1"/>
      <c r="P30" s="1" t="s">
        <v>46</v>
      </c>
      <c r="Q30" s="12" t="s">
        <v>52</v>
      </c>
      <c r="R30" s="1"/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Agen</v>
      </c>
      <c r="C31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31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31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31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31" s="34"/>
      <c r="H31" s="49"/>
      <c r="I31" s="50">
        <f ca="1">(larochelle[[#This Row],[Issue match]]="Victoire")*4 + (larochelle[[#This Row],[Issue match]]="Nul")*2 + larochelle[[#This Row],[Bonus off]] + larochelle[[#This Row],[Bonus déf]]</f>
        <v>0</v>
      </c>
      <c r="K31" s="10" t="s">
        <v>9</v>
      </c>
      <c r="L31" s="18"/>
      <c r="M31" s="18"/>
      <c r="N31" s="13"/>
      <c r="O31" s="1"/>
      <c r="P31" s="1" t="s">
        <v>46</v>
      </c>
      <c r="Q31" s="12" t="s">
        <v>53</v>
      </c>
      <c r="R31" s="1"/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Pau</v>
      </c>
      <c r="C32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Domicile</v>
      </c>
      <c r="D32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32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32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32" s="34"/>
      <c r="H32" s="49"/>
      <c r="I32" s="50">
        <f ca="1">(larochelle[[#This Row],[Issue match]]="Victoire")*4 + (larochelle[[#This Row],[Issue match]]="Nul")*2 + larochelle[[#This Row],[Bonus off]] + larochelle[[#This Row],[Bonus déf]]</f>
        <v>0</v>
      </c>
      <c r="O32" s="1"/>
      <c r="P32" s="1"/>
      <c r="Q32" s="1"/>
      <c r="R32" s="1"/>
      <c r="S32" s="1"/>
      <c r="T32" s="1"/>
      <c r="U32" s="1"/>
    </row>
    <row r="33" spans="1:13">
      <c r="A33" s="39" t="s">
        <v>149</v>
      </c>
      <c r="B33" s="37" t="str">
        <f ca="1">CONCATENATE(
IFERROR( INDEX(INDIRECT("resultat!C"&amp;PRODUCT(7,MATCH(larochelle[[#This Row],[journée]],larochelle[journée],0)-1)+2&amp;":C"&amp;PRODUCT(7,MATCH(larochelle[[#This Row],[journée]],larochelle[journée],0))+1),
IFERROR(MATCH($A$1, INDIRECT("resultat!f"&amp;PRODUCT(7,MATCH(larochelle[[#This Row],[journée]],larochelle[journée],0)-1)+2&amp;":f"&amp;PRODUCT(7,MATCH(larochelle[[#This Row],[journée]],larochelle[journée],0))+1),0 ),""),0),""),
IFERROR( INDEX(INDIRECT("resultat!f"&amp;PRODUCT(7,MATCH(larochelle[[#This Row],[journée]],larochelle[journée],0)-1)+2&amp;":f"&amp;PRODUCT(7,MATCH(larochelle[[#This Row],[journée]],larochelle[journée],0))+1),
IFERROR(MATCH($A$1, INDIRECT("resultat!c"&amp;PRODUCT(7,MATCH(larochelle[[#This Row],[journée]],larochelle[journée],0)-1)+2&amp;":c"&amp;PRODUCT(7,MATCH(larochelle[[#This Row],[journée]],larochelle[journée],0))+1),0 ),""),0),"") )</f>
        <v>Clermont</v>
      </c>
      <c r="C33" s="38" t="str">
        <f ca="1">IF(AND(ISNA(MATCH($A$1,INDIRECT("resultat!f"&amp;PRODUCT(7,MATCH(larochelle[[#This Row],[journée]],larochelle[journée],0)-1)+2&amp;":f"&amp;PRODUCT(7,MATCH(larochelle[[#This Row],[journée]],larochelle[journée],0))+1),0)),
ISNA(MATCH($A$1,INDIRECT("resultat!c"&amp;PRODUCT(7,MATCH(larochelle[[#This Row],[journée]],larochelle[journée],0)-1)+2&amp;":c"&amp;PRODUCT(7,MATCH(larochelle[[#This Row],[journée]],larochelle[journée],0))+1),0))),"",IF(ISNA(MATCH($A$1,INDIRECT("resultat!f"&amp;PRODUCT(7,MATCH(larochelle[[#This Row],[journée]],larochelle[journée],0)-1)+2&amp;":f"&amp;PRODUCT(7,MATCH(larochelle[[#This Row],[journée]],larochelle[journée],0))+1),0)),
"Domicile","Extérieur"))</f>
        <v>Extérieur</v>
      </c>
      <c r="D33" s="52" t="str">
        <f ca="1">IFERROR(  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$A$1, "Victoire",
IF( INDEX(INDIRECT("resultat!h"&amp;PRODUCT(7,MATCH(larochelle[[#This Row],[journée]],larochelle[journée],0)-1)+2&amp;":h"&amp;PRODUCT(7,MATCH(larochelle[[#This Row],[journée]],larochelle[journée],0))+1),
CONCATENATE(
IFERROR(MATCH( $A$1, INDIRECT("resultat!C"&amp;PRODUCT(7,MATCH(larochelle[[#This Row],[journée]],larochelle[journée],0)-1)+2&amp;":C"&amp;PRODUCT(7,MATCH(larochelle[[#This Row],[journée]],larochelle[journée],0))+1),0),""),
IFERROR(MATCH($A$1, INDIRECT("resultat!f"&amp;PRODUCT(7,MATCH(larochelle[[#This Row],[journée]],larochelle[journée],0)-1)+2&amp;":f"&amp;PRODUCT(7,MATCH(larochelle[[#This Row],[journée]],larochelle[journée],0))+1),0 ),"")),0) = "Nul", "Nul", "Défaite" )), "")</f>
        <v>Défaite</v>
      </c>
      <c r="E33" s="45">
        <f ca="1">SUMIFS(resultat[Score D],resultat[Journée],larochelle[[#This Row],[journée]],resultat[Domicile],larochelle[[#This Row],[adversaire]]) + SUMIFS(resultat[Score D],resultat[Journée],larochelle[[#This Row],[journée]],resultat[Exterieur],larochelle[[#This Row],[adversaire]])</f>
        <v>0</v>
      </c>
      <c r="F33" s="46">
        <f ca="1">SUMIFS(resultat[Score E],resultat[Journée],larochelle[[#This Row],[journée]],resultat[Domicile],larochelle[[#This Row],[adversaire]])  + SUMIFS(resultat[Score E],resultat[Journée],larochelle[[#This Row],[journée]],resultat[Exterieur],larochelle[[#This Row],[adversaire]])</f>
        <v>0</v>
      </c>
      <c r="G33" s="34"/>
      <c r="H33" s="49"/>
      <c r="I33" s="50">
        <f ca="1">(larochelle[[#This Row],[Issue match]]="Victoire")*4 + (larochelle[[#This Row],[Issue match]]="Nul")*2 + larochelle[[#This Row],[Bonus off]] + larochelle[[#This Row],[Bonus déf]]</f>
        <v>0</v>
      </c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13">
      <c r="A36" s="74" t="s">
        <v>27</v>
      </c>
      <c r="B36" s="74" t="s">
        <v>14</v>
      </c>
      <c r="C36" s="48">
        <v>20</v>
      </c>
      <c r="D36" s="48">
        <v>7</v>
      </c>
      <c r="E36" s="48">
        <v>3</v>
      </c>
      <c r="F36" s="19">
        <f t="shared" ref="F36:F48" si="1">(D36+E36)/C36</f>
        <v>0.5</v>
      </c>
      <c r="G36" s="48">
        <v>3</v>
      </c>
      <c r="H36" s="48">
        <v>7</v>
      </c>
      <c r="I36" s="19">
        <f t="shared" ref="I36:I48" si="2">(G36+H36)/C36</f>
        <v>0.5</v>
      </c>
      <c r="J36" s="48"/>
      <c r="K36" s="21">
        <f t="shared" ref="K36:K48" si="3">100%-(F36+I36)</f>
        <v>0</v>
      </c>
      <c r="L36" s="22">
        <f t="shared" ref="L36:L48" si="4">SUM(F36+I36+K36)</f>
        <v>1</v>
      </c>
      <c r="M36" s="25"/>
    </row>
    <row r="37" spans="1:13">
      <c r="A37" s="74" t="s">
        <v>27</v>
      </c>
      <c r="B37" s="74" t="s">
        <v>23</v>
      </c>
      <c r="C37" s="48">
        <v>15</v>
      </c>
      <c r="D37" s="48">
        <v>3</v>
      </c>
      <c r="E37" s="48">
        <v>3</v>
      </c>
      <c r="F37" s="19">
        <f t="shared" si="1"/>
        <v>0.4</v>
      </c>
      <c r="G37" s="48">
        <v>1</v>
      </c>
      <c r="H37" s="48">
        <v>4</v>
      </c>
      <c r="I37" s="19">
        <f t="shared" si="2"/>
        <v>0.33333333333333331</v>
      </c>
      <c r="J37" s="48">
        <v>4</v>
      </c>
      <c r="K37" s="21">
        <f t="shared" si="3"/>
        <v>0.26666666666666661</v>
      </c>
      <c r="L37" s="22">
        <f t="shared" si="4"/>
        <v>1</v>
      </c>
    </row>
    <row r="38" spans="1:13">
      <c r="A38" s="74" t="s">
        <v>27</v>
      </c>
      <c r="B38" s="74" t="s">
        <v>24</v>
      </c>
      <c r="C38" s="48">
        <v>24</v>
      </c>
      <c r="D38" s="48">
        <v>9</v>
      </c>
      <c r="E38" s="48">
        <v>4</v>
      </c>
      <c r="F38" s="19">
        <f t="shared" si="1"/>
        <v>0.54166666666666663</v>
      </c>
      <c r="G38" s="48">
        <v>3</v>
      </c>
      <c r="H38" s="48">
        <v>8</v>
      </c>
      <c r="I38" s="19">
        <f t="shared" si="2"/>
        <v>0.45833333333333331</v>
      </c>
      <c r="J38" s="48"/>
      <c r="K38" s="21">
        <f t="shared" si="3"/>
        <v>0</v>
      </c>
      <c r="L38" s="22">
        <f t="shared" si="4"/>
        <v>1</v>
      </c>
    </row>
    <row r="39" spans="1:13">
      <c r="A39" s="74" t="s">
        <v>27</v>
      </c>
      <c r="B39" s="74" t="s">
        <v>25</v>
      </c>
      <c r="C39" s="48">
        <v>15</v>
      </c>
      <c r="D39" s="48">
        <v>8</v>
      </c>
      <c r="E39" s="48">
        <v>0</v>
      </c>
      <c r="F39" s="19">
        <f t="shared" si="1"/>
        <v>0.53333333333333333</v>
      </c>
      <c r="G39" s="48">
        <v>0</v>
      </c>
      <c r="H39" s="48">
        <v>5</v>
      </c>
      <c r="I39" s="19">
        <f t="shared" si="2"/>
        <v>0.33333333333333331</v>
      </c>
      <c r="J39" s="48">
        <v>2</v>
      </c>
      <c r="K39" s="21">
        <f t="shared" si="3"/>
        <v>0.1333333333333333</v>
      </c>
      <c r="L39" s="22">
        <f t="shared" si="4"/>
        <v>1</v>
      </c>
    </row>
    <row r="40" spans="1:13">
      <c r="A40" s="74" t="s">
        <v>27</v>
      </c>
      <c r="B40" s="74" t="s">
        <v>37</v>
      </c>
      <c r="C40" s="48">
        <v>16</v>
      </c>
      <c r="D40" s="48">
        <v>7</v>
      </c>
      <c r="E40" s="48">
        <v>2</v>
      </c>
      <c r="F40" s="19">
        <f t="shared" si="1"/>
        <v>0.5625</v>
      </c>
      <c r="G40" s="48">
        <v>1</v>
      </c>
      <c r="H40" s="48">
        <v>5</v>
      </c>
      <c r="I40" s="19">
        <f t="shared" si="2"/>
        <v>0.375</v>
      </c>
      <c r="J40" s="48">
        <v>1</v>
      </c>
      <c r="K40" s="21">
        <f t="shared" si="3"/>
        <v>6.25E-2</v>
      </c>
      <c r="L40" s="22">
        <f t="shared" si="4"/>
        <v>1</v>
      </c>
    </row>
    <row r="41" spans="1:13">
      <c r="A41" s="74" t="s">
        <v>27</v>
      </c>
      <c r="B41" s="74" t="s">
        <v>26</v>
      </c>
      <c r="C41" s="48">
        <v>15</v>
      </c>
      <c r="D41" s="48">
        <v>4</v>
      </c>
      <c r="E41" s="48">
        <v>0</v>
      </c>
      <c r="F41" s="19">
        <f t="shared" si="1"/>
        <v>0.26666666666666666</v>
      </c>
      <c r="G41" s="48">
        <v>2</v>
      </c>
      <c r="H41" s="48">
        <v>8</v>
      </c>
      <c r="I41" s="19">
        <f t="shared" si="2"/>
        <v>0.66666666666666663</v>
      </c>
      <c r="J41" s="48">
        <v>1</v>
      </c>
      <c r="K41" s="21">
        <f t="shared" si="3"/>
        <v>6.6666666666666652E-2</v>
      </c>
      <c r="L41" s="22">
        <f t="shared" si="4"/>
        <v>1</v>
      </c>
    </row>
    <row r="42" spans="1:13">
      <c r="A42" s="74" t="s">
        <v>27</v>
      </c>
      <c r="B42" s="74" t="s">
        <v>28</v>
      </c>
      <c r="C42" s="48">
        <v>30</v>
      </c>
      <c r="D42" s="48">
        <v>10</v>
      </c>
      <c r="E42" s="48">
        <v>3</v>
      </c>
      <c r="F42" s="19">
        <f t="shared" si="1"/>
        <v>0.43333333333333335</v>
      </c>
      <c r="G42" s="48">
        <v>3</v>
      </c>
      <c r="H42" s="48">
        <v>11</v>
      </c>
      <c r="I42" s="19">
        <f t="shared" si="2"/>
        <v>0.46666666666666667</v>
      </c>
      <c r="J42" s="48">
        <v>3</v>
      </c>
      <c r="K42" s="21">
        <f t="shared" si="3"/>
        <v>9.9999999999999978E-2</v>
      </c>
      <c r="L42" s="22">
        <f t="shared" si="4"/>
        <v>1</v>
      </c>
    </row>
    <row r="43" spans="1:13">
      <c r="A43" s="74" t="s">
        <v>27</v>
      </c>
      <c r="B43" s="74" t="s">
        <v>29</v>
      </c>
      <c r="C43" s="48">
        <v>16</v>
      </c>
      <c r="D43" s="48">
        <v>7</v>
      </c>
      <c r="E43" s="48">
        <v>0</v>
      </c>
      <c r="F43" s="19">
        <f t="shared" si="1"/>
        <v>0.4375</v>
      </c>
      <c r="G43" s="48">
        <v>0</v>
      </c>
      <c r="H43" s="48">
        <v>6</v>
      </c>
      <c r="I43" s="19">
        <f t="shared" si="2"/>
        <v>0.375</v>
      </c>
      <c r="J43" s="48">
        <v>3</v>
      </c>
      <c r="K43" s="21">
        <f t="shared" si="3"/>
        <v>0.1875</v>
      </c>
      <c r="L43" s="22">
        <f t="shared" si="4"/>
        <v>1</v>
      </c>
    </row>
    <row r="44" spans="1:13">
      <c r="A44" s="74" t="s">
        <v>27</v>
      </c>
      <c r="B44" s="74" t="s">
        <v>30</v>
      </c>
      <c r="C44" s="48">
        <v>16</v>
      </c>
      <c r="D44" s="48">
        <v>4</v>
      </c>
      <c r="E44" s="48">
        <v>1</v>
      </c>
      <c r="F44" s="19">
        <f t="shared" si="1"/>
        <v>0.3125</v>
      </c>
      <c r="G44" s="48">
        <v>2</v>
      </c>
      <c r="H44" s="48">
        <v>7</v>
      </c>
      <c r="I44" s="19">
        <f t="shared" si="2"/>
        <v>0.5625</v>
      </c>
      <c r="J44" s="48">
        <v>2</v>
      </c>
      <c r="K44" s="21">
        <f t="shared" si="3"/>
        <v>0.125</v>
      </c>
      <c r="L44" s="22">
        <f t="shared" si="4"/>
        <v>1</v>
      </c>
    </row>
    <row r="45" spans="1:13">
      <c r="A45" s="74" t="s">
        <v>27</v>
      </c>
      <c r="B45" s="74" t="s">
        <v>31</v>
      </c>
      <c r="C45" s="48">
        <v>28</v>
      </c>
      <c r="D45" s="48">
        <v>13</v>
      </c>
      <c r="E45" s="48">
        <v>5</v>
      </c>
      <c r="F45" s="19">
        <f t="shared" si="1"/>
        <v>0.6428571428571429</v>
      </c>
      <c r="G45" s="48">
        <v>0</v>
      </c>
      <c r="H45" s="48">
        <v>9</v>
      </c>
      <c r="I45" s="19">
        <f t="shared" si="2"/>
        <v>0.32142857142857145</v>
      </c>
      <c r="J45" s="48">
        <v>1</v>
      </c>
      <c r="K45" s="21">
        <f t="shared" si="3"/>
        <v>3.5714285714285587E-2</v>
      </c>
      <c r="L45" s="22">
        <f t="shared" si="4"/>
        <v>1</v>
      </c>
    </row>
    <row r="46" spans="1:13">
      <c r="A46" s="74" t="s">
        <v>27</v>
      </c>
      <c r="B46" s="74" t="s">
        <v>32</v>
      </c>
      <c r="C46" s="48">
        <v>30</v>
      </c>
      <c r="D46" s="48">
        <v>7</v>
      </c>
      <c r="E46" s="48">
        <v>3</v>
      </c>
      <c r="F46" s="19">
        <f t="shared" si="1"/>
        <v>0.33333333333333331</v>
      </c>
      <c r="G46" s="48">
        <v>4</v>
      </c>
      <c r="H46" s="48">
        <v>11</v>
      </c>
      <c r="I46" s="19">
        <f t="shared" si="2"/>
        <v>0.5</v>
      </c>
      <c r="J46" s="48">
        <v>5</v>
      </c>
      <c r="K46" s="21">
        <f t="shared" si="3"/>
        <v>0.16666666666666674</v>
      </c>
      <c r="L46" s="22">
        <f t="shared" si="4"/>
        <v>1</v>
      </c>
    </row>
    <row r="47" spans="1:13">
      <c r="A47" s="74" t="s">
        <v>27</v>
      </c>
      <c r="B47" s="74" t="s">
        <v>15</v>
      </c>
      <c r="C47" s="27">
        <v>27</v>
      </c>
      <c r="D47" s="27">
        <v>8</v>
      </c>
      <c r="E47" s="27">
        <v>2</v>
      </c>
      <c r="F47" s="19">
        <f t="shared" si="1"/>
        <v>0.37037037037037035</v>
      </c>
      <c r="G47" s="27">
        <v>5</v>
      </c>
      <c r="H47" s="27">
        <v>9</v>
      </c>
      <c r="I47" s="19">
        <f t="shared" si="2"/>
        <v>0.51851851851851849</v>
      </c>
      <c r="J47" s="27">
        <v>3</v>
      </c>
      <c r="K47" s="21">
        <f t="shared" si="3"/>
        <v>0.11111111111111116</v>
      </c>
      <c r="L47" s="22">
        <f t="shared" si="4"/>
        <v>1</v>
      </c>
    </row>
    <row r="48" spans="1:13">
      <c r="A48" s="74" t="s">
        <v>27</v>
      </c>
      <c r="B48" s="74" t="s">
        <v>33</v>
      </c>
      <c r="C48" s="27">
        <v>17</v>
      </c>
      <c r="D48" s="27">
        <v>5</v>
      </c>
      <c r="E48" s="27">
        <v>1</v>
      </c>
      <c r="F48" s="19">
        <f t="shared" si="1"/>
        <v>0.35294117647058826</v>
      </c>
      <c r="G48" s="27">
        <v>3</v>
      </c>
      <c r="H48" s="27">
        <v>8</v>
      </c>
      <c r="I48" s="19">
        <f t="shared" si="2"/>
        <v>0.6470588235294118</v>
      </c>
      <c r="J48" s="27"/>
      <c r="K48" s="21">
        <f t="shared" si="3"/>
        <v>0</v>
      </c>
      <c r="L48" s="22">
        <f t="shared" si="4"/>
        <v>1</v>
      </c>
    </row>
    <row r="50" spans="1:12">
      <c r="A50" s="92" t="s">
        <v>166</v>
      </c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27</v>
      </c>
      <c r="B52" s="91" t="s">
        <v>14</v>
      </c>
      <c r="C52" s="83">
        <f ca="1">COUNTIFS(larochelle[adversaire],B52)</f>
        <v>2</v>
      </c>
      <c r="D52" s="84">
        <f ca="1">COUNTIFS(larochelle[adversaire],B52,larochelle[Lieu Match],"domicile",larochelle[Issue match],"victoire")</f>
        <v>0</v>
      </c>
      <c r="E52" s="84">
        <f ca="1">COUNTIFS(larochelle[adversaire],B52,larochelle[Lieu Match],"Extérieur",larochelle[Issue match],"victoire")</f>
        <v>0</v>
      </c>
      <c r="F52" s="82">
        <f t="shared" ref="F52" ca="1" si="5">(D52+E52)/C52</f>
        <v>0</v>
      </c>
      <c r="G52" s="78">
        <f ca="1">COUNTIFS(larochelle[adversaire],B52,larochelle[Lieu Match],"domicile",larochelle[Issue match],"défaite")</f>
        <v>1</v>
      </c>
      <c r="H52" s="80">
        <f ca="1">COUNTIFS(larochelle[adversaire],B52,larochelle[Lieu Match],"Extérieur",larochelle[Issue match],"défaite")</f>
        <v>1</v>
      </c>
      <c r="I52" s="79">
        <f t="shared" ref="I52" ca="1" si="6">(G52+H52)/C52</f>
        <v>1</v>
      </c>
      <c r="J52" s="85">
        <f ca="1">COUNTIFS(larochelle[adversaire],B52,larochelle[Lieu Match],"Domicile",larochelle[Issue match],"Nul")+COUNTIFS(larochelle[adversaire],B52,larochelle[Lieu Match],"Extérieur",larochelle[Issue match],"Nul")</f>
        <v>0</v>
      </c>
      <c r="K52" s="81">
        <f t="shared" ref="K52" ca="1" si="7">100%-(F52+I52)</f>
        <v>0</v>
      </c>
      <c r="L52" s="89">
        <f t="shared" ref="L52" ca="1" si="8">SUM(F52+I52+K52)</f>
        <v>1</v>
      </c>
    </row>
    <row r="53" spans="1:12">
      <c r="A53" s="90" t="s">
        <v>27</v>
      </c>
      <c r="B53" s="91" t="s">
        <v>23</v>
      </c>
      <c r="C53" s="83">
        <f ca="1">COUNTIFS(larochelle[adversaire],B53)</f>
        <v>1</v>
      </c>
      <c r="D53" s="84">
        <f ca="1">COUNTIFS(larochelle[adversaire],B53,larochelle[Lieu Match],"domicile",larochelle[Issue match],"victoire")</f>
        <v>0</v>
      </c>
      <c r="E53" s="84">
        <f ca="1">COUNTIFS(larochelle[adversaire],B53,larochelle[Lieu Match],"Extérieur",larochelle[Issue match],"victoire")</f>
        <v>1</v>
      </c>
      <c r="F53" s="82">
        <f t="shared" ref="F53:F64" ca="1" si="9">(D53+E53)/C53</f>
        <v>1</v>
      </c>
      <c r="G53" s="78">
        <f ca="1">COUNTIFS(larochelle[adversaire],B53,larochelle[Lieu Match],"domicile",larochelle[Issue match],"défaite")</f>
        <v>0</v>
      </c>
      <c r="H53" s="80">
        <f ca="1">COUNTIFS(larochelle[adversaire],B53,larochelle[Lieu Match],"Extérieur",larochelle[Issue match],"défaite")</f>
        <v>0</v>
      </c>
      <c r="I53" s="79">
        <f t="shared" ref="I53:I64" ca="1" si="10">(G53+H53)/C53</f>
        <v>0</v>
      </c>
      <c r="J53" s="85">
        <f ca="1">COUNTIFS(larochelle[adversaire],B53,larochelle[Lieu Match],"Domicile",larochelle[Issue match],"Nul")+COUNTIFS(larochelle[adversaire],B53,larochelle[Lieu Match],"Extérieur",larochelle[Issue match],"Nul")</f>
        <v>0</v>
      </c>
      <c r="K53" s="81">
        <f t="shared" ref="K53:K64" ca="1" si="11">100%-(F53+I53)</f>
        <v>0</v>
      </c>
      <c r="L53" s="89">
        <f t="shared" ref="L53:L64" ca="1" si="12">SUM(F53+I53+K53)</f>
        <v>1</v>
      </c>
    </row>
    <row r="54" spans="1:12">
      <c r="A54" s="90" t="s">
        <v>27</v>
      </c>
      <c r="B54" s="91" t="s">
        <v>24</v>
      </c>
      <c r="C54" s="83">
        <f ca="1">COUNTIFS(larochelle[adversaire],B54)</f>
        <v>2</v>
      </c>
      <c r="D54" s="84">
        <f ca="1">COUNTIFS(larochelle[adversaire],B54,larochelle[Lieu Match],"domicile",larochelle[Issue match],"victoire")</f>
        <v>1</v>
      </c>
      <c r="E54" s="84">
        <f ca="1">COUNTIFS(larochelle[adversaire],B54,larochelle[Lieu Match],"Extérieur",larochelle[Issue match],"victoire")</f>
        <v>0</v>
      </c>
      <c r="F54" s="82">
        <f t="shared" ca="1" si="9"/>
        <v>0.5</v>
      </c>
      <c r="G54" s="78">
        <f ca="1">COUNTIFS(larochelle[adversaire],B54,larochelle[Lieu Match],"domicile",larochelle[Issue match],"défaite")</f>
        <v>0</v>
      </c>
      <c r="H54" s="80">
        <f ca="1">COUNTIFS(larochelle[adversaire],B54,larochelle[Lieu Match],"Extérieur",larochelle[Issue match],"défaite")</f>
        <v>1</v>
      </c>
      <c r="I54" s="79">
        <f t="shared" ca="1" si="10"/>
        <v>0.5</v>
      </c>
      <c r="J54" s="85">
        <f ca="1">COUNTIFS(larochelle[adversaire],B54,larochelle[Lieu Match],"Domicile",larochelle[Issue match],"Nul")+COUNTIFS(larochelle[adversaire],B54,larochelle[Lieu Match],"Extérieur",larochelle[Issue match],"Nul")</f>
        <v>0</v>
      </c>
      <c r="K54" s="81">
        <f t="shared" ca="1" si="11"/>
        <v>0</v>
      </c>
      <c r="L54" s="89">
        <f t="shared" ca="1" si="12"/>
        <v>1</v>
      </c>
    </row>
    <row r="55" spans="1:12">
      <c r="A55" s="90" t="s">
        <v>27</v>
      </c>
      <c r="B55" s="91" t="s">
        <v>25</v>
      </c>
      <c r="C55" s="83">
        <f ca="1">COUNTIFS(larochelle[adversaire],B55)</f>
        <v>0</v>
      </c>
      <c r="D55" s="84">
        <f ca="1">COUNTIFS(larochelle[adversaire],B55,larochelle[Lieu Match],"domicile",larochelle[Issue match],"victoire")</f>
        <v>0</v>
      </c>
      <c r="E55" s="84">
        <f ca="1">COUNTIFS(larochelle[adversaire],B55,larochelle[Lieu Match],"Extérieur",larochelle[Issue match],"victoire")</f>
        <v>0</v>
      </c>
      <c r="F55" s="82" t="e">
        <f t="shared" ca="1" si="9"/>
        <v>#DIV/0!</v>
      </c>
      <c r="G55" s="78">
        <f ca="1">COUNTIFS(larochelle[adversaire],B55,larochelle[Lieu Match],"domicile",larochelle[Issue match],"défaite")</f>
        <v>0</v>
      </c>
      <c r="H55" s="80">
        <f ca="1">COUNTIFS(larochelle[adversaire],B55,larochelle[Lieu Match],"Extérieur",larochelle[Issue match],"défaite")</f>
        <v>0</v>
      </c>
      <c r="I55" s="79" t="e">
        <f t="shared" ca="1" si="10"/>
        <v>#DIV/0!</v>
      </c>
      <c r="J55" s="85">
        <f ca="1">COUNTIFS(larochelle[adversaire],B55,larochelle[Lieu Match],"Domicile",larochelle[Issue match],"Nul")+COUNTIFS(larochelle[adversaire],B55,larochelle[Lieu Match],"Extérieur",larochelle[Issue match],"Nul")</f>
        <v>0</v>
      </c>
      <c r="K55" s="81" t="e">
        <f t="shared" ca="1" si="11"/>
        <v>#DIV/0!</v>
      </c>
      <c r="L55" s="89" t="e">
        <f t="shared" ca="1" si="12"/>
        <v>#DIV/0!</v>
      </c>
    </row>
    <row r="56" spans="1:12">
      <c r="A56" s="90" t="s">
        <v>27</v>
      </c>
      <c r="B56" s="91" t="s">
        <v>37</v>
      </c>
      <c r="C56" s="83">
        <f ca="1">COUNTIFS(larochelle[adversaire],B56)</f>
        <v>2</v>
      </c>
      <c r="D56" s="84">
        <f ca="1">COUNTIFS(larochelle[adversaire],B56,larochelle[Lieu Match],"domicile",larochelle[Issue match],"victoire")</f>
        <v>1</v>
      </c>
      <c r="E56" s="84">
        <f ca="1">COUNTIFS(larochelle[adversaire],B56,larochelle[Lieu Match],"Extérieur",larochelle[Issue match],"victoire")</f>
        <v>0</v>
      </c>
      <c r="F56" s="82">
        <f t="shared" ca="1" si="9"/>
        <v>0.5</v>
      </c>
      <c r="G56" s="78">
        <f ca="1">COUNTIFS(larochelle[adversaire],B56,larochelle[Lieu Match],"domicile",larochelle[Issue match],"défaite")</f>
        <v>0</v>
      </c>
      <c r="H56" s="80">
        <f ca="1">COUNTIFS(larochelle[adversaire],B56,larochelle[Lieu Match],"Extérieur",larochelle[Issue match],"défaite")</f>
        <v>1</v>
      </c>
      <c r="I56" s="79">
        <f t="shared" ca="1" si="10"/>
        <v>0.5</v>
      </c>
      <c r="J56" s="85">
        <f ca="1">COUNTIFS(larochelle[adversaire],B56,larochelle[Lieu Match],"Domicile",larochelle[Issue match],"Nul")+COUNTIFS(larochelle[adversaire],B56,larochelle[Lieu Match],"Extérieur",larochelle[Issue match],"Nul")</f>
        <v>0</v>
      </c>
      <c r="K56" s="81">
        <f t="shared" ca="1" si="11"/>
        <v>0</v>
      </c>
      <c r="L56" s="89">
        <f t="shared" ca="1" si="12"/>
        <v>1</v>
      </c>
    </row>
    <row r="57" spans="1:12">
      <c r="A57" s="90" t="s">
        <v>27</v>
      </c>
      <c r="B57" s="91" t="s">
        <v>26</v>
      </c>
      <c r="C57" s="83">
        <f ca="1">COUNTIFS(larochelle[adversaire],B57)</f>
        <v>3</v>
      </c>
      <c r="D57" s="84">
        <f ca="1">COUNTIFS(larochelle[adversaire],B57,larochelle[Lieu Match],"domicile",larochelle[Issue match],"victoire")</f>
        <v>0</v>
      </c>
      <c r="E57" s="84">
        <f ca="1">COUNTIFS(larochelle[adversaire],B57,larochelle[Lieu Match],"Extérieur",larochelle[Issue match],"victoire")</f>
        <v>0</v>
      </c>
      <c r="F57" s="82">
        <f t="shared" ca="1" si="9"/>
        <v>0</v>
      </c>
      <c r="G57" s="78">
        <f ca="1">COUNTIFS(larochelle[adversaire],B57,larochelle[Lieu Match],"domicile",larochelle[Issue match],"défaite")</f>
        <v>1</v>
      </c>
      <c r="H57" s="80">
        <f ca="1">COUNTIFS(larochelle[adversaire],B57,larochelle[Lieu Match],"Extérieur",larochelle[Issue match],"défaite")</f>
        <v>2</v>
      </c>
      <c r="I57" s="79">
        <f t="shared" ca="1" si="10"/>
        <v>1</v>
      </c>
      <c r="J57" s="85">
        <f ca="1">COUNTIFS(larochelle[adversaire],B57,larochelle[Lieu Match],"Domicile",larochelle[Issue match],"Nul")+COUNTIFS(larochelle[adversaire],B57,larochelle[Lieu Match],"Extérieur",larochelle[Issue match],"Nul")</f>
        <v>0</v>
      </c>
      <c r="K57" s="81">
        <f t="shared" ca="1" si="11"/>
        <v>0</v>
      </c>
      <c r="L57" s="89">
        <f t="shared" ca="1" si="12"/>
        <v>1</v>
      </c>
    </row>
    <row r="58" spans="1:12">
      <c r="A58" s="90" t="s">
        <v>27</v>
      </c>
      <c r="B58" s="91" t="s">
        <v>28</v>
      </c>
      <c r="C58" s="83">
        <f ca="1">COUNTIFS(larochelle[adversaire],B58)</f>
        <v>2</v>
      </c>
      <c r="D58" s="84">
        <f ca="1">COUNTIFS(larochelle[adversaire],B58,larochelle[Lieu Match],"domicile",larochelle[Issue match],"victoire")</f>
        <v>0</v>
      </c>
      <c r="E58" s="84">
        <f ca="1">COUNTIFS(larochelle[adversaire],B58,larochelle[Lieu Match],"Extérieur",larochelle[Issue match],"victoire")</f>
        <v>0</v>
      </c>
      <c r="F58" s="82">
        <f t="shared" ca="1" si="9"/>
        <v>0</v>
      </c>
      <c r="G58" s="78">
        <f ca="1">COUNTIFS(larochelle[adversaire],B58,larochelle[Lieu Match],"domicile",larochelle[Issue match],"défaite")</f>
        <v>1</v>
      </c>
      <c r="H58" s="80">
        <f ca="1">COUNTIFS(larochelle[adversaire],B58,larochelle[Lieu Match],"Extérieur",larochelle[Issue match],"défaite")</f>
        <v>1</v>
      </c>
      <c r="I58" s="79">
        <f t="shared" ca="1" si="10"/>
        <v>1</v>
      </c>
      <c r="J58" s="85">
        <f ca="1">COUNTIFS(larochelle[adversaire],B58,larochelle[Lieu Match],"Domicile",larochelle[Issue match],"Nul")+COUNTIFS(larochelle[adversaire],B58,larochelle[Lieu Match],"Extérieur",larochelle[Issue match],"Nul")</f>
        <v>0</v>
      </c>
      <c r="K58" s="81">
        <f t="shared" ca="1" si="11"/>
        <v>0</v>
      </c>
      <c r="L58" s="89">
        <f t="shared" ca="1" si="12"/>
        <v>1</v>
      </c>
    </row>
    <row r="59" spans="1:12">
      <c r="A59" s="90" t="s">
        <v>27</v>
      </c>
      <c r="B59" s="91" t="s">
        <v>29</v>
      </c>
      <c r="C59" s="83">
        <f ca="1">COUNTIFS(larochelle[adversaire],B59)</f>
        <v>2</v>
      </c>
      <c r="D59" s="84">
        <f ca="1">COUNTIFS(larochelle[adversaire],B59,larochelle[Lieu Match],"domicile",larochelle[Issue match],"victoire")</f>
        <v>0</v>
      </c>
      <c r="E59" s="84">
        <f ca="1">COUNTIFS(larochelle[adversaire],B59,larochelle[Lieu Match],"Extérieur",larochelle[Issue match],"victoire")</f>
        <v>0</v>
      </c>
      <c r="F59" s="82">
        <f t="shared" ca="1" si="9"/>
        <v>0</v>
      </c>
      <c r="G59" s="78">
        <f ca="1">COUNTIFS(larochelle[adversaire],B59,larochelle[Lieu Match],"domicile",larochelle[Issue match],"défaite")</f>
        <v>1</v>
      </c>
      <c r="H59" s="80">
        <f ca="1">COUNTIFS(larochelle[adversaire],B59,larochelle[Lieu Match],"Extérieur",larochelle[Issue match],"défaite")</f>
        <v>1</v>
      </c>
      <c r="I59" s="79">
        <f t="shared" ca="1" si="10"/>
        <v>1</v>
      </c>
      <c r="J59" s="85">
        <f ca="1">COUNTIFS(larochelle[adversaire],B59,larochelle[Lieu Match],"Domicile",larochelle[Issue match],"Nul")+COUNTIFS(larochelle[adversaire],B59,larochelle[Lieu Match],"Extérieur",larochelle[Issue match],"Nul")</f>
        <v>0</v>
      </c>
      <c r="K59" s="81">
        <f t="shared" ca="1" si="11"/>
        <v>0</v>
      </c>
      <c r="L59" s="89">
        <f t="shared" ca="1" si="12"/>
        <v>1</v>
      </c>
    </row>
    <row r="60" spans="1:12">
      <c r="A60" s="90" t="s">
        <v>27</v>
      </c>
      <c r="B60" s="91" t="s">
        <v>30</v>
      </c>
      <c r="C60" s="83">
        <f ca="1">COUNTIFS(larochelle[adversaire],B60)</f>
        <v>2</v>
      </c>
      <c r="D60" s="84">
        <f ca="1">COUNTIFS(larochelle[adversaire],B60,larochelle[Lieu Match],"domicile",larochelle[Issue match],"victoire")</f>
        <v>0</v>
      </c>
      <c r="E60" s="84">
        <f ca="1">COUNTIFS(larochelle[adversaire],B60,larochelle[Lieu Match],"Extérieur",larochelle[Issue match],"victoire")</f>
        <v>0</v>
      </c>
      <c r="F60" s="82">
        <f t="shared" ca="1" si="9"/>
        <v>0</v>
      </c>
      <c r="G60" s="78">
        <f ca="1">COUNTIFS(larochelle[adversaire],B60,larochelle[Lieu Match],"domicile",larochelle[Issue match],"défaite")</f>
        <v>2</v>
      </c>
      <c r="H60" s="80">
        <f ca="1">COUNTIFS(larochelle[adversaire],B60,larochelle[Lieu Match],"Extérieur",larochelle[Issue match],"défaite")</f>
        <v>0</v>
      </c>
      <c r="I60" s="79">
        <f t="shared" ca="1" si="10"/>
        <v>1</v>
      </c>
      <c r="J60" s="85">
        <f ca="1">COUNTIFS(larochelle[adversaire],B60,larochelle[Lieu Match],"Domicile",larochelle[Issue match],"Nul")+COUNTIFS(larochelle[adversaire],B60,larochelle[Lieu Match],"Extérieur",larochelle[Issue match],"Nul")</f>
        <v>0</v>
      </c>
      <c r="K60" s="81">
        <f t="shared" ca="1" si="11"/>
        <v>0</v>
      </c>
      <c r="L60" s="89">
        <f t="shared" ca="1" si="12"/>
        <v>1</v>
      </c>
    </row>
    <row r="61" spans="1:12">
      <c r="A61" s="90" t="s">
        <v>27</v>
      </c>
      <c r="B61" s="91" t="s">
        <v>31</v>
      </c>
      <c r="C61" s="83">
        <f ca="1">COUNTIFS(larochelle[adversaire],B61)</f>
        <v>2</v>
      </c>
      <c r="D61" s="84">
        <f ca="1">COUNTIFS(larochelle[adversaire],B61,larochelle[Lieu Match],"domicile",larochelle[Issue match],"victoire")</f>
        <v>0</v>
      </c>
      <c r="E61" s="84">
        <f ca="1">COUNTIFS(larochelle[adversaire],B61,larochelle[Lieu Match],"Extérieur",larochelle[Issue match],"victoire")</f>
        <v>1</v>
      </c>
      <c r="F61" s="82">
        <f t="shared" ca="1" si="9"/>
        <v>0.5</v>
      </c>
      <c r="G61" s="78">
        <f ca="1">COUNTIFS(larochelle[adversaire],B61,larochelle[Lieu Match],"domicile",larochelle[Issue match],"défaite")</f>
        <v>1</v>
      </c>
      <c r="H61" s="80">
        <f ca="1">COUNTIFS(larochelle[adversaire],B61,larochelle[Lieu Match],"Extérieur",larochelle[Issue match],"défaite")</f>
        <v>0</v>
      </c>
      <c r="I61" s="79">
        <f t="shared" ca="1" si="10"/>
        <v>0.5</v>
      </c>
      <c r="J61" s="85">
        <f ca="1">COUNTIFS(larochelle[adversaire],B61,larochelle[Lieu Match],"Domicile",larochelle[Issue match],"Nul")+COUNTIFS(larochelle[adversaire],B61,larochelle[Lieu Match],"Extérieur",larochelle[Issue match],"Nul")</f>
        <v>0</v>
      </c>
      <c r="K61" s="81">
        <f t="shared" ca="1" si="11"/>
        <v>0</v>
      </c>
      <c r="L61" s="89">
        <f t="shared" ca="1" si="12"/>
        <v>1</v>
      </c>
    </row>
    <row r="62" spans="1:12">
      <c r="A62" s="90" t="s">
        <v>27</v>
      </c>
      <c r="B62" s="91" t="s">
        <v>32</v>
      </c>
      <c r="C62" s="83">
        <f ca="1">COUNTIFS(larochelle[adversaire],B62)</f>
        <v>2</v>
      </c>
      <c r="D62" s="84">
        <f ca="1">COUNTIFS(larochelle[adversaire],B62,larochelle[Lieu Match],"domicile",larochelle[Issue match],"victoire")</f>
        <v>0</v>
      </c>
      <c r="E62" s="84">
        <f ca="1">COUNTIFS(larochelle[adversaire],B62,larochelle[Lieu Match],"Extérieur",larochelle[Issue match],"victoire")</f>
        <v>0</v>
      </c>
      <c r="F62" s="82">
        <f t="shared" ca="1" si="9"/>
        <v>0</v>
      </c>
      <c r="G62" s="78">
        <f ca="1">COUNTIFS(larochelle[adversaire],B62,larochelle[Lieu Match],"domicile",larochelle[Issue match],"défaite")</f>
        <v>1</v>
      </c>
      <c r="H62" s="80">
        <f ca="1">COUNTIFS(larochelle[adversaire],B62,larochelle[Lieu Match],"Extérieur",larochelle[Issue match],"défaite")</f>
        <v>1</v>
      </c>
      <c r="I62" s="79">
        <f t="shared" ca="1" si="10"/>
        <v>1</v>
      </c>
      <c r="J62" s="85">
        <f ca="1">COUNTIFS(larochelle[adversaire],B62,larochelle[Lieu Match],"Domicile",larochelle[Issue match],"Nul")+COUNTIFS(larochelle[adversaire],B62,larochelle[Lieu Match],"Extérieur",larochelle[Issue match],"Nul")</f>
        <v>0</v>
      </c>
      <c r="K62" s="81">
        <f t="shared" ca="1" si="11"/>
        <v>0</v>
      </c>
      <c r="L62" s="89">
        <f t="shared" ca="1" si="12"/>
        <v>1</v>
      </c>
    </row>
    <row r="63" spans="1:12">
      <c r="A63" s="90" t="s">
        <v>27</v>
      </c>
      <c r="B63" s="91" t="s">
        <v>15</v>
      </c>
      <c r="C63" s="83">
        <f ca="1">COUNTIFS(larochelle[adversaire],B63)</f>
        <v>2</v>
      </c>
      <c r="D63" s="84">
        <f ca="1">COUNTIFS(larochelle[adversaire],B63,larochelle[Lieu Match],"domicile",larochelle[Issue match],"victoire")</f>
        <v>1</v>
      </c>
      <c r="E63" s="84">
        <f ca="1">COUNTIFS(larochelle[adversaire],B63,larochelle[Lieu Match],"Extérieur",larochelle[Issue match],"victoire")</f>
        <v>0</v>
      </c>
      <c r="F63" s="82">
        <f t="shared" ca="1" si="9"/>
        <v>0.5</v>
      </c>
      <c r="G63" s="78">
        <f ca="1">COUNTIFS(larochelle[adversaire],B63,larochelle[Lieu Match],"domicile",larochelle[Issue match],"défaite")</f>
        <v>0</v>
      </c>
      <c r="H63" s="80">
        <f ca="1">COUNTIFS(larochelle[adversaire],B63,larochelle[Lieu Match],"Extérieur",larochelle[Issue match],"défaite")</f>
        <v>1</v>
      </c>
      <c r="I63" s="79">
        <f t="shared" ca="1" si="10"/>
        <v>0.5</v>
      </c>
      <c r="J63" s="85">
        <f ca="1">COUNTIFS(larochelle[adversaire],B63,larochelle[Lieu Match],"Domicile",larochelle[Issue match],"Nul")+COUNTIFS(larochelle[adversaire],B63,larochelle[Lieu Match],"Extérieur",larochelle[Issue match],"Nul")</f>
        <v>0</v>
      </c>
      <c r="K63" s="81">
        <f t="shared" ca="1" si="11"/>
        <v>0</v>
      </c>
      <c r="L63" s="89">
        <f t="shared" ca="1" si="12"/>
        <v>1</v>
      </c>
    </row>
    <row r="64" spans="1:12">
      <c r="A64" s="90" t="s">
        <v>27</v>
      </c>
      <c r="B64" s="91" t="s">
        <v>33</v>
      </c>
      <c r="C64" s="83">
        <f ca="1">COUNTIFS(larochelle[adversaire],B64)</f>
        <v>2</v>
      </c>
      <c r="D64" s="84">
        <f ca="1">COUNTIFS(larochelle[adversaire],B64,larochelle[Lieu Match],"domicile",larochelle[Issue match],"victoire")</f>
        <v>0</v>
      </c>
      <c r="E64" s="84">
        <f ca="1">COUNTIFS(larochelle[adversaire],B64,larochelle[Lieu Match],"Extérieur",larochelle[Issue match],"victoire")</f>
        <v>0</v>
      </c>
      <c r="F64" s="82">
        <f t="shared" ca="1" si="9"/>
        <v>0</v>
      </c>
      <c r="G64" s="78">
        <f ca="1">COUNTIFS(larochelle[adversaire],B64,larochelle[Lieu Match],"domicile",larochelle[Issue match],"défaite")</f>
        <v>1</v>
      </c>
      <c r="H64" s="80">
        <f ca="1">COUNTIFS(larochelle[adversaire],B64,larochelle[Lieu Match],"Extérieur",larochelle[Issue match],"défaite")</f>
        <v>1</v>
      </c>
      <c r="I64" s="79">
        <f t="shared" ca="1" si="10"/>
        <v>1</v>
      </c>
      <c r="J64" s="85">
        <f ca="1">COUNTIFS(larochelle[adversaire],B64,larochelle[Lieu Match],"Domicile",larochelle[Issue match],"Nul")+COUNTIFS(larochelle[adversaire],B64,larochelle[Lieu Match],"Extérieur",larochelle[Issue match],"Nul")</f>
        <v>0</v>
      </c>
      <c r="K64" s="81">
        <f t="shared" ca="1" si="11"/>
        <v>0</v>
      </c>
      <c r="L64" s="89">
        <f t="shared" ca="1" si="12"/>
        <v>1</v>
      </c>
    </row>
  </sheetData>
  <mergeCells count="7">
    <mergeCell ref="Q1:S1"/>
    <mergeCell ref="Q9:S9"/>
    <mergeCell ref="A35:B35"/>
    <mergeCell ref="A1:A2"/>
    <mergeCell ref="B1:E1"/>
    <mergeCell ref="L1:N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U64"/>
  <sheetViews>
    <sheetView topLeftCell="B1" zoomScale="85" zoomScaleNormal="85" zoomScalePageLayoutView="85" workbookViewId="0">
      <selection activeCell="G14" sqref="G14"/>
    </sheetView>
  </sheetViews>
  <sheetFormatPr baseColWidth="10" defaultColWidth="10.5" defaultRowHeight="14" x14ac:dyDescent="0"/>
  <cols>
    <col min="1" max="1" width="13.33203125" customWidth="1"/>
    <col min="2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83203125" bestFit="1" customWidth="1"/>
    <col min="9" max="9" width="9.5" bestFit="1" customWidth="1"/>
    <col min="10" max="10" width="4.1640625" bestFit="1" customWidth="1"/>
    <col min="11" max="11" width="14.33203125" bestFit="1" customWidth="1"/>
    <col min="12" max="12" width="9.33203125" bestFit="1" customWidth="1"/>
    <col min="13" max="13" width="12.1640625" bestFit="1" customWidth="1"/>
    <col min="16" max="16" width="14.33203125" bestFit="1" customWidth="1"/>
  </cols>
  <sheetData>
    <row r="1" spans="1:21">
      <c r="A1" s="121" t="s">
        <v>47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</row>
    <row r="2" spans="1:21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SUMIFS(lyon[Score D],lyon[Lieu Match],"domicile")</f>
        <v>112</v>
      </c>
      <c r="M2" s="72">
        <f ca="1">SUMIFS(lyon[Score E],lyon[Lieu Match],"domicile")</f>
        <v>47</v>
      </c>
      <c r="N2" s="72">
        <f ca="1">L2-M2</f>
        <v>65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</row>
    <row r="3" spans="1:21">
      <c r="A3" s="10" t="s">
        <v>2</v>
      </c>
      <c r="B3" s="15">
        <f ca="1">COUNTIF(lyon[Lieu Match],"domicile")</f>
        <v>11</v>
      </c>
      <c r="C3" s="63">
        <f ca="1">COUNTIFS(lyon[Issue match],"victoire",lyon[Lieu Match],"domicile")</f>
        <v>2</v>
      </c>
      <c r="D3" s="63">
        <f ca="1">COUNTIFS(lyon[Issue match],"nul",lyon[Lieu Match],"domicile")</f>
        <v>0</v>
      </c>
      <c r="E3" s="63">
        <f ca="1">COUNTIFS(lyon[Issue match],"défaite",lyon[Lieu Match],"domicile")</f>
        <v>9</v>
      </c>
      <c r="F3" s="77">
        <f ca="1">C3+E3+D3-D3</f>
        <v>11</v>
      </c>
      <c r="G3" s="6" t="s">
        <v>47</v>
      </c>
      <c r="H3" s="7" t="s">
        <v>42</v>
      </c>
      <c r="K3" s="10" t="s">
        <v>9</v>
      </c>
      <c r="L3" s="18">
        <f ca="1">L2/F3</f>
        <v>10.181818181818182</v>
      </c>
      <c r="M3" s="18">
        <f ca="1">M2/F3</f>
        <v>4.2727272727272725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</row>
    <row r="4" spans="1:21">
      <c r="A4" s="10" t="s">
        <v>3</v>
      </c>
      <c r="B4" s="15">
        <f ca="1">COUNTIF(lyon[Lieu Match],"extérieur")</f>
        <v>13</v>
      </c>
      <c r="C4" s="63">
        <f ca="1">COUNTIFS(lyon[Issue match],"victoire",lyon[Lieu Match],"extérieur")</f>
        <v>1</v>
      </c>
      <c r="D4" s="63">
        <f ca="1">COUNTIFS(lyon[Issue match],"nul",lyon[Lieu Match],"extérieur")</f>
        <v>1</v>
      </c>
      <c r="E4" s="63">
        <f ca="1">COUNTIFS(lyon[Issue match],"défaite",lyon[Lieu Match],"extérieur")</f>
        <v>10</v>
      </c>
      <c r="F4" s="77">
        <f ca="1">C4+E4+D4-D4</f>
        <v>11</v>
      </c>
      <c r="G4" s="8">
        <f t="array" ref="G4">INDEX($C$35:$L$46,MATCH(1,($A$35:$A$46=$A$1)*($B$35:$B$46=$H$3),0),4)</f>
        <v>0.38461538461538464</v>
      </c>
      <c r="H4" s="8">
        <f t="array" ref="H4">INDEX($C$35:$L$46,MATCH(1,($A$35:$A$46=$G$3)*($B$35:$B$46=$H$3),0),7)</f>
        <v>0.38461538461538464</v>
      </c>
      <c r="K4" s="10" t="s">
        <v>8</v>
      </c>
      <c r="L4" s="72">
        <f ca="1">SUMIFS(lyon[Score D],lyon[Lieu Match],"extérieur")</f>
        <v>72</v>
      </c>
      <c r="M4" s="72">
        <f ca="1">SUMIFS(lyon[Score E],lyon[Lieu Match],"extérieur")</f>
        <v>59</v>
      </c>
      <c r="N4" s="13">
        <f ca="1">L4-M4</f>
        <v>13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</row>
    <row r="5" spans="1:21">
      <c r="A5" s="10" t="s">
        <v>36</v>
      </c>
      <c r="B5" s="15">
        <f ca="1">B3+B4</f>
        <v>24</v>
      </c>
      <c r="C5" s="15">
        <f t="shared" ref="C5:E5" ca="1" si="0">C3+C4</f>
        <v>3</v>
      </c>
      <c r="D5" s="15">
        <f t="shared" ca="1" si="0"/>
        <v>1</v>
      </c>
      <c r="E5" s="15">
        <f t="shared" ca="1" si="0"/>
        <v>19</v>
      </c>
      <c r="F5" s="77">
        <f ca="1">C5+E5+D5-D5</f>
        <v>22</v>
      </c>
      <c r="G5" s="9">
        <f>100/G4/100</f>
        <v>2.6</v>
      </c>
      <c r="H5" s="9">
        <f>100/H4/100</f>
        <v>2.6</v>
      </c>
      <c r="K5" s="10" t="s">
        <v>9</v>
      </c>
      <c r="L5" s="18">
        <f ca="1">L4/F4</f>
        <v>6.5454545454545459</v>
      </c>
      <c r="M5" s="18">
        <f ca="1">M4/F4</f>
        <v>5.3636363636363633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</row>
    <row r="6" spans="1:21">
      <c r="A6" s="1"/>
      <c r="B6" s="1"/>
      <c r="C6" s="1"/>
      <c r="D6" s="1"/>
      <c r="E6" s="1"/>
      <c r="F6" s="1"/>
      <c r="K6" s="10" t="s">
        <v>10</v>
      </c>
      <c r="L6" s="13">
        <f ca="1">L2+M4</f>
        <v>171</v>
      </c>
      <c r="M6" s="13">
        <f ca="1">M2+L4</f>
        <v>119</v>
      </c>
      <c r="N6" s="13">
        <f ca="1">L6-M6</f>
        <v>52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</row>
    <row r="7" spans="1:21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7.7727272727272725</v>
      </c>
      <c r="M7" s="18">
        <f ca="1">M6/F5</f>
        <v>5.4090909090909092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</row>
    <row r="8" spans="1:21">
      <c r="A8" s="39" t="s">
        <v>124</v>
      </c>
      <c r="B8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Racing 92</v>
      </c>
      <c r="C8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8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8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23</v>
      </c>
      <c r="F8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27</v>
      </c>
      <c r="G8" s="34">
        <v>0</v>
      </c>
      <c r="H8" s="49">
        <v>1</v>
      </c>
      <c r="I8" s="50">
        <f ca="1">(lyon[[#This Row],[Issue match]]="Victoire")*4 + (lyon[[#This Row],[Issue match]]="Nul")*2 + lyon[[#This Row],[Bonus off]] + lyon[[#This Row],[Bonus déf]]</f>
        <v>1</v>
      </c>
      <c r="K8" s="1"/>
      <c r="L8" s="1"/>
      <c r="M8" s="1"/>
      <c r="N8" s="1"/>
      <c r="O8" s="1"/>
      <c r="P8" s="1"/>
      <c r="Q8" s="1"/>
      <c r="R8" s="1"/>
      <c r="S8" s="1"/>
    </row>
    <row r="9" spans="1:21">
      <c r="A9" s="39" t="s">
        <v>125</v>
      </c>
      <c r="B9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Toulon</v>
      </c>
      <c r="C9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9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9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36</v>
      </c>
      <c r="F9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14</v>
      </c>
      <c r="G9" s="34">
        <v>0</v>
      </c>
      <c r="H9" s="49">
        <v>0</v>
      </c>
      <c r="I9" s="50">
        <f ca="1">(lyon[[#This Row],[Issue match]]="Victoire")*4 + (lyon[[#This Row],[Issue match]]="Nul")*2 + lyon[[#This Row],[Bonus off]] + lyon[[#This Row],[Bonus déf]]</f>
        <v>0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1">
      <c r="A10" s="39" t="s">
        <v>126</v>
      </c>
      <c r="B10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Bordeaux</v>
      </c>
      <c r="C10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10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Victoire</v>
      </c>
      <c r="E10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27</v>
      </c>
      <c r="F10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10</v>
      </c>
      <c r="G10" s="34">
        <v>0</v>
      </c>
      <c r="H10" s="49">
        <v>0</v>
      </c>
      <c r="I10" s="50">
        <f ca="1">(lyon[[#This Row],[Issue match]]="Victoire")*4 + (lyon[[#This Row],[Issue match]]="Nul")*2 + lyon[[#This Row],[Bonus off]] + lyon[[#This Row],[Bonus déf]]</f>
        <v>4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1">
      <c r="A11" s="39" t="s">
        <v>127</v>
      </c>
      <c r="B11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Pau</v>
      </c>
      <c r="C11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11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Nul</v>
      </c>
      <c r="E11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29</v>
      </c>
      <c r="F11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29</v>
      </c>
      <c r="G11" s="34">
        <v>0</v>
      </c>
      <c r="H11" s="49">
        <v>0</v>
      </c>
      <c r="I11" s="50">
        <f ca="1">(lyon[[#This Row],[Issue match]]="Victoire")*4 + (lyon[[#This Row],[Issue match]]="Nul")*2 + lyon[[#This Row],[Bonus off]] + lyon[[#This Row],[Bonus déf]]</f>
        <v>2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1">
      <c r="A12" s="39" t="s">
        <v>128</v>
      </c>
      <c r="B12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Bayonne</v>
      </c>
      <c r="C12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12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Victoire</v>
      </c>
      <c r="E12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62</v>
      </c>
      <c r="F12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10</v>
      </c>
      <c r="G12" s="34">
        <v>1</v>
      </c>
      <c r="H12" s="49">
        <v>0</v>
      </c>
      <c r="I12" s="50">
        <f ca="1">(lyon[[#This Row],[Issue match]]="Victoire")*4 + (lyon[[#This Row],[Issue match]]="Nul")*2 + lyon[[#This Row],[Bonus off]] + lyon[[#This Row],[Bonus déf]]</f>
        <v>5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1">
      <c r="A13" s="39" t="s">
        <v>129</v>
      </c>
      <c r="B13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Toulouse</v>
      </c>
      <c r="C13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13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Victoire</v>
      </c>
      <c r="E13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7</v>
      </c>
      <c r="F13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16</v>
      </c>
      <c r="G13" s="34">
        <v>0</v>
      </c>
      <c r="H13" s="49">
        <v>0</v>
      </c>
      <c r="I13" s="50">
        <f ca="1">(lyon[[#This Row],[Issue match]]="Victoire")*4 + (lyon[[#This Row],[Issue match]]="Nul")*2 + lyon[[#This Row],[Bonus off]] + lyon[[#This Row],[Bonus déf]]</f>
        <v>4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1">
      <c r="A14" s="39" t="s">
        <v>130</v>
      </c>
      <c r="B14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Montpellier</v>
      </c>
      <c r="C14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14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14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14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14" s="34"/>
      <c r="H14" s="49"/>
      <c r="I14" s="50">
        <f ca="1">(lyon[[#This Row],[Issue match]]="Victoire")*4 + (lyon[[#This Row],[Issue match]]="Nul")*2 + lyon[[#This Row],[Bonus off]] + lyon[[#This Row],[Bonus déf]]</f>
        <v>0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1">
      <c r="A15" s="39" t="s">
        <v>131</v>
      </c>
      <c r="B15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Agen</v>
      </c>
      <c r="C15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15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15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15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15" s="34"/>
      <c r="H15" s="49"/>
      <c r="I15" s="50">
        <f ca="1">(lyon[[#This Row],[Issue match]]="Victoire")*4 + (lyon[[#This Row],[Issue match]]="Nul")*2 + lyon[[#This Row],[Bonus off]] + lyon[[#This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1">
      <c r="A16" s="39" t="s">
        <v>132</v>
      </c>
      <c r="B16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Bayonne</v>
      </c>
      <c r="C16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16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16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16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16" s="34"/>
      <c r="H16" s="49"/>
      <c r="I16" s="50">
        <f ca="1">(lyon[[#This Row],[Issue match]]="Victoire")*4 + (lyon[[#This Row],[Issue match]]="Nul")*2 + lyon[[#This Row],[Bonus off]] + lyon[[#This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1">
      <c r="A17" s="39" t="s">
        <v>133</v>
      </c>
      <c r="B17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/>
      </c>
      <c r="C17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/>
      </c>
      <c r="D17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/>
      </c>
      <c r="E17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17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17" s="34"/>
      <c r="H17" s="49"/>
      <c r="I17" s="50">
        <f ca="1">(lyon[[#This Row],[Issue match]]="Victoire")*4 + (lyon[[#This Row],[Issue match]]="Nul")*2 + lyon[[#This Row],[Bonus off]] + lyon[[#This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1">
      <c r="A18" s="39" t="s">
        <v>134</v>
      </c>
      <c r="B18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La Rochelle</v>
      </c>
      <c r="C18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18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18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18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18" s="34"/>
      <c r="H18" s="49"/>
      <c r="I18" s="50">
        <f ca="1">(lyon[[#This Row],[Issue match]]="Victoire")*4 + (lyon[[#This Row],[Issue match]]="Nul")*2 + lyon[[#This Row],[Bonus off]] + lyon[[#This Row],[Bonus déf]]</f>
        <v>0</v>
      </c>
      <c r="K18" s="10" t="s">
        <v>7</v>
      </c>
      <c r="L18" s="13"/>
      <c r="M18" s="72"/>
      <c r="N18" s="72"/>
      <c r="O18" s="1"/>
      <c r="P18" s="1"/>
      <c r="R18" s="1"/>
      <c r="S18" s="1"/>
    </row>
    <row r="19" spans="1:21">
      <c r="A19" s="39" t="s">
        <v>135</v>
      </c>
      <c r="B19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Brive</v>
      </c>
      <c r="C19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19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19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19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19" s="34"/>
      <c r="H19" s="49"/>
      <c r="I19" s="50">
        <f ca="1">(lyon[[#This Row],[Issue match]]="Victoire")*4 + (lyon[[#This Row],[Issue match]]="Nul")*2 + lyon[[#This Row],[Bonus off]] + lyon[[#This Row],[Bonus déf]]</f>
        <v>0</v>
      </c>
      <c r="K19" s="10" t="s">
        <v>9</v>
      </c>
      <c r="L19" s="18"/>
      <c r="M19" s="18"/>
      <c r="N19" s="13"/>
      <c r="O19" s="1"/>
      <c r="P19" s="1" t="s">
        <v>47</v>
      </c>
      <c r="Q19" s="12" t="s">
        <v>41</v>
      </c>
      <c r="R19" s="1"/>
      <c r="S19" s="1"/>
    </row>
    <row r="20" spans="1:21">
      <c r="A20" s="39" t="s">
        <v>136</v>
      </c>
      <c r="B20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Toulouse</v>
      </c>
      <c r="C20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20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20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0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0" s="34"/>
      <c r="H20" s="49"/>
      <c r="I20" s="50">
        <f ca="1">(lyon[[#This Row],[Issue match]]="Victoire")*4 + (lyon[[#This Row],[Issue match]]="Nul")*2 + lyon[[#This Row],[Bonus off]] + lyon[[#This Row],[Bonus déf]]</f>
        <v>0</v>
      </c>
      <c r="K20" s="10" t="s">
        <v>8</v>
      </c>
      <c r="L20" s="72"/>
      <c r="M20" s="72"/>
      <c r="N20" s="13"/>
      <c r="O20" s="1"/>
      <c r="P20" s="1" t="s">
        <v>47</v>
      </c>
      <c r="Q20" s="26" t="s">
        <v>42</v>
      </c>
      <c r="R20" s="1"/>
      <c r="S20" s="1"/>
      <c r="T20" s="1"/>
      <c r="U20" s="1"/>
    </row>
    <row r="21" spans="1:21">
      <c r="A21" s="39" t="s">
        <v>137</v>
      </c>
      <c r="B21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Bordeaux</v>
      </c>
      <c r="C21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21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21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1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1" s="34"/>
      <c r="H21" s="49"/>
      <c r="I21" s="50">
        <f ca="1">(lyon[[#This Row],[Issue match]]="Victoire")*4 + (lyon[[#This Row],[Issue match]]="Nul")*2 + lyon[[#This Row],[Bonus off]] + lyon[[#This Row],[Bonus déf]]</f>
        <v>0</v>
      </c>
      <c r="K21" s="10" t="s">
        <v>9</v>
      </c>
      <c r="L21" s="18"/>
      <c r="M21" s="18"/>
      <c r="N21" s="13"/>
      <c r="O21" s="1"/>
      <c r="P21" s="1" t="s">
        <v>47</v>
      </c>
      <c r="Q21" s="12" t="s">
        <v>43</v>
      </c>
      <c r="R21" s="1"/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Pau</v>
      </c>
      <c r="C22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22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22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2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2" s="34"/>
      <c r="H22" s="49"/>
      <c r="I22" s="50">
        <f ca="1">(lyon[[#This Row],[Issue match]]="Victoire")*4 + (lyon[[#This Row],[Issue match]]="Nul")*2 + lyon[[#This Row],[Bonus off]] + lyon[[#This Row],[Bonus déf]]</f>
        <v>0</v>
      </c>
      <c r="K22" s="10" t="s">
        <v>10</v>
      </c>
      <c r="L22" s="13"/>
      <c r="M22" s="13"/>
      <c r="N22" s="13"/>
      <c r="O22" s="1"/>
      <c r="P22" s="1" t="s">
        <v>47</v>
      </c>
      <c r="Q22" s="12" t="s">
        <v>40</v>
      </c>
      <c r="R22" s="1"/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Racing 92</v>
      </c>
      <c r="C23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23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23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3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3" s="34"/>
      <c r="H23" s="49"/>
      <c r="I23" s="50">
        <f ca="1">(lyon[[#This Row],[Issue match]]="Victoire")*4 + (lyon[[#This Row],[Issue match]]="Nul")*2 + lyon[[#This Row],[Bonus off]] + lyon[[#This Row],[Bonus déf]]</f>
        <v>0</v>
      </c>
      <c r="K23" s="10" t="s">
        <v>9</v>
      </c>
      <c r="L23" s="18"/>
      <c r="M23" s="18"/>
      <c r="N23" s="13"/>
      <c r="O23" s="1"/>
      <c r="P23" s="1" t="s">
        <v>47</v>
      </c>
      <c r="Q23" s="12" t="s">
        <v>44</v>
      </c>
      <c r="R23" s="1"/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Toulouse</v>
      </c>
      <c r="C24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24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24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4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4" s="34"/>
      <c r="H24" s="49"/>
      <c r="I24" s="50">
        <f ca="1">(lyon[[#This Row],[Issue match]]="Victoire")*4 + (lyon[[#This Row],[Issue match]]="Nul")*2 + lyon[[#This Row],[Bonus off]] + lyon[[#This Row],[Bonus déf]]</f>
        <v>0</v>
      </c>
      <c r="K24" s="1"/>
      <c r="L24" s="1"/>
      <c r="M24" s="1"/>
      <c r="N24" s="1"/>
      <c r="O24" s="1"/>
      <c r="P24" s="1" t="s">
        <v>47</v>
      </c>
      <c r="Q24" s="12" t="s">
        <v>45</v>
      </c>
      <c r="R24" s="1"/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Bayonne</v>
      </c>
      <c r="C25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25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25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5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5" s="34"/>
      <c r="H25" s="49"/>
      <c r="I25" s="50">
        <f ca="1">(lyon[[#This Row],[Issue match]]="Victoire")*4 + (lyon[[#This Row],[Issue match]]="Nul")*2 + lyon[[#This Row],[Bonus off]] + lyon[[#This Row],[Bonus déf]]</f>
        <v>0</v>
      </c>
      <c r="K25" s="10" t="s">
        <v>6</v>
      </c>
      <c r="L25" s="69"/>
      <c r="M25" s="70"/>
      <c r="N25" s="71"/>
      <c r="O25" s="1"/>
      <c r="P25" s="1" t="s">
        <v>47</v>
      </c>
      <c r="Q25" s="12" t="s">
        <v>46</v>
      </c>
      <c r="R25" s="1"/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/>
      </c>
      <c r="C26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/>
      </c>
      <c r="D26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/>
      </c>
      <c r="E26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6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6" s="34"/>
      <c r="H26" s="49"/>
      <c r="I26" s="50">
        <f ca="1">(lyon[[#This Row],[Issue match]]="Victoire")*4 + (lyon[[#This Row],[Issue match]]="Nul")*2 + lyon[[#This Row],[Bonus off]] + lyon[[#This Row],[Bonus déf]]</f>
        <v>0</v>
      </c>
      <c r="K26" s="10" t="s">
        <v>7</v>
      </c>
      <c r="L26" s="13"/>
      <c r="M26" s="72"/>
      <c r="N26" s="72"/>
      <c r="O26" s="1"/>
      <c r="P26" s="1" t="s">
        <v>47</v>
      </c>
      <c r="Q26" s="12" t="s">
        <v>48</v>
      </c>
      <c r="R26" s="1"/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ToulouseToulon</v>
      </c>
      <c r="C27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27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/>
      </c>
      <c r="E27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7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7" s="34"/>
      <c r="H27" s="49"/>
      <c r="I27" s="50">
        <f ca="1">(lyon[[#This Row],[Issue match]]="Victoire")*4 + (lyon[[#This Row],[Issue match]]="Nul")*2 + lyon[[#This Row],[Bonus off]] + lyon[[#This Row],[Bonus déf]]</f>
        <v>0</v>
      </c>
      <c r="K27" s="10" t="s">
        <v>9</v>
      </c>
      <c r="L27" s="18"/>
      <c r="M27" s="18"/>
      <c r="N27" s="13"/>
      <c r="O27" s="1"/>
      <c r="P27" s="1" t="s">
        <v>47</v>
      </c>
      <c r="Q27" s="12" t="s">
        <v>49</v>
      </c>
      <c r="R27" s="1"/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La Rochelle</v>
      </c>
      <c r="C28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28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28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8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8" s="34"/>
      <c r="H28" s="49"/>
      <c r="I28" s="50">
        <f ca="1">(lyon[[#This Row],[Issue match]]="Victoire")*4 + (lyon[[#This Row],[Issue match]]="Nul")*2 + lyon[[#This Row],[Bonus off]] + lyon[[#This Row],[Bonus déf]]</f>
        <v>0</v>
      </c>
      <c r="K28" s="10" t="s">
        <v>8</v>
      </c>
      <c r="L28" s="72"/>
      <c r="M28" s="72"/>
      <c r="N28" s="13"/>
      <c r="O28" s="1"/>
      <c r="P28" s="1" t="s">
        <v>47</v>
      </c>
      <c r="Q28" s="12" t="s">
        <v>50</v>
      </c>
      <c r="R28" s="1"/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Castres</v>
      </c>
      <c r="C29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29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29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29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29" s="34"/>
      <c r="H29" s="49"/>
      <c r="I29" s="50">
        <f ca="1">(lyon[[#This Row],[Issue match]]="Victoire")*4 + (lyon[[#This Row],[Issue match]]="Nul")*2 + lyon[[#This Row],[Bonus off]] + lyon[[#This Row],[Bonus déf]]</f>
        <v>0</v>
      </c>
      <c r="K29" s="10" t="s">
        <v>9</v>
      </c>
      <c r="L29" s="18"/>
      <c r="M29" s="18"/>
      <c r="N29" s="13"/>
      <c r="O29" s="1"/>
      <c r="P29" s="1" t="s">
        <v>47</v>
      </c>
      <c r="Q29" s="12" t="s">
        <v>51</v>
      </c>
      <c r="R29" s="1"/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Castres</v>
      </c>
      <c r="C30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30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30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30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30" s="34"/>
      <c r="H30" s="49"/>
      <c r="I30" s="50">
        <f ca="1">(lyon[[#This Row],[Issue match]]="Victoire")*4 + (lyon[[#This Row],[Issue match]]="Nul")*2 + lyon[[#This Row],[Bonus off]] + lyon[[#This Row],[Bonus déf]]</f>
        <v>0</v>
      </c>
      <c r="K30" s="10" t="s">
        <v>10</v>
      </c>
      <c r="L30" s="13"/>
      <c r="M30" s="13"/>
      <c r="N30" s="13"/>
      <c r="O30" s="1"/>
      <c r="P30" s="1" t="s">
        <v>47</v>
      </c>
      <c r="Q30" s="12" t="s">
        <v>52</v>
      </c>
      <c r="R30" s="1"/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Brive</v>
      </c>
      <c r="C31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31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31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31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31" s="34"/>
      <c r="H31" s="49"/>
      <c r="I31" s="50">
        <f ca="1">(lyon[[#This Row],[Issue match]]="Victoire")*4 + (lyon[[#This Row],[Issue match]]="Nul")*2 + lyon[[#This Row],[Bonus off]] + lyon[[#This Row],[Bonus déf]]</f>
        <v>0</v>
      </c>
      <c r="K31" s="10" t="s">
        <v>9</v>
      </c>
      <c r="L31" s="18"/>
      <c r="M31" s="18"/>
      <c r="N31" s="13"/>
      <c r="O31" s="1"/>
      <c r="P31" s="1" t="s">
        <v>47</v>
      </c>
      <c r="Q31" s="12" t="s">
        <v>53</v>
      </c>
      <c r="R31" s="1"/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Paris</v>
      </c>
      <c r="C32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Extérieur</v>
      </c>
      <c r="D32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32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32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32" s="34"/>
      <c r="H32" s="49"/>
      <c r="I32" s="50">
        <f ca="1">(lyon[[#This Row],[Issue match]]="Victoire")*4 + (lyon[[#This Row],[Issue match]]="Nul")*2 + lyon[[#This Row],[Bonus off]] + lyon[[#This Row],[Bonus déf]]</f>
        <v>0</v>
      </c>
      <c r="J32" s="1"/>
      <c r="K32" s="1"/>
      <c r="L32" s="1"/>
    </row>
    <row r="33" spans="1:12">
      <c r="A33" s="39" t="s">
        <v>149</v>
      </c>
      <c r="B33" s="37" t="str">
        <f ca="1">CONCATENATE(
IFERROR( INDEX(INDIRECT("resultat!C"&amp;PRODUCT(7,MATCH(lyon[[#This Row],[journée]],lyon[journée],0)-1)+2&amp;":C"&amp;PRODUCT(7,MATCH(lyon[[#This Row],[journée]],lyon[journée],0))+1),
IFERROR(MATCH($A$1, INDIRECT("resultat!f"&amp;PRODUCT(7,MATCH(lyon[[#This Row],[journée]],lyon[journée],0)-1)+2&amp;":f"&amp;PRODUCT(7,MATCH(lyon[[#This Row],[journée]],lyon[journée],0))+1),0 ),""),0),""),
IFERROR( INDEX(INDIRECT("resultat!f"&amp;PRODUCT(7,MATCH(lyon[[#This Row],[journée]],lyon[journée],0)-1)+2&amp;":f"&amp;PRODUCT(7,MATCH(lyon[[#This Row],[journée]],lyon[journée],0))+1),
IFERROR(MATCH($A$1, INDIRECT("resultat!c"&amp;PRODUCT(7,MATCH(lyon[[#This Row],[journée]],lyon[journée],0)-1)+2&amp;":c"&amp;PRODUCT(7,MATCH(lyon[[#This Row],[journée]],lyon[journée],0))+1),0 ),""),0),"") )</f>
        <v>Agen</v>
      </c>
      <c r="C33" s="38" t="str">
        <f ca="1">IF(AND(ISNA(MATCH($A$1,INDIRECT("resultat!f"&amp;PRODUCT(7,MATCH(lyon[[#This Row],[journée]],lyon[journée],0)-1)+2&amp;":f"&amp;PRODUCT(7,MATCH(lyon[[#This Row],[journée]],lyon[journée],0))+1),0)),
ISNA(MATCH($A$1,INDIRECT("resultat!c"&amp;PRODUCT(7,MATCH(lyon[[#This Row],[journée]],lyon[journée],0)-1)+2&amp;":c"&amp;PRODUCT(7,MATCH(lyon[[#This Row],[journée]],lyon[journée],0))+1),0))),"",IF(ISNA(MATCH($A$1,INDIRECT("resultat!f"&amp;PRODUCT(7,MATCH(lyon[[#This Row],[journée]],lyon[journée],0)-1)+2&amp;":f"&amp;PRODUCT(7,MATCH(lyon[[#This Row],[journée]],lyon[journée],0))+1),0)),
"Domicile","Extérieur"))</f>
        <v>Domicile</v>
      </c>
      <c r="D33" s="52" t="str">
        <f ca="1">IFERROR(  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$A$1, "Victoire",
IF( INDEX(INDIRECT("resultat!h"&amp;PRODUCT(7,MATCH(lyon[[#This Row],[journée]],lyon[journée],0)-1)+2&amp;":h"&amp;PRODUCT(7,MATCH(lyon[[#This Row],[journée]],lyon[journée],0))+1),
CONCATENATE(
IFERROR(MATCH( $A$1, INDIRECT("resultat!C"&amp;PRODUCT(7,MATCH(lyon[[#This Row],[journée]],lyon[journée],0)-1)+2&amp;":C"&amp;PRODUCT(7,MATCH(lyon[[#This Row],[journée]],lyon[journée],0))+1),0),""),
IFERROR(MATCH($A$1, INDIRECT("resultat!f"&amp;PRODUCT(7,MATCH(lyon[[#This Row],[journée]],lyon[journée],0)-1)+2&amp;":f"&amp;PRODUCT(7,MATCH(lyon[[#This Row],[journée]],lyon[journée],0))+1),0 ),"")),0) = "Nul", "Nul", "Défaite" )), "")</f>
        <v>Défaite</v>
      </c>
      <c r="E33" s="45">
        <f ca="1">SUMIFS(resultat[Score D],resultat[Journée],lyon[[#This Row],[journée]],resultat[Domicile],lyon[[#This Row],[adversaire]]) + SUMIFS(resultat[Score D],resultat[Journée],lyon[[#This Row],[journée]],resultat[Exterieur],lyon[[#This Row],[adversaire]])</f>
        <v>0</v>
      </c>
      <c r="F33" s="46">
        <f ca="1">SUMIFS(resultat[Score E],resultat[Journée],lyon[[#This Row],[journée]],resultat[Domicile],lyon[[#This Row],[adversaire]])  + SUMIFS(resultat[Score E],resultat[Journée],lyon[[#This Row],[journée]],resultat[Exterieur],lyon[[#This Row],[adversaire]])</f>
        <v>0</v>
      </c>
      <c r="G33" s="34"/>
      <c r="H33" s="49"/>
      <c r="I33" s="50">
        <f ca="1">(lyon[[#This Row],[Issue match]]="Victoire")*4 + (lyon[[#This Row],[Issue match]]="Nul")*2 + lyon[[#This Row],[Bonus off]] + lyon[[#This Row],[Bonus déf]]</f>
        <v>0</v>
      </c>
      <c r="J33" s="1"/>
      <c r="K33" s="1"/>
      <c r="L33" s="1"/>
    </row>
    <row r="34" spans="1:1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</row>
    <row r="36" spans="1:12">
      <c r="A36" s="74" t="s">
        <v>28</v>
      </c>
      <c r="B36" s="74" t="s">
        <v>14</v>
      </c>
      <c r="C36" s="48">
        <v>15</v>
      </c>
      <c r="D36" s="48">
        <v>5</v>
      </c>
      <c r="E36" s="48">
        <v>2</v>
      </c>
      <c r="F36" s="19">
        <f t="shared" ref="F36:F48" si="1">(D36+E36)/C36</f>
        <v>0.46666666666666667</v>
      </c>
      <c r="G36" s="48">
        <v>2</v>
      </c>
      <c r="H36" s="48">
        <v>6</v>
      </c>
      <c r="I36" s="19">
        <f t="shared" ref="I36:I48" si="2">(G36+H36)/C36</f>
        <v>0.53333333333333333</v>
      </c>
      <c r="J36" s="48"/>
      <c r="K36" s="21">
        <f t="shared" ref="K36:K48" si="3">100%-(F36+I36)</f>
        <v>0</v>
      </c>
      <c r="L36" s="22">
        <f t="shared" ref="L36:L48" si="4">SUM(F36+I36+K36)</f>
        <v>1</v>
      </c>
    </row>
    <row r="37" spans="1:12">
      <c r="A37" s="74" t="s">
        <v>28</v>
      </c>
      <c r="B37" s="74" t="s">
        <v>23</v>
      </c>
      <c r="C37" s="48">
        <v>13</v>
      </c>
      <c r="D37" s="48">
        <v>4</v>
      </c>
      <c r="E37" s="48">
        <v>1</v>
      </c>
      <c r="F37" s="19">
        <f t="shared" si="1"/>
        <v>0.38461538461538464</v>
      </c>
      <c r="G37" s="48">
        <v>2</v>
      </c>
      <c r="H37" s="48">
        <v>3</v>
      </c>
      <c r="I37" s="19">
        <f t="shared" si="2"/>
        <v>0.38461538461538464</v>
      </c>
      <c r="J37" s="48">
        <v>3</v>
      </c>
      <c r="K37" s="21">
        <f t="shared" si="3"/>
        <v>0.23076923076923073</v>
      </c>
      <c r="L37" s="22">
        <f t="shared" si="4"/>
        <v>1</v>
      </c>
    </row>
    <row r="38" spans="1:12">
      <c r="A38" s="74" t="s">
        <v>28</v>
      </c>
      <c r="B38" s="74" t="s">
        <v>24</v>
      </c>
      <c r="C38" s="48">
        <v>27</v>
      </c>
      <c r="D38" s="48">
        <v>11</v>
      </c>
      <c r="E38" s="48">
        <v>3</v>
      </c>
      <c r="F38" s="19">
        <f t="shared" si="1"/>
        <v>0.51851851851851849</v>
      </c>
      <c r="G38" s="48">
        <v>1</v>
      </c>
      <c r="H38" s="48">
        <v>10</v>
      </c>
      <c r="I38" s="19">
        <f t="shared" si="2"/>
        <v>0.40740740740740738</v>
      </c>
      <c r="J38" s="48">
        <v>2</v>
      </c>
      <c r="K38" s="21">
        <f t="shared" si="3"/>
        <v>7.4074074074074181E-2</v>
      </c>
      <c r="L38" s="22">
        <f t="shared" si="4"/>
        <v>1</v>
      </c>
    </row>
    <row r="39" spans="1:12">
      <c r="A39" s="74" t="s">
        <v>28</v>
      </c>
      <c r="B39" s="74" t="s">
        <v>25</v>
      </c>
      <c r="C39" s="48">
        <v>14</v>
      </c>
      <c r="D39" s="48">
        <v>4</v>
      </c>
      <c r="E39" s="48">
        <v>2</v>
      </c>
      <c r="F39" s="19">
        <f t="shared" si="1"/>
        <v>0.42857142857142855</v>
      </c>
      <c r="G39" s="48">
        <v>1</v>
      </c>
      <c r="H39" s="48">
        <v>3</v>
      </c>
      <c r="I39" s="19">
        <f t="shared" si="2"/>
        <v>0.2857142857142857</v>
      </c>
      <c r="J39" s="48">
        <v>4</v>
      </c>
      <c r="K39" s="21">
        <f t="shared" si="3"/>
        <v>0.28571428571428581</v>
      </c>
      <c r="L39" s="22">
        <f t="shared" si="4"/>
        <v>1</v>
      </c>
    </row>
    <row r="40" spans="1:12">
      <c r="A40" s="74" t="s">
        <v>28</v>
      </c>
      <c r="B40" s="74" t="s">
        <v>37</v>
      </c>
      <c r="C40" s="48">
        <v>11</v>
      </c>
      <c r="D40" s="48">
        <v>2</v>
      </c>
      <c r="E40" s="48">
        <v>1</v>
      </c>
      <c r="F40" s="19">
        <f t="shared" si="1"/>
        <v>0.27272727272727271</v>
      </c>
      <c r="G40" s="48">
        <v>3</v>
      </c>
      <c r="H40" s="48">
        <v>4</v>
      </c>
      <c r="I40" s="19">
        <f t="shared" si="2"/>
        <v>0.63636363636363635</v>
      </c>
      <c r="J40" s="48">
        <v>1</v>
      </c>
      <c r="K40" s="21">
        <f t="shared" si="3"/>
        <v>9.0909090909090939E-2</v>
      </c>
      <c r="L40" s="22">
        <f t="shared" si="4"/>
        <v>1</v>
      </c>
    </row>
    <row r="41" spans="1:12">
      <c r="A41" s="74" t="s">
        <v>28</v>
      </c>
      <c r="B41" s="74" t="s">
        <v>26</v>
      </c>
      <c r="C41" s="48">
        <v>12</v>
      </c>
      <c r="D41" s="48">
        <v>3</v>
      </c>
      <c r="E41" s="48">
        <v>0</v>
      </c>
      <c r="F41" s="19">
        <f t="shared" si="1"/>
        <v>0.25</v>
      </c>
      <c r="G41" s="48">
        <v>1</v>
      </c>
      <c r="H41" s="48">
        <v>7</v>
      </c>
      <c r="I41" s="19">
        <f t="shared" si="2"/>
        <v>0.66666666666666663</v>
      </c>
      <c r="J41" s="48">
        <v>1</v>
      </c>
      <c r="K41" s="21">
        <f t="shared" si="3"/>
        <v>8.333333333333337E-2</v>
      </c>
      <c r="L41" s="22">
        <f t="shared" si="4"/>
        <v>1</v>
      </c>
    </row>
    <row r="42" spans="1:12">
      <c r="A42" s="74" t="s">
        <v>28</v>
      </c>
      <c r="B42" s="74" t="s">
        <v>27</v>
      </c>
      <c r="C42" s="48">
        <v>30</v>
      </c>
      <c r="D42" s="48">
        <v>11</v>
      </c>
      <c r="E42" s="48">
        <v>3</v>
      </c>
      <c r="F42" s="19">
        <f t="shared" si="1"/>
        <v>0.46666666666666667</v>
      </c>
      <c r="G42" s="48">
        <v>3</v>
      </c>
      <c r="H42" s="48">
        <v>10</v>
      </c>
      <c r="I42" s="19">
        <f t="shared" si="2"/>
        <v>0.43333333333333335</v>
      </c>
      <c r="J42" s="48">
        <v>3</v>
      </c>
      <c r="K42" s="21">
        <f t="shared" si="3"/>
        <v>9.9999999999999978E-2</v>
      </c>
      <c r="L42" s="22">
        <f t="shared" si="4"/>
        <v>1</v>
      </c>
    </row>
    <row r="43" spans="1:12">
      <c r="A43" s="74" t="s">
        <v>28</v>
      </c>
      <c r="B43" s="74" t="s">
        <v>29</v>
      </c>
      <c r="C43" s="48">
        <v>15</v>
      </c>
      <c r="D43" s="48">
        <v>5</v>
      </c>
      <c r="E43" s="48">
        <v>1</v>
      </c>
      <c r="F43" s="19">
        <f t="shared" si="1"/>
        <v>0.4</v>
      </c>
      <c r="G43" s="48">
        <v>1</v>
      </c>
      <c r="H43" s="48">
        <v>6</v>
      </c>
      <c r="I43" s="19">
        <f t="shared" si="2"/>
        <v>0.46666666666666667</v>
      </c>
      <c r="J43" s="48">
        <v>2</v>
      </c>
      <c r="K43" s="21">
        <f t="shared" si="3"/>
        <v>0.1333333333333333</v>
      </c>
      <c r="L43" s="22">
        <f t="shared" si="4"/>
        <v>1</v>
      </c>
    </row>
    <row r="44" spans="1:12">
      <c r="A44" s="74" t="s">
        <v>28</v>
      </c>
      <c r="B44" s="74" t="s">
        <v>30</v>
      </c>
      <c r="C44" s="48">
        <v>11</v>
      </c>
      <c r="D44" s="48">
        <v>6</v>
      </c>
      <c r="E44" s="48">
        <v>2</v>
      </c>
      <c r="F44" s="19">
        <f t="shared" si="1"/>
        <v>0.72727272727272729</v>
      </c>
      <c r="G44" s="48">
        <v>0</v>
      </c>
      <c r="H44" s="48">
        <v>3</v>
      </c>
      <c r="I44" s="19">
        <f t="shared" si="2"/>
        <v>0.27272727272727271</v>
      </c>
      <c r="J44" s="48"/>
      <c r="K44" s="21">
        <f t="shared" si="3"/>
        <v>0</v>
      </c>
      <c r="L44" s="22">
        <f t="shared" si="4"/>
        <v>1</v>
      </c>
    </row>
    <row r="45" spans="1:12">
      <c r="A45" s="74" t="s">
        <v>28</v>
      </c>
      <c r="B45" s="74" t="s">
        <v>31</v>
      </c>
      <c r="C45" s="48">
        <v>22</v>
      </c>
      <c r="D45" s="48">
        <v>9</v>
      </c>
      <c r="E45" s="48">
        <v>4</v>
      </c>
      <c r="F45" s="19">
        <f t="shared" si="1"/>
        <v>0.59090909090909094</v>
      </c>
      <c r="G45" s="48">
        <v>2</v>
      </c>
      <c r="H45" s="48">
        <v>6</v>
      </c>
      <c r="I45" s="19">
        <f t="shared" si="2"/>
        <v>0.36363636363636365</v>
      </c>
      <c r="J45" s="48">
        <v>1</v>
      </c>
      <c r="K45" s="21">
        <f t="shared" si="3"/>
        <v>4.5454545454545414E-2</v>
      </c>
      <c r="L45" s="22">
        <f t="shared" si="4"/>
        <v>1</v>
      </c>
    </row>
    <row r="46" spans="1:12">
      <c r="A46" s="74" t="s">
        <v>28</v>
      </c>
      <c r="B46" s="74" t="s">
        <v>32</v>
      </c>
      <c r="C46" s="48">
        <v>27</v>
      </c>
      <c r="D46" s="48">
        <v>7</v>
      </c>
      <c r="E46" s="48">
        <v>5</v>
      </c>
      <c r="F46" s="19">
        <f t="shared" si="1"/>
        <v>0.44444444444444442</v>
      </c>
      <c r="G46" s="48">
        <v>6</v>
      </c>
      <c r="H46" s="48">
        <v>7</v>
      </c>
      <c r="I46" s="19">
        <f t="shared" si="2"/>
        <v>0.48148148148148145</v>
      </c>
      <c r="J46" s="48">
        <v>2</v>
      </c>
      <c r="K46" s="21">
        <f t="shared" si="3"/>
        <v>7.4074074074074181E-2</v>
      </c>
      <c r="L46" s="22">
        <f t="shared" si="4"/>
        <v>1</v>
      </c>
    </row>
    <row r="47" spans="1:12">
      <c r="A47" s="74" t="s">
        <v>28</v>
      </c>
      <c r="B47" s="74" t="s">
        <v>15</v>
      </c>
      <c r="C47" s="27">
        <v>26</v>
      </c>
      <c r="D47" s="27">
        <v>8</v>
      </c>
      <c r="E47" s="27">
        <v>1</v>
      </c>
      <c r="F47" s="19">
        <f t="shared" si="1"/>
        <v>0.34615384615384615</v>
      </c>
      <c r="G47" s="27">
        <v>3</v>
      </c>
      <c r="H47" s="27">
        <v>11</v>
      </c>
      <c r="I47" s="19">
        <f t="shared" si="2"/>
        <v>0.53846153846153844</v>
      </c>
      <c r="J47" s="27">
        <v>3</v>
      </c>
      <c r="K47" s="21">
        <f t="shared" si="3"/>
        <v>0.11538461538461542</v>
      </c>
      <c r="L47" s="22">
        <f t="shared" si="4"/>
        <v>1</v>
      </c>
    </row>
    <row r="48" spans="1:12">
      <c r="A48" s="74" t="s">
        <v>28</v>
      </c>
      <c r="B48" s="74" t="s">
        <v>33</v>
      </c>
      <c r="C48" s="27">
        <v>13</v>
      </c>
      <c r="D48" s="27">
        <v>3</v>
      </c>
      <c r="E48" s="27">
        <v>1</v>
      </c>
      <c r="F48" s="19">
        <f t="shared" si="1"/>
        <v>0.30769230769230771</v>
      </c>
      <c r="G48" s="27">
        <v>3</v>
      </c>
      <c r="H48" s="27">
        <v>5</v>
      </c>
      <c r="I48" s="19">
        <f t="shared" si="2"/>
        <v>0.61538461538461542</v>
      </c>
      <c r="J48" s="27">
        <v>1</v>
      </c>
      <c r="K48" s="21">
        <f t="shared" si="3"/>
        <v>7.6923076923076872E-2</v>
      </c>
      <c r="L48" s="22">
        <f t="shared" si="4"/>
        <v>1</v>
      </c>
    </row>
    <row r="50" spans="1:12">
      <c r="A50" s="92" t="s">
        <v>166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28</v>
      </c>
      <c r="B52" s="91" t="s">
        <v>14</v>
      </c>
      <c r="C52" s="83">
        <f ca="1">COUNTIFS(lyon[adversaire],B52)</f>
        <v>2</v>
      </c>
      <c r="D52" s="84">
        <f ca="1">COUNTIFS(lyon[adversaire],B52,lyon[Lieu Match],"domicile",lyon[Issue match],"victoire")</f>
        <v>0</v>
      </c>
      <c r="E52" s="84">
        <f ca="1">COUNTIFS(lyon[adversaire],B52,lyon[Lieu Match],"Extérieur",lyon[Issue match],"victoire")</f>
        <v>0</v>
      </c>
      <c r="F52" s="82">
        <f t="shared" ref="F52:F64" ca="1" si="5">(D52+E52)/C52</f>
        <v>0</v>
      </c>
      <c r="G52" s="78">
        <f ca="1">COUNTIFS(lyon[adversaire],B52,lyon[Lieu Match],"domicile",lyon[Issue match],"défaite")</f>
        <v>1</v>
      </c>
      <c r="H52" s="80">
        <f ca="1">COUNTIFS(lyon[adversaire],B52,lyon[Lieu Match],"Extérieur",lyon[Issue match],"défaite")</f>
        <v>1</v>
      </c>
      <c r="I52" s="79">
        <f t="shared" ref="I52:I64" ca="1" si="6">(G52+H52)/C52</f>
        <v>1</v>
      </c>
      <c r="J52" s="85">
        <f ca="1">COUNTIFS(lyon[adversaire],B52,lyon[Lieu Match],"Domicile",lyon[Issue match],"Nul")+COUNTIFS(lyon[adversaire],B52,lyon[Lieu Match],"Extérieur",lyon[Issue match],"Nul")</f>
        <v>0</v>
      </c>
      <c r="K52" s="81">
        <f t="shared" ref="K52:K64" ca="1" si="7">100%-(F52+I52)</f>
        <v>0</v>
      </c>
      <c r="L52" s="89">
        <f t="shared" ref="L52:L64" ca="1" si="8">SUM(F52+I52+K52)</f>
        <v>1</v>
      </c>
    </row>
    <row r="53" spans="1:12">
      <c r="A53" s="90" t="s">
        <v>28</v>
      </c>
      <c r="B53" s="91" t="s">
        <v>23</v>
      </c>
      <c r="C53" s="83">
        <f ca="1">COUNTIFS(agen[adversaire],B53)</f>
        <v>2</v>
      </c>
      <c r="D53" s="84">
        <f ca="1">COUNTIFS(agen[adversaire],B53,agen[Lieu Match],"domicile",agen[Issue match],"victoire")</f>
        <v>0</v>
      </c>
      <c r="E53" s="84">
        <f ca="1">COUNTIFS(agen[adversaire],B53,agen[Lieu Match],"Extérieur",agen[Issue match],"victoire")</f>
        <v>0</v>
      </c>
      <c r="F53" s="82">
        <f t="shared" ca="1" si="5"/>
        <v>0</v>
      </c>
      <c r="G53" s="78">
        <f ca="1">COUNTIFS(agen[adversaire],B53,agen[Lieu Match],"domicile",agen[Issue match],"défaite")</f>
        <v>1</v>
      </c>
      <c r="H53" s="80">
        <f ca="1">COUNTIFS(agen[adversaire],B53,agen[Lieu Match],"Extérieur",agen[Issue match],"défaite")</f>
        <v>1</v>
      </c>
      <c r="I53" s="79">
        <f t="shared" ca="1" si="6"/>
        <v>1</v>
      </c>
      <c r="J53" s="85">
        <f ca="1">COUNTIFS(agen[adversaire],B53,agen[Lieu Match],"Domicile",agen[Issue match],"Nul")+COUNTIFS(agen[adversaire],B53,agen[Lieu Match],"Extérieur",agen[Issue match],"Nul")</f>
        <v>0</v>
      </c>
      <c r="K53" s="81">
        <f t="shared" ca="1" si="7"/>
        <v>0</v>
      </c>
      <c r="L53" s="89">
        <f t="shared" ca="1" si="8"/>
        <v>1</v>
      </c>
    </row>
    <row r="54" spans="1:12">
      <c r="A54" s="90" t="s">
        <v>28</v>
      </c>
      <c r="B54" s="91" t="s">
        <v>24</v>
      </c>
      <c r="C54" s="83">
        <f ca="1">COUNTIFS(agen[adversaire],B54)</f>
        <v>2</v>
      </c>
      <c r="D54" s="84">
        <f ca="1">COUNTIFS(agen[adversaire],B54,agen[Lieu Match],"domicile",agen[Issue match],"victoire")</f>
        <v>0</v>
      </c>
      <c r="E54" s="84">
        <f ca="1">COUNTIFS(agen[adversaire],B54,agen[Lieu Match],"Extérieur",agen[Issue match],"victoire")</f>
        <v>0</v>
      </c>
      <c r="F54" s="82">
        <f t="shared" ca="1" si="5"/>
        <v>0</v>
      </c>
      <c r="G54" s="78">
        <f ca="1">COUNTIFS(agen[adversaire],B54,agen[Lieu Match],"domicile",agen[Issue match],"défaite")</f>
        <v>1</v>
      </c>
      <c r="H54" s="80">
        <f ca="1">COUNTIFS(agen[adversaire],B54,agen[Lieu Match],"Extérieur",agen[Issue match],"défaite")</f>
        <v>1</v>
      </c>
      <c r="I54" s="79">
        <f t="shared" ca="1" si="6"/>
        <v>1</v>
      </c>
      <c r="J54" s="85">
        <f ca="1">COUNTIFS(agen[adversaire],B54,agen[Lieu Match],"Domicile",agen[Issue match],"Nul")+COUNTIFS(agen[adversaire],B54,agen[Lieu Match],"Extérieur",agen[Issue match],"Nul")</f>
        <v>0</v>
      </c>
      <c r="K54" s="81">
        <f t="shared" ca="1" si="7"/>
        <v>0</v>
      </c>
      <c r="L54" s="89">
        <f t="shared" ca="1" si="8"/>
        <v>1</v>
      </c>
    </row>
    <row r="55" spans="1:12">
      <c r="A55" s="90" t="s">
        <v>28</v>
      </c>
      <c r="B55" s="91" t="s">
        <v>25</v>
      </c>
      <c r="C55" s="83">
        <f ca="1">COUNTIFS(agen[adversaire],B55)</f>
        <v>2</v>
      </c>
      <c r="D55" s="84">
        <f ca="1">COUNTIFS(agen[adversaire],B55,agen[Lieu Match],"domicile",agen[Issue match],"victoire")</f>
        <v>0</v>
      </c>
      <c r="E55" s="84">
        <f ca="1">COUNTIFS(agen[adversaire],B55,agen[Lieu Match],"Extérieur",agen[Issue match],"victoire")</f>
        <v>0</v>
      </c>
      <c r="F55" s="82">
        <f t="shared" ca="1" si="5"/>
        <v>0</v>
      </c>
      <c r="G55" s="78">
        <f ca="1">COUNTIFS(agen[adversaire],B55,agen[Lieu Match],"domicile",agen[Issue match],"défaite")</f>
        <v>1</v>
      </c>
      <c r="H55" s="80">
        <f ca="1">COUNTIFS(agen[adversaire],B55,agen[Lieu Match],"Extérieur",agen[Issue match],"défaite")</f>
        <v>1</v>
      </c>
      <c r="I55" s="79">
        <f t="shared" ca="1" si="6"/>
        <v>1</v>
      </c>
      <c r="J55" s="85">
        <f ca="1">COUNTIFS(agen[adversaire],B55,agen[Lieu Match],"Domicile",agen[Issue match],"Nul")+COUNTIFS(agen[adversaire],B55,agen[Lieu Match],"Extérieur",agen[Issue match],"Nul")</f>
        <v>0</v>
      </c>
      <c r="K55" s="81">
        <f t="shared" ca="1" si="7"/>
        <v>0</v>
      </c>
      <c r="L55" s="89">
        <f t="shared" ca="1" si="8"/>
        <v>1</v>
      </c>
    </row>
    <row r="56" spans="1:12">
      <c r="A56" s="90" t="s">
        <v>28</v>
      </c>
      <c r="B56" s="91" t="s">
        <v>37</v>
      </c>
      <c r="C56" s="83">
        <f ca="1">COUNTIFS(agen[adversaire],B56)</f>
        <v>2</v>
      </c>
      <c r="D56" s="84">
        <f ca="1">COUNTIFS(agen[adversaire],B56,agen[Lieu Match],"domicile",agen[Issue match],"victoire")</f>
        <v>0</v>
      </c>
      <c r="E56" s="84">
        <f ca="1">COUNTIFS(agen[adversaire],B56,agen[Lieu Match],"Extérieur",agen[Issue match],"victoire")</f>
        <v>0</v>
      </c>
      <c r="F56" s="82">
        <f t="shared" ca="1" si="5"/>
        <v>0</v>
      </c>
      <c r="G56" s="78">
        <f ca="1">COUNTIFS(agen[adversaire],B56,agen[Lieu Match],"domicile",agen[Issue match],"défaite")</f>
        <v>1</v>
      </c>
      <c r="H56" s="80">
        <f ca="1">COUNTIFS(agen[adversaire],B56,agen[Lieu Match],"Extérieur",agen[Issue match],"défaite")</f>
        <v>1</v>
      </c>
      <c r="I56" s="79">
        <f t="shared" ca="1" si="6"/>
        <v>1</v>
      </c>
      <c r="J56" s="85">
        <f ca="1">COUNTIFS(agen[adversaire],B56,agen[Lieu Match],"Domicile",agen[Issue match],"Nul")+COUNTIFS(agen[adversaire],B56,agen[Lieu Match],"Extérieur",agen[Issue match],"Nul")</f>
        <v>0</v>
      </c>
      <c r="K56" s="81">
        <f t="shared" ca="1" si="7"/>
        <v>0</v>
      </c>
      <c r="L56" s="89">
        <f t="shared" ca="1" si="8"/>
        <v>1</v>
      </c>
    </row>
    <row r="57" spans="1:12">
      <c r="A57" s="90" t="s">
        <v>28</v>
      </c>
      <c r="B57" s="91" t="s">
        <v>26</v>
      </c>
      <c r="C57" s="83">
        <f ca="1">COUNTIFS(agen[adversaire],B57)</f>
        <v>2</v>
      </c>
      <c r="D57" s="84">
        <f ca="1">COUNTIFS(agen[adversaire],B57,agen[Lieu Match],"domicile",agen[Issue match],"victoire")</f>
        <v>0</v>
      </c>
      <c r="E57" s="84">
        <f ca="1">COUNTIFS(agen[adversaire],B57,agen[Lieu Match],"Extérieur",agen[Issue match],"victoire")</f>
        <v>0</v>
      </c>
      <c r="F57" s="82">
        <f t="shared" ca="1" si="5"/>
        <v>0</v>
      </c>
      <c r="G57" s="78">
        <f ca="1">COUNTIFS(agen[adversaire],B57,agen[Lieu Match],"domicile",agen[Issue match],"défaite")</f>
        <v>1</v>
      </c>
      <c r="H57" s="80">
        <f ca="1">COUNTIFS(agen[adversaire],B57,agen[Lieu Match],"Extérieur",agen[Issue match],"défaite")</f>
        <v>1</v>
      </c>
      <c r="I57" s="79">
        <f t="shared" ca="1" si="6"/>
        <v>1</v>
      </c>
      <c r="J57" s="85">
        <f ca="1">COUNTIFS(agen[adversaire],B57,agen[Lieu Match],"Domicile",agen[Issue match],"Nul")+COUNTIFS(agen[adversaire],B57,agen[Lieu Match],"Extérieur",agen[Issue match],"Nul")</f>
        <v>0</v>
      </c>
      <c r="K57" s="81">
        <f t="shared" ca="1" si="7"/>
        <v>0</v>
      </c>
      <c r="L57" s="89">
        <f t="shared" ca="1" si="8"/>
        <v>1</v>
      </c>
    </row>
    <row r="58" spans="1:12">
      <c r="A58" s="90" t="s">
        <v>28</v>
      </c>
      <c r="B58" s="91" t="s">
        <v>27</v>
      </c>
      <c r="C58" s="83">
        <f ca="1">COUNTIFS(agen[adversaire],B58)</f>
        <v>2</v>
      </c>
      <c r="D58" s="84">
        <f ca="1">COUNTIFS(agen[adversaire],B58,agen[Lieu Match],"domicile",agen[Issue match],"victoire")</f>
        <v>0</v>
      </c>
      <c r="E58" s="84">
        <f ca="1">COUNTIFS(agen[adversaire],B58,agen[Lieu Match],"Extérieur",agen[Issue match],"victoire")</f>
        <v>0</v>
      </c>
      <c r="F58" s="82">
        <f t="shared" ca="1" si="5"/>
        <v>0</v>
      </c>
      <c r="G58" s="78">
        <f ca="1">COUNTIFS(agen[adversaire],B58,agen[Lieu Match],"domicile",agen[Issue match],"défaite")</f>
        <v>1</v>
      </c>
      <c r="H58" s="80">
        <f ca="1">COUNTIFS(agen[adversaire],B58,agen[Lieu Match],"Extérieur",agen[Issue match],"défaite")</f>
        <v>1</v>
      </c>
      <c r="I58" s="79">
        <f t="shared" ca="1" si="6"/>
        <v>1</v>
      </c>
      <c r="J58" s="85">
        <f ca="1">COUNTIFS(agen[adversaire],B58,agen[Lieu Match],"Domicile",agen[Issue match],"Nul")+COUNTIFS(agen[adversaire],B58,agen[Lieu Match],"Extérieur",agen[Issue match],"Nul")</f>
        <v>0</v>
      </c>
      <c r="K58" s="81">
        <f t="shared" ca="1" si="7"/>
        <v>0</v>
      </c>
      <c r="L58" s="89">
        <f t="shared" ca="1" si="8"/>
        <v>1</v>
      </c>
    </row>
    <row r="59" spans="1:12">
      <c r="A59" s="90" t="s">
        <v>28</v>
      </c>
      <c r="B59" s="91" t="s">
        <v>29</v>
      </c>
      <c r="C59" s="83">
        <f ca="1">COUNTIFS(agen[adversaire],B59)</f>
        <v>2</v>
      </c>
      <c r="D59" s="84">
        <f ca="1">COUNTIFS(agen[adversaire],B59,agen[Lieu Match],"domicile",agen[Issue match],"victoire")</f>
        <v>0</v>
      </c>
      <c r="E59" s="84">
        <f ca="1">COUNTIFS(agen[adversaire],B59,agen[Lieu Match],"Extérieur",agen[Issue match],"victoire")</f>
        <v>0</v>
      </c>
      <c r="F59" s="82">
        <f t="shared" ca="1" si="5"/>
        <v>0</v>
      </c>
      <c r="G59" s="78">
        <f ca="1">COUNTIFS(agen[adversaire],B59,agen[Lieu Match],"domicile",agen[Issue match],"défaite")</f>
        <v>1</v>
      </c>
      <c r="H59" s="80">
        <f ca="1">COUNTIFS(agen[adversaire],B59,agen[Lieu Match],"Extérieur",agen[Issue match],"défaite")</f>
        <v>1</v>
      </c>
      <c r="I59" s="79">
        <f t="shared" ca="1" si="6"/>
        <v>1</v>
      </c>
      <c r="J59" s="85">
        <f ca="1">COUNTIFS(agen[adversaire],B59,agen[Lieu Match],"Domicile",agen[Issue match],"Nul")+COUNTIFS(agen[adversaire],B59,agen[Lieu Match],"Extérieur",agen[Issue match],"Nul")</f>
        <v>0</v>
      </c>
      <c r="K59" s="81">
        <f t="shared" ca="1" si="7"/>
        <v>0</v>
      </c>
      <c r="L59" s="89">
        <f t="shared" ca="1" si="8"/>
        <v>1</v>
      </c>
    </row>
    <row r="60" spans="1:12">
      <c r="A60" s="90" t="s">
        <v>28</v>
      </c>
      <c r="B60" s="91" t="s">
        <v>30</v>
      </c>
      <c r="C60" s="83">
        <f ca="1">COUNTIFS(agen[adversaire],B60)</f>
        <v>2</v>
      </c>
      <c r="D60" s="84">
        <f ca="1">COUNTIFS(agen[adversaire],B60,agen[Lieu Match],"domicile",agen[Issue match],"victoire")</f>
        <v>0</v>
      </c>
      <c r="E60" s="84">
        <f ca="1">COUNTIFS(agen[adversaire],B60,agen[Lieu Match],"Extérieur",agen[Issue match],"victoire")</f>
        <v>0</v>
      </c>
      <c r="F60" s="82">
        <f t="shared" ca="1" si="5"/>
        <v>0</v>
      </c>
      <c r="G60" s="78">
        <f ca="1">COUNTIFS(agen[adversaire],B60,agen[Lieu Match],"domicile",agen[Issue match],"défaite")</f>
        <v>1</v>
      </c>
      <c r="H60" s="80">
        <f ca="1">COUNTIFS(agen[adversaire],B60,agen[Lieu Match],"Extérieur",agen[Issue match],"défaite")</f>
        <v>1</v>
      </c>
      <c r="I60" s="79">
        <f t="shared" ca="1" si="6"/>
        <v>1</v>
      </c>
      <c r="J60" s="85">
        <f ca="1">COUNTIFS(agen[adversaire],B60,agen[Lieu Match],"Domicile",agen[Issue match],"Nul")+COUNTIFS(agen[adversaire],B60,agen[Lieu Match],"Extérieur",agen[Issue match],"Nul")</f>
        <v>0</v>
      </c>
      <c r="K60" s="81">
        <f t="shared" ca="1" si="7"/>
        <v>0</v>
      </c>
      <c r="L60" s="89">
        <f t="shared" ca="1" si="8"/>
        <v>1</v>
      </c>
    </row>
    <row r="61" spans="1:12">
      <c r="A61" s="90" t="s">
        <v>28</v>
      </c>
      <c r="B61" s="91" t="s">
        <v>31</v>
      </c>
      <c r="C61" s="83">
        <f ca="1">COUNTIFS(agen[adversaire],B61)</f>
        <v>2</v>
      </c>
      <c r="D61" s="84">
        <f ca="1">COUNTIFS(agen[adversaire],B61,agen[Lieu Match],"domicile",agen[Issue match],"victoire")</f>
        <v>0</v>
      </c>
      <c r="E61" s="84">
        <f ca="1">COUNTIFS(agen[adversaire],B61,agen[Lieu Match],"Extérieur",agen[Issue match],"victoire")</f>
        <v>0</v>
      </c>
      <c r="F61" s="82">
        <f t="shared" ca="1" si="5"/>
        <v>0</v>
      </c>
      <c r="G61" s="78">
        <f ca="1">COUNTIFS(agen[adversaire],B61,agen[Lieu Match],"domicile",agen[Issue match],"défaite")</f>
        <v>1</v>
      </c>
      <c r="H61" s="80">
        <f ca="1">COUNTIFS(agen[adversaire],B61,agen[Lieu Match],"Extérieur",agen[Issue match],"défaite")</f>
        <v>1</v>
      </c>
      <c r="I61" s="79">
        <f t="shared" ca="1" si="6"/>
        <v>1</v>
      </c>
      <c r="J61" s="85">
        <f ca="1">COUNTIFS(agen[adversaire],B61,agen[Lieu Match],"Domicile",agen[Issue match],"Nul")+COUNTIFS(agen[adversaire],B61,agen[Lieu Match],"Extérieur",agen[Issue match],"Nul")</f>
        <v>0</v>
      </c>
      <c r="K61" s="81">
        <f t="shared" ca="1" si="7"/>
        <v>0</v>
      </c>
      <c r="L61" s="89">
        <f t="shared" ca="1" si="8"/>
        <v>1</v>
      </c>
    </row>
    <row r="62" spans="1:12">
      <c r="A62" s="90" t="s">
        <v>28</v>
      </c>
      <c r="B62" s="91" t="s">
        <v>32</v>
      </c>
      <c r="C62" s="83">
        <f ca="1">COUNTIFS(agen[adversaire],B62)</f>
        <v>2</v>
      </c>
      <c r="D62" s="84">
        <f ca="1">COUNTIFS(agen[adversaire],B62,agen[Lieu Match],"domicile",agen[Issue match],"victoire")</f>
        <v>0</v>
      </c>
      <c r="E62" s="84">
        <f ca="1">COUNTIFS(agen[adversaire],B62,agen[Lieu Match],"Extérieur",agen[Issue match],"victoire")</f>
        <v>0</v>
      </c>
      <c r="F62" s="82">
        <f t="shared" ca="1" si="5"/>
        <v>0</v>
      </c>
      <c r="G62" s="78">
        <f ca="1">COUNTIFS(agen[adversaire],B62,agen[Lieu Match],"domicile",agen[Issue match],"défaite")</f>
        <v>1</v>
      </c>
      <c r="H62" s="80">
        <f ca="1">COUNTIFS(agen[adversaire],B62,agen[Lieu Match],"Extérieur",agen[Issue match],"défaite")</f>
        <v>1</v>
      </c>
      <c r="I62" s="79">
        <f t="shared" ca="1" si="6"/>
        <v>1</v>
      </c>
      <c r="J62" s="85">
        <f ca="1">COUNTIFS(agen[adversaire],B62,agen[Lieu Match],"Domicile",agen[Issue match],"Nul")+COUNTIFS(agen[adversaire],B62,agen[Lieu Match],"Extérieur",agen[Issue match],"Nul")</f>
        <v>0</v>
      </c>
      <c r="K62" s="81">
        <f t="shared" ca="1" si="7"/>
        <v>0</v>
      </c>
      <c r="L62" s="89">
        <f t="shared" ca="1" si="8"/>
        <v>1</v>
      </c>
    </row>
    <row r="63" spans="1:12">
      <c r="A63" s="90" t="s">
        <v>28</v>
      </c>
      <c r="B63" s="91" t="s">
        <v>15</v>
      </c>
      <c r="C63" s="83">
        <f ca="1">COUNTIFS(agen[adversaire],B63)</f>
        <v>2</v>
      </c>
      <c r="D63" s="84">
        <f ca="1">COUNTIFS(agen[adversaire],B63,agen[Lieu Match],"domicile",agen[Issue match],"victoire")</f>
        <v>0</v>
      </c>
      <c r="E63" s="84">
        <f ca="1">COUNTIFS(agen[adversaire],B63,agen[Lieu Match],"Extérieur",agen[Issue match],"victoire")</f>
        <v>0</v>
      </c>
      <c r="F63" s="82">
        <f t="shared" ca="1" si="5"/>
        <v>0</v>
      </c>
      <c r="G63" s="78">
        <f ca="1">COUNTIFS(agen[adversaire],B63,agen[Lieu Match],"domicile",agen[Issue match],"défaite")</f>
        <v>1</v>
      </c>
      <c r="H63" s="80">
        <f ca="1">COUNTIFS(agen[adversaire],B63,agen[Lieu Match],"Extérieur",agen[Issue match],"défaite")</f>
        <v>1</v>
      </c>
      <c r="I63" s="79">
        <f t="shared" ca="1" si="6"/>
        <v>1</v>
      </c>
      <c r="J63" s="85">
        <f ca="1">COUNTIFS(agen[adversaire],B63,agen[Lieu Match],"Domicile",agen[Issue match],"Nul")+COUNTIFS(agen[adversaire],B63,agen[Lieu Match],"Extérieur",agen[Issue match],"Nul")</f>
        <v>0</v>
      </c>
      <c r="K63" s="81">
        <f t="shared" ca="1" si="7"/>
        <v>0</v>
      </c>
      <c r="L63" s="89">
        <f t="shared" ca="1" si="8"/>
        <v>1</v>
      </c>
    </row>
    <row r="64" spans="1:12">
      <c r="A64" s="90" t="s">
        <v>28</v>
      </c>
      <c r="B64" s="91" t="s">
        <v>33</v>
      </c>
      <c r="C64" s="83">
        <f ca="1">COUNTIFS(agen[adversaire],B64)</f>
        <v>2</v>
      </c>
      <c r="D64" s="84">
        <f ca="1">COUNTIFS(agen[adversaire],B64,agen[Lieu Match],"domicile",agen[Issue match],"victoire")</f>
        <v>0</v>
      </c>
      <c r="E64" s="84">
        <f ca="1">COUNTIFS(agen[adversaire],B64,agen[Lieu Match],"Extérieur",agen[Issue match],"victoire")</f>
        <v>0</v>
      </c>
      <c r="F64" s="82">
        <f t="shared" ca="1" si="5"/>
        <v>0</v>
      </c>
      <c r="G64" s="78">
        <f ca="1">COUNTIFS(agen[adversaire],B64,agen[Lieu Match],"domicile",agen[Issue match],"défaite")</f>
        <v>1</v>
      </c>
      <c r="H64" s="80">
        <f ca="1">COUNTIFS(agen[adversaire],B64,agen[Lieu Match],"Extérieur",agen[Issue match],"défaite")</f>
        <v>1</v>
      </c>
      <c r="I64" s="79">
        <f t="shared" ca="1" si="6"/>
        <v>1</v>
      </c>
      <c r="J64" s="85">
        <f ca="1">COUNTIFS(agen[adversaire],B64,agen[Lieu Match],"Domicile",agen[Issue match],"Nul")+COUNTIFS(agen[adversaire],B64,agen[Lieu Match],"Extérieur",agen[Issue match],"Nul")</f>
        <v>0</v>
      </c>
      <c r="K64" s="81">
        <f t="shared" ca="1" si="7"/>
        <v>0</v>
      </c>
      <c r="L64" s="89">
        <f t="shared" ca="1" si="8"/>
        <v>1</v>
      </c>
    </row>
  </sheetData>
  <mergeCells count="7">
    <mergeCell ref="Q1:S1"/>
    <mergeCell ref="Q9:S9"/>
    <mergeCell ref="A35:B35"/>
    <mergeCell ref="A1:A2"/>
    <mergeCell ref="B1:E1"/>
    <mergeCell ref="L1:N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U64"/>
  <sheetViews>
    <sheetView zoomScale="85" zoomScaleNormal="85" zoomScalePageLayoutView="85" workbookViewId="0">
      <selection activeCell="H14" sqref="H14"/>
    </sheetView>
  </sheetViews>
  <sheetFormatPr baseColWidth="10" defaultColWidth="10.5" defaultRowHeight="14" x14ac:dyDescent="0"/>
  <cols>
    <col min="1" max="1" width="13.33203125" bestFit="1" customWidth="1"/>
    <col min="2" max="2" width="12.5" bestFit="1" customWidth="1"/>
    <col min="3" max="4" width="13.1640625" bestFit="1" customWidth="1"/>
    <col min="5" max="5" width="12.5" bestFit="1" customWidth="1"/>
    <col min="6" max="6" width="9.5" bestFit="1" customWidth="1"/>
    <col min="7" max="7" width="14.5" customWidth="1"/>
    <col min="8" max="8" width="9.83203125" bestFit="1" customWidth="1"/>
    <col min="9" max="9" width="9.5" bestFit="1" customWidth="1"/>
    <col min="10" max="10" width="3.5" bestFit="1" customWidth="1"/>
    <col min="11" max="11" width="14.33203125" bestFit="1" customWidth="1"/>
    <col min="12" max="12" width="12.1640625" bestFit="1" customWidth="1"/>
    <col min="13" max="13" width="11.6640625" bestFit="1" customWidth="1"/>
    <col min="16" max="16" width="14.33203125" bestFit="1" customWidth="1"/>
    <col min="17" max="17" width="11.6640625" bestFit="1" customWidth="1"/>
  </cols>
  <sheetData>
    <row r="1" spans="1:21">
      <c r="A1" s="121" t="s">
        <v>48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</row>
    <row r="2" spans="1:21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SUMIFS(montpellier[Score D],montpellier[Lieu Match],"domicile")</f>
        <v>95</v>
      </c>
      <c r="M2" s="72">
        <f ca="1">SUMIFS(montpellier[Score E],montpellier[Lieu Match],"domicile")</f>
        <v>45</v>
      </c>
      <c r="N2" s="72">
        <f ca="1">L2-M2</f>
        <v>50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</row>
    <row r="3" spans="1:21">
      <c r="A3" s="10" t="s">
        <v>2</v>
      </c>
      <c r="B3" s="15">
        <f ca="1">COUNTIF(montpellier[Lieu Match],"domicile")</f>
        <v>12</v>
      </c>
      <c r="C3" s="63">
        <f ca="1">COUNTIFS(montpellier[Issue match],"victoire",montpellier[Lieu Match],"domicile")</f>
        <v>2</v>
      </c>
      <c r="D3" s="63">
        <f ca="1">COUNTIFS(montpellier[Issue match],"nul",montpellier[Lieu Match],"domicile")</f>
        <v>0</v>
      </c>
      <c r="E3" s="63">
        <f ca="1">COUNTIFS(montpellier[Issue match],"défaite",montpellier[Lieu Match],"domicile")</f>
        <v>10</v>
      </c>
      <c r="F3" s="77">
        <f ca="1">C3+E3+D3-D3</f>
        <v>12</v>
      </c>
      <c r="G3" s="6" t="s">
        <v>48</v>
      </c>
      <c r="H3" s="7" t="s">
        <v>40</v>
      </c>
      <c r="K3" s="10" t="s">
        <v>9</v>
      </c>
      <c r="L3" s="18">
        <f ca="1">L2/F3</f>
        <v>7.916666666666667</v>
      </c>
      <c r="M3" s="18">
        <f ca="1">M2/F3</f>
        <v>3.75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</row>
    <row r="4" spans="1:21">
      <c r="A4" s="10" t="s">
        <v>3</v>
      </c>
      <c r="B4" s="15">
        <f ca="1">COUNTIF(montpellier[Lieu Match],"extérieur")</f>
        <v>11</v>
      </c>
      <c r="C4" s="63">
        <f ca="1">COUNTIFS(montpellier[Issue match],"victoire",montpellier[Lieu Match],"extérieur")</f>
        <v>0</v>
      </c>
      <c r="D4" s="63">
        <f ca="1">COUNTIFS(montpellier[Issue match],"nul",montpellier[Lieu Match],"extérieur")</f>
        <v>0</v>
      </c>
      <c r="E4" s="63">
        <f ca="1">COUNTIFS(montpellier[Issue match],"défaite",montpellier[Lieu Match],"extérieur")</f>
        <v>11</v>
      </c>
      <c r="F4" s="77">
        <f ca="1">C4+E4+D4-D4</f>
        <v>11</v>
      </c>
      <c r="G4" s="8">
        <f t="array" ref="G4">INDEX($C$35:$L$46,MATCH(1,($A$35:$A$46=$A$1)*($B$35:$B$46=$H$3),0),4)</f>
        <v>0.35483870967741937</v>
      </c>
      <c r="H4" s="8">
        <f t="array" ref="H4">INDEX($C$35:$L$46,MATCH(1,($A$35:$A$46=$G$3)*($B$35:$B$46=$H$3),0),7)</f>
        <v>0.5161290322580645</v>
      </c>
      <c r="K4" s="10" t="s">
        <v>8</v>
      </c>
      <c r="L4" s="72">
        <f ca="1">SUMIFS(montpellier[Score D],montpellier[Lieu Match],"extérieur")</f>
        <v>66</v>
      </c>
      <c r="M4" s="72">
        <f ca="1">SUMIFS(montpellier[Score E],montpellier[Lieu Match],"extérieur")</f>
        <v>38</v>
      </c>
      <c r="N4" s="13">
        <f ca="1">L4-M4</f>
        <v>28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</row>
    <row r="5" spans="1:21">
      <c r="A5" s="10" t="s">
        <v>36</v>
      </c>
      <c r="B5" s="15">
        <f ca="1">B3+B4</f>
        <v>23</v>
      </c>
      <c r="C5" s="15">
        <f t="shared" ref="C5:E5" ca="1" si="0">C3+C4</f>
        <v>2</v>
      </c>
      <c r="D5" s="15">
        <f t="shared" ca="1" si="0"/>
        <v>0</v>
      </c>
      <c r="E5" s="15">
        <f t="shared" ca="1" si="0"/>
        <v>21</v>
      </c>
      <c r="F5" s="77">
        <f ca="1">C5+E5+D5-D5</f>
        <v>23</v>
      </c>
      <c r="G5" s="9">
        <f>100/G4/100</f>
        <v>2.8181818181818183</v>
      </c>
      <c r="H5" s="9">
        <f>100/H4/100</f>
        <v>1.9375</v>
      </c>
      <c r="K5" s="10" t="s">
        <v>9</v>
      </c>
      <c r="L5" s="18">
        <f ca="1">L4/F4</f>
        <v>6</v>
      </c>
      <c r="M5" s="18">
        <f ca="1">M4/F4</f>
        <v>3.4545454545454546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</row>
    <row r="6" spans="1:21">
      <c r="A6" s="1"/>
      <c r="B6" s="1"/>
      <c r="C6" s="1"/>
      <c r="D6" s="1"/>
      <c r="E6" s="1"/>
      <c r="F6" s="1"/>
      <c r="K6" s="10" t="s">
        <v>10</v>
      </c>
      <c r="L6" s="13">
        <f ca="1">L2+M4</f>
        <v>133</v>
      </c>
      <c r="M6" s="13">
        <f ca="1">M2+L4</f>
        <v>111</v>
      </c>
      <c r="N6" s="13">
        <f ca="1">L6-M6</f>
        <v>22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</row>
    <row r="7" spans="1:21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5.7826086956521738</v>
      </c>
      <c r="M7" s="18">
        <f ca="1">M6/F5</f>
        <v>4.8260869565217392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</row>
    <row r="8" spans="1:21">
      <c r="A8" s="39" t="s">
        <v>124</v>
      </c>
      <c r="B8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Pau</v>
      </c>
      <c r="C8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8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8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23</v>
      </c>
      <c r="F8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26</v>
      </c>
      <c r="G8" s="34">
        <v>0</v>
      </c>
      <c r="H8" s="49">
        <v>1</v>
      </c>
      <c r="I8" s="50">
        <f ca="1">(montpellier[[#This Row],[Issue match]]="Victoire")*4 + (montpellier[[#This Row],[Issue match]]="Nul")*2 + montpellier[[#This Row],[Bonus off]] + montpellier[[#This Row],[Bonus déf]]</f>
        <v>1</v>
      </c>
      <c r="K8" s="1"/>
      <c r="L8" s="1"/>
      <c r="M8" s="1"/>
      <c r="N8" s="1"/>
      <c r="O8" s="1"/>
      <c r="P8" s="1"/>
      <c r="Q8" s="1"/>
      <c r="R8" s="1"/>
      <c r="S8" s="1"/>
    </row>
    <row r="9" spans="1:21">
      <c r="A9" s="39" t="s">
        <v>125</v>
      </c>
      <c r="B9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Racing 92</v>
      </c>
      <c r="C9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9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9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41</v>
      </c>
      <c r="F9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17</v>
      </c>
      <c r="G9" s="34">
        <v>0</v>
      </c>
      <c r="H9" s="49">
        <v>0</v>
      </c>
      <c r="I9" s="50">
        <f ca="1">(montpellier[[#This Row],[Issue match]]="Victoire")*4 + (montpellier[[#This Row],[Issue match]]="Nul")*2 + montpellier[[#This Row],[Bonus off]] + montpellier[[#This Row],[Bonus déf]]</f>
        <v>0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1">
      <c r="A10" s="39" t="s">
        <v>126</v>
      </c>
      <c r="B10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Castres</v>
      </c>
      <c r="C10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10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10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10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10" s="34"/>
      <c r="H10" s="49"/>
      <c r="I10" s="50">
        <f ca="1">(montpellier[[#This Row],[Issue match]]="Victoire")*4 + (montpellier[[#This Row],[Issue match]]="Nul")*2 + montpellier[[#This Row],[Bonus off]] + montpellier[[#This Row],[Bonus déf]]</f>
        <v>0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1">
      <c r="A11" s="39" t="s">
        <v>127</v>
      </c>
      <c r="B11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Toulon</v>
      </c>
      <c r="C11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11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11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25</v>
      </c>
      <c r="F11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21</v>
      </c>
      <c r="G11" s="34">
        <v>0</v>
      </c>
      <c r="H11" s="49">
        <v>1</v>
      </c>
      <c r="I11" s="50">
        <f ca="1">(montpellier[[#This Row],[Issue match]]="Victoire")*4 + (montpellier[[#This Row],[Issue match]]="Nul")*2 + montpellier[[#This Row],[Bonus off]] + montpellier[[#This Row],[Bonus déf]]</f>
        <v>1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1">
      <c r="A12" s="39" t="s">
        <v>128</v>
      </c>
      <c r="B12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Agen</v>
      </c>
      <c r="C12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12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Victoire</v>
      </c>
      <c r="E12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42</v>
      </c>
      <c r="F12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13</v>
      </c>
      <c r="G12" s="34">
        <v>1</v>
      </c>
      <c r="H12" s="49">
        <v>0</v>
      </c>
      <c r="I12" s="50">
        <f ca="1">(montpellier[[#This Row],[Issue match]]="Victoire")*4 + (montpellier[[#This Row],[Issue match]]="Nul")*2 + montpellier[[#This Row],[Bonus off]] + montpellier[[#This Row],[Bonus déf]]</f>
        <v>5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1">
      <c r="A13" s="39" t="s">
        <v>129</v>
      </c>
      <c r="B13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Brive</v>
      </c>
      <c r="C13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13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Victoire</v>
      </c>
      <c r="E13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30</v>
      </c>
      <c r="F13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6</v>
      </c>
      <c r="G13" s="34">
        <v>1</v>
      </c>
      <c r="H13" s="49">
        <v>0</v>
      </c>
      <c r="I13" s="50">
        <f ca="1">(montpellier[[#This Row],[Issue match]]="Victoire")*4 + (montpellier[[#This Row],[Issue match]]="Nul")*2 + montpellier[[#This Row],[Bonus off]] + montpellier[[#This Row],[Bonus déf]]</f>
        <v>5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1">
      <c r="A14" s="39" t="s">
        <v>130</v>
      </c>
      <c r="B14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Lyon</v>
      </c>
      <c r="C14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14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14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14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14" s="34"/>
      <c r="H14" s="49"/>
      <c r="I14" s="50">
        <f ca="1">(montpellier[[#This Row],[Issue match]]="Victoire")*4 + (montpellier[[#This Row],[Issue match]]="Nul")*2 + montpellier[[#This Row],[Bonus off]] + montpellier[[#This Row],[Bonus déf]]</f>
        <v>0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1">
      <c r="A15" s="39" t="s">
        <v>131</v>
      </c>
      <c r="B15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Paris</v>
      </c>
      <c r="C15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15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15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15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15" s="34"/>
      <c r="H15" s="49"/>
      <c r="I15" s="50">
        <f ca="1">(montpellier[[#This Row],[Issue match]]="Victoire")*4 + (montpellier[[#This Row],[Issue match]]="Nul")*2 + montpellier[[#This Row],[Bonus off]] + montpellier[[#This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1">
      <c r="A16" s="39" t="s">
        <v>132</v>
      </c>
      <c r="B16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/>
      </c>
      <c r="C16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/>
      </c>
      <c r="D16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/>
      </c>
      <c r="E16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16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16" s="34"/>
      <c r="H16" s="49"/>
      <c r="I16" s="50">
        <f ca="1">(montpellier[[#This Row],[Issue match]]="Victoire")*4 + (montpellier[[#This Row],[Issue match]]="Nul")*2 + montpellier[[#This Row],[Bonus off]] + montpellier[[#This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1">
      <c r="A17" s="39" t="s">
        <v>133</v>
      </c>
      <c r="B17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Bordeaux</v>
      </c>
      <c r="C17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17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17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17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17" s="34"/>
      <c r="H17" s="49"/>
      <c r="I17" s="50">
        <f ca="1">(montpellier[[#This Row],[Issue match]]="Victoire")*4 + (montpellier[[#This Row],[Issue match]]="Nul")*2 + montpellier[[#This Row],[Bonus off]] + montpellier[[#This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1">
      <c r="A18" s="39" t="s">
        <v>134</v>
      </c>
      <c r="B18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Clermont</v>
      </c>
      <c r="C18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18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18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18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18" s="34"/>
      <c r="H18" s="49"/>
      <c r="I18" s="50">
        <f ca="1">(montpellier[[#This Row],[Issue match]]="Victoire")*4 + (montpellier[[#This Row],[Issue match]]="Nul")*2 + montpellier[[#This Row],[Bonus off]] + montpellier[[#This Row],[Bonus déf]]</f>
        <v>0</v>
      </c>
      <c r="K18" s="10" t="s">
        <v>7</v>
      </c>
      <c r="L18" s="13"/>
      <c r="M18" s="72"/>
      <c r="N18" s="72"/>
      <c r="O18" s="1"/>
      <c r="P18" s="1"/>
      <c r="R18" s="1"/>
      <c r="S18" s="1"/>
    </row>
    <row r="19" spans="1:21">
      <c r="A19" s="39" t="s">
        <v>135</v>
      </c>
      <c r="B19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La Rochelle</v>
      </c>
      <c r="C19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19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19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19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19" s="34"/>
      <c r="H19" s="49"/>
      <c r="I19" s="50">
        <f ca="1">(montpellier[[#This Row],[Issue match]]="Victoire")*4 + (montpellier[[#This Row],[Issue match]]="Nul")*2 + montpellier[[#This Row],[Bonus off]] + montpellier[[#This Row],[Bonus déf]]</f>
        <v>0</v>
      </c>
      <c r="K19" s="10" t="s">
        <v>9</v>
      </c>
      <c r="L19" s="18"/>
      <c r="M19" s="18"/>
      <c r="N19" s="13"/>
      <c r="O19" s="1"/>
      <c r="P19" s="1" t="s">
        <v>48</v>
      </c>
      <c r="Q19" s="12" t="s">
        <v>41</v>
      </c>
      <c r="R19" s="1"/>
      <c r="S19" s="1"/>
    </row>
    <row r="20" spans="1:21">
      <c r="A20" s="39" t="s">
        <v>136</v>
      </c>
      <c r="B20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/>
      </c>
      <c r="C20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/>
      </c>
      <c r="D20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/>
      </c>
      <c r="E20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0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0" s="34"/>
      <c r="H20" s="49"/>
      <c r="I20" s="50">
        <f ca="1">(montpellier[[#This Row],[Issue match]]="Victoire")*4 + (montpellier[[#This Row],[Issue match]]="Nul")*2 + montpellier[[#This Row],[Bonus off]] + montpellier[[#This Row],[Bonus déf]]</f>
        <v>0</v>
      </c>
      <c r="K20" s="10" t="s">
        <v>8</v>
      </c>
      <c r="L20" s="72"/>
      <c r="M20" s="72"/>
      <c r="N20" s="13"/>
      <c r="O20" s="1"/>
      <c r="P20" s="1" t="s">
        <v>48</v>
      </c>
      <c r="Q20" s="12" t="s">
        <v>42</v>
      </c>
      <c r="R20" s="1"/>
      <c r="S20" s="1"/>
      <c r="T20" s="1"/>
      <c r="U20" s="1"/>
    </row>
    <row r="21" spans="1:21">
      <c r="A21" s="39" t="s">
        <v>137</v>
      </c>
      <c r="B21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Brive</v>
      </c>
      <c r="C21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21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21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1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1" s="34"/>
      <c r="H21" s="49"/>
      <c r="I21" s="50">
        <f ca="1">(montpellier[[#This Row],[Issue match]]="Victoire")*4 + (montpellier[[#This Row],[Issue match]]="Nul")*2 + montpellier[[#This Row],[Bonus off]] + montpellier[[#This Row],[Bonus déf]]</f>
        <v>0</v>
      </c>
      <c r="K21" s="10" t="s">
        <v>9</v>
      </c>
      <c r="L21" s="18"/>
      <c r="M21" s="18"/>
      <c r="N21" s="13"/>
      <c r="O21" s="1"/>
      <c r="P21" s="1" t="s">
        <v>48</v>
      </c>
      <c r="Q21" s="12" t="s">
        <v>43</v>
      </c>
      <c r="R21" s="1"/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Racing 92</v>
      </c>
      <c r="C22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22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22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2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2" s="34"/>
      <c r="H22" s="49"/>
      <c r="I22" s="50">
        <f ca="1">(montpellier[[#This Row],[Issue match]]="Victoire")*4 + (montpellier[[#This Row],[Issue match]]="Nul")*2 + montpellier[[#This Row],[Bonus off]] + montpellier[[#This Row],[Bonus déf]]</f>
        <v>0</v>
      </c>
      <c r="K22" s="10" t="s">
        <v>10</v>
      </c>
      <c r="L22" s="13"/>
      <c r="M22" s="13"/>
      <c r="N22" s="13"/>
      <c r="O22" s="1"/>
      <c r="P22" s="1" t="s">
        <v>48</v>
      </c>
      <c r="Q22" s="12" t="s">
        <v>40</v>
      </c>
      <c r="R22" s="1"/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Castres</v>
      </c>
      <c r="C23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23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23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3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3" s="34"/>
      <c r="H23" s="49"/>
      <c r="I23" s="50">
        <f ca="1">(montpellier[[#This Row],[Issue match]]="Victoire")*4 + (montpellier[[#This Row],[Issue match]]="Nul")*2 + montpellier[[#This Row],[Bonus off]] + montpellier[[#This Row],[Bonus déf]]</f>
        <v>0</v>
      </c>
      <c r="K23" s="10" t="s">
        <v>9</v>
      </c>
      <c r="L23" s="18"/>
      <c r="M23" s="18"/>
      <c r="N23" s="13"/>
      <c r="O23" s="1"/>
      <c r="P23" s="1" t="s">
        <v>48</v>
      </c>
      <c r="Q23" s="12" t="s">
        <v>44</v>
      </c>
      <c r="R23" s="1"/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Agen</v>
      </c>
      <c r="C24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24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24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4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4" s="34"/>
      <c r="H24" s="49"/>
      <c r="I24" s="50">
        <f ca="1">(montpellier[[#This Row],[Issue match]]="Victoire")*4 + (montpellier[[#This Row],[Issue match]]="Nul")*2 + montpellier[[#This Row],[Bonus off]] + montpellier[[#This Row],[Bonus déf]]</f>
        <v>0</v>
      </c>
      <c r="K24" s="1"/>
      <c r="L24" s="1"/>
      <c r="M24" s="1"/>
      <c r="N24" s="1"/>
      <c r="O24" s="1"/>
      <c r="P24" s="1" t="s">
        <v>48</v>
      </c>
      <c r="Q24" s="12" t="s">
        <v>45</v>
      </c>
      <c r="R24" s="1"/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Clermont</v>
      </c>
      <c r="C25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25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25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5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5" s="34"/>
      <c r="H25" s="49"/>
      <c r="I25" s="50">
        <f ca="1">(montpellier[[#This Row],[Issue match]]="Victoire")*4 + (montpellier[[#This Row],[Issue match]]="Nul")*2 + montpellier[[#This Row],[Bonus off]] + montpellier[[#This Row],[Bonus déf]]</f>
        <v>0</v>
      </c>
      <c r="K25" s="10" t="s">
        <v>6</v>
      </c>
      <c r="L25" s="69"/>
      <c r="M25" s="70"/>
      <c r="N25" s="71"/>
      <c r="O25" s="1"/>
      <c r="P25" s="1" t="s">
        <v>48</v>
      </c>
      <c r="Q25" s="12" t="s">
        <v>46</v>
      </c>
      <c r="R25" s="1"/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La Rochelle</v>
      </c>
      <c r="C26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26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26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6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6" s="34"/>
      <c r="H26" s="49"/>
      <c r="I26" s="50">
        <f ca="1">(montpellier[[#This Row],[Issue match]]="Victoire")*4 + (montpellier[[#This Row],[Issue match]]="Nul")*2 + montpellier[[#This Row],[Bonus off]] + montpellier[[#This Row],[Bonus déf]]</f>
        <v>0</v>
      </c>
      <c r="K26" s="10" t="s">
        <v>7</v>
      </c>
      <c r="L26" s="13"/>
      <c r="M26" s="72"/>
      <c r="N26" s="72"/>
      <c r="O26" s="1"/>
      <c r="P26" s="1" t="s">
        <v>48</v>
      </c>
      <c r="Q26" s="12" t="s">
        <v>47</v>
      </c>
      <c r="R26" s="1"/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/>
      </c>
      <c r="C27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/>
      </c>
      <c r="D27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/>
      </c>
      <c r="E27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7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7" s="34"/>
      <c r="H27" s="49"/>
      <c r="I27" s="50">
        <f ca="1">(montpellier[[#This Row],[Issue match]]="Victoire")*4 + (montpellier[[#This Row],[Issue match]]="Nul")*2 + montpellier[[#This Row],[Bonus off]] + montpellier[[#This Row],[Bonus déf]]</f>
        <v>0</v>
      </c>
      <c r="K27" s="10" t="s">
        <v>9</v>
      </c>
      <c r="L27" s="18"/>
      <c r="M27" s="18"/>
      <c r="N27" s="13"/>
      <c r="O27" s="1"/>
      <c r="P27" s="1" t="s">
        <v>48</v>
      </c>
      <c r="Q27" s="12" t="s">
        <v>49</v>
      </c>
      <c r="R27" s="1"/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Toulon</v>
      </c>
      <c r="C28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28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28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8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8" s="34"/>
      <c r="H28" s="49"/>
      <c r="I28" s="50">
        <f ca="1">(montpellier[[#This Row],[Issue match]]="Victoire")*4 + (montpellier[[#This Row],[Issue match]]="Nul")*2 + montpellier[[#This Row],[Bonus off]] + montpellier[[#This Row],[Bonus déf]]</f>
        <v>0</v>
      </c>
      <c r="K28" s="10" t="s">
        <v>8</v>
      </c>
      <c r="L28" s="72"/>
      <c r="M28" s="72"/>
      <c r="N28" s="13"/>
      <c r="O28" s="1"/>
      <c r="P28" s="1" t="s">
        <v>48</v>
      </c>
      <c r="Q28" s="12" t="s">
        <v>50</v>
      </c>
      <c r="R28" s="1"/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Bordeaux</v>
      </c>
      <c r="C29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29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29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29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29" s="34"/>
      <c r="H29" s="49"/>
      <c r="I29" s="50">
        <f ca="1">(montpellier[[#This Row],[Issue match]]="Victoire")*4 + (montpellier[[#This Row],[Issue match]]="Nul")*2 + montpellier[[#This Row],[Bonus off]] + montpellier[[#This Row],[Bonus déf]]</f>
        <v>0</v>
      </c>
      <c r="K29" s="10" t="s">
        <v>9</v>
      </c>
      <c r="L29" s="18"/>
      <c r="M29" s="18"/>
      <c r="N29" s="13"/>
      <c r="O29" s="1"/>
      <c r="P29" s="1" t="s">
        <v>48</v>
      </c>
      <c r="Q29" s="12" t="s">
        <v>51</v>
      </c>
      <c r="R29" s="1"/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La Rochelle</v>
      </c>
      <c r="C30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30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30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30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30" s="34"/>
      <c r="H30" s="49"/>
      <c r="I30" s="50">
        <f ca="1">(montpellier[[#This Row],[Issue match]]="Victoire")*4 + (montpellier[[#This Row],[Issue match]]="Nul")*2 + montpellier[[#This Row],[Bonus off]] + montpellier[[#This Row],[Bonus déf]]</f>
        <v>0</v>
      </c>
      <c r="K30" s="10" t="s">
        <v>10</v>
      </c>
      <c r="L30" s="13"/>
      <c r="M30" s="13"/>
      <c r="N30" s="13"/>
      <c r="O30" s="1"/>
      <c r="P30" s="1" t="s">
        <v>48</v>
      </c>
      <c r="Q30" s="12" t="s">
        <v>52</v>
      </c>
      <c r="R30" s="1"/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Paris</v>
      </c>
      <c r="C31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31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31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31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31" s="34"/>
      <c r="H31" s="49"/>
      <c r="I31" s="50">
        <f ca="1">(montpellier[[#This Row],[Issue match]]="Victoire")*4 + (montpellier[[#This Row],[Issue match]]="Nul")*2 + montpellier[[#This Row],[Bonus off]] + montpellier[[#This Row],[Bonus déf]]</f>
        <v>0</v>
      </c>
      <c r="K31" s="10" t="s">
        <v>9</v>
      </c>
      <c r="L31" s="18"/>
      <c r="M31" s="18"/>
      <c r="N31" s="13"/>
      <c r="O31" s="1"/>
      <c r="P31" s="1" t="s">
        <v>48</v>
      </c>
      <c r="Q31" s="12" t="s">
        <v>53</v>
      </c>
      <c r="R31" s="1"/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Bayonne</v>
      </c>
      <c r="C32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Domicile</v>
      </c>
      <c r="D32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32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32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32" s="34"/>
      <c r="H32" s="49"/>
      <c r="I32" s="50">
        <f ca="1">(montpellier[[#This Row],[Issue match]]="Victoire")*4 + (montpellier[[#This Row],[Issue match]]="Nul")*2 + montpellier[[#This Row],[Bonus off]] + montpellier[[#This Row],[Bonus déf]]</f>
        <v>0</v>
      </c>
      <c r="J32" s="1"/>
      <c r="K32" s="1"/>
      <c r="L32" s="1"/>
      <c r="M32" s="1"/>
    </row>
    <row r="33" spans="1:13">
      <c r="A33" s="39" t="s">
        <v>149</v>
      </c>
      <c r="B33" s="37" t="str">
        <f ca="1">CONCATENATE(
IFERROR( INDEX(INDIRECT("resultat!C"&amp;PRODUCT(7,MATCH(montpellier[[#This Row],[journée]],montpellier[journée],0)-1)+2&amp;":C"&amp;PRODUCT(7,MATCH(montpellier[[#This Row],[journée]],montpellier[journée],0))+1),
IFERROR(MATCH($A$1, INDIRECT("resultat!f"&amp;PRODUCT(7,MATCH(montpellier[[#This Row],[journée]],montpellier[journée],0)-1)+2&amp;":f"&amp;PRODUCT(7,MATCH(montpellier[[#This Row],[journée]],montpellier[journée],0))+1),0 ),""),0),""),
IFERROR( INDEX(INDIRECT("resultat!f"&amp;PRODUCT(7,MATCH(montpellier[[#This Row],[journée]],montpellier[journée],0)-1)+2&amp;":f"&amp;PRODUCT(7,MATCH(montpellier[[#This Row],[journée]],montpellier[journée],0))+1),
IFERROR(MATCH($A$1, INDIRECT("resultat!c"&amp;PRODUCT(7,MATCH(montpellier[[#This Row],[journée]],montpellier[journée],0)-1)+2&amp;":c"&amp;PRODUCT(7,MATCH(montpellier[[#This Row],[journée]],montpellier[journée],0))+1),0 ),""),0),"") )</f>
        <v>Pau</v>
      </c>
      <c r="C33" s="38" t="str">
        <f ca="1">IF(AND(ISNA(MATCH($A$1,INDIRECT("resultat!f"&amp;PRODUCT(7,MATCH(montpellier[[#This Row],[journée]],montpellier[journée],0)-1)+2&amp;":f"&amp;PRODUCT(7,MATCH(montpellier[[#This Row],[journée]],montpellier[journée],0))+1),0)),
ISNA(MATCH($A$1,INDIRECT("resultat!c"&amp;PRODUCT(7,MATCH(montpellier[[#This Row],[journée]],montpellier[journée],0)-1)+2&amp;":c"&amp;PRODUCT(7,MATCH(montpellier[[#This Row],[journée]],montpellier[journée],0))+1),0))),"",IF(ISNA(MATCH($A$1,INDIRECT("resultat!f"&amp;PRODUCT(7,MATCH(montpellier[[#This Row],[journée]],montpellier[journée],0)-1)+2&amp;":f"&amp;PRODUCT(7,MATCH(montpellier[[#This Row],[journée]],montpellier[journée],0))+1),0)),
"Domicile","Extérieur"))</f>
        <v>Extérieur</v>
      </c>
      <c r="D33" s="52" t="str">
        <f ca="1">IFERROR(  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$A$1, "Victoire",
IF( INDEX(INDIRECT("resultat!h"&amp;PRODUCT(7,MATCH(montpellier[[#This Row],[journée]],montpellier[journée],0)-1)+2&amp;":h"&amp;PRODUCT(7,MATCH(montpellier[[#This Row],[journée]],montpellier[journée],0))+1),
CONCATENATE(
IFERROR(MATCH( $A$1, INDIRECT("resultat!C"&amp;PRODUCT(7,MATCH(montpellier[[#This Row],[journée]],montpellier[journée],0)-1)+2&amp;":C"&amp;PRODUCT(7,MATCH(montpellier[[#This Row],[journée]],montpellier[journée],0))+1),0),""),
IFERROR(MATCH($A$1, INDIRECT("resultat!f"&amp;PRODUCT(7,MATCH(montpellier[[#This Row],[journée]],montpellier[journée],0)-1)+2&amp;":f"&amp;PRODUCT(7,MATCH(montpellier[[#This Row],[journée]],montpellier[journée],0))+1),0 ),"")),0) = "Nul", "Nul", "Défaite" )), "")</f>
        <v>Défaite</v>
      </c>
      <c r="E33" s="45">
        <f ca="1">SUMIFS(resultat[Score D],resultat[Journée],montpellier[[#This Row],[journée]],resultat[Domicile],montpellier[[#This Row],[adversaire]]) + SUMIFS(resultat[Score D],resultat[Journée],montpellier[[#This Row],[journée]],resultat[Exterieur],montpellier[[#This Row],[adversaire]])</f>
        <v>0</v>
      </c>
      <c r="F33" s="46">
        <f ca="1">SUMIFS(resultat[Score E],resultat[Journée],montpellier[[#This Row],[journée]],resultat[Domicile],montpellier[[#This Row],[adversaire]])  + SUMIFS(resultat[Score E],resultat[Journée],montpellier[[#This Row],[journée]],resultat[Exterieur],montpellier[[#This Row],[adversaire]])</f>
        <v>0</v>
      </c>
      <c r="G33" s="34"/>
      <c r="H33" s="49"/>
      <c r="I33" s="50">
        <f ca="1">(montpellier[[#This Row],[Issue match]]="Victoire")*4 + (montpellier[[#This Row],[Issue match]]="Nul")*2 + montpellier[[#This Row],[Bonus off]] + montpellier[[#This Row],[Bonus déf]]</f>
        <v>0</v>
      </c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13">
      <c r="A36" s="74" t="s">
        <v>29</v>
      </c>
      <c r="B36" s="74" t="s">
        <v>14</v>
      </c>
      <c r="C36" s="48">
        <v>21</v>
      </c>
      <c r="D36" s="48">
        <v>10</v>
      </c>
      <c r="E36" s="48">
        <v>4</v>
      </c>
      <c r="F36" s="19">
        <f t="shared" ref="F36:F48" si="1">(D36+E36)/C36</f>
        <v>0.66666666666666663</v>
      </c>
      <c r="G36" s="48">
        <v>0</v>
      </c>
      <c r="H36" s="48">
        <v>7</v>
      </c>
      <c r="I36" s="19">
        <f t="shared" ref="I36:I48" si="2">(G36+H36)/C36</f>
        <v>0.33333333333333331</v>
      </c>
      <c r="J36" s="48"/>
      <c r="K36" s="21">
        <f t="shared" ref="K36:K48" si="3">100%-(F36+I36)</f>
        <v>0</v>
      </c>
      <c r="L36" s="22">
        <f t="shared" ref="L36:L48" si="4">SUM(F36+I36+K36)</f>
        <v>1</v>
      </c>
      <c r="M36" s="1"/>
    </row>
    <row r="37" spans="1:13">
      <c r="A37" s="74" t="s">
        <v>29</v>
      </c>
      <c r="B37" s="74" t="s">
        <v>23</v>
      </c>
      <c r="C37" s="48">
        <v>32</v>
      </c>
      <c r="D37" s="48">
        <v>12</v>
      </c>
      <c r="E37" s="48">
        <v>6</v>
      </c>
      <c r="F37" s="19">
        <f t="shared" si="1"/>
        <v>0.5625</v>
      </c>
      <c r="G37" s="48">
        <v>2</v>
      </c>
      <c r="H37" s="48">
        <v>8</v>
      </c>
      <c r="I37" s="19">
        <f t="shared" si="2"/>
        <v>0.3125</v>
      </c>
      <c r="J37" s="48">
        <v>4</v>
      </c>
      <c r="K37" s="21">
        <f t="shared" si="3"/>
        <v>0.125</v>
      </c>
      <c r="L37" s="22">
        <f t="shared" si="4"/>
        <v>1</v>
      </c>
    </row>
    <row r="38" spans="1:13">
      <c r="A38" s="74" t="s">
        <v>29</v>
      </c>
      <c r="B38" s="74" t="s">
        <v>24</v>
      </c>
      <c r="C38" s="48">
        <v>17</v>
      </c>
      <c r="D38" s="48">
        <v>7</v>
      </c>
      <c r="E38" s="48">
        <v>5</v>
      </c>
      <c r="F38" s="19">
        <f t="shared" si="1"/>
        <v>0.70588235294117652</v>
      </c>
      <c r="G38" s="48">
        <v>1</v>
      </c>
      <c r="H38" s="48">
        <v>2</v>
      </c>
      <c r="I38" s="19">
        <f t="shared" si="2"/>
        <v>0.17647058823529413</v>
      </c>
      <c r="J38" s="48">
        <v>2</v>
      </c>
      <c r="K38" s="21">
        <f t="shared" si="3"/>
        <v>0.11764705882352933</v>
      </c>
      <c r="L38" s="22">
        <f t="shared" si="4"/>
        <v>1</v>
      </c>
    </row>
    <row r="39" spans="1:13">
      <c r="A39" s="74" t="s">
        <v>29</v>
      </c>
      <c r="B39" s="74" t="s">
        <v>25</v>
      </c>
      <c r="C39" s="48">
        <v>31</v>
      </c>
      <c r="D39" s="48">
        <v>9</v>
      </c>
      <c r="E39" s="48">
        <v>2</v>
      </c>
      <c r="F39" s="19">
        <f t="shared" si="1"/>
        <v>0.35483870967741937</v>
      </c>
      <c r="G39" s="48">
        <v>5</v>
      </c>
      <c r="H39" s="48">
        <v>11</v>
      </c>
      <c r="I39" s="19">
        <f t="shared" si="2"/>
        <v>0.5161290322580645</v>
      </c>
      <c r="J39" s="48">
        <v>4</v>
      </c>
      <c r="K39" s="21">
        <f t="shared" si="3"/>
        <v>0.12903225806451613</v>
      </c>
      <c r="L39" s="22">
        <f t="shared" si="4"/>
        <v>1</v>
      </c>
    </row>
    <row r="40" spans="1:13">
      <c r="A40" s="74" t="s">
        <v>29</v>
      </c>
      <c r="B40" s="74" t="s">
        <v>37</v>
      </c>
      <c r="C40" s="48">
        <v>39</v>
      </c>
      <c r="D40" s="48">
        <v>11</v>
      </c>
      <c r="E40" s="48">
        <v>5</v>
      </c>
      <c r="F40" s="19">
        <f t="shared" si="1"/>
        <v>0.41025641025641024</v>
      </c>
      <c r="G40" s="48">
        <v>8</v>
      </c>
      <c r="H40" s="48">
        <v>15</v>
      </c>
      <c r="I40" s="19">
        <f t="shared" si="2"/>
        <v>0.58974358974358976</v>
      </c>
      <c r="J40" s="48"/>
      <c r="K40" s="21">
        <f t="shared" si="3"/>
        <v>0</v>
      </c>
      <c r="L40" s="22">
        <f t="shared" si="4"/>
        <v>1</v>
      </c>
    </row>
    <row r="41" spans="1:13">
      <c r="A41" s="74" t="s">
        <v>29</v>
      </c>
      <c r="B41" s="74" t="s">
        <v>26</v>
      </c>
      <c r="C41" s="48">
        <v>34</v>
      </c>
      <c r="D41" s="48">
        <v>10</v>
      </c>
      <c r="E41" s="48">
        <v>5</v>
      </c>
      <c r="F41" s="19">
        <f t="shared" si="1"/>
        <v>0.44117647058823528</v>
      </c>
      <c r="G41" s="48">
        <v>6</v>
      </c>
      <c r="H41" s="48">
        <v>13</v>
      </c>
      <c r="I41" s="19">
        <f t="shared" si="2"/>
        <v>0.55882352941176472</v>
      </c>
      <c r="J41" s="48"/>
      <c r="K41" s="21">
        <f t="shared" si="3"/>
        <v>0</v>
      </c>
      <c r="L41" s="22">
        <f t="shared" si="4"/>
        <v>1</v>
      </c>
    </row>
    <row r="42" spans="1:13">
      <c r="A42" s="74" t="s">
        <v>29</v>
      </c>
      <c r="B42" s="74" t="s">
        <v>27</v>
      </c>
      <c r="C42" s="48">
        <v>16</v>
      </c>
      <c r="D42" s="48">
        <v>6</v>
      </c>
      <c r="E42" s="48">
        <v>0</v>
      </c>
      <c r="F42" s="19">
        <f t="shared" si="1"/>
        <v>0.375</v>
      </c>
      <c r="G42" s="48">
        <v>0</v>
      </c>
      <c r="H42" s="48">
        <v>7</v>
      </c>
      <c r="I42" s="19">
        <f t="shared" si="2"/>
        <v>0.4375</v>
      </c>
      <c r="J42" s="48">
        <v>3</v>
      </c>
      <c r="K42" s="21">
        <f t="shared" si="3"/>
        <v>0.1875</v>
      </c>
      <c r="L42" s="22">
        <f t="shared" si="4"/>
        <v>1</v>
      </c>
    </row>
    <row r="43" spans="1:13">
      <c r="A43" s="74" t="s">
        <v>29</v>
      </c>
      <c r="B43" s="74" t="s">
        <v>28</v>
      </c>
      <c r="C43" s="48">
        <v>15</v>
      </c>
      <c r="D43" s="48">
        <v>6</v>
      </c>
      <c r="E43" s="48">
        <v>1</v>
      </c>
      <c r="F43" s="19">
        <f t="shared" si="1"/>
        <v>0.46666666666666667</v>
      </c>
      <c r="G43" s="48">
        <v>1</v>
      </c>
      <c r="H43" s="48">
        <v>5</v>
      </c>
      <c r="I43" s="19">
        <f t="shared" si="2"/>
        <v>0.4</v>
      </c>
      <c r="J43" s="48">
        <v>2</v>
      </c>
      <c r="K43" s="21">
        <f t="shared" si="3"/>
        <v>0.1333333333333333</v>
      </c>
      <c r="L43" s="22">
        <f t="shared" si="4"/>
        <v>1</v>
      </c>
    </row>
    <row r="44" spans="1:13">
      <c r="A44" s="74" t="s">
        <v>29</v>
      </c>
      <c r="B44" s="74" t="s">
        <v>30</v>
      </c>
      <c r="C44" s="48">
        <v>32</v>
      </c>
      <c r="D44" s="48">
        <v>13</v>
      </c>
      <c r="E44" s="48">
        <v>1</v>
      </c>
      <c r="F44" s="19">
        <f t="shared" si="1"/>
        <v>0.4375</v>
      </c>
      <c r="G44" s="48">
        <v>2</v>
      </c>
      <c r="H44" s="48">
        <v>14</v>
      </c>
      <c r="I44" s="19">
        <f t="shared" si="2"/>
        <v>0.5</v>
      </c>
      <c r="J44" s="48">
        <v>2</v>
      </c>
      <c r="K44" s="21">
        <f t="shared" si="3"/>
        <v>6.25E-2</v>
      </c>
      <c r="L44" s="22">
        <f t="shared" si="4"/>
        <v>1</v>
      </c>
    </row>
    <row r="45" spans="1:13">
      <c r="A45" s="74" t="s">
        <v>29</v>
      </c>
      <c r="B45" s="74" t="s">
        <v>31</v>
      </c>
      <c r="C45" s="48">
        <v>17</v>
      </c>
      <c r="D45" s="48">
        <v>7</v>
      </c>
      <c r="E45" s="48">
        <v>2</v>
      </c>
      <c r="F45" s="19">
        <f t="shared" si="1"/>
        <v>0.52941176470588236</v>
      </c>
      <c r="G45" s="48">
        <v>2</v>
      </c>
      <c r="H45" s="48">
        <v>6</v>
      </c>
      <c r="I45" s="19">
        <f t="shared" si="2"/>
        <v>0.47058823529411764</v>
      </c>
      <c r="J45" s="48"/>
      <c r="K45" s="21">
        <f t="shared" si="3"/>
        <v>0</v>
      </c>
      <c r="L45" s="22">
        <f t="shared" si="4"/>
        <v>1</v>
      </c>
    </row>
    <row r="46" spans="1:13">
      <c r="A46" s="74" t="s">
        <v>29</v>
      </c>
      <c r="B46" s="74" t="s">
        <v>32</v>
      </c>
      <c r="C46" s="48">
        <v>28</v>
      </c>
      <c r="D46" s="48">
        <v>7</v>
      </c>
      <c r="E46" s="48">
        <v>2</v>
      </c>
      <c r="F46" s="19">
        <f t="shared" si="1"/>
        <v>0.32142857142857145</v>
      </c>
      <c r="G46" s="48">
        <v>4</v>
      </c>
      <c r="H46" s="48">
        <v>10</v>
      </c>
      <c r="I46" s="19">
        <f t="shared" si="2"/>
        <v>0.5</v>
      </c>
      <c r="J46" s="48">
        <v>5</v>
      </c>
      <c r="K46" s="21">
        <f t="shared" si="3"/>
        <v>0.1785714285714286</v>
      </c>
      <c r="L46" s="22">
        <f t="shared" si="4"/>
        <v>1</v>
      </c>
    </row>
    <row r="47" spans="1:13">
      <c r="A47" s="74" t="s">
        <v>29</v>
      </c>
      <c r="B47" s="74" t="s">
        <v>15</v>
      </c>
      <c r="C47" s="27">
        <v>36</v>
      </c>
      <c r="D47" s="27">
        <v>13</v>
      </c>
      <c r="E47" s="27">
        <v>1</v>
      </c>
      <c r="F47" s="19">
        <f t="shared" si="1"/>
        <v>0.3888888888888889</v>
      </c>
      <c r="G47" s="27">
        <v>1</v>
      </c>
      <c r="H47" s="27">
        <v>15</v>
      </c>
      <c r="I47" s="19">
        <f t="shared" si="2"/>
        <v>0.44444444444444442</v>
      </c>
      <c r="J47" s="27">
        <v>6</v>
      </c>
      <c r="K47" s="21">
        <f t="shared" si="3"/>
        <v>0.16666666666666674</v>
      </c>
      <c r="L47" s="22">
        <f t="shared" si="4"/>
        <v>1</v>
      </c>
    </row>
    <row r="48" spans="1:13">
      <c r="A48" s="74" t="s">
        <v>29</v>
      </c>
      <c r="B48" s="74" t="s">
        <v>33</v>
      </c>
      <c r="C48" s="27">
        <v>37</v>
      </c>
      <c r="D48" s="27">
        <v>11</v>
      </c>
      <c r="E48" s="27">
        <v>2</v>
      </c>
      <c r="F48" s="19">
        <f t="shared" si="1"/>
        <v>0.35135135135135137</v>
      </c>
      <c r="G48" s="27">
        <v>5</v>
      </c>
      <c r="H48" s="27">
        <v>16</v>
      </c>
      <c r="I48" s="19">
        <f t="shared" si="2"/>
        <v>0.56756756756756754</v>
      </c>
      <c r="J48" s="27">
        <v>3</v>
      </c>
      <c r="K48" s="21">
        <f t="shared" si="3"/>
        <v>8.1081081081081141E-2</v>
      </c>
      <c r="L48" s="22">
        <f t="shared" si="4"/>
        <v>1</v>
      </c>
    </row>
    <row r="50" spans="1:12">
      <c r="A50" s="92" t="s">
        <v>166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29</v>
      </c>
      <c r="B52" s="91" t="s">
        <v>14</v>
      </c>
      <c r="C52" s="83">
        <f ca="1">COUNTIFS(montpellier[adversaire],B52)</f>
        <v>2</v>
      </c>
      <c r="D52" s="84">
        <f ca="1">COUNTIFS(montpellier[adversaire],B52,montpellier[Lieu Match],"domicile",montpellier[Issue match],"victoire")</f>
        <v>1</v>
      </c>
      <c r="E52" s="84">
        <f ca="1">COUNTIFS(montpellier[adversaire],B52,montpellier[Lieu Match],"Extérieur",montpellier[Issue match],"victoire")</f>
        <v>0</v>
      </c>
      <c r="F52" s="82">
        <f t="shared" ref="F52" ca="1" si="5">(D52+E52)/C52</f>
        <v>0.5</v>
      </c>
      <c r="G52" s="78">
        <f ca="1">COUNTIFS(montpellier[adversaire],B52,montpellier[Lieu Match],"domicile",montpellier[Issue match],"défaite")</f>
        <v>0</v>
      </c>
      <c r="H52" s="80">
        <f ca="1">COUNTIFS(montpellier[adversaire],B52,montpellier[Lieu Match],"Extérieur",montpellier[Issue match],"défaite")</f>
        <v>1</v>
      </c>
      <c r="I52" s="79">
        <f t="shared" ref="I52" ca="1" si="6">(G52+H52)/C52</f>
        <v>0.5</v>
      </c>
      <c r="J52" s="85">
        <f ca="1">COUNTIFS(montpellier[adversaire],B52,montpellier[adversaire],"Domicile",montpellier[Issue match],"Nul")+COUNTIFS(montpellier[adversaire],B52,montpellier[Lieu Match],"Extérieur",montpellier[Issue match],"Nul")</f>
        <v>0</v>
      </c>
      <c r="K52" s="81">
        <f t="shared" ref="K52" ca="1" si="7">100%-(F52+I52)</f>
        <v>0</v>
      </c>
      <c r="L52" s="89">
        <f t="shared" ref="L52" ca="1" si="8">SUM(F52+I52+K52)</f>
        <v>1</v>
      </c>
    </row>
    <row r="53" spans="1:12">
      <c r="A53" s="90" t="s">
        <v>29</v>
      </c>
      <c r="B53" s="91" t="s">
        <v>23</v>
      </c>
      <c r="C53" s="83">
        <f ca="1">COUNTIFS(montpellier[adversaire],B53)</f>
        <v>1</v>
      </c>
      <c r="D53" s="84">
        <f ca="1">COUNTIFS(montpellier[adversaire],B53,montpellier[Lieu Match],"domicile",montpellier[Issue match],"victoire")</f>
        <v>0</v>
      </c>
      <c r="E53" s="84">
        <f ca="1">COUNTIFS(montpellier[adversaire],B53,montpellier[Lieu Match],"Extérieur",montpellier[Issue match],"victoire")</f>
        <v>0</v>
      </c>
      <c r="F53" s="82">
        <f t="shared" ref="F53:F64" ca="1" si="9">(D53+E53)/C53</f>
        <v>0</v>
      </c>
      <c r="G53" s="78">
        <f ca="1">COUNTIFS(montpellier[adversaire],B53,montpellier[Lieu Match],"domicile",montpellier[Issue match],"défaite")</f>
        <v>1</v>
      </c>
      <c r="H53" s="80">
        <f ca="1">COUNTIFS(montpellier[adversaire],B53,montpellier[Lieu Match],"Extérieur",montpellier[Issue match],"défaite")</f>
        <v>0</v>
      </c>
      <c r="I53" s="79">
        <f t="shared" ref="I53:I64" ca="1" si="10">(G53+H53)/C53</f>
        <v>1</v>
      </c>
      <c r="J53" s="85">
        <f ca="1">COUNTIFS(montpellier[adversaire],B53,montpellier[adversaire],"Domicile",montpellier[Issue match],"Nul")+COUNTIFS(montpellier[adversaire],B53,montpellier[Lieu Match],"Extérieur",montpellier[Issue match],"Nul")</f>
        <v>0</v>
      </c>
      <c r="K53" s="81">
        <f t="shared" ref="K53:K64" ca="1" si="11">100%-(F53+I53)</f>
        <v>0</v>
      </c>
      <c r="L53" s="89">
        <f t="shared" ref="L53:L64" ca="1" si="12">SUM(F53+I53+K53)</f>
        <v>1</v>
      </c>
    </row>
    <row r="54" spans="1:12">
      <c r="A54" s="90" t="s">
        <v>29</v>
      </c>
      <c r="B54" s="91" t="s">
        <v>24</v>
      </c>
      <c r="C54" s="83">
        <f ca="1">COUNTIFS(montpellier[adversaire],B54)</f>
        <v>2</v>
      </c>
      <c r="D54" s="84">
        <f ca="1">COUNTIFS(montpellier[adversaire],B54,montpellier[Lieu Match],"domicile",montpellier[Issue match],"victoire")</f>
        <v>0</v>
      </c>
      <c r="E54" s="84">
        <f ca="1">COUNTIFS(montpellier[adversaire],B54,montpellier[Lieu Match],"Extérieur",montpellier[Issue match],"victoire")</f>
        <v>0</v>
      </c>
      <c r="F54" s="82">
        <f t="shared" ca="1" si="9"/>
        <v>0</v>
      </c>
      <c r="G54" s="78">
        <f ca="1">COUNTIFS(montpellier[adversaire],B54,montpellier[Lieu Match],"domicile",montpellier[Issue match],"défaite")</f>
        <v>1</v>
      </c>
      <c r="H54" s="80">
        <f ca="1">COUNTIFS(montpellier[adversaire],B54,montpellier[Lieu Match],"Extérieur",montpellier[Issue match],"défaite")</f>
        <v>1</v>
      </c>
      <c r="I54" s="79">
        <f t="shared" ca="1" si="10"/>
        <v>1</v>
      </c>
      <c r="J54" s="85">
        <f ca="1">COUNTIFS(montpellier[adversaire],B54,montpellier[adversaire],"Domicile",montpellier[Issue match],"Nul")+COUNTIFS(montpellier[adversaire],B54,montpellier[Lieu Match],"Extérieur",montpellier[Issue match],"Nul")</f>
        <v>0</v>
      </c>
      <c r="K54" s="81">
        <f t="shared" ca="1" si="11"/>
        <v>0</v>
      </c>
      <c r="L54" s="89">
        <f t="shared" ca="1" si="12"/>
        <v>1</v>
      </c>
    </row>
    <row r="55" spans="1:12">
      <c r="A55" s="90" t="s">
        <v>29</v>
      </c>
      <c r="B55" s="91" t="s">
        <v>25</v>
      </c>
      <c r="C55" s="83">
        <f ca="1">COUNTIFS(montpellier[adversaire],B55)</f>
        <v>2</v>
      </c>
      <c r="D55" s="84">
        <f ca="1">COUNTIFS(montpellier[adversaire],B55,montpellier[Lieu Match],"domicile",montpellier[Issue match],"victoire")</f>
        <v>1</v>
      </c>
      <c r="E55" s="84">
        <f ca="1">COUNTIFS(montpellier[adversaire],B55,montpellier[Lieu Match],"Extérieur",montpellier[Issue match],"victoire")</f>
        <v>0</v>
      </c>
      <c r="F55" s="82">
        <f t="shared" ca="1" si="9"/>
        <v>0.5</v>
      </c>
      <c r="G55" s="78">
        <f ca="1">COUNTIFS(montpellier[adversaire],B55,montpellier[Lieu Match],"domicile",montpellier[Issue match],"défaite")</f>
        <v>0</v>
      </c>
      <c r="H55" s="80">
        <f ca="1">COUNTIFS(montpellier[adversaire],B55,montpellier[Lieu Match],"Extérieur",montpellier[Issue match],"défaite")</f>
        <v>1</v>
      </c>
      <c r="I55" s="79">
        <f t="shared" ca="1" si="10"/>
        <v>0.5</v>
      </c>
      <c r="J55" s="85">
        <f ca="1">COUNTIFS(montpellier[adversaire],B55,montpellier[adversaire],"Domicile",montpellier[Issue match],"Nul")+COUNTIFS(montpellier[adversaire],B55,montpellier[Lieu Match],"Extérieur",montpellier[Issue match],"Nul")</f>
        <v>0</v>
      </c>
      <c r="K55" s="81">
        <f t="shared" ca="1" si="11"/>
        <v>0</v>
      </c>
      <c r="L55" s="89">
        <f t="shared" ca="1" si="12"/>
        <v>1</v>
      </c>
    </row>
    <row r="56" spans="1:12">
      <c r="A56" s="90" t="s">
        <v>29</v>
      </c>
      <c r="B56" s="91" t="s">
        <v>37</v>
      </c>
      <c r="C56" s="83">
        <f ca="1">COUNTIFS(montpellier[adversaire],B56)</f>
        <v>2</v>
      </c>
      <c r="D56" s="84">
        <f ca="1">COUNTIFS(montpellier[adversaire],B56,montpellier[Lieu Match],"domicile",montpellier[Issue match],"victoire")</f>
        <v>0</v>
      </c>
      <c r="E56" s="84">
        <f ca="1">COUNTIFS(montpellier[adversaire],B56,montpellier[Lieu Match],"Extérieur",montpellier[Issue match],"victoire")</f>
        <v>0</v>
      </c>
      <c r="F56" s="82">
        <f t="shared" ca="1" si="9"/>
        <v>0</v>
      </c>
      <c r="G56" s="78">
        <f ca="1">COUNTIFS(montpellier[adversaire],B56,montpellier[Lieu Match],"domicile",montpellier[Issue match],"défaite")</f>
        <v>1</v>
      </c>
      <c r="H56" s="80">
        <f ca="1">COUNTIFS(montpellier[adversaire],B56,montpellier[Lieu Match],"Extérieur",montpellier[Issue match],"défaite")</f>
        <v>1</v>
      </c>
      <c r="I56" s="79">
        <f t="shared" ca="1" si="10"/>
        <v>1</v>
      </c>
      <c r="J56" s="85">
        <f ca="1">COUNTIFS(montpellier[adversaire],B56,montpellier[adversaire],"Domicile",montpellier[Issue match],"Nul")+COUNTIFS(montpellier[adversaire],B56,montpellier[Lieu Match],"Extérieur",montpellier[Issue match],"Nul")</f>
        <v>0</v>
      </c>
      <c r="K56" s="81">
        <f t="shared" ca="1" si="11"/>
        <v>0</v>
      </c>
      <c r="L56" s="89">
        <f t="shared" ca="1" si="12"/>
        <v>1</v>
      </c>
    </row>
    <row r="57" spans="1:12">
      <c r="A57" s="90" t="s">
        <v>29</v>
      </c>
      <c r="B57" s="91" t="s">
        <v>26</v>
      </c>
      <c r="C57" s="83">
        <f ca="1">COUNTIFS(montpellier[adversaire],B57)</f>
        <v>2</v>
      </c>
      <c r="D57" s="84">
        <f ca="1">COUNTIFS(montpellier[adversaire],B57,montpellier[Lieu Match],"domicile",montpellier[Issue match],"victoire")</f>
        <v>0</v>
      </c>
      <c r="E57" s="84">
        <f ca="1">COUNTIFS(montpellier[adversaire],B57,montpellier[Lieu Match],"Extérieur",montpellier[Issue match],"victoire")</f>
        <v>0</v>
      </c>
      <c r="F57" s="82">
        <f t="shared" ca="1" si="9"/>
        <v>0</v>
      </c>
      <c r="G57" s="78">
        <f ca="1">COUNTIFS(montpellier[adversaire],B57,montpellier[Lieu Match],"domicile",montpellier[Issue match],"défaite")</f>
        <v>1</v>
      </c>
      <c r="H57" s="80">
        <f ca="1">COUNTIFS(montpellier[adversaire],B57,montpellier[Lieu Match],"Extérieur",montpellier[Issue match],"défaite")</f>
        <v>1</v>
      </c>
      <c r="I57" s="79">
        <f t="shared" ca="1" si="10"/>
        <v>1</v>
      </c>
      <c r="J57" s="85">
        <f ca="1">COUNTIFS(montpellier[adversaire],B57,montpellier[adversaire],"Domicile",montpellier[Issue match],"Nul")+COUNTIFS(montpellier[adversaire],B57,montpellier[Lieu Match],"Extérieur",montpellier[Issue match],"Nul")</f>
        <v>0</v>
      </c>
      <c r="K57" s="81">
        <f t="shared" ca="1" si="11"/>
        <v>0</v>
      </c>
      <c r="L57" s="89">
        <f t="shared" ca="1" si="12"/>
        <v>1</v>
      </c>
    </row>
    <row r="58" spans="1:12">
      <c r="A58" s="90" t="s">
        <v>29</v>
      </c>
      <c r="B58" s="91" t="s">
        <v>27</v>
      </c>
      <c r="C58" s="83">
        <f ca="1">COUNTIFS(montpellier[adversaire],B58)</f>
        <v>3</v>
      </c>
      <c r="D58" s="84">
        <f ca="1">COUNTIFS(montpellier[adversaire],B58,montpellier[Lieu Match],"domicile",montpellier[Issue match],"victoire")</f>
        <v>0</v>
      </c>
      <c r="E58" s="84">
        <f ca="1">COUNTIFS(montpellier[adversaire],B58,montpellier[Lieu Match],"Extérieur",montpellier[Issue match],"victoire")</f>
        <v>0</v>
      </c>
      <c r="F58" s="82">
        <f t="shared" ca="1" si="9"/>
        <v>0</v>
      </c>
      <c r="G58" s="78">
        <f ca="1">COUNTIFS(montpellier[adversaire],B58,montpellier[Lieu Match],"domicile",montpellier[Issue match],"défaite")</f>
        <v>2</v>
      </c>
      <c r="H58" s="80">
        <f ca="1">COUNTIFS(montpellier[adversaire],B58,montpellier[Lieu Match],"Extérieur",montpellier[Issue match],"défaite")</f>
        <v>1</v>
      </c>
      <c r="I58" s="79">
        <f t="shared" ca="1" si="10"/>
        <v>1</v>
      </c>
      <c r="J58" s="85">
        <f ca="1">COUNTIFS(montpellier[adversaire],B58,montpellier[adversaire],"Domicile",montpellier[Issue match],"Nul")+COUNTIFS(montpellier[adversaire],B58,montpellier[Lieu Match],"Extérieur",montpellier[Issue match],"Nul")</f>
        <v>0</v>
      </c>
      <c r="K58" s="81">
        <f t="shared" ca="1" si="11"/>
        <v>0</v>
      </c>
      <c r="L58" s="89">
        <f t="shared" ca="1" si="12"/>
        <v>1</v>
      </c>
    </row>
    <row r="59" spans="1:12">
      <c r="A59" s="90" t="s">
        <v>29</v>
      </c>
      <c r="B59" s="91" t="s">
        <v>28</v>
      </c>
      <c r="C59" s="83">
        <f ca="1">COUNTIFS(montpellier[adversaire],B59)</f>
        <v>1</v>
      </c>
      <c r="D59" s="84">
        <f ca="1">COUNTIFS(montpellier[adversaire],B59,montpellier[Lieu Match],"domicile",montpellier[Issue match],"victoire")</f>
        <v>0</v>
      </c>
      <c r="E59" s="84">
        <f ca="1">COUNTIFS(montpellier[adversaire],B59,montpellier[Lieu Match],"Extérieur",montpellier[Issue match],"victoire")</f>
        <v>0</v>
      </c>
      <c r="F59" s="82">
        <f t="shared" ca="1" si="9"/>
        <v>0</v>
      </c>
      <c r="G59" s="78">
        <f ca="1">COUNTIFS(montpellier[adversaire],B59,montpellier[Lieu Match],"domicile",montpellier[Issue match],"défaite")</f>
        <v>0</v>
      </c>
      <c r="H59" s="80">
        <f ca="1">COUNTIFS(montpellier[adversaire],B59,montpellier[Lieu Match],"Extérieur",montpellier[Issue match],"défaite")</f>
        <v>1</v>
      </c>
      <c r="I59" s="79">
        <f t="shared" ca="1" si="10"/>
        <v>1</v>
      </c>
      <c r="J59" s="85">
        <f ca="1">COUNTIFS(montpellier[adversaire],B59,montpellier[adversaire],"Domicile",montpellier[Issue match],"Nul")+COUNTIFS(montpellier[adversaire],B59,montpellier[Lieu Match],"Extérieur",montpellier[Issue match],"Nul")</f>
        <v>0</v>
      </c>
      <c r="K59" s="81">
        <f t="shared" ca="1" si="11"/>
        <v>0</v>
      </c>
      <c r="L59" s="89">
        <f t="shared" ca="1" si="12"/>
        <v>1</v>
      </c>
    </row>
    <row r="60" spans="1:12">
      <c r="A60" s="90" t="s">
        <v>29</v>
      </c>
      <c r="B60" s="91" t="s">
        <v>30</v>
      </c>
      <c r="C60" s="83">
        <f ca="1">COUNTIFS(montpellier[adversaire],B60)</f>
        <v>2</v>
      </c>
      <c r="D60" s="84">
        <f ca="1">COUNTIFS(montpellier[adversaire],B60,montpellier[Lieu Match],"domicile",montpellier[Issue match],"victoire")</f>
        <v>0</v>
      </c>
      <c r="E60" s="84">
        <f ca="1">COUNTIFS(montpellier[adversaire],B60,montpellier[Lieu Match],"Extérieur",montpellier[Issue match],"victoire")</f>
        <v>0</v>
      </c>
      <c r="F60" s="82">
        <f t="shared" ca="1" si="9"/>
        <v>0</v>
      </c>
      <c r="G60" s="78">
        <f ca="1">COUNTIFS(montpellier[adversaire],B60,montpellier[Lieu Match],"domicile",montpellier[Issue match],"défaite")</f>
        <v>1</v>
      </c>
      <c r="H60" s="80">
        <f ca="1">COUNTIFS(montpellier[adversaire],B60,montpellier[Lieu Match],"Extérieur",montpellier[Issue match],"défaite")</f>
        <v>1</v>
      </c>
      <c r="I60" s="79">
        <f t="shared" ca="1" si="10"/>
        <v>1</v>
      </c>
      <c r="J60" s="85">
        <f ca="1">COUNTIFS(montpellier[adversaire],B60,montpellier[adversaire],"Domicile",montpellier[Issue match],"Nul")+COUNTIFS(montpellier[adversaire],B60,montpellier[Lieu Match],"Extérieur",montpellier[Issue match],"Nul")</f>
        <v>0</v>
      </c>
      <c r="K60" s="81">
        <f t="shared" ca="1" si="11"/>
        <v>0</v>
      </c>
      <c r="L60" s="89">
        <f t="shared" ca="1" si="12"/>
        <v>1</v>
      </c>
    </row>
    <row r="61" spans="1:12">
      <c r="A61" s="90" t="s">
        <v>29</v>
      </c>
      <c r="B61" s="91" t="s">
        <v>31</v>
      </c>
      <c r="C61" s="83">
        <f ca="1">COUNTIFS(montpellier[adversaire],B61)</f>
        <v>2</v>
      </c>
      <c r="D61" s="84">
        <f ca="1">COUNTIFS(montpellier[adversaire],B61,montpellier[Lieu Match],"domicile",montpellier[Issue match],"victoire")</f>
        <v>0</v>
      </c>
      <c r="E61" s="84">
        <f ca="1">COUNTIFS(montpellier[adversaire],B61,montpellier[Lieu Match],"Extérieur",montpellier[Issue match],"victoire")</f>
        <v>0</v>
      </c>
      <c r="F61" s="82">
        <f t="shared" ca="1" si="9"/>
        <v>0</v>
      </c>
      <c r="G61" s="78">
        <f ca="1">COUNTIFS(montpellier[adversaire],B61,montpellier[Lieu Match],"domicile",montpellier[Issue match],"défaite")</f>
        <v>1</v>
      </c>
      <c r="H61" s="80">
        <f ca="1">COUNTIFS(montpellier[adversaire],B61,montpellier[Lieu Match],"Extérieur",montpellier[Issue match],"défaite")</f>
        <v>1</v>
      </c>
      <c r="I61" s="79">
        <f t="shared" ca="1" si="10"/>
        <v>1</v>
      </c>
      <c r="J61" s="85">
        <f ca="1">COUNTIFS(montpellier[adversaire],B61,montpellier[adversaire],"Domicile",montpellier[Issue match],"Nul")+COUNTIFS(montpellier[adversaire],B61,montpellier[Lieu Match],"Extérieur",montpellier[Issue match],"Nul")</f>
        <v>0</v>
      </c>
      <c r="K61" s="81">
        <f t="shared" ca="1" si="11"/>
        <v>0</v>
      </c>
      <c r="L61" s="89">
        <f t="shared" ca="1" si="12"/>
        <v>1</v>
      </c>
    </row>
    <row r="62" spans="1:12">
      <c r="A62" s="90" t="s">
        <v>29</v>
      </c>
      <c r="B62" s="91" t="s">
        <v>32</v>
      </c>
      <c r="C62" s="83">
        <f ca="1">COUNTIFS(montpellier[adversaire],B62)</f>
        <v>2</v>
      </c>
      <c r="D62" s="84">
        <f ca="1">COUNTIFS(montpellier[adversaire],B62,montpellier[Lieu Match],"domicile",montpellier[Issue match],"victoire")</f>
        <v>0</v>
      </c>
      <c r="E62" s="84">
        <f ca="1">COUNTIFS(montpellier[adversaire],B62,montpellier[Lieu Match],"Extérieur",montpellier[Issue match],"victoire")</f>
        <v>0</v>
      </c>
      <c r="F62" s="82">
        <f t="shared" ca="1" si="9"/>
        <v>0</v>
      </c>
      <c r="G62" s="78">
        <f ca="1">COUNTIFS(montpellier[adversaire],B62,montpellier[Lieu Match],"domicile",montpellier[Issue match],"défaite")</f>
        <v>1</v>
      </c>
      <c r="H62" s="80">
        <f ca="1">COUNTIFS(montpellier[adversaire],B62,montpellier[Lieu Match],"Extérieur",montpellier[Issue match],"défaite")</f>
        <v>1</v>
      </c>
      <c r="I62" s="79">
        <f t="shared" ca="1" si="10"/>
        <v>1</v>
      </c>
      <c r="J62" s="85">
        <f ca="1">COUNTIFS(montpellier[adversaire],B62,montpellier[adversaire],"Domicile",montpellier[Issue match],"Nul")+COUNTIFS(montpellier[adversaire],B62,montpellier[Lieu Match],"Extérieur",montpellier[Issue match],"Nul")</f>
        <v>0</v>
      </c>
      <c r="K62" s="81">
        <f t="shared" ca="1" si="11"/>
        <v>0</v>
      </c>
      <c r="L62" s="89">
        <f t="shared" ca="1" si="12"/>
        <v>1</v>
      </c>
    </row>
    <row r="63" spans="1:12">
      <c r="A63" s="90" t="s">
        <v>29</v>
      </c>
      <c r="B63" s="91" t="s">
        <v>15</v>
      </c>
      <c r="C63" s="83">
        <f ca="1">COUNTIFS(montpellier[adversaire],B63)</f>
        <v>2</v>
      </c>
      <c r="D63" s="84">
        <f ca="1">COUNTIFS(montpellier[adversaire],B63,montpellier[Lieu Match],"domicile",montpellier[Issue match],"victoire")</f>
        <v>0</v>
      </c>
      <c r="E63" s="84">
        <f ca="1">COUNTIFS(montpellier[adversaire],B63,montpellier[Lieu Match],"Extérieur",montpellier[Issue match],"victoire")</f>
        <v>0</v>
      </c>
      <c r="F63" s="82">
        <f t="shared" ca="1" si="9"/>
        <v>0</v>
      </c>
      <c r="G63" s="78">
        <f ca="1">COUNTIFS(montpellier[adversaire],B63,montpellier[Lieu Match],"domicile",montpellier[Issue match],"défaite")</f>
        <v>1</v>
      </c>
      <c r="H63" s="80">
        <f ca="1">COUNTIFS(montpellier[adversaire],B63,montpellier[Lieu Match],"Extérieur",montpellier[Issue match],"défaite")</f>
        <v>1</v>
      </c>
      <c r="I63" s="79">
        <f t="shared" ca="1" si="10"/>
        <v>1</v>
      </c>
      <c r="J63" s="85">
        <f ca="1">COUNTIFS(montpellier[adversaire],B63,montpellier[adversaire],"Domicile",montpellier[Issue match],"Nul")+COUNTIFS(montpellier[adversaire],B63,montpellier[Lieu Match],"Extérieur",montpellier[Issue match],"Nul")</f>
        <v>0</v>
      </c>
      <c r="K63" s="81">
        <f t="shared" ca="1" si="11"/>
        <v>0</v>
      </c>
      <c r="L63" s="89">
        <f t="shared" ca="1" si="12"/>
        <v>1</v>
      </c>
    </row>
    <row r="64" spans="1:12">
      <c r="A64" s="90" t="s">
        <v>29</v>
      </c>
      <c r="B64" s="91" t="s">
        <v>33</v>
      </c>
      <c r="C64" s="83">
        <f ca="1">COUNTIFS(montpellier[adversaire],B64)</f>
        <v>0</v>
      </c>
      <c r="D64" s="84">
        <f ca="1">COUNTIFS(montpellier[adversaire],B64,montpellier[Lieu Match],"domicile",montpellier[Issue match],"victoire")</f>
        <v>0</v>
      </c>
      <c r="E64" s="84">
        <f ca="1">COUNTIFS(montpellier[adversaire],B64,montpellier[Lieu Match],"Extérieur",montpellier[Issue match],"victoire")</f>
        <v>0</v>
      </c>
      <c r="F64" s="82" t="e">
        <f t="shared" ca="1" si="9"/>
        <v>#DIV/0!</v>
      </c>
      <c r="G64" s="78">
        <f ca="1">COUNTIFS(montpellier[adversaire],B64,montpellier[Lieu Match],"domicile",montpellier[Issue match],"défaite")</f>
        <v>0</v>
      </c>
      <c r="H64" s="80">
        <f ca="1">COUNTIFS(montpellier[adversaire],B64,montpellier[Lieu Match],"Extérieur",montpellier[Issue match],"défaite")</f>
        <v>0</v>
      </c>
      <c r="I64" s="79" t="e">
        <f t="shared" ca="1" si="10"/>
        <v>#DIV/0!</v>
      </c>
      <c r="J64" s="85">
        <f ca="1">COUNTIFS(montpellier[adversaire],B64,montpellier[adversaire],"Domicile",montpellier[Issue match],"Nul")+COUNTIFS(montpellier[adversaire],B64,montpellier[Lieu Match],"Extérieur",montpellier[Issue match],"Nul")</f>
        <v>0</v>
      </c>
      <c r="K64" s="81" t="e">
        <f t="shared" ca="1" si="11"/>
        <v>#DIV/0!</v>
      </c>
      <c r="L64" s="89" t="e">
        <f t="shared" ca="1" si="12"/>
        <v>#DIV/0!</v>
      </c>
    </row>
  </sheetData>
  <mergeCells count="7">
    <mergeCell ref="Q1:S1"/>
    <mergeCell ref="Q9:S9"/>
    <mergeCell ref="A35:B35"/>
    <mergeCell ref="A1:A2"/>
    <mergeCell ref="B1:E1"/>
    <mergeCell ref="L1:N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U64"/>
  <sheetViews>
    <sheetView topLeftCell="D1" zoomScale="85" zoomScaleNormal="85" zoomScalePageLayoutView="85" workbookViewId="0">
      <selection activeCell="H14" sqref="H14"/>
    </sheetView>
  </sheetViews>
  <sheetFormatPr baseColWidth="10" defaultColWidth="10.5" defaultRowHeight="14" x14ac:dyDescent="0"/>
  <cols>
    <col min="1" max="1" width="13.33203125" customWidth="1"/>
    <col min="2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83203125" bestFit="1" customWidth="1"/>
    <col min="9" max="9" width="9.5" bestFit="1" customWidth="1"/>
    <col min="10" max="10" width="4.83203125" bestFit="1" customWidth="1"/>
    <col min="11" max="11" width="14.33203125" bestFit="1" customWidth="1"/>
    <col min="12" max="12" width="9.33203125" bestFit="1" customWidth="1"/>
    <col min="13" max="13" width="12.1640625" bestFit="1" customWidth="1"/>
    <col min="16" max="16" width="14.33203125" bestFit="1" customWidth="1"/>
  </cols>
  <sheetData>
    <row r="1" spans="1:21">
      <c r="A1" s="121" t="s">
        <v>49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</row>
    <row r="2" spans="1:21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SUMIFS(paris[Score D],paris[Lieu Match],"domicile")</f>
        <v>92</v>
      </c>
      <c r="M2" s="72">
        <f ca="1">SUMIFS(paris[Score E],paris[Lieu Match],"domicile")</f>
        <v>67</v>
      </c>
      <c r="N2" s="72">
        <f ca="1">L2-M2</f>
        <v>25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</row>
    <row r="3" spans="1:21">
      <c r="A3" s="10" t="s">
        <v>2</v>
      </c>
      <c r="B3" s="15">
        <f ca="1">COUNTIF(paris[Lieu Match],"domicile")</f>
        <v>13</v>
      </c>
      <c r="C3" s="63">
        <f ca="1">COUNTIFS(paris[Issue match],"victoire",paris[Lieu Match],"domicile")</f>
        <v>1</v>
      </c>
      <c r="D3" s="63">
        <f ca="1">COUNTIFS(paris[Issue match],"nul",paris[Lieu Match],"domicile")</f>
        <v>0</v>
      </c>
      <c r="E3" s="63">
        <f ca="1">COUNTIFS(paris[Issue match],"défaite",paris[Lieu Match],"domicile")</f>
        <v>12</v>
      </c>
      <c r="F3" s="77">
        <f ca="1">C3+E3+D3-D3</f>
        <v>13</v>
      </c>
      <c r="G3" s="6" t="s">
        <v>49</v>
      </c>
      <c r="H3" s="7" t="s">
        <v>51</v>
      </c>
      <c r="K3" s="10" t="s">
        <v>9</v>
      </c>
      <c r="L3" s="18">
        <f ca="1">L2/F3</f>
        <v>7.0769230769230766</v>
      </c>
      <c r="M3" s="18">
        <f ca="1">M2/F3</f>
        <v>5.1538461538461542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</row>
    <row r="4" spans="1:21">
      <c r="A4" s="10" t="s">
        <v>3</v>
      </c>
      <c r="B4" s="15">
        <f ca="1">COUNTIF(paris[Lieu Match],"extérieur")</f>
        <v>13</v>
      </c>
      <c r="C4" s="63">
        <f ca="1">COUNTIFS(paris[Issue match],"victoire",paris[Lieu Match],"extérieur")</f>
        <v>2</v>
      </c>
      <c r="D4" s="63">
        <f ca="1">COUNTIFS(paris[Issue match],"nul",paris[Lieu Match],"extérieur")</f>
        <v>0</v>
      </c>
      <c r="E4" s="63">
        <f ca="1">COUNTIFS(paris[Issue match],"défaite",paris[Lieu Match],"extérieur")</f>
        <v>11</v>
      </c>
      <c r="F4" s="77">
        <f ca="1">C4+E4+D4-D4</f>
        <v>13</v>
      </c>
      <c r="G4" s="8">
        <f t="array" ref="G4">INDEX($C$35:$L$46,MATCH(1,($A$35:$A$46=$A$1)*($B$35:$B$46=$H$3),0),4)</f>
        <v>0.40909090909090912</v>
      </c>
      <c r="H4" s="8">
        <f t="array" ref="H4">INDEX($C$35:$L$46,MATCH(1,($A$35:$A$46=$G$3)*($B$35:$B$46=$H$3),0),7)</f>
        <v>0.59090909090909094</v>
      </c>
      <c r="K4" s="10" t="s">
        <v>8</v>
      </c>
      <c r="L4" s="72">
        <f ca="1">SUMIFS(paris[Score D],paris[Lieu Match],"extérieur")</f>
        <v>60</v>
      </c>
      <c r="M4" s="72">
        <f ca="1">SUMIFS(paris[Score E],paris[Lieu Match],"extérieur")</f>
        <v>69</v>
      </c>
      <c r="N4" s="13">
        <f ca="1">L4-M4</f>
        <v>-9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</row>
    <row r="5" spans="1:21">
      <c r="A5" s="10" t="s">
        <v>36</v>
      </c>
      <c r="B5" s="15">
        <f ca="1">B3+B4</f>
        <v>26</v>
      </c>
      <c r="C5" s="15">
        <f t="shared" ref="C5:E5" ca="1" si="0">C3+C4</f>
        <v>3</v>
      </c>
      <c r="D5" s="15">
        <f t="shared" ca="1" si="0"/>
        <v>0</v>
      </c>
      <c r="E5" s="15">
        <f t="shared" ca="1" si="0"/>
        <v>23</v>
      </c>
      <c r="F5" s="77">
        <f ca="1">C5+E5+D5-D5</f>
        <v>26</v>
      </c>
      <c r="G5" s="9">
        <f>100/G4/100</f>
        <v>2.4444444444444442</v>
      </c>
      <c r="H5" s="9">
        <f>100/H4/100</f>
        <v>1.6923076923076923</v>
      </c>
      <c r="K5" s="10" t="s">
        <v>9</v>
      </c>
      <c r="L5" s="18">
        <f ca="1">L4/F4</f>
        <v>4.615384615384615</v>
      </c>
      <c r="M5" s="18">
        <f ca="1">M4/F4</f>
        <v>5.3076923076923075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</row>
    <row r="6" spans="1:21">
      <c r="A6" s="1"/>
      <c r="B6" s="1"/>
      <c r="C6" s="1"/>
      <c r="D6" s="1"/>
      <c r="E6" s="1"/>
      <c r="F6" s="1"/>
      <c r="K6" s="10" t="s">
        <v>10</v>
      </c>
      <c r="L6" s="13">
        <f ca="1">L2+M4</f>
        <v>161</v>
      </c>
      <c r="M6" s="13">
        <f ca="1">M2+L4</f>
        <v>127</v>
      </c>
      <c r="N6" s="13">
        <f ca="1">L6-M6</f>
        <v>34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</row>
    <row r="7" spans="1:21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6.1923076923076925</v>
      </c>
      <c r="M7" s="18">
        <f ca="1">M6/F5</f>
        <v>4.884615384615385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</row>
    <row r="8" spans="1:21">
      <c r="A8" s="39" t="s">
        <v>124</v>
      </c>
      <c r="B8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Bordeaux</v>
      </c>
      <c r="C8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8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8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8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8" s="34">
        <v>0</v>
      </c>
      <c r="H8" s="49">
        <v>1</v>
      </c>
      <c r="I8" s="50">
        <f ca="1">(paris[[#This Row],[Issue match]]="Victoire")*4 + (paris[[#This Row],[Issue match]]="Nul")*2 + paris[[#This Row],[Bonus off]] + paris[[#This Row],[Bonus déf]]</f>
        <v>1</v>
      </c>
      <c r="K8" s="1"/>
      <c r="L8" s="1"/>
      <c r="M8" s="1"/>
      <c r="N8" s="1"/>
      <c r="O8" s="1"/>
      <c r="P8" s="1"/>
      <c r="Q8" s="1"/>
      <c r="R8" s="1"/>
      <c r="S8" s="1"/>
    </row>
    <row r="9" spans="1:21">
      <c r="A9" s="39" t="s">
        <v>125</v>
      </c>
      <c r="B9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Castres</v>
      </c>
      <c r="C9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9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Victoire</v>
      </c>
      <c r="E9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16</v>
      </c>
      <c r="F9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22</v>
      </c>
      <c r="G9" s="34">
        <v>0</v>
      </c>
      <c r="H9" s="49">
        <v>0</v>
      </c>
      <c r="I9" s="50">
        <f ca="1">(paris[[#This Row],[Issue match]]="Victoire")*4 + (paris[[#This Row],[Issue match]]="Nul")*2 + paris[[#This Row],[Bonus off]] + paris[[#This Row],[Bonus déf]]</f>
        <v>4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1">
      <c r="A10" s="39" t="s">
        <v>126</v>
      </c>
      <c r="B10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Bayonne</v>
      </c>
      <c r="C10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10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10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19</v>
      </c>
      <c r="F10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26</v>
      </c>
      <c r="G10" s="34">
        <v>0</v>
      </c>
      <c r="H10" s="49">
        <v>0</v>
      </c>
      <c r="I10" s="50">
        <f ca="1">(paris[[#This Row],[Issue match]]="Victoire")*4 + (paris[[#This Row],[Issue match]]="Nul")*2 + paris[[#This Row],[Bonus off]] + paris[[#This Row],[Bonus déf]]</f>
        <v>0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1">
      <c r="A11" s="39" t="s">
        <v>127</v>
      </c>
      <c r="B11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Agen</v>
      </c>
      <c r="C11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11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Victoire</v>
      </c>
      <c r="E11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3</v>
      </c>
      <c r="F11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20</v>
      </c>
      <c r="G11" s="34">
        <v>0</v>
      </c>
      <c r="H11" s="49">
        <v>0</v>
      </c>
      <c r="I11" s="50">
        <f ca="1">(paris[[#This Row],[Issue match]]="Victoire")*4 + (paris[[#This Row],[Issue match]]="Nul")*2 + paris[[#This Row],[Bonus off]] + paris[[#This Row],[Bonus déf]]</f>
        <v>4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1">
      <c r="A12" s="39" t="s">
        <v>128</v>
      </c>
      <c r="B12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Clermont</v>
      </c>
      <c r="C12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12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12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41</v>
      </c>
      <c r="F12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27</v>
      </c>
      <c r="G12" s="34">
        <v>0</v>
      </c>
      <c r="H12" s="49">
        <v>0</v>
      </c>
      <c r="I12" s="50">
        <f ca="1">(paris[[#This Row],[Issue match]]="Victoire")*4 + (paris[[#This Row],[Issue match]]="Nul")*2 + paris[[#This Row],[Bonus off]] + paris[[#This Row],[Bonus déf]]</f>
        <v>0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1">
      <c r="A13" s="39" t="s">
        <v>129</v>
      </c>
      <c r="B13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Racing 92</v>
      </c>
      <c r="C13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13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13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25</v>
      </c>
      <c r="F13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27</v>
      </c>
      <c r="G13" s="34">
        <v>0</v>
      </c>
      <c r="H13" s="49">
        <v>1</v>
      </c>
      <c r="I13" s="50">
        <f ca="1">(paris[[#This Row],[Issue match]]="Victoire")*4 + (paris[[#This Row],[Issue match]]="Nul")*2 + paris[[#This Row],[Bonus off]] + paris[[#This Row],[Bonus déf]]</f>
        <v>1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1">
      <c r="A14" s="39" t="s">
        <v>130</v>
      </c>
      <c r="B14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Toulouse</v>
      </c>
      <c r="C14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14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Victoire</v>
      </c>
      <c r="E14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48</v>
      </c>
      <c r="F14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14</v>
      </c>
      <c r="G14" s="34"/>
      <c r="H14" s="49"/>
      <c r="I14" s="50">
        <f ca="1">(paris[[#This Row],[Issue match]]="Victoire")*4 + (paris[[#This Row],[Issue match]]="Nul")*2 + paris[[#This Row],[Bonus off]] + paris[[#This Row],[Bonus déf]]</f>
        <v>4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1">
      <c r="A15" s="39" t="s">
        <v>131</v>
      </c>
      <c r="B15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Montpellier</v>
      </c>
      <c r="C15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15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15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15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15" s="34"/>
      <c r="H15" s="49"/>
      <c r="I15" s="50">
        <f ca="1">(paris[[#This Row],[Issue match]]="Victoire")*4 + (paris[[#This Row],[Issue match]]="Nul")*2 + paris[[#This Row],[Bonus off]] + paris[[#This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1">
      <c r="A16" s="39" t="s">
        <v>132</v>
      </c>
      <c r="B16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La Rochelle</v>
      </c>
      <c r="C16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16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16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16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16" s="34"/>
      <c r="H16" s="49"/>
      <c r="I16" s="50">
        <f ca="1">(paris[[#This Row],[Issue match]]="Victoire")*4 + (paris[[#This Row],[Issue match]]="Nul")*2 + paris[[#This Row],[Bonus off]] + paris[[#This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1">
      <c r="A17" s="39" t="s">
        <v>133</v>
      </c>
      <c r="B17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La Rochelle</v>
      </c>
      <c r="C17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17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17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17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17" s="34"/>
      <c r="H17" s="49"/>
      <c r="I17" s="50">
        <f ca="1">(paris[[#This Row],[Issue match]]="Victoire")*4 + (paris[[#This Row],[Issue match]]="Nul")*2 + paris[[#This Row],[Bonus off]] + paris[[#This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1">
      <c r="A18" s="39" t="s">
        <v>134</v>
      </c>
      <c r="B18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Toulon</v>
      </c>
      <c r="C18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18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18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18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18" s="34"/>
      <c r="H18" s="49"/>
      <c r="I18" s="50">
        <f ca="1">(paris[[#This Row],[Issue match]]="Victoire")*4 + (paris[[#This Row],[Issue match]]="Nul")*2 + paris[[#This Row],[Bonus off]] + paris[[#This Row],[Bonus déf]]</f>
        <v>0</v>
      </c>
      <c r="K18" s="10" t="s">
        <v>7</v>
      </c>
      <c r="L18" s="13"/>
      <c r="M18" s="72"/>
      <c r="N18" s="72"/>
      <c r="O18" s="1"/>
      <c r="P18" s="1"/>
      <c r="R18" s="1"/>
      <c r="S18" s="1"/>
    </row>
    <row r="19" spans="1:21">
      <c r="A19" s="39" t="s">
        <v>135</v>
      </c>
      <c r="B19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Pau</v>
      </c>
      <c r="C19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19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19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19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19" s="34"/>
      <c r="H19" s="49"/>
      <c r="I19" s="50">
        <f ca="1">(paris[[#This Row],[Issue match]]="Victoire")*4 + (paris[[#This Row],[Issue match]]="Nul")*2 + paris[[#This Row],[Bonus off]] + paris[[#This Row],[Bonus déf]]</f>
        <v>0</v>
      </c>
      <c r="K19" s="10" t="s">
        <v>9</v>
      </c>
      <c r="L19" s="18"/>
      <c r="M19" s="18"/>
      <c r="N19" s="13"/>
      <c r="O19" s="1"/>
      <c r="P19" s="1" t="s">
        <v>49</v>
      </c>
      <c r="Q19" s="12" t="s">
        <v>41</v>
      </c>
      <c r="R19" s="1"/>
      <c r="S19" s="1"/>
    </row>
    <row r="20" spans="1:21">
      <c r="A20" s="39" t="s">
        <v>136</v>
      </c>
      <c r="B20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Brive</v>
      </c>
      <c r="C20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20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0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0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0" s="34"/>
      <c r="H20" s="49"/>
      <c r="I20" s="50">
        <f ca="1">(paris[[#This Row],[Issue match]]="Victoire")*4 + (paris[[#This Row],[Issue match]]="Nul")*2 + paris[[#This Row],[Bonus off]] + paris[[#This Row],[Bonus déf]]</f>
        <v>0</v>
      </c>
      <c r="K20" s="10" t="s">
        <v>8</v>
      </c>
      <c r="L20" s="72"/>
      <c r="M20" s="72"/>
      <c r="N20" s="13"/>
      <c r="O20" s="1"/>
      <c r="P20" s="1" t="s">
        <v>49</v>
      </c>
      <c r="Q20" s="26" t="s">
        <v>42</v>
      </c>
      <c r="R20" s="1"/>
      <c r="S20" s="1"/>
      <c r="T20" s="1"/>
      <c r="U20" s="1"/>
    </row>
    <row r="21" spans="1:21">
      <c r="A21" s="39" t="s">
        <v>137</v>
      </c>
      <c r="B21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Toulouse</v>
      </c>
      <c r="C21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21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1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1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1" s="34"/>
      <c r="H21" s="49"/>
      <c r="I21" s="50">
        <f ca="1">(paris[[#This Row],[Issue match]]="Victoire")*4 + (paris[[#This Row],[Issue match]]="Nul")*2 + paris[[#This Row],[Bonus off]] + paris[[#This Row],[Bonus déf]]</f>
        <v>0</v>
      </c>
      <c r="K21" s="10" t="s">
        <v>9</v>
      </c>
      <c r="L21" s="18"/>
      <c r="M21" s="18"/>
      <c r="N21" s="13"/>
      <c r="O21" s="1"/>
      <c r="P21" s="1" t="s">
        <v>49</v>
      </c>
      <c r="Q21" s="12" t="s">
        <v>43</v>
      </c>
      <c r="R21" s="1"/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Castres</v>
      </c>
      <c r="C22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22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2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2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2" s="34"/>
      <c r="H22" s="49"/>
      <c r="I22" s="50">
        <f ca="1">(paris[[#This Row],[Issue match]]="Victoire")*4 + (paris[[#This Row],[Issue match]]="Nul")*2 + paris[[#This Row],[Bonus off]] + paris[[#This Row],[Bonus déf]]</f>
        <v>0</v>
      </c>
      <c r="K22" s="10" t="s">
        <v>10</v>
      </c>
      <c r="L22" s="13"/>
      <c r="M22" s="13"/>
      <c r="N22" s="13"/>
      <c r="O22" s="1"/>
      <c r="P22" s="1" t="s">
        <v>49</v>
      </c>
      <c r="Q22" s="12" t="s">
        <v>40</v>
      </c>
      <c r="R22" s="1"/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Bordeaux</v>
      </c>
      <c r="C23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23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3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3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3" s="34"/>
      <c r="H23" s="49"/>
      <c r="I23" s="50">
        <f ca="1">(paris[[#This Row],[Issue match]]="Victoire")*4 + (paris[[#This Row],[Issue match]]="Nul")*2 + paris[[#This Row],[Bonus off]] + paris[[#This Row],[Bonus déf]]</f>
        <v>0</v>
      </c>
      <c r="K23" s="10" t="s">
        <v>9</v>
      </c>
      <c r="L23" s="18"/>
      <c r="M23" s="18"/>
      <c r="N23" s="13"/>
      <c r="O23" s="1"/>
      <c r="P23" s="1" t="s">
        <v>49</v>
      </c>
      <c r="Q23" s="12" t="s">
        <v>44</v>
      </c>
      <c r="R23" s="1"/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La Rochelle</v>
      </c>
      <c r="C24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24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4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4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4" s="34"/>
      <c r="H24" s="49"/>
      <c r="I24" s="50">
        <f ca="1">(paris[[#This Row],[Issue match]]="Victoire")*4 + (paris[[#This Row],[Issue match]]="Nul")*2 + paris[[#This Row],[Bonus off]] + paris[[#This Row],[Bonus déf]]</f>
        <v>0</v>
      </c>
      <c r="K24" s="1"/>
      <c r="L24" s="1"/>
      <c r="M24" s="1"/>
      <c r="N24" s="1"/>
      <c r="O24" s="1"/>
      <c r="P24" s="1" t="s">
        <v>49</v>
      </c>
      <c r="Q24" s="12" t="s">
        <v>45</v>
      </c>
      <c r="R24" s="1"/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Agen</v>
      </c>
      <c r="C25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25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5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5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5" s="34"/>
      <c r="H25" s="49"/>
      <c r="I25" s="50">
        <f ca="1">(paris[[#This Row],[Issue match]]="Victoire")*4 + (paris[[#This Row],[Issue match]]="Nul")*2 + paris[[#This Row],[Bonus off]] + paris[[#This Row],[Bonus déf]]</f>
        <v>0</v>
      </c>
      <c r="K25" s="10" t="s">
        <v>6</v>
      </c>
      <c r="L25" s="69"/>
      <c r="M25" s="70"/>
      <c r="N25" s="71"/>
      <c r="O25" s="1"/>
      <c r="P25" s="1" t="s">
        <v>49</v>
      </c>
      <c r="Q25" s="12" t="s">
        <v>46</v>
      </c>
      <c r="R25" s="1"/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Toulon</v>
      </c>
      <c r="C26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26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6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6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6" s="34"/>
      <c r="H26" s="49"/>
      <c r="I26" s="50">
        <f ca="1">(paris[[#This Row],[Issue match]]="Victoire")*4 + (paris[[#This Row],[Issue match]]="Nul")*2 + paris[[#This Row],[Bonus off]] + paris[[#This Row],[Bonus déf]]</f>
        <v>0</v>
      </c>
      <c r="K26" s="10" t="s">
        <v>7</v>
      </c>
      <c r="L26" s="13"/>
      <c r="M26" s="72"/>
      <c r="N26" s="72"/>
      <c r="O26" s="1"/>
      <c r="P26" s="1" t="s">
        <v>49</v>
      </c>
      <c r="Q26" s="12" t="s">
        <v>47</v>
      </c>
      <c r="R26" s="1"/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Clermont</v>
      </c>
      <c r="C27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27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7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7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7" s="34"/>
      <c r="H27" s="49"/>
      <c r="I27" s="50">
        <f ca="1">(paris[[#This Row],[Issue match]]="Victoire")*4 + (paris[[#This Row],[Issue match]]="Nul")*2 + paris[[#This Row],[Bonus off]] + paris[[#This Row],[Bonus déf]]</f>
        <v>0</v>
      </c>
      <c r="K27" s="10" t="s">
        <v>9</v>
      </c>
      <c r="L27" s="18"/>
      <c r="M27" s="18"/>
      <c r="N27" s="13"/>
      <c r="O27" s="1"/>
      <c r="P27" s="1" t="s">
        <v>49</v>
      </c>
      <c r="Q27" s="12" t="s">
        <v>48</v>
      </c>
      <c r="R27" s="1"/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Racing 92</v>
      </c>
      <c r="C28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28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8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8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8" s="34"/>
      <c r="H28" s="49"/>
      <c r="I28" s="50">
        <f ca="1">(paris[[#This Row],[Issue match]]="Victoire")*4 + (paris[[#This Row],[Issue match]]="Nul")*2 + paris[[#This Row],[Bonus off]] + paris[[#This Row],[Bonus déf]]</f>
        <v>0</v>
      </c>
      <c r="K28" s="10" t="s">
        <v>8</v>
      </c>
      <c r="L28" s="72"/>
      <c r="M28" s="72"/>
      <c r="N28" s="13"/>
      <c r="O28" s="1"/>
      <c r="P28" s="1" t="s">
        <v>49</v>
      </c>
      <c r="Q28" s="12" t="s">
        <v>50</v>
      </c>
      <c r="R28" s="1"/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Pau</v>
      </c>
      <c r="C29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29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29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29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29" s="34"/>
      <c r="H29" s="49"/>
      <c r="I29" s="50">
        <f ca="1">(paris[[#This Row],[Issue match]]="Victoire")*4 + (paris[[#This Row],[Issue match]]="Nul")*2 + paris[[#This Row],[Bonus off]] + paris[[#This Row],[Bonus déf]]</f>
        <v>0</v>
      </c>
      <c r="K29" s="10" t="s">
        <v>9</v>
      </c>
      <c r="L29" s="18"/>
      <c r="M29" s="18"/>
      <c r="N29" s="13"/>
      <c r="O29" s="1"/>
      <c r="P29" s="1" t="s">
        <v>49</v>
      </c>
      <c r="Q29" s="12" t="s">
        <v>51</v>
      </c>
      <c r="R29" s="1"/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Brive</v>
      </c>
      <c r="C30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30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30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30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30" s="34"/>
      <c r="H30" s="49"/>
      <c r="I30" s="50">
        <f ca="1">(paris[[#This Row],[Issue match]]="Victoire")*4 + (paris[[#This Row],[Issue match]]="Nul")*2 + paris[[#This Row],[Bonus off]] + paris[[#This Row],[Bonus déf]]</f>
        <v>0</v>
      </c>
      <c r="K30" s="10" t="s">
        <v>10</v>
      </c>
      <c r="L30" s="13"/>
      <c r="M30" s="13"/>
      <c r="N30" s="13"/>
      <c r="O30" s="1"/>
      <c r="P30" s="1" t="s">
        <v>49</v>
      </c>
      <c r="Q30" s="12" t="s">
        <v>52</v>
      </c>
      <c r="R30" s="1"/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Montpellier</v>
      </c>
      <c r="C31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31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31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31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31" s="34"/>
      <c r="H31" s="49"/>
      <c r="I31" s="50">
        <f ca="1">(paris[[#This Row],[Issue match]]="Victoire")*4 + (paris[[#This Row],[Issue match]]="Nul")*2 + paris[[#This Row],[Bonus off]] + paris[[#This Row],[Bonus déf]]</f>
        <v>0</v>
      </c>
      <c r="K31" s="10" t="s">
        <v>9</v>
      </c>
      <c r="L31" s="18"/>
      <c r="M31" s="18"/>
      <c r="N31" s="13"/>
      <c r="O31" s="1"/>
      <c r="P31" s="1" t="s">
        <v>49</v>
      </c>
      <c r="Q31" s="12" t="s">
        <v>53</v>
      </c>
      <c r="R31" s="1"/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Lyon</v>
      </c>
      <c r="C32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Domicile</v>
      </c>
      <c r="D32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32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32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32" s="34"/>
      <c r="H32" s="49"/>
      <c r="I32" s="50">
        <f ca="1">(paris[[#This Row],[Issue match]]="Victoire")*4 + (paris[[#This Row],[Issue match]]="Nul")*2 + paris[[#This Row],[Bonus off]] + paris[[#This Row],[Bonus déf]]</f>
        <v>0</v>
      </c>
      <c r="J32" s="1"/>
      <c r="K32" s="1"/>
      <c r="L32" s="1"/>
      <c r="M32" s="1"/>
    </row>
    <row r="33" spans="1:13">
      <c r="A33" s="39" t="s">
        <v>149</v>
      </c>
      <c r="B33" s="37" t="str">
        <f ca="1">CONCATENATE(
IFERROR( INDEX(INDIRECT("resultat!C"&amp;PRODUCT(7,MATCH(paris[[#This Row],[journée]],paris[journée],0)-1)+2&amp;":C"&amp;PRODUCT(7,MATCH(paris[[#This Row],[journée]],paris[journée],0))+1),
IFERROR(MATCH($A$1, INDIRECT("resultat!f"&amp;PRODUCT(7,MATCH(paris[[#This Row],[journée]],paris[journée],0)-1)+2&amp;":f"&amp;PRODUCT(7,MATCH(paris[[#This Row],[journée]],paris[journée],0))+1),0 ),""),0),""),
IFERROR( INDEX(INDIRECT("resultat!f"&amp;PRODUCT(7,MATCH(paris[[#This Row],[journée]],paris[journée],0)-1)+2&amp;":f"&amp;PRODUCT(7,MATCH(paris[[#This Row],[journée]],paris[journée],0))+1),
IFERROR(MATCH($A$1, INDIRECT("resultat!c"&amp;PRODUCT(7,MATCH(paris[[#This Row],[journée]],paris[journée],0)-1)+2&amp;":c"&amp;PRODUCT(7,MATCH(paris[[#This Row],[journée]],paris[journée],0))+1),0 ),""),0),"") )</f>
        <v>Bayonne</v>
      </c>
      <c r="C33" s="38" t="str">
        <f ca="1">IF(AND(ISNA(MATCH($A$1,INDIRECT("resultat!f"&amp;PRODUCT(7,MATCH(paris[[#This Row],[journée]],paris[journée],0)-1)+2&amp;":f"&amp;PRODUCT(7,MATCH(paris[[#This Row],[journée]],paris[journée],0))+1),0)),
ISNA(MATCH($A$1,INDIRECT("resultat!c"&amp;PRODUCT(7,MATCH(paris[[#This Row],[journée]],paris[journée],0)-1)+2&amp;":c"&amp;PRODUCT(7,MATCH(paris[[#This Row],[journée]],paris[journée],0))+1),0))),"",IF(ISNA(MATCH($A$1,INDIRECT("resultat!f"&amp;PRODUCT(7,MATCH(paris[[#This Row],[journée]],paris[journée],0)-1)+2&amp;":f"&amp;PRODUCT(7,MATCH(paris[[#This Row],[journée]],paris[journée],0))+1),0)),
"Domicile","Extérieur"))</f>
        <v>Extérieur</v>
      </c>
      <c r="D33" s="52" t="str">
        <f ca="1">IFERROR(  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$A$1, "Victoire",
IF( INDEX(INDIRECT("resultat!h"&amp;PRODUCT(7,MATCH(paris[[#This Row],[journée]],paris[journée],0)-1)+2&amp;":h"&amp;PRODUCT(7,MATCH(paris[[#This Row],[journée]],paris[journée],0))+1),
CONCATENATE(
IFERROR(MATCH( $A$1, INDIRECT("resultat!C"&amp;PRODUCT(7,MATCH(paris[[#This Row],[journée]],paris[journée],0)-1)+2&amp;":C"&amp;PRODUCT(7,MATCH(paris[[#This Row],[journée]],paris[journée],0))+1),0),""),
IFERROR(MATCH($A$1, INDIRECT("resultat!f"&amp;PRODUCT(7,MATCH(paris[[#This Row],[journée]],paris[journée],0)-1)+2&amp;":f"&amp;PRODUCT(7,MATCH(paris[[#This Row],[journée]],paris[journée],0))+1),0 ),"")),0) = "Nul", "Nul", "Défaite" )), "")</f>
        <v>Défaite</v>
      </c>
      <c r="E33" s="45">
        <f ca="1">SUMIFS(resultat[Score D],resultat[Journée],paris[[#This Row],[journée]],resultat[Domicile],paris[[#This Row],[adversaire]]) + SUMIFS(resultat[Score D],resultat[Journée],paris[[#This Row],[journée]],resultat[Exterieur],paris[[#This Row],[adversaire]])</f>
        <v>0</v>
      </c>
      <c r="F33" s="46">
        <f ca="1">SUMIFS(resultat[Score E],resultat[Journée],paris[[#This Row],[journée]],resultat[Domicile],paris[[#This Row],[adversaire]])  + SUMIFS(resultat[Score E],resultat[Journée],paris[[#This Row],[journée]],resultat[Exterieur],paris[[#This Row],[adversaire]])</f>
        <v>0</v>
      </c>
      <c r="G33" s="34"/>
      <c r="H33" s="49"/>
      <c r="I33" s="50">
        <f ca="1">(paris[[#This Row],[Issue match]]="Victoire")*4 + (paris[[#This Row],[Issue match]]="Nul")*2 + paris[[#This Row],[Bonus off]] + paris[[#This Row],[Bonus déf]]</f>
        <v>0</v>
      </c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13">
      <c r="A36" s="74" t="s">
        <v>30</v>
      </c>
      <c r="B36" s="74" t="s">
        <v>14</v>
      </c>
      <c r="C36" s="48">
        <v>23</v>
      </c>
      <c r="D36" s="48">
        <v>8</v>
      </c>
      <c r="E36" s="48">
        <v>6</v>
      </c>
      <c r="F36" s="19">
        <f t="shared" ref="F36:F48" si="1">(D36+E36)/C36</f>
        <v>0.60869565217391308</v>
      </c>
      <c r="G36" s="48">
        <v>2</v>
      </c>
      <c r="H36" s="48">
        <v>6</v>
      </c>
      <c r="I36" s="19">
        <f t="shared" ref="I36:I48" si="2">(G36+H36)/C36</f>
        <v>0.34782608695652173</v>
      </c>
      <c r="J36" s="48">
        <v>1</v>
      </c>
      <c r="K36" s="21">
        <f t="shared" ref="K36:K48" si="3">100%-(F36+I36)</f>
        <v>4.3478260869565188E-2</v>
      </c>
      <c r="L36" s="22">
        <f t="shared" ref="L36:L48" si="4">SUM(F36+I36+K36)</f>
        <v>1</v>
      </c>
      <c r="M36" s="1"/>
    </row>
    <row r="37" spans="1:13">
      <c r="A37" s="74" t="s">
        <v>30</v>
      </c>
      <c r="B37" s="74" t="s">
        <v>23</v>
      </c>
      <c r="C37" s="48">
        <v>26</v>
      </c>
      <c r="D37" s="48">
        <v>12</v>
      </c>
      <c r="E37" s="48">
        <v>3</v>
      </c>
      <c r="F37" s="19">
        <f t="shared" si="1"/>
        <v>0.57692307692307687</v>
      </c>
      <c r="G37" s="48">
        <v>1</v>
      </c>
      <c r="H37" s="48">
        <v>10</v>
      </c>
      <c r="I37" s="19">
        <f t="shared" si="2"/>
        <v>0.42307692307692307</v>
      </c>
      <c r="J37" s="48"/>
      <c r="K37" s="21">
        <f t="shared" si="3"/>
        <v>0</v>
      </c>
      <c r="L37" s="22">
        <f t="shared" si="4"/>
        <v>1</v>
      </c>
    </row>
    <row r="38" spans="1:13">
      <c r="A38" s="74" t="s">
        <v>30</v>
      </c>
      <c r="B38" s="74" t="s">
        <v>24</v>
      </c>
      <c r="C38" s="48">
        <v>19</v>
      </c>
      <c r="D38" s="48">
        <v>8</v>
      </c>
      <c r="E38" s="48">
        <v>1</v>
      </c>
      <c r="F38" s="19">
        <f t="shared" si="1"/>
        <v>0.47368421052631576</v>
      </c>
      <c r="G38" s="48">
        <v>1</v>
      </c>
      <c r="H38" s="48">
        <v>9</v>
      </c>
      <c r="I38" s="19">
        <f t="shared" si="2"/>
        <v>0.52631578947368418</v>
      </c>
      <c r="J38" s="48"/>
      <c r="K38" s="21">
        <f t="shared" si="3"/>
        <v>0</v>
      </c>
      <c r="L38" s="22">
        <f t="shared" si="4"/>
        <v>1</v>
      </c>
    </row>
    <row r="39" spans="1:13">
      <c r="A39" s="74" t="s">
        <v>30</v>
      </c>
      <c r="B39" s="74" t="s">
        <v>25</v>
      </c>
      <c r="C39" s="48">
        <v>30</v>
      </c>
      <c r="D39" s="48">
        <v>12</v>
      </c>
      <c r="E39" s="48">
        <v>3</v>
      </c>
      <c r="F39" s="19">
        <f t="shared" si="1"/>
        <v>0.5</v>
      </c>
      <c r="G39" s="48">
        <v>2</v>
      </c>
      <c r="H39" s="48">
        <v>13</v>
      </c>
      <c r="I39" s="19">
        <f t="shared" si="2"/>
        <v>0.5</v>
      </c>
      <c r="J39" s="48"/>
      <c r="K39" s="21">
        <f t="shared" si="3"/>
        <v>0</v>
      </c>
      <c r="L39" s="22">
        <f t="shared" si="4"/>
        <v>1</v>
      </c>
    </row>
    <row r="40" spans="1:13">
      <c r="A40" s="74" t="s">
        <v>30</v>
      </c>
      <c r="B40" s="74" t="s">
        <v>37</v>
      </c>
      <c r="C40" s="48">
        <v>36</v>
      </c>
      <c r="D40" s="48">
        <v>16</v>
      </c>
      <c r="E40" s="48">
        <v>8</v>
      </c>
      <c r="F40" s="19">
        <f t="shared" si="1"/>
        <v>0.66666666666666663</v>
      </c>
      <c r="G40" s="48">
        <v>0</v>
      </c>
      <c r="H40" s="48">
        <v>10</v>
      </c>
      <c r="I40" s="19">
        <f t="shared" si="2"/>
        <v>0.27777777777777779</v>
      </c>
      <c r="J40" s="48">
        <v>2</v>
      </c>
      <c r="K40" s="21">
        <f t="shared" si="3"/>
        <v>5.555555555555558E-2</v>
      </c>
      <c r="L40" s="22">
        <f t="shared" si="4"/>
        <v>1</v>
      </c>
    </row>
    <row r="41" spans="1:13">
      <c r="A41" s="74" t="s">
        <v>30</v>
      </c>
      <c r="B41" s="74" t="s">
        <v>26</v>
      </c>
      <c r="C41" s="48">
        <v>39</v>
      </c>
      <c r="D41" s="48">
        <v>14</v>
      </c>
      <c r="E41" s="48">
        <v>1</v>
      </c>
      <c r="F41" s="19">
        <f t="shared" si="1"/>
        <v>0.38461538461538464</v>
      </c>
      <c r="G41" s="48">
        <v>5</v>
      </c>
      <c r="H41" s="48">
        <v>17</v>
      </c>
      <c r="I41" s="19">
        <f t="shared" si="2"/>
        <v>0.5641025641025641</v>
      </c>
      <c r="J41" s="48">
        <v>2</v>
      </c>
      <c r="K41" s="21">
        <f t="shared" si="3"/>
        <v>5.1282051282051322E-2</v>
      </c>
      <c r="L41" s="22">
        <f t="shared" si="4"/>
        <v>1</v>
      </c>
    </row>
    <row r="42" spans="1:13">
      <c r="A42" s="74" t="s">
        <v>30</v>
      </c>
      <c r="B42" s="74" t="s">
        <v>27</v>
      </c>
      <c r="C42" s="48">
        <v>16</v>
      </c>
      <c r="D42" s="48">
        <v>7</v>
      </c>
      <c r="E42" s="48">
        <v>2</v>
      </c>
      <c r="F42" s="19">
        <f t="shared" si="1"/>
        <v>0.5625</v>
      </c>
      <c r="G42" s="48">
        <v>1</v>
      </c>
      <c r="H42" s="48">
        <v>4</v>
      </c>
      <c r="I42" s="19">
        <f t="shared" si="2"/>
        <v>0.3125</v>
      </c>
      <c r="J42" s="48">
        <v>2</v>
      </c>
      <c r="K42" s="21">
        <f t="shared" si="3"/>
        <v>0.125</v>
      </c>
      <c r="L42" s="22">
        <f t="shared" si="4"/>
        <v>1</v>
      </c>
    </row>
    <row r="43" spans="1:13">
      <c r="A43" s="74" t="s">
        <v>30</v>
      </c>
      <c r="B43" s="74" t="s">
        <v>28</v>
      </c>
      <c r="C43" s="48">
        <v>11</v>
      </c>
      <c r="D43" s="48">
        <v>3</v>
      </c>
      <c r="E43" s="48">
        <v>0</v>
      </c>
      <c r="F43" s="19">
        <f t="shared" si="1"/>
        <v>0.27272727272727271</v>
      </c>
      <c r="G43" s="48">
        <v>2</v>
      </c>
      <c r="H43" s="48">
        <v>6</v>
      </c>
      <c r="I43" s="19">
        <f t="shared" si="2"/>
        <v>0.72727272727272729</v>
      </c>
      <c r="J43" s="48"/>
      <c r="K43" s="21">
        <f t="shared" si="3"/>
        <v>0</v>
      </c>
      <c r="L43" s="22">
        <f t="shared" si="4"/>
        <v>1</v>
      </c>
    </row>
    <row r="44" spans="1:13">
      <c r="A44" s="74" t="s">
        <v>30</v>
      </c>
      <c r="B44" s="74" t="s">
        <v>29</v>
      </c>
      <c r="C44" s="48">
        <v>32</v>
      </c>
      <c r="D44" s="48">
        <v>14</v>
      </c>
      <c r="E44" s="48">
        <v>2</v>
      </c>
      <c r="F44" s="19">
        <f t="shared" si="1"/>
        <v>0.5</v>
      </c>
      <c r="G44" s="48">
        <v>1</v>
      </c>
      <c r="H44" s="48">
        <v>13</v>
      </c>
      <c r="I44" s="19">
        <f t="shared" si="2"/>
        <v>0.4375</v>
      </c>
      <c r="J44" s="48">
        <v>2</v>
      </c>
      <c r="K44" s="21">
        <f t="shared" si="3"/>
        <v>6.25E-2</v>
      </c>
      <c r="L44" s="22">
        <f t="shared" si="4"/>
        <v>1</v>
      </c>
    </row>
    <row r="45" spans="1:13">
      <c r="A45" s="74" t="s">
        <v>30</v>
      </c>
      <c r="B45" s="74" t="s">
        <v>31</v>
      </c>
      <c r="C45" s="48">
        <v>18</v>
      </c>
      <c r="D45" s="48">
        <v>8</v>
      </c>
      <c r="E45" s="48">
        <v>4</v>
      </c>
      <c r="F45" s="19">
        <f t="shared" si="1"/>
        <v>0.66666666666666663</v>
      </c>
      <c r="G45" s="48">
        <v>1</v>
      </c>
      <c r="H45" s="48">
        <v>5</v>
      </c>
      <c r="I45" s="19">
        <f t="shared" si="2"/>
        <v>0.33333333333333331</v>
      </c>
      <c r="J45" s="48"/>
      <c r="K45" s="21">
        <f t="shared" si="3"/>
        <v>0</v>
      </c>
      <c r="L45" s="22">
        <f t="shared" si="4"/>
        <v>1</v>
      </c>
    </row>
    <row r="46" spans="1:13">
      <c r="A46" s="74" t="s">
        <v>30</v>
      </c>
      <c r="B46" s="74" t="s">
        <v>32</v>
      </c>
      <c r="C46" s="48">
        <v>22</v>
      </c>
      <c r="D46" s="48">
        <v>7</v>
      </c>
      <c r="E46" s="48">
        <v>2</v>
      </c>
      <c r="F46" s="19">
        <f t="shared" si="1"/>
        <v>0.40909090909090912</v>
      </c>
      <c r="G46" s="48">
        <v>5</v>
      </c>
      <c r="H46" s="48">
        <v>8</v>
      </c>
      <c r="I46" s="19">
        <f t="shared" si="2"/>
        <v>0.59090909090909094</v>
      </c>
      <c r="J46" s="48"/>
      <c r="K46" s="21">
        <f t="shared" si="3"/>
        <v>0</v>
      </c>
      <c r="L46" s="22">
        <f t="shared" si="4"/>
        <v>1</v>
      </c>
    </row>
    <row r="47" spans="1:13">
      <c r="A47" s="74" t="s">
        <v>30</v>
      </c>
      <c r="B47" s="74" t="s">
        <v>15</v>
      </c>
      <c r="C47" s="28">
        <v>28</v>
      </c>
      <c r="D47" s="28">
        <v>8</v>
      </c>
      <c r="E47" s="28">
        <v>4</v>
      </c>
      <c r="F47" s="19">
        <f t="shared" si="1"/>
        <v>0.42857142857142855</v>
      </c>
      <c r="G47" s="28">
        <v>4</v>
      </c>
      <c r="H47" s="28">
        <v>11</v>
      </c>
      <c r="I47" s="19">
        <f t="shared" si="2"/>
        <v>0.5357142857142857</v>
      </c>
      <c r="J47" s="28">
        <v>2</v>
      </c>
      <c r="K47" s="21">
        <f t="shared" si="3"/>
        <v>3.5714285714285809E-2</v>
      </c>
      <c r="L47" s="22">
        <f t="shared" si="4"/>
        <v>1</v>
      </c>
    </row>
    <row r="48" spans="1:13">
      <c r="A48" s="74" t="s">
        <v>30</v>
      </c>
      <c r="B48" s="74" t="s">
        <v>33</v>
      </c>
      <c r="C48" s="28">
        <v>39</v>
      </c>
      <c r="D48" s="28">
        <v>11</v>
      </c>
      <c r="E48" s="28">
        <v>1</v>
      </c>
      <c r="F48" s="19">
        <f t="shared" si="1"/>
        <v>0.30769230769230771</v>
      </c>
      <c r="G48" s="28">
        <v>9</v>
      </c>
      <c r="H48" s="28">
        <v>16</v>
      </c>
      <c r="I48" s="19">
        <f t="shared" si="2"/>
        <v>0.64102564102564108</v>
      </c>
      <c r="J48" s="28">
        <v>2</v>
      </c>
      <c r="K48" s="21">
        <f t="shared" si="3"/>
        <v>5.1282051282051211E-2</v>
      </c>
      <c r="L48" s="22">
        <f t="shared" si="4"/>
        <v>1</v>
      </c>
    </row>
    <row r="50" spans="1:12">
      <c r="A50" s="92" t="s">
        <v>166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30</v>
      </c>
      <c r="B52" s="91" t="s">
        <v>14</v>
      </c>
      <c r="C52" s="83">
        <f ca="1">COUNTIFS(paris[adversaire],B52)</f>
        <v>2</v>
      </c>
      <c r="D52" s="84">
        <f ca="1">COUNTIFS(paris[adversaire],B52,paris[Lieu Match],"domicile",paris[Issue match],"victoire")</f>
        <v>0</v>
      </c>
      <c r="E52" s="84">
        <f ca="1">COUNTIFS(paris[adversaire],B52,paris[Lieu Match],"Extérieur",paris[Issue match],"victoire")</f>
        <v>1</v>
      </c>
      <c r="F52" s="82">
        <f t="shared" ref="F52:F64" ca="1" si="5">(D52+E52)/C52</f>
        <v>0.5</v>
      </c>
      <c r="G52" s="78">
        <f ca="1">COUNTIFS(paris[adversaire],B52,paris[Lieu Match],"domicile",paris[Issue match],"défaite")</f>
        <v>1</v>
      </c>
      <c r="H52" s="80">
        <f ca="1">COUNTIFS(paris[adversaire],B52,paris[Lieu Match],"Extérieur",paris[Issue match],"défaite")</f>
        <v>0</v>
      </c>
      <c r="I52" s="79">
        <f t="shared" ref="I52:I64" ca="1" si="6">(G52+H52)/C52</f>
        <v>0.5</v>
      </c>
      <c r="J52" s="85">
        <f ca="1">COUNTIFS(paris[adversaire],B52,paris[Lieu Match],"Domicile",paris[Issue match],"Nul")+COUNTIFS(paris[adversaire],B52,paris[Lieu Match],"Extérieur",paris[Issue match],"Nul")</f>
        <v>0</v>
      </c>
      <c r="K52" s="81">
        <f t="shared" ref="K52:K64" ca="1" si="7">100%-(F52+I52)</f>
        <v>0</v>
      </c>
      <c r="L52" s="89">
        <f t="shared" ref="L52:L64" ca="1" si="8">SUM(F52+I52+K52)</f>
        <v>1</v>
      </c>
    </row>
    <row r="53" spans="1:12">
      <c r="A53" s="90" t="s">
        <v>30</v>
      </c>
      <c r="B53" s="91" t="s">
        <v>23</v>
      </c>
      <c r="C53" s="83">
        <f ca="1">COUNTIFS(agen[adversaire],B53)</f>
        <v>2</v>
      </c>
      <c r="D53" s="84">
        <f ca="1">COUNTIFS(agen[adversaire],B53,agen[Lieu Match],"domicile",agen[Issue match],"victoire")</f>
        <v>0</v>
      </c>
      <c r="E53" s="84">
        <f ca="1">COUNTIFS(agen[adversaire],B53,agen[Lieu Match],"Extérieur",agen[Issue match],"victoire")</f>
        <v>0</v>
      </c>
      <c r="F53" s="82">
        <f t="shared" ca="1" si="5"/>
        <v>0</v>
      </c>
      <c r="G53" s="78">
        <f ca="1">COUNTIFS(agen[adversaire],B53,agen[Lieu Match],"domicile",agen[Issue match],"défaite")</f>
        <v>1</v>
      </c>
      <c r="H53" s="80">
        <f ca="1">COUNTIFS(agen[adversaire],B53,agen[Lieu Match],"Extérieur",agen[Issue match],"défaite")</f>
        <v>1</v>
      </c>
      <c r="I53" s="79">
        <f t="shared" ca="1" si="6"/>
        <v>1</v>
      </c>
      <c r="J53" s="85">
        <f ca="1">COUNTIFS(agen[adversaire],B53,agen[Lieu Match],"Domicile",agen[Issue match],"Nul")+COUNTIFS(agen[adversaire],B53,agen[Lieu Match],"Extérieur",agen[Issue match],"Nul")</f>
        <v>0</v>
      </c>
      <c r="K53" s="81">
        <f t="shared" ca="1" si="7"/>
        <v>0</v>
      </c>
      <c r="L53" s="89">
        <f t="shared" ca="1" si="8"/>
        <v>1</v>
      </c>
    </row>
    <row r="54" spans="1:12">
      <c r="A54" s="90" t="s">
        <v>30</v>
      </c>
      <c r="B54" s="91" t="s">
        <v>24</v>
      </c>
      <c r="C54" s="83">
        <f ca="1">COUNTIFS(agen[adversaire],B54)</f>
        <v>2</v>
      </c>
      <c r="D54" s="84">
        <f ca="1">COUNTIFS(agen[adversaire],B54,agen[Lieu Match],"domicile",agen[Issue match],"victoire")</f>
        <v>0</v>
      </c>
      <c r="E54" s="84">
        <f ca="1">COUNTIFS(agen[adversaire],B54,agen[Lieu Match],"Extérieur",agen[Issue match],"victoire")</f>
        <v>0</v>
      </c>
      <c r="F54" s="82">
        <f t="shared" ca="1" si="5"/>
        <v>0</v>
      </c>
      <c r="G54" s="78">
        <f ca="1">COUNTIFS(agen[adversaire],B54,agen[Lieu Match],"domicile",agen[Issue match],"défaite")</f>
        <v>1</v>
      </c>
      <c r="H54" s="80">
        <f ca="1">COUNTIFS(agen[adversaire],B54,agen[Lieu Match],"Extérieur",agen[Issue match],"défaite")</f>
        <v>1</v>
      </c>
      <c r="I54" s="79">
        <f t="shared" ca="1" si="6"/>
        <v>1</v>
      </c>
      <c r="J54" s="85">
        <f ca="1">COUNTIFS(agen[adversaire],B54,agen[Lieu Match],"Domicile",agen[Issue match],"Nul")+COUNTIFS(agen[adversaire],B54,agen[Lieu Match],"Extérieur",agen[Issue match],"Nul")</f>
        <v>0</v>
      </c>
      <c r="K54" s="81">
        <f t="shared" ca="1" si="7"/>
        <v>0</v>
      </c>
      <c r="L54" s="89">
        <f t="shared" ca="1" si="8"/>
        <v>1</v>
      </c>
    </row>
    <row r="55" spans="1:12">
      <c r="A55" s="90" t="s">
        <v>30</v>
      </c>
      <c r="B55" s="91" t="s">
        <v>25</v>
      </c>
      <c r="C55" s="83">
        <f ca="1">COUNTIFS(agen[adversaire],B55)</f>
        <v>2</v>
      </c>
      <c r="D55" s="84">
        <f ca="1">COUNTIFS(agen[adversaire],B55,agen[Lieu Match],"domicile",agen[Issue match],"victoire")</f>
        <v>0</v>
      </c>
      <c r="E55" s="84">
        <f ca="1">COUNTIFS(agen[adversaire],B55,agen[Lieu Match],"Extérieur",agen[Issue match],"victoire")</f>
        <v>0</v>
      </c>
      <c r="F55" s="82">
        <f t="shared" ca="1" si="5"/>
        <v>0</v>
      </c>
      <c r="G55" s="78">
        <f ca="1">COUNTIFS(agen[adversaire],B55,agen[Lieu Match],"domicile",agen[Issue match],"défaite")</f>
        <v>1</v>
      </c>
      <c r="H55" s="80">
        <f ca="1">COUNTIFS(agen[adversaire],B55,agen[Lieu Match],"Extérieur",agen[Issue match],"défaite")</f>
        <v>1</v>
      </c>
      <c r="I55" s="79">
        <f t="shared" ca="1" si="6"/>
        <v>1</v>
      </c>
      <c r="J55" s="85">
        <f ca="1">COUNTIFS(agen[adversaire],B55,agen[Lieu Match],"Domicile",agen[Issue match],"Nul")+COUNTIFS(agen[adversaire],B55,agen[Lieu Match],"Extérieur",agen[Issue match],"Nul")</f>
        <v>0</v>
      </c>
      <c r="K55" s="81">
        <f t="shared" ca="1" si="7"/>
        <v>0</v>
      </c>
      <c r="L55" s="89">
        <f t="shared" ca="1" si="8"/>
        <v>1</v>
      </c>
    </row>
    <row r="56" spans="1:12">
      <c r="A56" s="90" t="s">
        <v>30</v>
      </c>
      <c r="B56" s="91" t="s">
        <v>37</v>
      </c>
      <c r="C56" s="83">
        <f ca="1">COUNTIFS(agen[adversaire],B56)</f>
        <v>2</v>
      </c>
      <c r="D56" s="84">
        <f ca="1">COUNTIFS(agen[adversaire],B56,agen[Lieu Match],"domicile",agen[Issue match],"victoire")</f>
        <v>0</v>
      </c>
      <c r="E56" s="84">
        <f ca="1">COUNTIFS(agen[adversaire],B56,agen[Lieu Match],"Extérieur",agen[Issue match],"victoire")</f>
        <v>0</v>
      </c>
      <c r="F56" s="82">
        <f t="shared" ca="1" si="5"/>
        <v>0</v>
      </c>
      <c r="G56" s="78">
        <f ca="1">COUNTIFS(agen[adversaire],B56,agen[Lieu Match],"domicile",agen[Issue match],"défaite")</f>
        <v>1</v>
      </c>
      <c r="H56" s="80">
        <f ca="1">COUNTIFS(agen[adversaire],B56,agen[Lieu Match],"Extérieur",agen[Issue match],"défaite")</f>
        <v>1</v>
      </c>
      <c r="I56" s="79">
        <f t="shared" ca="1" si="6"/>
        <v>1</v>
      </c>
      <c r="J56" s="85">
        <f ca="1">COUNTIFS(agen[adversaire],B56,agen[Lieu Match],"Domicile",agen[Issue match],"Nul")+COUNTIFS(agen[adversaire],B56,agen[Lieu Match],"Extérieur",agen[Issue match],"Nul")</f>
        <v>0</v>
      </c>
      <c r="K56" s="81">
        <f t="shared" ca="1" si="7"/>
        <v>0</v>
      </c>
      <c r="L56" s="89">
        <f t="shared" ca="1" si="8"/>
        <v>1</v>
      </c>
    </row>
    <row r="57" spans="1:12">
      <c r="A57" s="90" t="s">
        <v>30</v>
      </c>
      <c r="B57" s="91" t="s">
        <v>26</v>
      </c>
      <c r="C57" s="83">
        <f ca="1">COUNTIFS(agen[adversaire],B57)</f>
        <v>2</v>
      </c>
      <c r="D57" s="84">
        <f ca="1">COUNTIFS(agen[adversaire],B57,agen[Lieu Match],"domicile",agen[Issue match],"victoire")</f>
        <v>0</v>
      </c>
      <c r="E57" s="84">
        <f ca="1">COUNTIFS(agen[adversaire],B57,agen[Lieu Match],"Extérieur",agen[Issue match],"victoire")</f>
        <v>0</v>
      </c>
      <c r="F57" s="82">
        <f t="shared" ca="1" si="5"/>
        <v>0</v>
      </c>
      <c r="G57" s="78">
        <f ca="1">COUNTIFS(agen[adversaire],B57,agen[Lieu Match],"domicile",agen[Issue match],"défaite")</f>
        <v>1</v>
      </c>
      <c r="H57" s="80">
        <f ca="1">COUNTIFS(agen[adversaire],B57,agen[Lieu Match],"Extérieur",agen[Issue match],"défaite")</f>
        <v>1</v>
      </c>
      <c r="I57" s="79">
        <f t="shared" ca="1" si="6"/>
        <v>1</v>
      </c>
      <c r="J57" s="85">
        <f ca="1">COUNTIFS(agen[adversaire],B57,agen[Lieu Match],"Domicile",agen[Issue match],"Nul")+COUNTIFS(agen[adversaire],B57,agen[Lieu Match],"Extérieur",agen[Issue match],"Nul")</f>
        <v>0</v>
      </c>
      <c r="K57" s="81">
        <f t="shared" ca="1" si="7"/>
        <v>0</v>
      </c>
      <c r="L57" s="89">
        <f t="shared" ca="1" si="8"/>
        <v>1</v>
      </c>
    </row>
    <row r="58" spans="1:12">
      <c r="A58" s="90" t="s">
        <v>30</v>
      </c>
      <c r="B58" s="91" t="s">
        <v>27</v>
      </c>
      <c r="C58" s="83">
        <f ca="1">COUNTIFS(agen[adversaire],B58)</f>
        <v>2</v>
      </c>
      <c r="D58" s="84">
        <f ca="1">COUNTIFS(agen[adversaire],B58,agen[Lieu Match],"domicile",agen[Issue match],"victoire")</f>
        <v>0</v>
      </c>
      <c r="E58" s="84">
        <f ca="1">COUNTIFS(agen[adversaire],B58,agen[Lieu Match],"Extérieur",agen[Issue match],"victoire")</f>
        <v>0</v>
      </c>
      <c r="F58" s="82">
        <f t="shared" ca="1" si="5"/>
        <v>0</v>
      </c>
      <c r="G58" s="78">
        <f ca="1">COUNTIFS(agen[adversaire],B58,agen[Lieu Match],"domicile",agen[Issue match],"défaite")</f>
        <v>1</v>
      </c>
      <c r="H58" s="80">
        <f ca="1">COUNTIFS(agen[adversaire],B58,agen[Lieu Match],"Extérieur",agen[Issue match],"défaite")</f>
        <v>1</v>
      </c>
      <c r="I58" s="79">
        <f t="shared" ca="1" si="6"/>
        <v>1</v>
      </c>
      <c r="J58" s="85">
        <f ca="1">COUNTIFS(agen[adversaire],B58,agen[Lieu Match],"Domicile",agen[Issue match],"Nul")+COUNTIFS(agen[adversaire],B58,agen[Lieu Match],"Extérieur",agen[Issue match],"Nul")</f>
        <v>0</v>
      </c>
      <c r="K58" s="81">
        <f t="shared" ca="1" si="7"/>
        <v>0</v>
      </c>
      <c r="L58" s="89">
        <f t="shared" ca="1" si="8"/>
        <v>1</v>
      </c>
    </row>
    <row r="59" spans="1:12">
      <c r="A59" s="90" t="s">
        <v>30</v>
      </c>
      <c r="B59" s="91" t="s">
        <v>28</v>
      </c>
      <c r="C59" s="83">
        <f ca="1">COUNTIFS(agen[adversaire],B59)</f>
        <v>2</v>
      </c>
      <c r="D59" s="84">
        <f ca="1">COUNTIFS(agen[adversaire],B59,agen[Lieu Match],"domicile",agen[Issue match],"victoire")</f>
        <v>0</v>
      </c>
      <c r="E59" s="84">
        <f ca="1">COUNTIFS(agen[adversaire],B59,agen[Lieu Match],"Extérieur",agen[Issue match],"victoire")</f>
        <v>0</v>
      </c>
      <c r="F59" s="82">
        <f t="shared" ca="1" si="5"/>
        <v>0</v>
      </c>
      <c r="G59" s="78">
        <f ca="1">COUNTIFS(agen[adversaire],B59,agen[Lieu Match],"domicile",agen[Issue match],"défaite")</f>
        <v>1</v>
      </c>
      <c r="H59" s="80">
        <f ca="1">COUNTIFS(agen[adversaire],B59,agen[Lieu Match],"Extérieur",agen[Issue match],"défaite")</f>
        <v>1</v>
      </c>
      <c r="I59" s="79">
        <f t="shared" ca="1" si="6"/>
        <v>1</v>
      </c>
      <c r="J59" s="85">
        <f ca="1">COUNTIFS(agen[adversaire],B59,agen[Lieu Match],"Domicile",agen[Issue match],"Nul")+COUNTIFS(agen[adversaire],B59,agen[Lieu Match],"Extérieur",agen[Issue match],"Nul")</f>
        <v>0</v>
      </c>
      <c r="K59" s="81">
        <f t="shared" ca="1" si="7"/>
        <v>0</v>
      </c>
      <c r="L59" s="89">
        <f t="shared" ca="1" si="8"/>
        <v>1</v>
      </c>
    </row>
    <row r="60" spans="1:12">
      <c r="A60" s="90" t="s">
        <v>30</v>
      </c>
      <c r="B60" s="91" t="s">
        <v>29</v>
      </c>
      <c r="C60" s="83">
        <f ca="1">COUNTIFS(agen[adversaire],B60)</f>
        <v>2</v>
      </c>
      <c r="D60" s="84">
        <f ca="1">COUNTIFS(agen[adversaire],B60,agen[Lieu Match],"domicile",agen[Issue match],"victoire")</f>
        <v>0</v>
      </c>
      <c r="E60" s="84">
        <f ca="1">COUNTIFS(agen[adversaire],B60,agen[Lieu Match],"Extérieur",agen[Issue match],"victoire")</f>
        <v>0</v>
      </c>
      <c r="F60" s="82">
        <f t="shared" ca="1" si="5"/>
        <v>0</v>
      </c>
      <c r="G60" s="78">
        <f ca="1">COUNTIFS(agen[adversaire],B60,agen[Lieu Match],"domicile",agen[Issue match],"défaite")</f>
        <v>1</v>
      </c>
      <c r="H60" s="80">
        <f ca="1">COUNTIFS(agen[adversaire],B60,agen[Lieu Match],"Extérieur",agen[Issue match],"défaite")</f>
        <v>1</v>
      </c>
      <c r="I60" s="79">
        <f t="shared" ca="1" si="6"/>
        <v>1</v>
      </c>
      <c r="J60" s="85">
        <f ca="1">COUNTIFS(agen[adversaire],B60,agen[Lieu Match],"Domicile",agen[Issue match],"Nul")+COUNTIFS(agen[adversaire],B60,agen[Lieu Match],"Extérieur",agen[Issue match],"Nul")</f>
        <v>0</v>
      </c>
      <c r="K60" s="81">
        <f t="shared" ca="1" si="7"/>
        <v>0</v>
      </c>
      <c r="L60" s="89">
        <f t="shared" ca="1" si="8"/>
        <v>1</v>
      </c>
    </row>
    <row r="61" spans="1:12">
      <c r="A61" s="90" t="s">
        <v>30</v>
      </c>
      <c r="B61" s="91" t="s">
        <v>31</v>
      </c>
      <c r="C61" s="83">
        <f ca="1">COUNTIFS(agen[adversaire],B61)</f>
        <v>2</v>
      </c>
      <c r="D61" s="84">
        <f ca="1">COUNTIFS(agen[adversaire],B61,agen[Lieu Match],"domicile",agen[Issue match],"victoire")</f>
        <v>0</v>
      </c>
      <c r="E61" s="84">
        <f ca="1">COUNTIFS(agen[adversaire],B61,agen[Lieu Match],"Extérieur",agen[Issue match],"victoire")</f>
        <v>0</v>
      </c>
      <c r="F61" s="82">
        <f t="shared" ca="1" si="5"/>
        <v>0</v>
      </c>
      <c r="G61" s="78">
        <f ca="1">COUNTIFS(agen[adversaire],B61,agen[Lieu Match],"domicile",agen[Issue match],"défaite")</f>
        <v>1</v>
      </c>
      <c r="H61" s="80">
        <f ca="1">COUNTIFS(agen[adversaire],B61,agen[Lieu Match],"Extérieur",agen[Issue match],"défaite")</f>
        <v>1</v>
      </c>
      <c r="I61" s="79">
        <f t="shared" ca="1" si="6"/>
        <v>1</v>
      </c>
      <c r="J61" s="85">
        <f ca="1">COUNTIFS(agen[adversaire],B61,agen[Lieu Match],"Domicile",agen[Issue match],"Nul")+COUNTIFS(agen[adversaire],B61,agen[Lieu Match],"Extérieur",agen[Issue match],"Nul")</f>
        <v>0</v>
      </c>
      <c r="K61" s="81">
        <f t="shared" ca="1" si="7"/>
        <v>0</v>
      </c>
      <c r="L61" s="89">
        <f t="shared" ca="1" si="8"/>
        <v>1</v>
      </c>
    </row>
    <row r="62" spans="1:12">
      <c r="A62" s="90" t="s">
        <v>30</v>
      </c>
      <c r="B62" s="91" t="s">
        <v>32</v>
      </c>
      <c r="C62" s="83">
        <f ca="1">COUNTIFS(agen[adversaire],B62)</f>
        <v>2</v>
      </c>
      <c r="D62" s="84">
        <f ca="1">COUNTIFS(agen[adversaire],B62,agen[Lieu Match],"domicile",agen[Issue match],"victoire")</f>
        <v>0</v>
      </c>
      <c r="E62" s="84">
        <f ca="1">COUNTIFS(agen[adversaire],B62,agen[Lieu Match],"Extérieur",agen[Issue match],"victoire")</f>
        <v>0</v>
      </c>
      <c r="F62" s="82">
        <f t="shared" ca="1" si="5"/>
        <v>0</v>
      </c>
      <c r="G62" s="78">
        <f ca="1">COUNTIFS(agen[adversaire],B62,agen[Lieu Match],"domicile",agen[Issue match],"défaite")</f>
        <v>1</v>
      </c>
      <c r="H62" s="80">
        <f ca="1">COUNTIFS(agen[adversaire],B62,agen[Lieu Match],"Extérieur",agen[Issue match],"défaite")</f>
        <v>1</v>
      </c>
      <c r="I62" s="79">
        <f t="shared" ca="1" si="6"/>
        <v>1</v>
      </c>
      <c r="J62" s="85">
        <f ca="1">COUNTIFS(agen[adversaire],B62,agen[Lieu Match],"Domicile",agen[Issue match],"Nul")+COUNTIFS(agen[adversaire],B62,agen[Lieu Match],"Extérieur",agen[Issue match],"Nul")</f>
        <v>0</v>
      </c>
      <c r="K62" s="81">
        <f t="shared" ca="1" si="7"/>
        <v>0</v>
      </c>
      <c r="L62" s="89">
        <f t="shared" ca="1" si="8"/>
        <v>1</v>
      </c>
    </row>
    <row r="63" spans="1:12">
      <c r="A63" s="90" t="s">
        <v>30</v>
      </c>
      <c r="B63" s="91" t="s">
        <v>15</v>
      </c>
      <c r="C63" s="83">
        <f ca="1">COUNTIFS(agen[adversaire],B63)</f>
        <v>2</v>
      </c>
      <c r="D63" s="84">
        <f ca="1">COUNTIFS(agen[adversaire],B63,agen[Lieu Match],"domicile",agen[Issue match],"victoire")</f>
        <v>0</v>
      </c>
      <c r="E63" s="84">
        <f ca="1">COUNTIFS(agen[adversaire],B63,agen[Lieu Match],"Extérieur",agen[Issue match],"victoire")</f>
        <v>0</v>
      </c>
      <c r="F63" s="82">
        <f t="shared" ca="1" si="5"/>
        <v>0</v>
      </c>
      <c r="G63" s="78">
        <f ca="1">COUNTIFS(agen[adversaire],B63,agen[Lieu Match],"domicile",agen[Issue match],"défaite")</f>
        <v>1</v>
      </c>
      <c r="H63" s="80">
        <f ca="1">COUNTIFS(agen[adversaire],B63,agen[Lieu Match],"Extérieur",agen[Issue match],"défaite")</f>
        <v>1</v>
      </c>
      <c r="I63" s="79">
        <f t="shared" ca="1" si="6"/>
        <v>1</v>
      </c>
      <c r="J63" s="85">
        <f ca="1">COUNTIFS(agen[adversaire],B63,agen[Lieu Match],"Domicile",agen[Issue match],"Nul")+COUNTIFS(agen[adversaire],B63,agen[Lieu Match],"Extérieur",agen[Issue match],"Nul")</f>
        <v>0</v>
      </c>
      <c r="K63" s="81">
        <f t="shared" ca="1" si="7"/>
        <v>0</v>
      </c>
      <c r="L63" s="89">
        <f t="shared" ca="1" si="8"/>
        <v>1</v>
      </c>
    </row>
    <row r="64" spans="1:12">
      <c r="A64" s="90" t="s">
        <v>30</v>
      </c>
      <c r="B64" s="91" t="s">
        <v>33</v>
      </c>
      <c r="C64" s="83">
        <f ca="1">COUNTIFS(agen[adversaire],B64)</f>
        <v>2</v>
      </c>
      <c r="D64" s="84">
        <f ca="1">COUNTIFS(agen[adversaire],B64,agen[Lieu Match],"domicile",agen[Issue match],"victoire")</f>
        <v>0</v>
      </c>
      <c r="E64" s="84">
        <f ca="1">COUNTIFS(agen[adversaire],B64,agen[Lieu Match],"Extérieur",agen[Issue match],"victoire")</f>
        <v>0</v>
      </c>
      <c r="F64" s="82">
        <f t="shared" ca="1" si="5"/>
        <v>0</v>
      </c>
      <c r="G64" s="78">
        <f ca="1">COUNTIFS(agen[adversaire],B64,agen[Lieu Match],"domicile",agen[Issue match],"défaite")</f>
        <v>1</v>
      </c>
      <c r="H64" s="80">
        <f ca="1">COUNTIFS(agen[adversaire],B64,agen[Lieu Match],"Extérieur",agen[Issue match],"défaite")</f>
        <v>1</v>
      </c>
      <c r="I64" s="79">
        <f t="shared" ca="1" si="6"/>
        <v>1</v>
      </c>
      <c r="J64" s="85">
        <f ca="1">COUNTIFS(agen[adversaire],B64,agen[Lieu Match],"Domicile",agen[Issue match],"Nul")+COUNTIFS(agen[adversaire],B64,agen[Lieu Match],"Extérieur",agen[Issue match],"Nul")</f>
        <v>0</v>
      </c>
      <c r="K64" s="81">
        <f t="shared" ca="1" si="7"/>
        <v>0</v>
      </c>
      <c r="L64" s="89">
        <f t="shared" ca="1" si="8"/>
        <v>1</v>
      </c>
    </row>
  </sheetData>
  <mergeCells count="7">
    <mergeCell ref="Q1:S1"/>
    <mergeCell ref="Q9:S9"/>
    <mergeCell ref="A35:B35"/>
    <mergeCell ref="A1:A2"/>
    <mergeCell ref="B1:E1"/>
    <mergeCell ref="L1:N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U64"/>
  <sheetViews>
    <sheetView topLeftCell="F1" zoomScale="85" zoomScaleNormal="85" zoomScalePageLayoutView="85" workbookViewId="0">
      <selection activeCell="H14" sqref="H14"/>
    </sheetView>
  </sheetViews>
  <sheetFormatPr baseColWidth="10" defaultColWidth="10.5" defaultRowHeight="14" x14ac:dyDescent="0"/>
  <cols>
    <col min="1" max="1" width="13.33203125" bestFit="1" customWidth="1"/>
    <col min="2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3.5" bestFit="1" customWidth="1"/>
    <col min="11" max="11" width="14.33203125" bestFit="1" customWidth="1"/>
    <col min="12" max="12" width="9.33203125" bestFit="1" customWidth="1"/>
    <col min="13" max="13" width="12.1640625" bestFit="1" customWidth="1"/>
    <col min="16" max="16" width="14.33203125" bestFit="1" customWidth="1"/>
  </cols>
  <sheetData>
    <row r="1" spans="1:21">
      <c r="A1" s="121" t="s">
        <v>50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</row>
    <row r="2" spans="1:21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SUMIFS(Pau[Score D],Pau[Lieu Match],"domicile")</f>
        <v>115</v>
      </c>
      <c r="M2" s="72">
        <f ca="1">SUMIFS(Pau[Score E],Pau[Lieu Match],"domicile")</f>
        <v>111</v>
      </c>
      <c r="N2" s="72">
        <f ca="1">L2-M2</f>
        <v>4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</row>
    <row r="3" spans="1:21">
      <c r="A3" s="10" t="s">
        <v>2</v>
      </c>
      <c r="B3" s="15">
        <f ca="1">COUNTIF(Pau[Lieu Match],"domicile")</f>
        <v>13</v>
      </c>
      <c r="C3" s="63">
        <f ca="1">COUNTIFS(Pau[Issue match],"victoire",Pau[Lieu Match],"domicile")</f>
        <v>2</v>
      </c>
      <c r="D3" s="63">
        <f ca="1">COUNTIFS(Pau[Issue match],"nul",Pau[Lieu Match],"domicile")</f>
        <v>1</v>
      </c>
      <c r="E3" s="63">
        <f ca="1">COUNTIFS(Pau[Issue match],"défaite",Pau[Lieu Match],"domicile")</f>
        <v>10</v>
      </c>
      <c r="F3" s="77">
        <f ca="1">C3+E3+D3-D3</f>
        <v>12</v>
      </c>
      <c r="G3" s="6" t="s">
        <v>50</v>
      </c>
      <c r="H3" s="7" t="s">
        <v>43</v>
      </c>
      <c r="K3" s="10" t="s">
        <v>9</v>
      </c>
      <c r="L3" s="18">
        <f ca="1">L2/F3</f>
        <v>9.5833333333333339</v>
      </c>
      <c r="M3" s="18">
        <f ca="1">M2/F3</f>
        <v>9.25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</row>
    <row r="4" spans="1:21">
      <c r="A4" s="10" t="s">
        <v>3</v>
      </c>
      <c r="B4" s="15">
        <f ca="1">COUNTIF(Pau[Lieu Match],"extérieur")</f>
        <v>13</v>
      </c>
      <c r="C4" s="63">
        <f ca="1">COUNTIFS(Pau[Issue match],"victoire",Pau[Lieu Match],"extérieur")</f>
        <v>1</v>
      </c>
      <c r="D4" s="63">
        <f ca="1">COUNTIFS(Pau[Issue match],"nul",Pau[Lieu Match],"extérieur")</f>
        <v>0</v>
      </c>
      <c r="E4" s="63">
        <f ca="1">COUNTIFS(Pau[Issue match],"défaite",Pau[Lieu Match],"extérieur")</f>
        <v>12</v>
      </c>
      <c r="F4" s="77">
        <f ca="1">C4+E4+D4-D4</f>
        <v>13</v>
      </c>
      <c r="G4" s="8">
        <f t="array" ref="G4">INDEX($C$35:$L$46,MATCH(1,($A$35:$A$46=$A$1)*($B$35:$B$46=$H$3),0),4)</f>
        <v>0.47619047619047616</v>
      </c>
      <c r="H4" s="8">
        <f t="array" ref="H4">INDEX($C$35:$L$46,MATCH(1,($A$35:$A$46=$G$3)*($B$35:$B$46=$H$3),0),7)</f>
        <v>0.52380952380952384</v>
      </c>
      <c r="K4" s="10" t="s">
        <v>8</v>
      </c>
      <c r="L4" s="72">
        <f ca="1">SUMIFS(Pau[Score D],Pau[Lieu Match],"extérieur")</f>
        <v>92</v>
      </c>
      <c r="M4" s="72">
        <f ca="1">SUMIFS(Pau[Score E],Pau[Lieu Match],"extérieur")</f>
        <v>58</v>
      </c>
      <c r="N4" s="13">
        <f ca="1">L4-M4</f>
        <v>34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</row>
    <row r="5" spans="1:21">
      <c r="A5" s="10" t="s">
        <v>36</v>
      </c>
      <c r="B5" s="15">
        <f ca="1">B3+B4</f>
        <v>26</v>
      </c>
      <c r="C5" s="15">
        <f t="shared" ref="C5:E5" ca="1" si="0">C3+C4</f>
        <v>3</v>
      </c>
      <c r="D5" s="15">
        <f t="shared" ca="1" si="0"/>
        <v>1</v>
      </c>
      <c r="E5" s="15">
        <f t="shared" ca="1" si="0"/>
        <v>22</v>
      </c>
      <c r="F5" s="77">
        <f ca="1">C5+E5+D5-D5</f>
        <v>25</v>
      </c>
      <c r="G5" s="9">
        <f>100/G4/100</f>
        <v>2.1</v>
      </c>
      <c r="H5" s="9">
        <f>100/H4/100</f>
        <v>1.9090909090909092</v>
      </c>
      <c r="K5" s="10" t="s">
        <v>9</v>
      </c>
      <c r="L5" s="18">
        <f ca="1">L4/F4</f>
        <v>7.0769230769230766</v>
      </c>
      <c r="M5" s="18">
        <f ca="1">M4/F4</f>
        <v>4.4615384615384617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</row>
    <row r="6" spans="1:21">
      <c r="A6" s="1"/>
      <c r="B6" s="1"/>
      <c r="C6" s="1"/>
      <c r="D6" s="1"/>
      <c r="E6" s="1"/>
      <c r="F6" s="1"/>
      <c r="K6" s="10" t="s">
        <v>10</v>
      </c>
      <c r="L6" s="13">
        <f ca="1">L2+M4</f>
        <v>173</v>
      </c>
      <c r="M6" s="13">
        <f ca="1">M2+L4</f>
        <v>203</v>
      </c>
      <c r="N6" s="13">
        <f ca="1">L6-M6</f>
        <v>-30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</row>
    <row r="7" spans="1:21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6.92</v>
      </c>
      <c r="M7" s="18">
        <f ca="1">M6/F5</f>
        <v>8.1199999999999992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  <c r="T7" s="1"/>
      <c r="U7" s="1"/>
    </row>
    <row r="8" spans="1:21">
      <c r="A8" s="39" t="s">
        <v>124</v>
      </c>
      <c r="B8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Montpellier</v>
      </c>
      <c r="C8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8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Victoire</v>
      </c>
      <c r="E8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23</v>
      </c>
      <c r="F8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26</v>
      </c>
      <c r="G8" s="34">
        <v>0</v>
      </c>
      <c r="H8" s="49">
        <v>0</v>
      </c>
      <c r="I8" s="50">
        <f ca="1">(Pau[[#This Row],[Issue match]]="Victoire")*4 + (Pau[[#This Row],[Issue match]]="Nul")*2 + Pau[[#This Row],[Bonus off]] + Pau[[#This Row],[Bonus déf]]</f>
        <v>4</v>
      </c>
      <c r="K8" s="1"/>
      <c r="L8" s="1"/>
      <c r="M8" s="1"/>
      <c r="N8" s="1"/>
      <c r="O8" s="1"/>
      <c r="P8" s="1"/>
      <c r="Q8" s="1"/>
      <c r="R8" s="1"/>
      <c r="S8" s="1"/>
    </row>
    <row r="9" spans="1:21">
      <c r="A9" s="39" t="s">
        <v>125</v>
      </c>
      <c r="B9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Agen</v>
      </c>
      <c r="C9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9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Victoire</v>
      </c>
      <c r="E9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33</v>
      </c>
      <c r="F9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23</v>
      </c>
      <c r="G9" s="34">
        <v>0</v>
      </c>
      <c r="H9" s="49">
        <v>0</v>
      </c>
      <c r="I9" s="50">
        <f ca="1">(Pau[[#This Row],[Issue match]]="Victoire")*4 + (Pau[[#This Row],[Issue match]]="Nul")*2 + Pau[[#This Row],[Bonus off]] + Pau[[#This Row],[Bonus déf]]</f>
        <v>4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1">
      <c r="A10" s="39" t="s">
        <v>126</v>
      </c>
      <c r="B10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Brive</v>
      </c>
      <c r="C10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10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10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19</v>
      </c>
      <c r="F10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13</v>
      </c>
      <c r="G10" s="34">
        <v>0</v>
      </c>
      <c r="H10" s="49">
        <v>0</v>
      </c>
      <c r="I10" s="50">
        <f ca="1">(Pau[[#This Row],[Issue match]]="Victoire")*4 + (Pau[[#This Row],[Issue match]]="Nul")*2 + Pau[[#This Row],[Bonus off]] + Pau[[#This Row],[Bonus déf]]</f>
        <v>0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1">
      <c r="A11" s="39" t="s">
        <v>127</v>
      </c>
      <c r="B11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Lyon</v>
      </c>
      <c r="C11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11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Nul</v>
      </c>
      <c r="E11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29</v>
      </c>
      <c r="F11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29</v>
      </c>
      <c r="G11" s="34">
        <v>0</v>
      </c>
      <c r="H11" s="49">
        <v>0</v>
      </c>
      <c r="I11" s="50">
        <f ca="1">(Pau[[#This Row],[Issue match]]="Victoire")*4 + (Pau[[#This Row],[Issue match]]="Nul")*2 + Pau[[#This Row],[Bonus off]] + Pau[[#This Row],[Bonus déf]]</f>
        <v>2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1">
      <c r="A12" s="39" t="s">
        <v>128</v>
      </c>
      <c r="B12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Bordeaux</v>
      </c>
      <c r="C12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12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Victoire</v>
      </c>
      <c r="E12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29</v>
      </c>
      <c r="F12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24</v>
      </c>
      <c r="G12" s="34">
        <v>0</v>
      </c>
      <c r="H12" s="49">
        <v>0</v>
      </c>
      <c r="I12" s="50">
        <f ca="1">(Pau[[#This Row],[Issue match]]="Victoire")*4 + (Pau[[#This Row],[Issue match]]="Nul")*2 + Pau[[#This Row],[Bonus off]] + Pau[[#This Row],[Bonus déf]]</f>
        <v>4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1">
      <c r="A13" s="39" t="s">
        <v>129</v>
      </c>
      <c r="B13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Clermont</v>
      </c>
      <c r="C13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13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13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50</v>
      </c>
      <c r="F13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19</v>
      </c>
      <c r="G13" s="34">
        <v>0</v>
      </c>
      <c r="H13" s="49">
        <v>0</v>
      </c>
      <c r="I13" s="50">
        <f ca="1">(Pau[[#This Row],[Issue match]]="Victoire")*4 + (Pau[[#This Row],[Issue match]]="Nul")*2 + Pau[[#This Row],[Bonus off]] + Pau[[#This Row],[Bonus déf]]</f>
        <v>0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1">
      <c r="A14" s="39" t="s">
        <v>130</v>
      </c>
      <c r="B14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La Rochelle</v>
      </c>
      <c r="C14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14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14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24</v>
      </c>
      <c r="F14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35</v>
      </c>
      <c r="G14" s="34"/>
      <c r="H14" s="49"/>
      <c r="I14" s="50">
        <f ca="1">(Pau[[#This Row],[Issue match]]="Victoire")*4 + (Pau[[#This Row],[Issue match]]="Nul")*2 + Pau[[#This Row],[Bonus off]] + Pau[[#This Row],[Bonus déf]]</f>
        <v>0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1">
      <c r="A15" s="39" t="s">
        <v>131</v>
      </c>
      <c r="B15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Racing 92</v>
      </c>
      <c r="C15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15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15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15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15" s="34"/>
      <c r="H15" s="49"/>
      <c r="I15" s="50">
        <f ca="1">(Pau[[#This Row],[Issue match]]="Victoire")*4 + (Pau[[#This Row],[Issue match]]="Nul")*2 + Pau[[#This Row],[Bonus off]] + Pau[[#This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1">
      <c r="A16" s="39" t="s">
        <v>132</v>
      </c>
      <c r="B16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Toulouse</v>
      </c>
      <c r="C16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16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16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16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16" s="34"/>
      <c r="H16" s="49"/>
      <c r="I16" s="50">
        <f ca="1">(Pau[[#This Row],[Issue match]]="Victoire")*4 + (Pau[[#This Row],[Issue match]]="Nul")*2 + Pau[[#This Row],[Bonus off]] + Pau[[#This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1">
      <c r="A17" s="39" t="s">
        <v>133</v>
      </c>
      <c r="B17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Toulon</v>
      </c>
      <c r="C17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17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17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17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17" s="34"/>
      <c r="H17" s="49"/>
      <c r="I17" s="50">
        <f ca="1">(Pau[[#This Row],[Issue match]]="Victoire")*4 + (Pau[[#This Row],[Issue match]]="Nul")*2 + Pau[[#This Row],[Bonus off]] + Pau[[#This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1">
      <c r="A18" s="39" t="s">
        <v>134</v>
      </c>
      <c r="B18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Castres</v>
      </c>
      <c r="C18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18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18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18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18" s="34"/>
      <c r="H18" s="49"/>
      <c r="I18" s="50">
        <f ca="1">(Pau[[#This Row],[Issue match]]="Victoire")*4 + (Pau[[#This Row],[Issue match]]="Nul")*2 + Pau[[#This Row],[Bonus off]] + Pau[[#This Row],[Bonus déf]]</f>
        <v>0</v>
      </c>
      <c r="K18" s="10" t="s">
        <v>7</v>
      </c>
      <c r="L18" s="13"/>
      <c r="M18" s="72"/>
      <c r="N18" s="72"/>
      <c r="O18" s="1"/>
      <c r="P18" s="1"/>
      <c r="R18" s="1"/>
      <c r="S18" s="1"/>
    </row>
    <row r="19" spans="1:21">
      <c r="A19" s="39" t="s">
        <v>135</v>
      </c>
      <c r="B19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Paris</v>
      </c>
      <c r="C19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19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19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19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19" s="34"/>
      <c r="H19" s="49"/>
      <c r="I19" s="50">
        <f ca="1">(Pau[[#This Row],[Issue match]]="Victoire")*4 + (Pau[[#This Row],[Issue match]]="Nul")*2 + Pau[[#This Row],[Bonus off]] + Pau[[#This Row],[Bonus déf]]</f>
        <v>0</v>
      </c>
      <c r="K19" s="10" t="s">
        <v>9</v>
      </c>
      <c r="L19" s="18"/>
      <c r="M19" s="18"/>
      <c r="N19" s="13"/>
      <c r="O19" s="1"/>
      <c r="P19" s="1" t="s">
        <v>50</v>
      </c>
      <c r="Q19" s="12" t="s">
        <v>41</v>
      </c>
      <c r="R19" s="1"/>
      <c r="S19" s="1"/>
    </row>
    <row r="20" spans="1:21">
      <c r="A20" s="39" t="s">
        <v>136</v>
      </c>
      <c r="B20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Bayonne</v>
      </c>
      <c r="C20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20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0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0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0" s="34"/>
      <c r="H20" s="49"/>
      <c r="I20" s="50">
        <f ca="1">(Pau[[#This Row],[Issue match]]="Victoire")*4 + (Pau[[#This Row],[Issue match]]="Nul")*2 + Pau[[#This Row],[Bonus off]] + Pau[[#This Row],[Bonus déf]]</f>
        <v>0</v>
      </c>
      <c r="K20" s="10" t="s">
        <v>8</v>
      </c>
      <c r="L20" s="72"/>
      <c r="M20" s="72"/>
      <c r="N20" s="13"/>
      <c r="O20" s="1"/>
      <c r="P20" s="1" t="s">
        <v>50</v>
      </c>
      <c r="Q20" s="26" t="s">
        <v>42</v>
      </c>
      <c r="R20" s="1"/>
      <c r="S20" s="1"/>
      <c r="T20" s="1"/>
      <c r="U20" s="1"/>
    </row>
    <row r="21" spans="1:21">
      <c r="A21" s="39" t="s">
        <v>137</v>
      </c>
      <c r="B21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Clermont</v>
      </c>
      <c r="C21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21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1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1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1" s="34"/>
      <c r="H21" s="49"/>
      <c r="I21" s="50">
        <f ca="1">(Pau[[#This Row],[Issue match]]="Victoire")*4 + (Pau[[#This Row],[Issue match]]="Nul")*2 + Pau[[#This Row],[Bonus off]] + Pau[[#This Row],[Bonus déf]]</f>
        <v>0</v>
      </c>
      <c r="K21" s="10" t="s">
        <v>9</v>
      </c>
      <c r="L21" s="18"/>
      <c r="M21" s="18"/>
      <c r="N21" s="13"/>
      <c r="O21" s="1"/>
      <c r="P21" s="1" t="s">
        <v>50</v>
      </c>
      <c r="Q21" s="12" t="s">
        <v>43</v>
      </c>
      <c r="R21" s="1"/>
      <c r="S21" s="1"/>
      <c r="T21" s="1"/>
      <c r="U21" s="1"/>
    </row>
    <row r="22" spans="1:21">
      <c r="A22" s="39" t="s">
        <v>138</v>
      </c>
      <c r="B22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Lyon</v>
      </c>
      <c r="C22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22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2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2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2" s="34"/>
      <c r="H22" s="49"/>
      <c r="I22" s="50">
        <f ca="1">(Pau[[#This Row],[Issue match]]="Victoire")*4 + (Pau[[#This Row],[Issue match]]="Nul")*2 + Pau[[#This Row],[Bonus off]] + Pau[[#This Row],[Bonus déf]]</f>
        <v>0</v>
      </c>
      <c r="K22" s="10" t="s">
        <v>10</v>
      </c>
      <c r="L22" s="13"/>
      <c r="M22" s="13"/>
      <c r="N22" s="13"/>
      <c r="O22" s="1"/>
      <c r="P22" s="1" t="s">
        <v>50</v>
      </c>
      <c r="Q22" s="12" t="s">
        <v>40</v>
      </c>
      <c r="R22" s="1"/>
      <c r="S22" s="1"/>
      <c r="T22" s="1"/>
      <c r="U22" s="1"/>
    </row>
    <row r="23" spans="1:21">
      <c r="A23" s="39" t="s">
        <v>139</v>
      </c>
      <c r="B23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Toulouse</v>
      </c>
      <c r="C23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23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3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3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3" s="34"/>
      <c r="H23" s="49"/>
      <c r="I23" s="50">
        <f ca="1">(Pau[[#This Row],[Issue match]]="Victoire")*4 + (Pau[[#This Row],[Issue match]]="Nul")*2 + Pau[[#This Row],[Bonus off]] + Pau[[#This Row],[Bonus déf]]</f>
        <v>0</v>
      </c>
      <c r="K23" s="10" t="s">
        <v>9</v>
      </c>
      <c r="L23" s="18"/>
      <c r="M23" s="18"/>
      <c r="N23" s="13"/>
      <c r="O23" s="1"/>
      <c r="P23" s="1" t="s">
        <v>50</v>
      </c>
      <c r="Q23" s="12" t="s">
        <v>44</v>
      </c>
      <c r="R23" s="1"/>
      <c r="S23" s="1"/>
      <c r="T23" s="1"/>
      <c r="U23" s="1"/>
    </row>
    <row r="24" spans="1:21">
      <c r="A24" s="39" t="s">
        <v>140</v>
      </c>
      <c r="B24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Toulon</v>
      </c>
      <c r="C24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24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4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4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4" s="34"/>
      <c r="H24" s="49"/>
      <c r="I24" s="50">
        <f ca="1">(Pau[[#This Row],[Issue match]]="Victoire")*4 + (Pau[[#This Row],[Issue match]]="Nul")*2 + Pau[[#This Row],[Bonus off]] + Pau[[#This Row],[Bonus déf]]</f>
        <v>0</v>
      </c>
      <c r="K24" s="1"/>
      <c r="L24" s="1"/>
      <c r="M24" s="1"/>
      <c r="N24" s="1"/>
      <c r="O24" s="1"/>
      <c r="P24" s="1" t="s">
        <v>50</v>
      </c>
      <c r="Q24" s="12" t="s">
        <v>45</v>
      </c>
      <c r="R24" s="1"/>
      <c r="S24" s="1"/>
      <c r="T24" s="1"/>
      <c r="U24" s="1"/>
    </row>
    <row r="25" spans="1:21">
      <c r="A25" s="39" t="s">
        <v>141</v>
      </c>
      <c r="B25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Bordeaux</v>
      </c>
      <c r="C25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25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5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5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5" s="34"/>
      <c r="H25" s="49"/>
      <c r="I25" s="50">
        <f ca="1">(Pau[[#This Row],[Issue match]]="Victoire")*4 + (Pau[[#This Row],[Issue match]]="Nul")*2 + Pau[[#This Row],[Bonus off]] + Pau[[#This Row],[Bonus déf]]</f>
        <v>0</v>
      </c>
      <c r="K25" s="10" t="s">
        <v>6</v>
      </c>
      <c r="L25" s="69"/>
      <c r="M25" s="70"/>
      <c r="N25" s="71"/>
      <c r="O25" s="1"/>
      <c r="P25" s="1" t="s">
        <v>50</v>
      </c>
      <c r="Q25" s="12" t="s">
        <v>46</v>
      </c>
      <c r="R25" s="1"/>
      <c r="S25" s="1"/>
      <c r="T25" s="1"/>
      <c r="U25" s="1"/>
    </row>
    <row r="26" spans="1:21">
      <c r="A26" s="39" t="s">
        <v>142</v>
      </c>
      <c r="B26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Brive</v>
      </c>
      <c r="C26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26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6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6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6" s="34"/>
      <c r="H26" s="49"/>
      <c r="I26" s="50">
        <f ca="1">(Pau[[#This Row],[Issue match]]="Victoire")*4 + (Pau[[#This Row],[Issue match]]="Nul")*2 + Pau[[#This Row],[Bonus off]] + Pau[[#This Row],[Bonus déf]]</f>
        <v>0</v>
      </c>
      <c r="K26" s="10" t="s">
        <v>7</v>
      </c>
      <c r="L26" s="13"/>
      <c r="M26" s="72"/>
      <c r="N26" s="72"/>
      <c r="O26" s="1"/>
      <c r="P26" s="1" t="s">
        <v>50</v>
      </c>
      <c r="Q26" s="12" t="s">
        <v>47</v>
      </c>
      <c r="R26" s="1"/>
      <c r="S26" s="1"/>
      <c r="T26" s="1"/>
      <c r="U26" s="1"/>
    </row>
    <row r="27" spans="1:21">
      <c r="A27" s="39" t="s">
        <v>143</v>
      </c>
      <c r="B27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Castres</v>
      </c>
      <c r="C27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27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7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7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7" s="34"/>
      <c r="H27" s="49"/>
      <c r="I27" s="50">
        <f ca="1">(Pau[[#This Row],[Issue match]]="Victoire")*4 + (Pau[[#This Row],[Issue match]]="Nul")*2 + Pau[[#This Row],[Bonus off]] + Pau[[#This Row],[Bonus déf]]</f>
        <v>0</v>
      </c>
      <c r="K27" s="10" t="s">
        <v>9</v>
      </c>
      <c r="L27" s="18"/>
      <c r="M27" s="18"/>
      <c r="N27" s="13"/>
      <c r="O27" s="1"/>
      <c r="P27" s="1" t="s">
        <v>50</v>
      </c>
      <c r="Q27" s="12" t="s">
        <v>48</v>
      </c>
      <c r="R27" s="1"/>
      <c r="S27" s="1"/>
      <c r="T27" s="1"/>
      <c r="U27" s="1"/>
    </row>
    <row r="28" spans="1:21">
      <c r="A28" s="39" t="s">
        <v>144</v>
      </c>
      <c r="B28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Bayonne</v>
      </c>
      <c r="C28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28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8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8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8" s="34"/>
      <c r="H28" s="49"/>
      <c r="I28" s="50">
        <f ca="1">(Pau[[#This Row],[Issue match]]="Victoire")*4 + (Pau[[#This Row],[Issue match]]="Nul")*2 + Pau[[#This Row],[Bonus off]] + Pau[[#This Row],[Bonus déf]]</f>
        <v>0</v>
      </c>
      <c r="K28" s="10" t="s">
        <v>8</v>
      </c>
      <c r="L28" s="72"/>
      <c r="M28" s="72"/>
      <c r="N28" s="13"/>
      <c r="O28" s="1"/>
      <c r="P28" s="1" t="s">
        <v>50</v>
      </c>
      <c r="Q28" s="12" t="s">
        <v>49</v>
      </c>
      <c r="R28" s="1"/>
      <c r="S28" s="1"/>
      <c r="T28" s="1"/>
      <c r="U28" s="1"/>
    </row>
    <row r="29" spans="1:21">
      <c r="A29" s="39" t="s">
        <v>145</v>
      </c>
      <c r="B29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Paris</v>
      </c>
      <c r="C29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29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29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29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29" s="34"/>
      <c r="H29" s="49"/>
      <c r="I29" s="50">
        <f ca="1">(Pau[[#This Row],[Issue match]]="Victoire")*4 + (Pau[[#This Row],[Issue match]]="Nul")*2 + Pau[[#This Row],[Bonus off]] + Pau[[#This Row],[Bonus déf]]</f>
        <v>0</v>
      </c>
      <c r="K29" s="10" t="s">
        <v>9</v>
      </c>
      <c r="L29" s="18"/>
      <c r="M29" s="18"/>
      <c r="N29" s="13"/>
      <c r="O29" s="1"/>
      <c r="P29" s="1" t="s">
        <v>50</v>
      </c>
      <c r="Q29" s="12" t="s">
        <v>51</v>
      </c>
      <c r="R29" s="1"/>
      <c r="S29" s="1"/>
      <c r="T29" s="1"/>
      <c r="U29" s="1"/>
    </row>
    <row r="30" spans="1:21">
      <c r="A30" s="39" t="s">
        <v>146</v>
      </c>
      <c r="B30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Agen</v>
      </c>
      <c r="C30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30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30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30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30" s="34"/>
      <c r="H30" s="49"/>
      <c r="I30" s="50">
        <f ca="1">(Pau[[#This Row],[Issue match]]="Victoire")*4 + (Pau[[#This Row],[Issue match]]="Nul")*2 + Pau[[#This Row],[Bonus off]] + Pau[[#This Row],[Bonus déf]]</f>
        <v>0</v>
      </c>
      <c r="K30" s="10" t="s">
        <v>10</v>
      </c>
      <c r="L30" s="13"/>
      <c r="M30" s="13"/>
      <c r="N30" s="13"/>
      <c r="O30" s="1"/>
      <c r="P30" s="1" t="s">
        <v>50</v>
      </c>
      <c r="Q30" s="12" t="s">
        <v>52</v>
      </c>
      <c r="R30" s="1"/>
      <c r="S30" s="1"/>
      <c r="T30" s="1"/>
      <c r="U30" s="1"/>
    </row>
    <row r="31" spans="1:21">
      <c r="A31" s="39" t="s">
        <v>147</v>
      </c>
      <c r="B31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Racing 92</v>
      </c>
      <c r="C31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31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31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31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31" s="34"/>
      <c r="H31" s="49"/>
      <c r="I31" s="50">
        <f ca="1">(Pau[[#This Row],[Issue match]]="Victoire")*4 + (Pau[[#This Row],[Issue match]]="Nul")*2 + Pau[[#This Row],[Bonus off]] + Pau[[#This Row],[Bonus déf]]</f>
        <v>0</v>
      </c>
      <c r="K31" s="10" t="s">
        <v>9</v>
      </c>
      <c r="L31" s="18"/>
      <c r="M31" s="18"/>
      <c r="N31" s="13"/>
      <c r="O31" s="1"/>
      <c r="P31" s="1" t="s">
        <v>50</v>
      </c>
      <c r="Q31" s="12" t="s">
        <v>53</v>
      </c>
      <c r="R31" s="1"/>
      <c r="S31" s="1"/>
      <c r="T31" s="1"/>
      <c r="U31" s="1"/>
    </row>
    <row r="32" spans="1:21">
      <c r="A32" s="39" t="s">
        <v>148</v>
      </c>
      <c r="B32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La Rochelle</v>
      </c>
      <c r="C32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Extérieur</v>
      </c>
      <c r="D32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32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32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32" s="34"/>
      <c r="H32" s="49"/>
      <c r="I32" s="50">
        <f ca="1">(Pau[[#This Row],[Issue match]]="Victoire")*4 + (Pau[[#This Row],[Issue match]]="Nul")*2 + Pau[[#This Row],[Bonus off]] + Pau[[#This Row],[Bonus déf]]</f>
        <v>0</v>
      </c>
      <c r="J32" s="1"/>
      <c r="K32" s="1"/>
      <c r="L32" s="1"/>
      <c r="M32" s="1"/>
    </row>
    <row r="33" spans="1:13">
      <c r="A33" s="39" t="s">
        <v>149</v>
      </c>
      <c r="B33" s="37" t="str">
        <f ca="1">CONCATENATE(
IFERROR( INDEX(INDIRECT("resultat!C"&amp;PRODUCT(7,MATCH(Pau[[#This Row],[journée]],Pau[journée],0)-1)+2&amp;":C"&amp;PRODUCT(7,MATCH(Pau[[#This Row],[journée]],Pau[journée],0))+1),
IFERROR(MATCH($A$1, INDIRECT("resultat!f"&amp;PRODUCT(7,MATCH(Pau[[#This Row],[journée]],Pau[journée],0)-1)+2&amp;":f"&amp;PRODUCT(7,MATCH(Pau[[#This Row],[journée]],Pau[journée],0))+1),0 ),""),0),""),
IFERROR( INDEX(INDIRECT("resultat!f"&amp;PRODUCT(7,MATCH(Pau[[#This Row],[journée]],Pau[journée],0)-1)+2&amp;":f"&amp;PRODUCT(7,MATCH(Pau[[#This Row],[journée]],Pau[journée],0))+1),
IFERROR(MATCH($A$1, INDIRECT("resultat!c"&amp;PRODUCT(7,MATCH(Pau[[#This Row],[journée]],Pau[journée],0)-1)+2&amp;":c"&amp;PRODUCT(7,MATCH(Pau[[#This Row],[journée]],Pau[journée],0))+1),0 ),""),0),"") )</f>
        <v>Montpellier</v>
      </c>
      <c r="C33" s="38" t="str">
        <f ca="1">IF(AND(ISNA(MATCH($A$1,INDIRECT("resultat!f"&amp;PRODUCT(7,MATCH(Pau[[#This Row],[journée]],Pau[journée],0)-1)+2&amp;":f"&amp;PRODUCT(7,MATCH(Pau[[#This Row],[journée]],Pau[journée],0))+1),0)),
ISNA(MATCH($A$1,INDIRECT("resultat!c"&amp;PRODUCT(7,MATCH(Pau[[#This Row],[journée]],Pau[journée],0)-1)+2&amp;":c"&amp;PRODUCT(7,MATCH(Pau[[#This Row],[journée]],Pau[journée],0))+1),0))),"",IF(ISNA(MATCH($A$1,INDIRECT("resultat!f"&amp;PRODUCT(7,MATCH(Pau[[#This Row],[journée]],Pau[journée],0)-1)+2&amp;":f"&amp;PRODUCT(7,MATCH(Pau[[#This Row],[journée]],Pau[journée],0))+1),0)),
"Domicile","Extérieur"))</f>
        <v>Domicile</v>
      </c>
      <c r="D33" s="52" t="str">
        <f ca="1">IFERROR(  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$A$1, "Victoire",
IF( INDEX(INDIRECT("resultat!h"&amp;PRODUCT(7,MATCH(Pau[[#This Row],[journée]],Pau[journée],0)-1)+2&amp;":h"&amp;PRODUCT(7,MATCH(Pau[[#This Row],[journée]],Pau[journée],0))+1),
CONCATENATE(
IFERROR(MATCH( $A$1, INDIRECT("resultat!C"&amp;PRODUCT(7,MATCH(Pau[[#This Row],[journée]],Pau[journée],0)-1)+2&amp;":C"&amp;PRODUCT(7,MATCH(Pau[[#This Row],[journée]],Pau[journée],0))+1),0),""),
IFERROR(MATCH($A$1, INDIRECT("resultat!f"&amp;PRODUCT(7,MATCH(Pau[[#This Row],[journée]],Pau[journée],0)-1)+2&amp;":f"&amp;PRODUCT(7,MATCH(Pau[[#This Row],[journée]],Pau[journée],0))+1),0 ),"")),0) = "Nul", "Nul", "Défaite" )), "")</f>
        <v>Défaite</v>
      </c>
      <c r="E33" s="45">
        <f ca="1">SUMIFS(resultat[Score D],resultat[Journée],Pau[[#This Row],[journée]],resultat[Domicile],Pau[[#This Row],[adversaire]]) + SUMIFS(resultat[Score D],resultat[Journée],Pau[[#This Row],[journée]],resultat[Exterieur],Pau[[#This Row],[adversaire]])</f>
        <v>0</v>
      </c>
      <c r="F33" s="46">
        <f ca="1">SUMIFS(resultat[Score E],resultat[Journée],Pau[[#This Row],[journée]],resultat[Domicile],Pau[[#This Row],[adversaire]])  + SUMIFS(resultat[Score E],resultat[Journée],Pau[[#This Row],[journée]],resultat[Exterieur],Pau[[#This Row],[adversaire]])</f>
        <v>0</v>
      </c>
      <c r="G33" s="34"/>
      <c r="H33" s="49"/>
      <c r="I33" s="50">
        <f ca="1">(Pau[[#This Row],[Issue match]]="Victoire")*4 + (Pau[[#This Row],[Issue match]]="Nul")*2 + Pau[[#This Row],[Bonus off]] + Pau[[#This Row],[Bonus déf]]</f>
        <v>0</v>
      </c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13">
      <c r="A36" s="74" t="s">
        <v>31</v>
      </c>
      <c r="B36" s="74" t="s">
        <v>14</v>
      </c>
      <c r="C36" s="48">
        <v>30</v>
      </c>
      <c r="D36" s="48">
        <v>11</v>
      </c>
      <c r="E36" s="48">
        <v>4</v>
      </c>
      <c r="F36" s="19">
        <f t="shared" ref="F36:F48" si="1">(D36+E36)/C36</f>
        <v>0.5</v>
      </c>
      <c r="G36" s="48">
        <v>4</v>
      </c>
      <c r="H36" s="48">
        <v>10</v>
      </c>
      <c r="I36" s="19">
        <f t="shared" ref="I36:I48" si="2">(G36+H36)/C36</f>
        <v>0.46666666666666667</v>
      </c>
      <c r="J36" s="48">
        <v>1</v>
      </c>
      <c r="K36" s="21">
        <f t="shared" ref="K36:K48" si="3">100%-(F36+I36)</f>
        <v>3.3333333333333326E-2</v>
      </c>
      <c r="L36" s="22">
        <f t="shared" ref="L36:L48" si="4">SUM(F36+I36+K36)</f>
        <v>1</v>
      </c>
      <c r="M36" s="1"/>
    </row>
    <row r="37" spans="1:13">
      <c r="A37" s="74" t="s">
        <v>31</v>
      </c>
      <c r="B37" s="74" t="s">
        <v>23</v>
      </c>
      <c r="C37" s="48">
        <v>7</v>
      </c>
      <c r="D37" s="48">
        <v>2</v>
      </c>
      <c r="E37" s="48">
        <v>1</v>
      </c>
      <c r="F37" s="19">
        <f t="shared" si="1"/>
        <v>0.42857142857142855</v>
      </c>
      <c r="G37" s="48">
        <v>0</v>
      </c>
      <c r="H37" s="48">
        <v>2</v>
      </c>
      <c r="I37" s="19">
        <f t="shared" si="2"/>
        <v>0.2857142857142857</v>
      </c>
      <c r="J37" s="48">
        <v>2</v>
      </c>
      <c r="K37" s="21">
        <f t="shared" si="3"/>
        <v>0.28571428571428581</v>
      </c>
      <c r="L37" s="22">
        <f t="shared" si="4"/>
        <v>1</v>
      </c>
    </row>
    <row r="38" spans="1:13">
      <c r="A38" s="74" t="s">
        <v>31</v>
      </c>
      <c r="B38" s="74" t="s">
        <v>24</v>
      </c>
      <c r="C38" s="48">
        <v>21</v>
      </c>
      <c r="D38" s="48">
        <v>7</v>
      </c>
      <c r="E38" s="48">
        <v>3</v>
      </c>
      <c r="F38" s="19">
        <f t="shared" si="1"/>
        <v>0.47619047619047616</v>
      </c>
      <c r="G38" s="48">
        <v>4</v>
      </c>
      <c r="H38" s="48">
        <v>7</v>
      </c>
      <c r="I38" s="19">
        <f t="shared" si="2"/>
        <v>0.52380952380952384</v>
      </c>
      <c r="J38" s="48"/>
      <c r="K38" s="21">
        <f t="shared" si="3"/>
        <v>0</v>
      </c>
      <c r="L38" s="22">
        <f t="shared" si="4"/>
        <v>1</v>
      </c>
    </row>
    <row r="39" spans="1:13">
      <c r="A39" s="74" t="s">
        <v>31</v>
      </c>
      <c r="B39" s="74" t="s">
        <v>25</v>
      </c>
      <c r="C39" s="48">
        <v>17</v>
      </c>
      <c r="D39" s="48">
        <v>7</v>
      </c>
      <c r="E39" s="48">
        <v>1</v>
      </c>
      <c r="F39" s="19">
        <f t="shared" si="1"/>
        <v>0.47058823529411764</v>
      </c>
      <c r="G39" s="48">
        <v>1</v>
      </c>
      <c r="H39" s="48">
        <v>7</v>
      </c>
      <c r="I39" s="19">
        <f t="shared" si="2"/>
        <v>0.47058823529411764</v>
      </c>
      <c r="J39" s="48">
        <v>1</v>
      </c>
      <c r="K39" s="21">
        <f t="shared" si="3"/>
        <v>5.8823529411764719E-2</v>
      </c>
      <c r="L39" s="22">
        <f t="shared" si="4"/>
        <v>1</v>
      </c>
    </row>
    <row r="40" spans="1:13">
      <c r="A40" s="74" t="s">
        <v>31</v>
      </c>
      <c r="B40" s="74" t="s">
        <v>37</v>
      </c>
      <c r="C40" s="48">
        <v>20</v>
      </c>
      <c r="D40" s="48">
        <v>6</v>
      </c>
      <c r="E40" s="48">
        <v>1</v>
      </c>
      <c r="F40" s="19">
        <f t="shared" si="1"/>
        <v>0.35</v>
      </c>
      <c r="G40" s="48">
        <v>3</v>
      </c>
      <c r="H40" s="48">
        <v>9</v>
      </c>
      <c r="I40" s="19">
        <f t="shared" si="2"/>
        <v>0.6</v>
      </c>
      <c r="J40" s="48">
        <v>1</v>
      </c>
      <c r="K40" s="21">
        <f t="shared" si="3"/>
        <v>5.0000000000000044E-2</v>
      </c>
      <c r="L40" s="22">
        <f t="shared" si="4"/>
        <v>1</v>
      </c>
    </row>
    <row r="41" spans="1:13">
      <c r="A41" s="74" t="s">
        <v>31</v>
      </c>
      <c r="B41" s="74" t="s">
        <v>26</v>
      </c>
      <c r="C41" s="48">
        <v>18</v>
      </c>
      <c r="D41" s="48">
        <v>4</v>
      </c>
      <c r="E41" s="48">
        <v>2</v>
      </c>
      <c r="F41" s="19">
        <f t="shared" si="1"/>
        <v>0.33333333333333331</v>
      </c>
      <c r="G41" s="48">
        <v>5</v>
      </c>
      <c r="H41" s="48">
        <v>7</v>
      </c>
      <c r="I41" s="19">
        <f t="shared" si="2"/>
        <v>0.66666666666666663</v>
      </c>
      <c r="J41" s="48"/>
      <c r="K41" s="21">
        <f t="shared" si="3"/>
        <v>0</v>
      </c>
      <c r="L41" s="22">
        <f t="shared" si="4"/>
        <v>1</v>
      </c>
    </row>
    <row r="42" spans="1:13">
      <c r="A42" s="74" t="s">
        <v>31</v>
      </c>
      <c r="B42" s="74" t="s">
        <v>27</v>
      </c>
      <c r="C42" s="48">
        <v>28</v>
      </c>
      <c r="D42" s="48">
        <v>9</v>
      </c>
      <c r="E42" s="48">
        <v>0</v>
      </c>
      <c r="F42" s="19">
        <f t="shared" si="1"/>
        <v>0.32142857142857145</v>
      </c>
      <c r="G42" s="48">
        <v>5</v>
      </c>
      <c r="H42" s="48">
        <v>13</v>
      </c>
      <c r="I42" s="19">
        <f t="shared" si="2"/>
        <v>0.6428571428571429</v>
      </c>
      <c r="J42" s="48">
        <v>1</v>
      </c>
      <c r="K42" s="21">
        <f t="shared" si="3"/>
        <v>3.5714285714285587E-2</v>
      </c>
      <c r="L42" s="22">
        <f t="shared" si="4"/>
        <v>1</v>
      </c>
    </row>
    <row r="43" spans="1:13">
      <c r="A43" s="74" t="s">
        <v>31</v>
      </c>
      <c r="B43" s="74" t="s">
        <v>28</v>
      </c>
      <c r="C43" s="48">
        <v>22</v>
      </c>
      <c r="D43" s="48">
        <v>6</v>
      </c>
      <c r="E43" s="48">
        <v>2</v>
      </c>
      <c r="F43" s="19">
        <f t="shared" si="1"/>
        <v>0.36363636363636365</v>
      </c>
      <c r="G43" s="48">
        <v>4</v>
      </c>
      <c r="H43" s="48">
        <v>9</v>
      </c>
      <c r="I43" s="19">
        <f t="shared" si="2"/>
        <v>0.59090909090909094</v>
      </c>
      <c r="J43" s="48">
        <v>1</v>
      </c>
      <c r="K43" s="21">
        <f t="shared" si="3"/>
        <v>4.5454545454545414E-2</v>
      </c>
      <c r="L43" s="22">
        <f t="shared" si="4"/>
        <v>1</v>
      </c>
    </row>
    <row r="44" spans="1:13">
      <c r="A44" s="74" t="s">
        <v>31</v>
      </c>
      <c r="B44" s="74" t="s">
        <v>29</v>
      </c>
      <c r="C44" s="48">
        <v>17</v>
      </c>
      <c r="D44" s="48">
        <v>6</v>
      </c>
      <c r="E44" s="48">
        <v>2</v>
      </c>
      <c r="F44" s="19">
        <f t="shared" si="1"/>
        <v>0.47058823529411764</v>
      </c>
      <c r="G44" s="48">
        <v>2</v>
      </c>
      <c r="H44" s="48">
        <v>7</v>
      </c>
      <c r="I44" s="19">
        <f t="shared" si="2"/>
        <v>0.52941176470588236</v>
      </c>
      <c r="J44" s="48"/>
      <c r="K44" s="21">
        <f t="shared" si="3"/>
        <v>0</v>
      </c>
      <c r="L44" s="22">
        <f t="shared" si="4"/>
        <v>1</v>
      </c>
    </row>
    <row r="45" spans="1:13">
      <c r="A45" s="74" t="s">
        <v>31</v>
      </c>
      <c r="B45" s="74" t="s">
        <v>30</v>
      </c>
      <c r="C45" s="48">
        <v>18</v>
      </c>
      <c r="D45" s="48">
        <v>5</v>
      </c>
      <c r="E45" s="48">
        <v>1</v>
      </c>
      <c r="F45" s="19">
        <f t="shared" si="1"/>
        <v>0.33333333333333331</v>
      </c>
      <c r="G45" s="48">
        <v>4</v>
      </c>
      <c r="H45" s="48">
        <v>8</v>
      </c>
      <c r="I45" s="19">
        <f t="shared" si="2"/>
        <v>0.66666666666666663</v>
      </c>
      <c r="J45" s="48"/>
      <c r="K45" s="21">
        <f t="shared" si="3"/>
        <v>0</v>
      </c>
      <c r="L45" s="22">
        <f t="shared" si="4"/>
        <v>1</v>
      </c>
    </row>
    <row r="46" spans="1:13">
      <c r="A46" s="74" t="s">
        <v>31</v>
      </c>
      <c r="B46" s="74" t="s">
        <v>32</v>
      </c>
      <c r="C46" s="48">
        <v>15</v>
      </c>
      <c r="D46" s="48">
        <v>5</v>
      </c>
      <c r="E46" s="48">
        <v>0</v>
      </c>
      <c r="F46" s="19">
        <f t="shared" si="1"/>
        <v>0.33333333333333331</v>
      </c>
      <c r="G46" s="48">
        <v>2</v>
      </c>
      <c r="H46" s="48">
        <v>7</v>
      </c>
      <c r="I46" s="19">
        <f t="shared" si="2"/>
        <v>0.6</v>
      </c>
      <c r="J46" s="48">
        <v>1</v>
      </c>
      <c r="K46" s="21">
        <f t="shared" si="3"/>
        <v>6.6666666666666652E-2</v>
      </c>
      <c r="L46" s="22">
        <f t="shared" si="4"/>
        <v>1</v>
      </c>
    </row>
    <row r="47" spans="1:13">
      <c r="A47" s="74" t="s">
        <v>31</v>
      </c>
      <c r="B47" s="74" t="s">
        <v>15</v>
      </c>
      <c r="C47" s="28">
        <v>15</v>
      </c>
      <c r="D47" s="28">
        <v>4</v>
      </c>
      <c r="E47" s="28">
        <v>1</v>
      </c>
      <c r="F47" s="19">
        <f t="shared" si="1"/>
        <v>0.33333333333333331</v>
      </c>
      <c r="G47" s="28">
        <v>4</v>
      </c>
      <c r="H47" s="28">
        <v>6</v>
      </c>
      <c r="I47" s="19">
        <f t="shared" si="2"/>
        <v>0.66666666666666663</v>
      </c>
      <c r="J47" s="28"/>
      <c r="K47" s="21">
        <f t="shared" si="3"/>
        <v>0</v>
      </c>
      <c r="L47" s="22">
        <f t="shared" si="4"/>
        <v>1</v>
      </c>
    </row>
    <row r="48" spans="1:13">
      <c r="A48" s="74" t="s">
        <v>31</v>
      </c>
      <c r="B48" s="74" t="s">
        <v>33</v>
      </c>
      <c r="C48" s="28">
        <v>15</v>
      </c>
      <c r="D48" s="28">
        <v>3</v>
      </c>
      <c r="E48" s="28">
        <v>1</v>
      </c>
      <c r="F48" s="19">
        <f t="shared" si="1"/>
        <v>0.26666666666666666</v>
      </c>
      <c r="G48" s="28">
        <v>3</v>
      </c>
      <c r="H48" s="28">
        <v>7</v>
      </c>
      <c r="I48" s="19">
        <f t="shared" si="2"/>
        <v>0.66666666666666663</v>
      </c>
      <c r="J48" s="28">
        <v>1</v>
      </c>
      <c r="K48" s="21">
        <f t="shared" si="3"/>
        <v>6.6666666666666652E-2</v>
      </c>
      <c r="L48" s="22">
        <f t="shared" si="4"/>
        <v>1</v>
      </c>
    </row>
    <row r="50" spans="1:12">
      <c r="A50" s="92" t="s">
        <v>166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31</v>
      </c>
      <c r="B52" s="91" t="s">
        <v>14</v>
      </c>
      <c r="C52" s="83">
        <f ca="1">COUNTIFS(Pau[adversaire],B52)</f>
        <v>2</v>
      </c>
      <c r="D52" s="84">
        <f ca="1">COUNTIFS(Pau[adversaire],B52,Pau[Lieu Match],"domicile",Pau[Issue match],"victoire")</f>
        <v>1</v>
      </c>
      <c r="E52" s="84">
        <f ca="1">COUNTIFS(Pau[adversaire],B52,Pau[Lieu Match],"Extérieur",Pau[Issue match],"victoire")</f>
        <v>0</v>
      </c>
      <c r="F52" s="82">
        <f t="shared" ref="F52" ca="1" si="5">(D52+E52)/C52</f>
        <v>0.5</v>
      </c>
      <c r="G52" s="78">
        <f ca="1">COUNTIFS(Pau[adversaire],B52,Pau[Lieu Match],"domicile",Pau[Issue match],"défaite")</f>
        <v>0</v>
      </c>
      <c r="H52" s="80">
        <f ca="1">COUNTIFS(Pau[adversaire],B52,Pau[Lieu Match],"Extérieur",Pau[Issue match],"défaite")</f>
        <v>1</v>
      </c>
      <c r="I52" s="79">
        <f t="shared" ref="I52" ca="1" si="6">(G52+H52)/C52</f>
        <v>0.5</v>
      </c>
      <c r="J52" s="85">
        <f ca="1">COUNTIFS(Pau[adversaire],B52,Pau[Lieu Match],"Domicile",Pau[Issue match],"Nul")+COUNTIFS(Pau[adversaire],B52,Pau[Lieu Match],"Extérieur",Pau[Issue match],"Nul")</f>
        <v>0</v>
      </c>
      <c r="K52" s="81">
        <f t="shared" ref="K52" ca="1" si="7">100%-(F52+I52)</f>
        <v>0</v>
      </c>
      <c r="L52" s="89">
        <f t="shared" ref="L52" ca="1" si="8">SUM(F52+I52+K52)</f>
        <v>1</v>
      </c>
    </row>
    <row r="53" spans="1:12">
      <c r="A53" s="90" t="s">
        <v>31</v>
      </c>
      <c r="B53" s="91" t="s">
        <v>23</v>
      </c>
      <c r="C53" s="83">
        <f ca="1">COUNTIFS(Pau[adversaire],B53)</f>
        <v>2</v>
      </c>
      <c r="D53" s="84">
        <f ca="1">COUNTIFS(Pau[adversaire],B53,Pau[Lieu Match],"domicile",Pau[Issue match],"victoire")</f>
        <v>0</v>
      </c>
      <c r="E53" s="84">
        <f ca="1">COUNTIFS(Pau[adversaire],B53,Pau[Lieu Match],"Extérieur",Pau[Issue match],"victoire")</f>
        <v>0</v>
      </c>
      <c r="F53" s="82">
        <f t="shared" ref="F53:F64" ca="1" si="9">(D53+E53)/C53</f>
        <v>0</v>
      </c>
      <c r="G53" s="78">
        <f ca="1">COUNTIFS(Pau[adversaire],B53,Pau[Lieu Match],"domicile",Pau[Issue match],"défaite")</f>
        <v>1</v>
      </c>
      <c r="H53" s="80">
        <f ca="1">COUNTIFS(Pau[adversaire],B53,Pau[Lieu Match],"Extérieur",Pau[Issue match],"défaite")</f>
        <v>1</v>
      </c>
      <c r="I53" s="79">
        <f t="shared" ref="I53:I64" ca="1" si="10">(G53+H53)/C53</f>
        <v>1</v>
      </c>
      <c r="J53" s="85">
        <f ca="1">COUNTIFS(Pau[adversaire],B53,Pau[Lieu Match],"Domicile",Pau[Issue match],"Nul")+COUNTIFS(Pau[adversaire],B53,Pau[Lieu Match],"Extérieur",Pau[Issue match],"Nul")</f>
        <v>0</v>
      </c>
      <c r="K53" s="81">
        <f t="shared" ref="K53:K64" ca="1" si="11">100%-(F53+I53)</f>
        <v>0</v>
      </c>
      <c r="L53" s="89">
        <f t="shared" ref="L53:L64" ca="1" si="12">SUM(F53+I53+K53)</f>
        <v>1</v>
      </c>
    </row>
    <row r="54" spans="1:12">
      <c r="A54" s="90" t="s">
        <v>31</v>
      </c>
      <c r="B54" s="91" t="s">
        <v>24</v>
      </c>
      <c r="C54" s="83">
        <f ca="1">COUNTIFS(Pau[adversaire],B54)</f>
        <v>2</v>
      </c>
      <c r="D54" s="84">
        <f ca="1">COUNTIFS(Pau[adversaire],B54,Pau[Lieu Match],"domicile",Pau[Issue match],"victoire")</f>
        <v>1</v>
      </c>
      <c r="E54" s="84">
        <f ca="1">COUNTIFS(Pau[adversaire],B54,Pau[Lieu Match],"Extérieur",Pau[Issue match],"victoire")</f>
        <v>0</v>
      </c>
      <c r="F54" s="82">
        <f t="shared" ca="1" si="9"/>
        <v>0.5</v>
      </c>
      <c r="G54" s="78">
        <f ca="1">COUNTIFS(Pau[adversaire],B54,Pau[Lieu Match],"domicile",Pau[Issue match],"défaite")</f>
        <v>0</v>
      </c>
      <c r="H54" s="80">
        <f ca="1">COUNTIFS(Pau[adversaire],B54,Pau[Lieu Match],"Extérieur",Pau[Issue match],"défaite")</f>
        <v>1</v>
      </c>
      <c r="I54" s="79">
        <f t="shared" ca="1" si="10"/>
        <v>0.5</v>
      </c>
      <c r="J54" s="85">
        <f ca="1">COUNTIFS(Pau[adversaire],B54,Pau[Lieu Match],"Domicile",Pau[Issue match],"Nul")+COUNTIFS(Pau[adversaire],B54,Pau[Lieu Match],"Extérieur",Pau[Issue match],"Nul")</f>
        <v>0</v>
      </c>
      <c r="K54" s="81">
        <f t="shared" ca="1" si="11"/>
        <v>0</v>
      </c>
      <c r="L54" s="89">
        <f t="shared" ca="1" si="12"/>
        <v>1</v>
      </c>
    </row>
    <row r="55" spans="1:12">
      <c r="A55" s="90" t="s">
        <v>31</v>
      </c>
      <c r="B55" s="91" t="s">
        <v>25</v>
      </c>
      <c r="C55" s="83">
        <f ca="1">COUNTIFS(Pau[adversaire],B55)</f>
        <v>2</v>
      </c>
      <c r="D55" s="84">
        <f ca="1">COUNTIFS(Pau[adversaire],B55,Pau[Lieu Match],"domicile",Pau[Issue match],"victoire")</f>
        <v>0</v>
      </c>
      <c r="E55" s="84">
        <f ca="1">COUNTIFS(Pau[adversaire],B55,Pau[Lieu Match],"Extérieur",Pau[Issue match],"victoire")</f>
        <v>0</v>
      </c>
      <c r="F55" s="82">
        <f t="shared" ca="1" si="9"/>
        <v>0</v>
      </c>
      <c r="G55" s="78">
        <f ca="1">COUNTIFS(Pau[adversaire],B55,Pau[Lieu Match],"domicile",Pau[Issue match],"défaite")</f>
        <v>1</v>
      </c>
      <c r="H55" s="80">
        <f ca="1">COUNTIFS(Pau[adversaire],B55,Pau[Lieu Match],"Extérieur",Pau[Issue match],"défaite")</f>
        <v>1</v>
      </c>
      <c r="I55" s="79">
        <f t="shared" ca="1" si="10"/>
        <v>1</v>
      </c>
      <c r="J55" s="85">
        <f ca="1">COUNTIFS(Pau[adversaire],B55,Pau[Lieu Match],"Domicile",Pau[Issue match],"Nul")+COUNTIFS(Pau[adversaire],B55,Pau[Lieu Match],"Extérieur",Pau[Issue match],"Nul")</f>
        <v>0</v>
      </c>
      <c r="K55" s="81">
        <f t="shared" ca="1" si="11"/>
        <v>0</v>
      </c>
      <c r="L55" s="89">
        <f t="shared" ca="1" si="12"/>
        <v>1</v>
      </c>
    </row>
    <row r="56" spans="1:12">
      <c r="A56" s="90" t="s">
        <v>31</v>
      </c>
      <c r="B56" s="91" t="s">
        <v>37</v>
      </c>
      <c r="C56" s="83">
        <f ca="1">COUNTIFS(Pau[adversaire],B56)</f>
        <v>2</v>
      </c>
      <c r="D56" s="84">
        <f ca="1">COUNTIFS(Pau[adversaire],B56,Pau[Lieu Match],"domicile",Pau[Issue match],"victoire")</f>
        <v>0</v>
      </c>
      <c r="E56" s="84">
        <f ca="1">COUNTIFS(Pau[adversaire],B56,Pau[Lieu Match],"Extérieur",Pau[Issue match],"victoire")</f>
        <v>0</v>
      </c>
      <c r="F56" s="82">
        <f t="shared" ca="1" si="9"/>
        <v>0</v>
      </c>
      <c r="G56" s="78">
        <f ca="1">COUNTIFS(Pau[adversaire],B56,Pau[Lieu Match],"domicile",Pau[Issue match],"défaite")</f>
        <v>1</v>
      </c>
      <c r="H56" s="80">
        <f ca="1">COUNTIFS(Pau[adversaire],B56,Pau[Lieu Match],"Extérieur",Pau[Issue match],"défaite")</f>
        <v>1</v>
      </c>
      <c r="I56" s="79">
        <f t="shared" ca="1" si="10"/>
        <v>1</v>
      </c>
      <c r="J56" s="85">
        <f ca="1">COUNTIFS(Pau[adversaire],B56,Pau[Lieu Match],"Domicile",Pau[Issue match],"Nul")+COUNTIFS(Pau[adversaire],B56,Pau[Lieu Match],"Extérieur",Pau[Issue match],"Nul")</f>
        <v>0</v>
      </c>
      <c r="K56" s="81">
        <f t="shared" ca="1" si="11"/>
        <v>0</v>
      </c>
      <c r="L56" s="89">
        <f t="shared" ca="1" si="12"/>
        <v>1</v>
      </c>
    </row>
    <row r="57" spans="1:12">
      <c r="A57" s="90" t="s">
        <v>31</v>
      </c>
      <c r="B57" s="91" t="s">
        <v>26</v>
      </c>
      <c r="C57" s="83">
        <f ca="1">COUNTIFS(Pau[adversaire],B57)</f>
        <v>2</v>
      </c>
      <c r="D57" s="84">
        <f ca="1">COUNTIFS(Pau[adversaire],B57,Pau[Lieu Match],"domicile",Pau[Issue match],"victoire")</f>
        <v>0</v>
      </c>
      <c r="E57" s="84">
        <f ca="1">COUNTIFS(Pau[adversaire],B57,Pau[Lieu Match],"Extérieur",Pau[Issue match],"victoire")</f>
        <v>0</v>
      </c>
      <c r="F57" s="82">
        <f t="shared" ca="1" si="9"/>
        <v>0</v>
      </c>
      <c r="G57" s="78">
        <f ca="1">COUNTIFS(Pau[adversaire],B57,Pau[Lieu Match],"domicile",Pau[Issue match],"défaite")</f>
        <v>1</v>
      </c>
      <c r="H57" s="80">
        <f ca="1">COUNTIFS(Pau[adversaire],B57,Pau[Lieu Match],"Extérieur",Pau[Issue match],"défaite")</f>
        <v>1</v>
      </c>
      <c r="I57" s="79">
        <f t="shared" ca="1" si="10"/>
        <v>1</v>
      </c>
      <c r="J57" s="85">
        <f ca="1">COUNTIFS(Pau[adversaire],B57,Pau[Lieu Match],"Domicile",Pau[Issue match],"Nul")+COUNTIFS(Pau[adversaire],B57,Pau[Lieu Match],"Extérieur",Pau[Issue match],"Nul")</f>
        <v>0</v>
      </c>
      <c r="K57" s="81">
        <f t="shared" ca="1" si="11"/>
        <v>0</v>
      </c>
      <c r="L57" s="89">
        <f t="shared" ca="1" si="12"/>
        <v>1</v>
      </c>
    </row>
    <row r="58" spans="1:12">
      <c r="A58" s="90" t="s">
        <v>31</v>
      </c>
      <c r="B58" s="91" t="s">
        <v>27</v>
      </c>
      <c r="C58" s="83">
        <f ca="1">COUNTIFS(Pau[adversaire],B58)</f>
        <v>2</v>
      </c>
      <c r="D58" s="84">
        <f ca="1">COUNTIFS(Pau[adversaire],B58,Pau[Lieu Match],"domicile",Pau[Issue match],"victoire")</f>
        <v>0</v>
      </c>
      <c r="E58" s="84">
        <f ca="1">COUNTIFS(Pau[adversaire],B58,Pau[Lieu Match],"Extérieur",Pau[Issue match],"victoire")</f>
        <v>0</v>
      </c>
      <c r="F58" s="82">
        <f t="shared" ca="1" si="9"/>
        <v>0</v>
      </c>
      <c r="G58" s="78">
        <f ca="1">COUNTIFS(Pau[adversaire],B58,Pau[Lieu Match],"domicile",Pau[Issue match],"défaite")</f>
        <v>1</v>
      </c>
      <c r="H58" s="80">
        <f ca="1">COUNTIFS(Pau[adversaire],B58,Pau[Lieu Match],"Extérieur",Pau[Issue match],"défaite")</f>
        <v>1</v>
      </c>
      <c r="I58" s="79">
        <f t="shared" ca="1" si="10"/>
        <v>1</v>
      </c>
      <c r="J58" s="85">
        <f ca="1">COUNTIFS(Pau[adversaire],B58,Pau[Lieu Match],"Domicile",Pau[Issue match],"Nul")+COUNTIFS(Pau[adversaire],B58,Pau[Lieu Match],"Extérieur",Pau[Issue match],"Nul")</f>
        <v>0</v>
      </c>
      <c r="K58" s="81">
        <f t="shared" ca="1" si="11"/>
        <v>0</v>
      </c>
      <c r="L58" s="89">
        <f t="shared" ca="1" si="12"/>
        <v>1</v>
      </c>
    </row>
    <row r="59" spans="1:12">
      <c r="A59" s="90" t="s">
        <v>31</v>
      </c>
      <c r="B59" s="91" t="s">
        <v>28</v>
      </c>
      <c r="C59" s="83">
        <f ca="1">COUNTIFS(Pau[adversaire],B59)</f>
        <v>2</v>
      </c>
      <c r="D59" s="84">
        <f ca="1">COUNTIFS(Pau[adversaire],B59,Pau[Lieu Match],"domicile",Pau[Issue match],"victoire")</f>
        <v>0</v>
      </c>
      <c r="E59" s="84">
        <f ca="1">COUNTIFS(Pau[adversaire],B59,Pau[Lieu Match],"Extérieur",Pau[Issue match],"victoire")</f>
        <v>0</v>
      </c>
      <c r="F59" s="82">
        <f t="shared" ca="1" si="9"/>
        <v>0</v>
      </c>
      <c r="G59" s="78">
        <f ca="1">COUNTIFS(Pau[adversaire],B59,Pau[Lieu Match],"domicile",Pau[Issue match],"défaite")</f>
        <v>0</v>
      </c>
      <c r="H59" s="80">
        <f ca="1">COUNTIFS(Pau[adversaire],B59,Pau[Lieu Match],"Extérieur",Pau[Issue match],"défaite")</f>
        <v>1</v>
      </c>
      <c r="I59" s="79">
        <f t="shared" ca="1" si="10"/>
        <v>0.5</v>
      </c>
      <c r="J59" s="85">
        <f ca="1">COUNTIFS(Pau[adversaire],B59,Pau[Lieu Match],"Domicile",Pau[Issue match],"Nul")+COUNTIFS(Pau[adversaire],B59,Pau[Lieu Match],"Extérieur",Pau[Issue match],"Nul")</f>
        <v>1</v>
      </c>
      <c r="K59" s="81">
        <f t="shared" ca="1" si="11"/>
        <v>0.5</v>
      </c>
      <c r="L59" s="89">
        <f t="shared" ca="1" si="12"/>
        <v>1</v>
      </c>
    </row>
    <row r="60" spans="1:12">
      <c r="A60" s="90" t="s">
        <v>31</v>
      </c>
      <c r="B60" s="91" t="s">
        <v>29</v>
      </c>
      <c r="C60" s="83">
        <f ca="1">COUNTIFS(Pau[adversaire],B60)</f>
        <v>2</v>
      </c>
      <c r="D60" s="84">
        <f ca="1">COUNTIFS(Pau[adversaire],B60,Pau[Lieu Match],"domicile",Pau[Issue match],"victoire")</f>
        <v>0</v>
      </c>
      <c r="E60" s="84">
        <f ca="1">COUNTIFS(Pau[adversaire],B60,Pau[Lieu Match],"Extérieur",Pau[Issue match],"victoire")</f>
        <v>1</v>
      </c>
      <c r="F60" s="82">
        <f t="shared" ca="1" si="9"/>
        <v>0.5</v>
      </c>
      <c r="G60" s="78">
        <f ca="1">COUNTIFS(Pau[adversaire],B60,Pau[Lieu Match],"domicile",Pau[Issue match],"défaite")</f>
        <v>1</v>
      </c>
      <c r="H60" s="80">
        <f ca="1">COUNTIFS(Pau[adversaire],B60,Pau[Lieu Match],"Extérieur",Pau[Issue match],"défaite")</f>
        <v>0</v>
      </c>
      <c r="I60" s="79">
        <f t="shared" ca="1" si="10"/>
        <v>0.5</v>
      </c>
      <c r="J60" s="85">
        <f ca="1">COUNTIFS(Pau[adversaire],B60,Pau[Lieu Match],"Domicile",Pau[Issue match],"Nul")+COUNTIFS(Pau[adversaire],B60,Pau[Lieu Match],"Extérieur",Pau[Issue match],"Nul")</f>
        <v>0</v>
      </c>
      <c r="K60" s="81">
        <f t="shared" ca="1" si="11"/>
        <v>0</v>
      </c>
      <c r="L60" s="89">
        <f t="shared" ca="1" si="12"/>
        <v>1</v>
      </c>
    </row>
    <row r="61" spans="1:12">
      <c r="A61" s="90" t="s">
        <v>31</v>
      </c>
      <c r="B61" s="91" t="s">
        <v>30</v>
      </c>
      <c r="C61" s="83">
        <f ca="1">COUNTIFS(Pau[adversaire],B61)</f>
        <v>2</v>
      </c>
      <c r="D61" s="84">
        <f ca="1">COUNTIFS(Pau[adversaire],B61,Pau[Lieu Match],"domicile",Pau[Issue match],"victoire")</f>
        <v>0</v>
      </c>
      <c r="E61" s="84">
        <f ca="1">COUNTIFS(Pau[adversaire],B61,Pau[Lieu Match],"Extérieur",Pau[Issue match],"victoire")</f>
        <v>0</v>
      </c>
      <c r="F61" s="82">
        <f t="shared" ca="1" si="9"/>
        <v>0</v>
      </c>
      <c r="G61" s="78">
        <f ca="1">COUNTIFS(Pau[adversaire],B61,Pau[Lieu Match],"domicile",Pau[Issue match],"défaite")</f>
        <v>1</v>
      </c>
      <c r="H61" s="80">
        <f ca="1">COUNTIFS(Pau[adversaire],B61,Pau[Lieu Match],"Extérieur",Pau[Issue match],"défaite")</f>
        <v>1</v>
      </c>
      <c r="I61" s="79">
        <f t="shared" ca="1" si="10"/>
        <v>1</v>
      </c>
      <c r="J61" s="85">
        <f ca="1">COUNTIFS(Pau[adversaire],B61,Pau[Lieu Match],"Domicile",Pau[Issue match],"Nul")+COUNTIFS(Pau[adversaire],B61,Pau[Lieu Match],"Extérieur",Pau[Issue match],"Nul")</f>
        <v>0</v>
      </c>
      <c r="K61" s="81">
        <f t="shared" ca="1" si="11"/>
        <v>0</v>
      </c>
      <c r="L61" s="89">
        <f t="shared" ca="1" si="12"/>
        <v>1</v>
      </c>
    </row>
    <row r="62" spans="1:12">
      <c r="A62" s="90" t="s">
        <v>31</v>
      </c>
      <c r="B62" s="91" t="s">
        <v>32</v>
      </c>
      <c r="C62" s="83">
        <f ca="1">COUNTIFS(Pau[adversaire],B62)</f>
        <v>2</v>
      </c>
      <c r="D62" s="84">
        <f ca="1">COUNTIFS(Pau[adversaire],B62,Pau[Lieu Match],"domicile",Pau[Issue match],"victoire")</f>
        <v>0</v>
      </c>
      <c r="E62" s="84">
        <f ca="1">COUNTIFS(Pau[adversaire],B62,Pau[Lieu Match],"Extérieur",Pau[Issue match],"victoire")</f>
        <v>0</v>
      </c>
      <c r="F62" s="82">
        <f t="shared" ca="1" si="9"/>
        <v>0</v>
      </c>
      <c r="G62" s="78">
        <f ca="1">COUNTIFS(Pau[adversaire],B62,Pau[Lieu Match],"domicile",Pau[Issue match],"défaite")</f>
        <v>1</v>
      </c>
      <c r="H62" s="80">
        <f ca="1">COUNTIFS(Pau[adversaire],B62,Pau[Lieu Match],"Extérieur",Pau[Issue match],"défaite")</f>
        <v>1</v>
      </c>
      <c r="I62" s="79">
        <f t="shared" ca="1" si="10"/>
        <v>1</v>
      </c>
      <c r="J62" s="85">
        <f ca="1">COUNTIFS(Pau[adversaire],B62,Pau[Lieu Match],"Domicile",Pau[Issue match],"Nul")+COUNTIFS(Pau[adversaire],B62,Pau[Lieu Match],"Extérieur",Pau[Issue match],"Nul")</f>
        <v>0</v>
      </c>
      <c r="K62" s="81">
        <f t="shared" ca="1" si="11"/>
        <v>0</v>
      </c>
      <c r="L62" s="89">
        <f t="shared" ca="1" si="12"/>
        <v>1</v>
      </c>
    </row>
    <row r="63" spans="1:12">
      <c r="A63" s="90" t="s">
        <v>31</v>
      </c>
      <c r="B63" s="91" t="s">
        <v>15</v>
      </c>
      <c r="C63" s="83">
        <f ca="1">COUNTIFS(Pau[adversaire],B63)</f>
        <v>2</v>
      </c>
      <c r="D63" s="84">
        <f ca="1">COUNTIFS(Pau[adversaire],B63,Pau[Lieu Match],"domicile",Pau[Issue match],"victoire")</f>
        <v>0</v>
      </c>
      <c r="E63" s="84">
        <f ca="1">COUNTIFS(Pau[adversaire],B63,Pau[Lieu Match],"Extérieur",Pau[Issue match],"victoire")</f>
        <v>0</v>
      </c>
      <c r="F63" s="82">
        <f t="shared" ca="1" si="9"/>
        <v>0</v>
      </c>
      <c r="G63" s="78">
        <f ca="1">COUNTIFS(Pau[adversaire],B63,Pau[Lieu Match],"domicile",Pau[Issue match],"défaite")</f>
        <v>1</v>
      </c>
      <c r="H63" s="80">
        <f ca="1">COUNTIFS(Pau[adversaire],B63,Pau[Lieu Match],"Extérieur",Pau[Issue match],"défaite")</f>
        <v>1</v>
      </c>
      <c r="I63" s="79">
        <f t="shared" ca="1" si="10"/>
        <v>1</v>
      </c>
      <c r="J63" s="85">
        <f ca="1">COUNTIFS(Pau[adversaire],B63,Pau[Lieu Match],"Domicile",Pau[Issue match],"Nul")+COUNTIFS(Pau[adversaire],B63,Pau[Lieu Match],"Extérieur",Pau[Issue match],"Nul")</f>
        <v>0</v>
      </c>
      <c r="K63" s="81">
        <f t="shared" ca="1" si="11"/>
        <v>0</v>
      </c>
      <c r="L63" s="89">
        <f t="shared" ca="1" si="12"/>
        <v>1</v>
      </c>
    </row>
    <row r="64" spans="1:12">
      <c r="A64" s="90" t="s">
        <v>31</v>
      </c>
      <c r="B64" s="91" t="s">
        <v>33</v>
      </c>
      <c r="C64" s="83">
        <f ca="1">COUNTIFS(Pau[adversaire],B64)</f>
        <v>2</v>
      </c>
      <c r="D64" s="84">
        <f ca="1">COUNTIFS(Pau[adversaire],B64,Pau[Lieu Match],"domicile",Pau[Issue match],"victoire")</f>
        <v>0</v>
      </c>
      <c r="E64" s="84">
        <f ca="1">COUNTIFS(Pau[adversaire],B64,Pau[Lieu Match],"Extérieur",Pau[Issue match],"victoire")</f>
        <v>0</v>
      </c>
      <c r="F64" s="82">
        <f t="shared" ca="1" si="9"/>
        <v>0</v>
      </c>
      <c r="G64" s="78">
        <f ca="1">COUNTIFS(Pau[adversaire],B64,Pau[Lieu Match],"domicile",Pau[Issue match],"défaite")</f>
        <v>1</v>
      </c>
      <c r="H64" s="80">
        <f ca="1">COUNTIFS(Pau[adversaire],B64,Pau[Lieu Match],"Extérieur",Pau[Issue match],"défaite")</f>
        <v>1</v>
      </c>
      <c r="I64" s="79">
        <f t="shared" ca="1" si="10"/>
        <v>1</v>
      </c>
      <c r="J64" s="85">
        <f ca="1">COUNTIFS(Pau[adversaire],B64,Pau[Lieu Match],"Domicile",Pau[Issue match],"Nul")+COUNTIFS(Pau[adversaire],B64,Pau[Lieu Match],"Extérieur",Pau[Issue match],"Nul")</f>
        <v>0</v>
      </c>
      <c r="K64" s="81">
        <f t="shared" ca="1" si="11"/>
        <v>0</v>
      </c>
      <c r="L64" s="89">
        <f t="shared" ca="1" si="12"/>
        <v>1</v>
      </c>
    </row>
  </sheetData>
  <mergeCells count="7">
    <mergeCell ref="Q1:S1"/>
    <mergeCell ref="Q9:S9"/>
    <mergeCell ref="A35:B35"/>
    <mergeCell ref="A1:A2"/>
    <mergeCell ref="B1:E1"/>
    <mergeCell ref="L1:N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X64"/>
  <sheetViews>
    <sheetView tabSelected="1" zoomScale="85" zoomScaleNormal="85" zoomScalePageLayoutView="85" workbookViewId="0">
      <selection activeCell="V2" sqref="V2"/>
    </sheetView>
  </sheetViews>
  <sheetFormatPr baseColWidth="10" defaultColWidth="10.5" defaultRowHeight="14" x14ac:dyDescent="0"/>
  <cols>
    <col min="1" max="1" width="13.33203125" bestFit="1" customWidth="1"/>
    <col min="2" max="3" width="13.1640625" bestFit="1" customWidth="1"/>
    <col min="4" max="4" width="11.5" bestFit="1" customWidth="1"/>
    <col min="5" max="5" width="12.5" bestFit="1" customWidth="1"/>
    <col min="6" max="6" width="7.33203125" bestFit="1" customWidth="1"/>
    <col min="7" max="7" width="9.6640625" bestFit="1" customWidth="1"/>
    <col min="8" max="8" width="12.1640625" bestFit="1" customWidth="1"/>
    <col min="9" max="9" width="7.1640625" bestFit="1" customWidth="1"/>
    <col min="10" max="10" width="4.1640625" bestFit="1" customWidth="1"/>
    <col min="11" max="11" width="14.33203125" bestFit="1" customWidth="1"/>
    <col min="12" max="12" width="8.1640625" customWidth="1"/>
    <col min="13" max="13" width="8.33203125" customWidth="1"/>
    <col min="16" max="16" width="14.33203125" bestFit="1" customWidth="1"/>
    <col min="18" max="18" width="4.1640625" bestFit="1" customWidth="1"/>
    <col min="19" max="19" width="3.83203125" bestFit="1" customWidth="1"/>
  </cols>
  <sheetData>
    <row r="1" spans="1:24">
      <c r="A1" s="121" t="s">
        <v>51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  <c r="U1" s="1"/>
    </row>
    <row r="2" spans="1:24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>SUMIFS(racing[Score D],racing[Lieu Match],"domicile")</f>
        <v>65</v>
      </c>
      <c r="M2" s="72">
        <f>SUMIFS(racing[Score E],racing[Lieu Match],"domicile")</f>
        <v>47</v>
      </c>
      <c r="N2" s="72">
        <f>L2-M2</f>
        <v>18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  <c r="U2" s="1"/>
    </row>
    <row r="3" spans="1:24">
      <c r="A3" s="10" t="s">
        <v>2</v>
      </c>
      <c r="B3" s="15">
        <f>COUNTIF(racing[Lieu Match],"domicile")</f>
        <v>13</v>
      </c>
      <c r="C3" s="63">
        <f>COUNTIFS(racing[Issue match],"victoire",racing[Lieu Match],"domicile")</f>
        <v>1</v>
      </c>
      <c r="D3" s="63">
        <f>COUNTIFS(racing[Issue match],"nul",racing[Lieu Match],"domicile")</f>
        <v>0</v>
      </c>
      <c r="E3" s="63">
        <f>COUNTIFS(racing[Issue match],"défaite",racing[Lieu Match],"domicile")</f>
        <v>1</v>
      </c>
      <c r="F3" s="77">
        <f>C3+E3+D3-D3</f>
        <v>2</v>
      </c>
      <c r="G3" s="6" t="s">
        <v>51</v>
      </c>
      <c r="H3" s="7" t="s">
        <v>53</v>
      </c>
      <c r="K3" s="10" t="s">
        <v>9</v>
      </c>
      <c r="L3" s="18">
        <f>L2/F3</f>
        <v>32.5</v>
      </c>
      <c r="M3" s="18">
        <f>M2/F3</f>
        <v>23.5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  <c r="U3" s="1"/>
    </row>
    <row r="4" spans="1:24">
      <c r="A4" s="10" t="s">
        <v>3</v>
      </c>
      <c r="B4" s="15">
        <f>COUNTIF(racing[Lieu Match],"extérieur")</f>
        <v>13</v>
      </c>
      <c r="C4" s="63">
        <f>COUNTIFS(racing[Issue match],"victoire",racing[Lieu Match],"extérieur")</f>
        <v>2</v>
      </c>
      <c r="D4" s="63">
        <f>COUNTIFS(racing[Issue match],"nul",racing[Lieu Match],"extérieur")</f>
        <v>0</v>
      </c>
      <c r="E4" s="63">
        <f>COUNTIFS(racing[Issue match],"défaite",racing[Lieu Match],"extérieur")</f>
        <v>1</v>
      </c>
      <c r="F4" s="77">
        <f>C4+E4+D4-D4</f>
        <v>3</v>
      </c>
      <c r="G4" s="8">
        <f t="array" ref="G4">INDEX($C$35:$L$48,MATCH(1,($A$35:$A$48=$A$1)*($B$35:$B$48=$H$3),0),4)</f>
        <v>0.42307692307692307</v>
      </c>
      <c r="H4" s="8">
        <f t="array" ref="H4">INDEX($C$35:$L$48,MATCH(1,($A$35:$A$48=$G$3)*($B$35:$B$48=$H$3),0),7)</f>
        <v>0.57692307692307687</v>
      </c>
      <c r="K4" s="10" t="s">
        <v>8</v>
      </c>
      <c r="L4" s="72">
        <f>SUMIFS(racing[Score D],racing[Lieu Match],"extérieur")</f>
        <v>76</v>
      </c>
      <c r="M4" s="72">
        <f>SUMIFS(racing[Score E],racing[Lieu Match],"extérieur")</f>
        <v>80</v>
      </c>
      <c r="N4" s="13">
        <f>L4-M4</f>
        <v>-4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  <c r="U4" s="1"/>
    </row>
    <row r="5" spans="1:24">
      <c r="A5" s="10" t="s">
        <v>36</v>
      </c>
      <c r="B5" s="15">
        <f>B3+B4</f>
        <v>26</v>
      </c>
      <c r="C5" s="15">
        <f t="shared" ref="C5:E5" si="0">C3+C4</f>
        <v>3</v>
      </c>
      <c r="D5" s="15">
        <f t="shared" si="0"/>
        <v>0</v>
      </c>
      <c r="E5" s="15">
        <f t="shared" si="0"/>
        <v>2</v>
      </c>
      <c r="F5" s="77">
        <f>C5+E5+D5-D5</f>
        <v>5</v>
      </c>
      <c r="G5" s="9">
        <f>100/G4/100</f>
        <v>2.3636363636363638</v>
      </c>
      <c r="H5" s="9">
        <f>100/H4/100</f>
        <v>1.7333333333333334</v>
      </c>
      <c r="K5" s="10" t="s">
        <v>9</v>
      </c>
      <c r="L5" s="18">
        <f>L4/F4</f>
        <v>25.333333333333332</v>
      </c>
      <c r="M5" s="18">
        <f>M4/F4</f>
        <v>26.666666666666668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  <c r="U5" s="1"/>
    </row>
    <row r="6" spans="1:24">
      <c r="A6" s="1"/>
      <c r="B6" s="1"/>
      <c r="C6" s="1"/>
      <c r="D6" s="1"/>
      <c r="E6" s="1"/>
      <c r="F6" s="1"/>
      <c r="K6" s="10" t="s">
        <v>10</v>
      </c>
      <c r="L6" s="13">
        <f>L2+M4</f>
        <v>145</v>
      </c>
      <c r="M6" s="13">
        <f>M2+L4</f>
        <v>123</v>
      </c>
      <c r="N6" s="13">
        <f>L6-M6</f>
        <v>22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  <c r="U6" s="1"/>
    </row>
    <row r="7" spans="1:24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>L6/F5</f>
        <v>29</v>
      </c>
      <c r="M7" s="18">
        <f>M6/F5</f>
        <v>24.6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</row>
    <row r="8" spans="1:24">
      <c r="A8" s="39" t="s">
        <v>124</v>
      </c>
      <c r="B8" s="37" t="str">
        <f>SUBSTITUTE(INDEX(resultat[Domicile]&amp;resultat[Exterieur],SUMPRODUCT(MATCH(1,(resultat[Journée]=racing[[#This Row],[journée]])*((resultat[Domicile]=Equipe)+(resultat[Exterieur]=Equipe)),0))),Equipe,"")</f>
        <v>Lyon</v>
      </c>
      <c r="C8" s="38" t="str">
        <f>IF(SUMPRODUCT((resultat[Journée]=racing[[#This Row],[journée]])*(resultat[Domicile]=Equipe)),"Domicile","Extérieur")</f>
        <v>Extérieur</v>
      </c>
      <c r="D8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>Victoire</v>
      </c>
      <c r="E8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23</v>
      </c>
      <c r="F8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27</v>
      </c>
      <c r="G8" s="34">
        <v>0</v>
      </c>
      <c r="H8" s="49">
        <v>0</v>
      </c>
      <c r="I8" s="50">
        <f>(racing[[#This Row],[Issue match]]="Victoire")*4 + (racing[[#This Row],[Issue match]]="Nul")*2 + racing[[#This Row],[Bonus off]] + racing[[#This Row],[Bonus déf]]</f>
        <v>4</v>
      </c>
      <c r="K8" s="1"/>
      <c r="L8" s="1"/>
      <c r="M8" s="1"/>
      <c r="N8" s="1"/>
      <c r="O8" s="1"/>
      <c r="P8" s="1"/>
      <c r="Q8" s="1"/>
      <c r="R8" s="1"/>
      <c r="S8" s="1"/>
      <c r="U8" s="130" t="str">
        <f>INDEX(resultat[Match],SUMPRODUCT(MATCH(1,(resultat[Journée]=racing[[#This Row],[journée]])*((resultat[Domicile]=Equipe)+(resultat[Exterieur]=Equipe)),0)))</f>
        <v>Match 4</v>
      </c>
      <c r="V8" s="1"/>
      <c r="W8" s="1"/>
      <c r="X8" s="1"/>
    </row>
    <row r="9" spans="1:24">
      <c r="A9" s="39" t="s">
        <v>125</v>
      </c>
      <c r="B9" s="37" t="str">
        <f>SUBSTITUTE(INDEX(resultat[Domicile]&amp;resultat[Exterieur],SUMPRODUCT(MATCH(1,(resultat[Journée]=racing[[#This Row],[journée]])*((resultat[Domicile]=Equipe)+(resultat[Exterieur]=Equipe)),0))),Equipe,"")</f>
        <v>Montpellier</v>
      </c>
      <c r="C9" s="38" t="str">
        <f>IF(SUMPRODUCT((resultat[Journée]=racing[[#This Row],[journée]])*(resultat[Domicile]=Equipe)),"Domicile","Extérieur")</f>
        <v>Domicile</v>
      </c>
      <c r="D9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>Victoire</v>
      </c>
      <c r="E9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41</v>
      </c>
      <c r="F9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17</v>
      </c>
      <c r="G9" s="34">
        <v>1</v>
      </c>
      <c r="H9" s="49">
        <v>0</v>
      </c>
      <c r="I9" s="50">
        <f>(racing[[#This Row],[Issue match]]="Victoire")*4 + (racing[[#This Row],[Issue match]]="Nul")*2 + racing[[#This Row],[Bonus off]] + racing[[#This Row],[Bonus déf]]</f>
        <v>5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  <c r="U9" s="130" t="str">
        <f>INDEX(resultat[Match],SUMPRODUCT(MATCH(1,(resultat[Journée]=racing[[#This Row],[journée]])*((resultat[Domicile]=Equipe)+(resultat[Exterieur]=Equipe)),0)))</f>
        <v>Match 6</v>
      </c>
      <c r="V9" s="1"/>
      <c r="W9" s="1"/>
      <c r="X9" s="1"/>
    </row>
    <row r="10" spans="1:24">
      <c r="A10" s="39" t="s">
        <v>126</v>
      </c>
      <c r="B10" s="37" t="str">
        <f>SUBSTITUTE(INDEX(resultat[Domicile]&amp;resultat[Exterieur],SUMPRODUCT(MATCH(1,(resultat[Journée]=racing[[#This Row],[journée]])*((resultat[Domicile]=Equipe)+(resultat[Exterieur]=Equipe)),0))),Equipe,"")</f>
        <v>La Rochelle</v>
      </c>
      <c r="C10" s="38" t="str">
        <f>IF(SUMPRODUCT((resultat[Journée]=racing[[#This Row],[journée]])*(resultat[Domicile]=Equipe)),"Domicile","Extérieur")</f>
        <v>Extérieur</v>
      </c>
      <c r="D10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10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10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10" s="34"/>
      <c r="H10" s="49"/>
      <c r="I10" s="50">
        <f>(racing[[#This Row],[Issue match]]="Victoire")*4 + (racing[[#This Row],[Issue match]]="Nul")*2 + racing[[#This Row],[Bonus off]] + racing[[#This Row],[Bonus déf]]</f>
        <v>0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  <c r="U10" s="130" t="str">
        <f>INDEX(resultat[Match],SUMPRODUCT(MATCH(1,(resultat[Journée]=racing[[#This Row],[journée]])*((resultat[Domicile]=Equipe)+(resultat[Exterieur]=Equipe)),0)))</f>
        <v>Match 3</v>
      </c>
      <c r="V10" s="1"/>
      <c r="W10" s="1"/>
      <c r="X10" s="1"/>
    </row>
    <row r="11" spans="1:24">
      <c r="A11" s="39" t="s">
        <v>127</v>
      </c>
      <c r="B11" s="37" t="str">
        <f>SUBSTITUTE(INDEX(resultat[Domicile]&amp;resultat[Exterieur],SUMPRODUCT(MATCH(1,(resultat[Journée]=racing[[#This Row],[journée]])*((resultat[Domicile]=Equipe)+(resultat[Exterieur]=Equipe)),0))),Equipe,"")</f>
        <v>Toulouse</v>
      </c>
      <c r="C11" s="38" t="str">
        <f>IF(SUMPRODUCT((resultat[Journée]=racing[[#This Row],[journée]])*(resultat[Domicile]=Equipe)),"Domicile","Extérieur")</f>
        <v>Domicile</v>
      </c>
      <c r="D11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>Défaite</v>
      </c>
      <c r="E11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24</v>
      </c>
      <c r="F11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30</v>
      </c>
      <c r="G11" s="34">
        <v>0</v>
      </c>
      <c r="H11" s="49">
        <v>0</v>
      </c>
      <c r="I11" s="50">
        <f>(racing[[#This Row],[Issue match]]="Victoire")*4 + (racing[[#This Row],[Issue match]]="Nul")*2 + racing[[#This Row],[Bonus off]] + racing[[#This Row],[Bonus déf]]</f>
        <v>0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  <c r="U11" s="130" t="str">
        <f>INDEX(resultat[Match],SUMPRODUCT(MATCH(1,(resultat[Journée]=racing[[#This Row],[journée]])*((resultat[Domicile]=Equipe)+(resultat[Exterieur]=Equipe)),0)))</f>
        <v>Match 2</v>
      </c>
      <c r="V11" s="1"/>
      <c r="W11" s="1"/>
      <c r="X11" s="1"/>
    </row>
    <row r="12" spans="1:24">
      <c r="A12" s="39" t="s">
        <v>128</v>
      </c>
      <c r="B12" s="37" t="str">
        <f>SUBSTITUTE(INDEX(resultat[Domicile]&amp;resultat[Exterieur],SUMPRODUCT(MATCH(1,(resultat[Journée]=racing[[#This Row],[journée]])*((resultat[Domicile]=Equipe)+(resultat[Exterieur]=Equipe)),0))),Equipe,"")</f>
        <v>Toulon</v>
      </c>
      <c r="C12" s="38" t="str">
        <f>IF(SUMPRODUCT((resultat[Journée]=racing[[#This Row],[journée]])*(resultat[Domicile]=Equipe)),"Domicile","Extérieur")</f>
        <v>Domicile</v>
      </c>
      <c r="D12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12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12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12" s="34"/>
      <c r="H12" s="49"/>
      <c r="I12" s="50">
        <f>(racing[[#This Row],[Issue match]]="Victoire")*4 + (racing[[#This Row],[Issue match]]="Nul")*2 + racing[[#This Row],[Bonus off]] + racing[[#This Row],[Bonus déf]]</f>
        <v>0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  <c r="U12" s="130" t="str">
        <f>INDEX(resultat[Match],SUMPRODUCT(MATCH(1,(resultat[Journée]=racing[[#This Row],[journée]])*((resultat[Domicile]=Equipe)+(resultat[Exterieur]=Equipe)),0)))</f>
        <v>Match 1</v>
      </c>
      <c r="V12" s="1"/>
      <c r="W12" s="1"/>
      <c r="X12" s="1"/>
    </row>
    <row r="13" spans="1:24">
      <c r="A13" s="39" t="s">
        <v>129</v>
      </c>
      <c r="B13" s="37" t="str">
        <f>SUBSTITUTE(INDEX(resultat[Domicile]&amp;resultat[Exterieur],SUMPRODUCT(MATCH(1,(resultat[Journée]=racing[[#This Row],[journée]])*((resultat[Domicile]=Equipe)+(resultat[Exterieur]=Equipe)),0))),Equipe,"")</f>
        <v>Paris</v>
      </c>
      <c r="C13" s="38" t="str">
        <f>IF(SUMPRODUCT((resultat[Journée]=racing[[#This Row],[journée]])*(resultat[Domicile]=Equipe)),"Domicile","Extérieur")</f>
        <v>Extérieur</v>
      </c>
      <c r="D13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>Victoire</v>
      </c>
      <c r="E13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25</v>
      </c>
      <c r="F13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27</v>
      </c>
      <c r="G13" s="34">
        <v>0</v>
      </c>
      <c r="H13" s="49">
        <v>0</v>
      </c>
      <c r="I13" s="50">
        <f>(racing[[#This Row],[Issue match]]="Victoire")*4 + (racing[[#This Row],[Issue match]]="Nul")*2 + racing[[#This Row],[Bonus off]] + racing[[#This Row],[Bonus déf]]</f>
        <v>4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  <c r="U13" s="130" t="str">
        <f>INDEX(resultat[Match],SUMPRODUCT(MATCH(1,(resultat[Journée]=racing[[#This Row],[journée]])*((resultat[Domicile]=Equipe)+(resultat[Exterieur]=Equipe)),0)))</f>
        <v>Match 1</v>
      </c>
      <c r="V13" s="1"/>
      <c r="W13" s="1"/>
      <c r="X13" s="1"/>
    </row>
    <row r="14" spans="1:24">
      <c r="A14" s="39" t="s">
        <v>130</v>
      </c>
      <c r="B14" s="37" t="str">
        <f>SUBSTITUTE(INDEX(resultat[Domicile]&amp;resultat[Exterieur],SUMPRODUCT(MATCH(1,(resultat[Journée]=racing[[#This Row],[journée]])*((resultat[Domicile]=Equipe)+(resultat[Exterieur]=Equipe)),0))),Equipe,"")</f>
        <v>Castres</v>
      </c>
      <c r="C14" s="38" t="str">
        <f>IF(SUMPRODUCT((resultat[Journée]=racing[[#This Row],[journée]])*(resultat[Domicile]=Equipe)),"Domicile","Extérieur")</f>
        <v>Extérieur</v>
      </c>
      <c r="D14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>Défaite</v>
      </c>
      <c r="E14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28</v>
      </c>
      <c r="F14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26</v>
      </c>
      <c r="G14" s="34"/>
      <c r="H14" s="49"/>
      <c r="I14" s="50">
        <f>(racing[[#This Row],[Issue match]]="Victoire")*4 + (racing[[#This Row],[Issue match]]="Nul")*2 + racing[[#This Row],[Bonus off]] + racing[[#This Row],[Bonus déf]]</f>
        <v>0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  <c r="U14" s="130" t="str">
        <f>INDEX(resultat[Match],SUMPRODUCT(MATCH(1,(resultat[Journée]=racing[[#This Row],[journée]])*((resultat[Domicile]=Equipe)+(resultat[Exterieur]=Equipe)),0)))</f>
        <v>Match 5</v>
      </c>
      <c r="V14" s="1"/>
      <c r="W14" s="1"/>
      <c r="X14" s="1"/>
    </row>
    <row r="15" spans="1:24">
      <c r="A15" s="39" t="s">
        <v>131</v>
      </c>
      <c r="B15" s="37" t="str">
        <f>SUBSTITUTE(INDEX(resultat[Domicile]&amp;resultat[Exterieur],SUMPRODUCT(MATCH(1,(resultat[Journée]=racing[[#This Row],[journée]])*((resultat[Domicile]=Equipe)+(resultat[Exterieur]=Equipe)),0))),Equipe,"")</f>
        <v>Pau</v>
      </c>
      <c r="C15" s="38" t="str">
        <f>IF(SUMPRODUCT((resultat[Journée]=racing[[#This Row],[journée]])*(resultat[Domicile]=Equipe)),"Domicile","Extérieur")</f>
        <v>Domicile</v>
      </c>
      <c r="D15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15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15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15" s="34"/>
      <c r="H15" s="49"/>
      <c r="I15" s="50">
        <f>(racing[[#This Row],[Issue match]]="Victoire")*4 + (racing[[#This Row],[Issue match]]="Nul")*2 + racing[[#This Row],[Bonus off]] + racing[[#This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  <c r="U15" s="130" t="str">
        <f>INDEX(resultat[Match],SUMPRODUCT(MATCH(1,(resultat[Journée]=racing[[#This Row],[journée]])*((resultat[Domicile]=Equipe)+(resultat[Exterieur]=Equipe)),0)))</f>
        <v>Match 5</v>
      </c>
      <c r="V15" s="1"/>
      <c r="W15" s="1"/>
      <c r="X15" s="1"/>
    </row>
    <row r="16" spans="1:24">
      <c r="A16" s="39" t="s">
        <v>132</v>
      </c>
      <c r="B16" s="37" t="str">
        <f>SUBSTITUTE(INDEX(resultat[Domicile]&amp;resultat[Exterieur],SUMPRODUCT(MATCH(1,(resultat[Journée]=racing[[#This Row],[journée]])*((resultat[Domicile]=Equipe)+(resultat[Exterieur]=Equipe)),0))),Equipe,"")</f>
        <v>Brive</v>
      </c>
      <c r="C16" s="38" t="str">
        <f>IF(SUMPRODUCT((resultat[Journée]=racing[[#This Row],[journée]])*(resultat[Domicile]=Equipe)),"Domicile","Extérieur")</f>
        <v>Extérieur</v>
      </c>
      <c r="D16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16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16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16" s="34"/>
      <c r="H16" s="49"/>
      <c r="I16" s="50">
        <f>(racing[[#This Row],[Issue match]]="Victoire")*4 + (racing[[#This Row],[Issue match]]="Nul")*2 + racing[[#This Row],[Bonus off]] + racing[[#This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  <c r="U16" s="130" t="str">
        <f>INDEX(resultat[Match],SUMPRODUCT(MATCH(1,(resultat[Journée]=racing[[#This Row],[journée]])*((resultat[Domicile]=Equipe)+(resultat[Exterieur]=Equipe)),0)))</f>
        <v>Match 4</v>
      </c>
      <c r="V16" s="1"/>
      <c r="W16" s="1"/>
      <c r="X16" s="1"/>
    </row>
    <row r="17" spans="1:24">
      <c r="A17" s="39" t="s">
        <v>133</v>
      </c>
      <c r="B17" s="37" t="str">
        <f>SUBSTITUTE(INDEX(resultat[Domicile]&amp;resultat[Exterieur],SUMPRODUCT(MATCH(1,(resultat[Journée]=racing[[#This Row],[journée]])*((resultat[Domicile]=Equipe)+(resultat[Exterieur]=Equipe)),0))),Equipe,"")</f>
        <v>Bayonne</v>
      </c>
      <c r="C17" s="38" t="str">
        <f>IF(SUMPRODUCT((resultat[Journée]=racing[[#This Row],[journée]])*(resultat[Domicile]=Equipe)),"Domicile","Extérieur")</f>
        <v>Domicile</v>
      </c>
      <c r="D17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17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17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17" s="34"/>
      <c r="H17" s="49"/>
      <c r="I17" s="50">
        <f>(racing[[#This Row],[Issue match]]="Victoire")*4 + (racing[[#This Row],[Issue match]]="Nul")*2 + racing[[#This Row],[Bonus off]] + racing[[#This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  <c r="U17" s="130" t="str">
        <f>INDEX(resultat[Match],SUMPRODUCT(MATCH(1,(resultat[Journée]=racing[[#This Row],[journée]])*((resultat[Domicile]=Equipe)+(resultat[Exterieur]=Equipe)),0)))</f>
        <v>Match 5</v>
      </c>
      <c r="V17" s="1"/>
      <c r="W17" s="1"/>
      <c r="X17" s="1"/>
    </row>
    <row r="18" spans="1:24">
      <c r="A18" s="39" t="s">
        <v>134</v>
      </c>
      <c r="B18" s="37" t="str">
        <f>SUBSTITUTE(INDEX(resultat[Domicile]&amp;resultat[Exterieur],SUMPRODUCT(MATCH(1,(resultat[Journée]=racing[[#This Row],[journée]])*((resultat[Domicile]=Equipe)+(resultat[Exterieur]=Equipe)),0))),Equipe,"")</f>
        <v>Bordeaux</v>
      </c>
      <c r="C18" s="38" t="str">
        <f>IF(SUMPRODUCT((resultat[Journée]=racing[[#This Row],[journée]])*(resultat[Domicile]=Equipe)),"Domicile","Extérieur")</f>
        <v>Extérieur</v>
      </c>
      <c r="D18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18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18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18" s="34"/>
      <c r="H18" s="49"/>
      <c r="I18" s="50">
        <f>(racing[[#This Row],[Issue match]]="Victoire")*4 + (racing[[#This Row],[Issue match]]="Nul")*2 + racing[[#This Row],[Bonus off]] + racing[[#This Row],[Bonus déf]]</f>
        <v>0</v>
      </c>
      <c r="K18" s="10" t="s">
        <v>7</v>
      </c>
      <c r="L18" s="13"/>
      <c r="M18" s="72"/>
      <c r="N18" s="72"/>
      <c r="O18" s="1"/>
      <c r="P18" s="1"/>
      <c r="R18" s="1"/>
      <c r="S18" s="1"/>
      <c r="U18" s="130" t="str">
        <f>INDEX(resultat[Match],SUMPRODUCT(MATCH(1,(resultat[Journée]=racing[[#This Row],[journée]])*((resultat[Domicile]=Equipe)+(resultat[Exterieur]=Equipe)),0)))</f>
        <v>Match 2</v>
      </c>
      <c r="V18" s="1"/>
      <c r="W18" s="1"/>
      <c r="X18" s="1"/>
    </row>
    <row r="19" spans="1:24">
      <c r="A19" s="39" t="s">
        <v>135</v>
      </c>
      <c r="B19" s="37" t="str">
        <f>SUBSTITUTE(INDEX(resultat[Domicile]&amp;resultat[Exterieur],SUMPRODUCT(MATCH(1,(resultat[Journée]=racing[[#This Row],[journée]])*((resultat[Domicile]=Equipe)+(resultat[Exterieur]=Equipe)),0))),Equipe,"")</f>
        <v>Agen</v>
      </c>
      <c r="C19" s="38" t="str">
        <f>IF(SUMPRODUCT((resultat[Journée]=racing[[#This Row],[journée]])*(resultat[Domicile]=Equipe)),"Domicile","Extérieur")</f>
        <v>Domicile</v>
      </c>
      <c r="D19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19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19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19" s="34"/>
      <c r="H19" s="49"/>
      <c r="I19" s="50">
        <f>(racing[[#This Row],[Issue match]]="Victoire")*4 + (racing[[#This Row],[Issue match]]="Nul")*2 + racing[[#This Row],[Bonus off]] + racing[[#This Row],[Bonus déf]]</f>
        <v>0</v>
      </c>
      <c r="K19" s="10" t="s">
        <v>9</v>
      </c>
      <c r="L19" s="18"/>
      <c r="M19" s="18"/>
      <c r="N19" s="13"/>
      <c r="O19" s="1"/>
      <c r="P19" s="1" t="s">
        <v>51</v>
      </c>
      <c r="Q19" s="12" t="s">
        <v>41</v>
      </c>
      <c r="R19" s="1"/>
      <c r="S19" s="1"/>
      <c r="U19" s="130" t="str">
        <f>INDEX(resultat[Match],SUMPRODUCT(MATCH(1,(resultat[Journée]=racing[[#This Row],[journée]])*((resultat[Domicile]=Equipe)+(resultat[Exterieur]=Equipe)),0)))</f>
        <v>Match 5</v>
      </c>
      <c r="V19" s="1"/>
      <c r="W19" s="1"/>
      <c r="X19" s="1"/>
    </row>
    <row r="20" spans="1:24">
      <c r="A20" s="39" t="s">
        <v>136</v>
      </c>
      <c r="B20" s="37" t="str">
        <f>SUBSTITUTE(INDEX(resultat[Domicile]&amp;resultat[Exterieur],SUMPRODUCT(MATCH(1,(resultat[Journée]=racing[[#This Row],[journée]])*((resultat[Domicile]=Equipe)+(resultat[Exterieur]=Equipe)),0))),Equipe,"")</f>
        <v>Clermont</v>
      </c>
      <c r="C20" s="38" t="str">
        <f>IF(SUMPRODUCT((resultat[Journée]=racing[[#This Row],[journée]])*(resultat[Domicile]=Equipe)),"Domicile","Extérieur")</f>
        <v>Extérieur</v>
      </c>
      <c r="D20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0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0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0" s="34"/>
      <c r="H20" s="49"/>
      <c r="I20" s="50">
        <f>(racing[[#This Row],[Issue match]]="Victoire")*4 + (racing[[#This Row],[Issue match]]="Nul")*2 + racing[[#This Row],[Bonus off]] + racing[[#This Row],[Bonus déf]]</f>
        <v>0</v>
      </c>
      <c r="K20" s="10" t="s">
        <v>8</v>
      </c>
      <c r="L20" s="72"/>
      <c r="M20" s="72"/>
      <c r="N20" s="13"/>
      <c r="O20" s="1"/>
      <c r="P20" s="1" t="s">
        <v>51</v>
      </c>
      <c r="Q20" s="26" t="s">
        <v>42</v>
      </c>
      <c r="R20" s="1"/>
      <c r="S20" s="1"/>
      <c r="T20" s="1"/>
      <c r="U20" s="130" t="str">
        <f>INDEX(resultat[Match],SUMPRODUCT(MATCH(1,(resultat[Journée]=racing[[#This Row],[journée]])*((resultat[Domicile]=Equipe)+(resultat[Exterieur]=Equipe)),0)))</f>
        <v>Match 2</v>
      </c>
      <c r="V20" s="1"/>
      <c r="W20" s="1"/>
      <c r="X20" s="1"/>
    </row>
    <row r="21" spans="1:24">
      <c r="A21" s="39" t="s">
        <v>137</v>
      </c>
      <c r="B21" s="37" t="str">
        <f>SUBSTITUTE(INDEX(resultat[Domicile]&amp;resultat[Exterieur],SUMPRODUCT(MATCH(1,(resultat[Journée]=racing[[#This Row],[journée]])*((resultat[Domicile]=Equipe)+(resultat[Exterieur]=Equipe)),0))),Equipe,"")</f>
        <v>La Rochelle</v>
      </c>
      <c r="C21" s="38" t="str">
        <f>IF(SUMPRODUCT((resultat[Journée]=racing[[#This Row],[journée]])*(resultat[Domicile]=Equipe)),"Domicile","Extérieur")</f>
        <v>Domicile</v>
      </c>
      <c r="D21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1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1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1" s="34"/>
      <c r="H21" s="49"/>
      <c r="I21" s="50">
        <f>(racing[[#This Row],[Issue match]]="Victoire")*4 + (racing[[#This Row],[Issue match]]="Nul")*2 + racing[[#This Row],[Bonus off]] + racing[[#This Row],[Bonus déf]]</f>
        <v>0</v>
      </c>
      <c r="K21" s="10" t="s">
        <v>9</v>
      </c>
      <c r="L21" s="18"/>
      <c r="M21" s="18"/>
      <c r="N21" s="13"/>
      <c r="O21" s="1"/>
      <c r="P21" s="1" t="s">
        <v>51</v>
      </c>
      <c r="Q21" s="12" t="s">
        <v>43</v>
      </c>
      <c r="R21" s="1"/>
      <c r="S21" s="1"/>
      <c r="T21" s="1"/>
      <c r="U21" s="130" t="str">
        <f>INDEX(resultat[Match],SUMPRODUCT(MATCH(1,(resultat[Journée]=racing[[#This Row],[journée]])*((resultat[Domicile]=Equipe)+(resultat[Exterieur]=Equipe)),0)))</f>
        <v>Match 6</v>
      </c>
      <c r="V21" s="1"/>
      <c r="W21" s="1"/>
      <c r="X21" s="1"/>
    </row>
    <row r="22" spans="1:24">
      <c r="A22" s="39" t="s">
        <v>138</v>
      </c>
      <c r="B22" s="37" t="str">
        <f>SUBSTITUTE(INDEX(resultat[Domicile]&amp;resultat[Exterieur],SUMPRODUCT(MATCH(1,(resultat[Journée]=racing[[#This Row],[journée]])*((resultat[Domicile]=Equipe)+(resultat[Exterieur]=Equipe)),0))),Equipe,"")</f>
        <v>Montpellier</v>
      </c>
      <c r="C22" s="38" t="str">
        <f>IF(SUMPRODUCT((resultat[Journée]=racing[[#This Row],[journée]])*(resultat[Domicile]=Equipe)),"Domicile","Extérieur")</f>
        <v>Extérieur</v>
      </c>
      <c r="D22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2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2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2" s="34"/>
      <c r="H22" s="49"/>
      <c r="I22" s="50">
        <f>(racing[[#This Row],[Issue match]]="Victoire")*4 + (racing[[#This Row],[Issue match]]="Nul")*2 + racing[[#This Row],[Bonus off]] + racing[[#This Row],[Bonus déf]]</f>
        <v>0</v>
      </c>
      <c r="K22" s="10" t="s">
        <v>10</v>
      </c>
      <c r="L22" s="13"/>
      <c r="M22" s="13"/>
      <c r="N22" s="13"/>
      <c r="O22" s="1"/>
      <c r="P22" s="1" t="s">
        <v>51</v>
      </c>
      <c r="Q22" s="12" t="s">
        <v>40</v>
      </c>
      <c r="R22" s="1"/>
      <c r="S22" s="1"/>
      <c r="T22" s="1"/>
      <c r="U22" s="130" t="str">
        <f>INDEX(resultat[Match],SUMPRODUCT(MATCH(1,(resultat[Journée]=racing[[#This Row],[journée]])*((resultat[Domicile]=Equipe)+(resultat[Exterieur]=Equipe)),0)))</f>
        <v>Match 6</v>
      </c>
      <c r="V22" s="1"/>
      <c r="W22" s="1"/>
      <c r="X22" s="1"/>
    </row>
    <row r="23" spans="1:24">
      <c r="A23" s="39" t="s">
        <v>139</v>
      </c>
      <c r="B23" s="37" t="str">
        <f>SUBSTITUTE(INDEX(resultat[Domicile]&amp;resultat[Exterieur],SUMPRODUCT(MATCH(1,(resultat[Journée]=racing[[#This Row],[journée]])*((resultat[Domicile]=Equipe)+(resultat[Exterieur]=Equipe)),0))),Equipe,"")</f>
        <v>Lyon</v>
      </c>
      <c r="C23" s="38" t="str">
        <f>IF(SUMPRODUCT((resultat[Journée]=racing[[#This Row],[journée]])*(resultat[Domicile]=Equipe)),"Domicile","Extérieur")</f>
        <v>Domicile</v>
      </c>
      <c r="D23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3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3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3" s="34"/>
      <c r="H23" s="49"/>
      <c r="I23" s="50">
        <f>(racing[[#This Row],[Issue match]]="Victoire")*4 + (racing[[#This Row],[Issue match]]="Nul")*2 + racing[[#This Row],[Bonus off]] + racing[[#This Row],[Bonus déf]]</f>
        <v>0</v>
      </c>
      <c r="K23" s="10" t="s">
        <v>9</v>
      </c>
      <c r="L23" s="18"/>
      <c r="M23" s="18"/>
      <c r="N23" s="13"/>
      <c r="O23" s="1"/>
      <c r="P23" s="1" t="s">
        <v>51</v>
      </c>
      <c r="Q23" s="12" t="s">
        <v>44</v>
      </c>
      <c r="R23" s="1"/>
      <c r="S23" s="1"/>
      <c r="T23" s="1"/>
      <c r="U23" s="130" t="str">
        <f>INDEX(resultat[Match],SUMPRODUCT(MATCH(1,(resultat[Journée]=racing[[#This Row],[journée]])*((resultat[Domicile]=Equipe)+(resultat[Exterieur]=Equipe)),0)))</f>
        <v>Match 5</v>
      </c>
      <c r="V23" s="1"/>
      <c r="W23" s="1"/>
      <c r="X23" s="1"/>
    </row>
    <row r="24" spans="1:24">
      <c r="A24" s="39" t="s">
        <v>140</v>
      </c>
      <c r="B24" s="37" t="str">
        <f>SUBSTITUTE(INDEX(resultat[Domicile]&amp;resultat[Exterieur],SUMPRODUCT(MATCH(1,(resultat[Journée]=racing[[#This Row],[journée]])*((resultat[Domicile]=Equipe)+(resultat[Exterieur]=Equipe)),0))),Equipe,"")</f>
        <v>Castres</v>
      </c>
      <c r="C24" s="38" t="str">
        <f>IF(SUMPRODUCT((resultat[Journée]=racing[[#This Row],[journée]])*(resultat[Domicile]=Equipe)),"Domicile","Extérieur")</f>
        <v>Domicile</v>
      </c>
      <c r="D24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4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4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4" s="34"/>
      <c r="H24" s="49"/>
      <c r="I24" s="50">
        <f>(racing[[#This Row],[Issue match]]="Victoire")*4 + (racing[[#This Row],[Issue match]]="Nul")*2 + racing[[#This Row],[Bonus off]] + racing[[#This Row],[Bonus déf]]</f>
        <v>0</v>
      </c>
      <c r="K24" s="1"/>
      <c r="L24" s="1"/>
      <c r="M24" s="1"/>
      <c r="N24" s="1"/>
      <c r="O24" s="1"/>
      <c r="P24" s="1" t="s">
        <v>51</v>
      </c>
      <c r="Q24" s="12" t="s">
        <v>45</v>
      </c>
      <c r="R24" s="1"/>
      <c r="S24" s="1"/>
      <c r="T24" s="1"/>
      <c r="U24" s="130" t="str">
        <f>INDEX(resultat[Match],SUMPRODUCT(MATCH(1,(resultat[Journée]=racing[[#This Row],[journée]])*((resultat[Domicile]=Equipe)+(resultat[Exterieur]=Equipe)),0)))</f>
        <v>Match 7</v>
      </c>
      <c r="V24" s="1"/>
      <c r="W24" s="1"/>
      <c r="X24" s="1"/>
    </row>
    <row r="25" spans="1:24">
      <c r="A25" s="39" t="s">
        <v>141</v>
      </c>
      <c r="B25" s="37" t="str">
        <f>SUBSTITUTE(INDEX(resultat[Domicile]&amp;resultat[Exterieur],SUMPRODUCT(MATCH(1,(resultat[Journée]=racing[[#This Row],[journée]])*((resultat[Domicile]=Equipe)+(resultat[Exterieur]=Equipe)),0))),Equipe,"")</f>
        <v>Toulon</v>
      </c>
      <c r="C25" s="38" t="str">
        <f>IF(SUMPRODUCT((resultat[Journée]=racing[[#This Row],[journée]])*(resultat[Domicile]=Equipe)),"Domicile","Extérieur")</f>
        <v>Extérieur</v>
      </c>
      <c r="D25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5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5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5" s="34"/>
      <c r="H25" s="49"/>
      <c r="I25" s="50">
        <f>(racing[[#This Row],[Issue match]]="Victoire")*4 + (racing[[#This Row],[Issue match]]="Nul")*2 + racing[[#This Row],[Bonus off]] + racing[[#This Row],[Bonus déf]]</f>
        <v>0</v>
      </c>
      <c r="K25" s="10" t="s">
        <v>6</v>
      </c>
      <c r="L25" s="69"/>
      <c r="M25" s="70"/>
      <c r="N25" s="71"/>
      <c r="O25" s="1"/>
      <c r="P25" s="1" t="s">
        <v>51</v>
      </c>
      <c r="Q25" s="12" t="s">
        <v>46</v>
      </c>
      <c r="R25" s="1"/>
      <c r="S25" s="1"/>
      <c r="T25" s="1"/>
      <c r="U25" s="130" t="str">
        <f>INDEX(resultat[Match],SUMPRODUCT(MATCH(1,(resultat[Journée]=racing[[#This Row],[journée]])*((resultat[Domicile]=Equipe)+(resultat[Exterieur]=Equipe)),0)))</f>
        <v>Match 1</v>
      </c>
      <c r="V25" s="1"/>
      <c r="W25" s="1"/>
      <c r="X25" s="1"/>
    </row>
    <row r="26" spans="1:24">
      <c r="A26" s="39" t="s">
        <v>142</v>
      </c>
      <c r="B26" s="37" t="str">
        <f>SUBSTITUTE(INDEX(resultat[Domicile]&amp;resultat[Exterieur],SUMPRODUCT(MATCH(1,(resultat[Journée]=racing[[#This Row],[journée]])*((resultat[Domicile]=Equipe)+(resultat[Exterieur]=Equipe)),0))),Equipe,"")</f>
        <v>Bordeaux</v>
      </c>
      <c r="C26" s="38" t="str">
        <f>IF(SUMPRODUCT((resultat[Journée]=racing[[#This Row],[journée]])*(resultat[Domicile]=Equipe)),"Domicile","Extérieur")</f>
        <v>Domicile</v>
      </c>
      <c r="D26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6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6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6" s="34"/>
      <c r="H26" s="49"/>
      <c r="I26" s="50">
        <f>(racing[[#This Row],[Issue match]]="Victoire")*4 + (racing[[#This Row],[Issue match]]="Nul")*2 + racing[[#This Row],[Bonus off]] + racing[[#This Row],[Bonus déf]]</f>
        <v>0</v>
      </c>
      <c r="K26" s="10" t="s">
        <v>7</v>
      </c>
      <c r="L26" s="13"/>
      <c r="M26" s="72"/>
      <c r="N26" s="72"/>
      <c r="O26" s="1"/>
      <c r="P26" s="1" t="s">
        <v>51</v>
      </c>
      <c r="Q26" s="12" t="s">
        <v>47</v>
      </c>
      <c r="R26" s="1"/>
      <c r="S26" s="1"/>
      <c r="T26" s="1"/>
      <c r="U26" s="130" t="str">
        <f>INDEX(resultat[Match],SUMPRODUCT(MATCH(1,(resultat[Journée]=racing[[#This Row],[journée]])*((resultat[Domicile]=Equipe)+(resultat[Exterieur]=Equipe)),0)))</f>
        <v>Match 2</v>
      </c>
      <c r="V26" s="1"/>
      <c r="W26" s="1"/>
      <c r="X26" s="1"/>
    </row>
    <row r="27" spans="1:24">
      <c r="A27" s="39" t="s">
        <v>143</v>
      </c>
      <c r="B27" s="37" t="str">
        <f>SUBSTITUTE(INDEX(resultat[Domicile]&amp;resultat[Exterieur],SUMPRODUCT(MATCH(1,(resultat[Journée]=racing[[#This Row],[journée]])*((resultat[Domicile]=Equipe)+(resultat[Exterieur]=Equipe)),0))),Equipe,"")</f>
        <v>Bayonne</v>
      </c>
      <c r="C27" s="38" t="str">
        <f>IF(SUMPRODUCT((resultat[Journée]=racing[[#This Row],[journée]])*(resultat[Domicile]=Equipe)),"Domicile","Extérieur")</f>
        <v>Extérieur</v>
      </c>
      <c r="D27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7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7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7" s="34"/>
      <c r="H27" s="49"/>
      <c r="I27" s="50">
        <f>(racing[[#This Row],[Issue match]]="Victoire")*4 + (racing[[#This Row],[Issue match]]="Nul")*2 + racing[[#This Row],[Bonus off]] + racing[[#This Row],[Bonus déf]]</f>
        <v>0</v>
      </c>
      <c r="K27" s="10" t="s">
        <v>9</v>
      </c>
      <c r="L27" s="18"/>
      <c r="M27" s="18"/>
      <c r="N27" s="13"/>
      <c r="O27" s="1"/>
      <c r="P27" s="1" t="s">
        <v>51</v>
      </c>
      <c r="Q27" s="12" t="s">
        <v>48</v>
      </c>
      <c r="R27" s="1"/>
      <c r="S27" s="1"/>
      <c r="T27" s="1"/>
      <c r="U27" s="130" t="str">
        <f>INDEX(resultat[Match],SUMPRODUCT(MATCH(1,(resultat[Journée]=racing[[#This Row],[journée]])*((resultat[Domicile]=Equipe)+(resultat[Exterieur]=Equipe)),0)))</f>
        <v>Match 3</v>
      </c>
      <c r="V27" s="1"/>
      <c r="W27" s="1"/>
      <c r="X27" s="1"/>
    </row>
    <row r="28" spans="1:24">
      <c r="A28" s="39" t="s">
        <v>144</v>
      </c>
      <c r="B28" s="37" t="str">
        <f>SUBSTITUTE(INDEX(resultat[Domicile]&amp;resultat[Exterieur],SUMPRODUCT(MATCH(1,(resultat[Journée]=racing[[#This Row],[journée]])*((resultat[Domicile]=Equipe)+(resultat[Exterieur]=Equipe)),0))),Equipe,"")</f>
        <v>Paris</v>
      </c>
      <c r="C28" s="38" t="str">
        <f>IF(SUMPRODUCT((resultat[Journée]=racing[[#This Row],[journée]])*(resultat[Domicile]=Equipe)),"Domicile","Extérieur")</f>
        <v>Domicile</v>
      </c>
      <c r="D28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8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8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8" s="34"/>
      <c r="H28" s="49"/>
      <c r="I28" s="50">
        <f>(racing[[#This Row],[Issue match]]="Victoire")*4 + (racing[[#This Row],[Issue match]]="Nul")*2 + racing[[#This Row],[Bonus off]] + racing[[#This Row],[Bonus déf]]</f>
        <v>0</v>
      </c>
      <c r="K28" s="10" t="s">
        <v>8</v>
      </c>
      <c r="L28" s="72"/>
      <c r="M28" s="72"/>
      <c r="N28" s="13"/>
      <c r="O28" s="1"/>
      <c r="P28" s="1" t="s">
        <v>51</v>
      </c>
      <c r="Q28" s="12" t="s">
        <v>49</v>
      </c>
      <c r="R28" s="1"/>
      <c r="S28" s="1"/>
      <c r="T28" s="1"/>
      <c r="U28" s="130" t="str">
        <f>INDEX(resultat[Match],SUMPRODUCT(MATCH(1,(resultat[Journée]=racing[[#This Row],[journée]])*((resultat[Domicile]=Equipe)+(resultat[Exterieur]=Equipe)),0)))</f>
        <v>Match 1</v>
      </c>
      <c r="V28" s="1"/>
      <c r="W28" s="1"/>
      <c r="X28" s="1"/>
    </row>
    <row r="29" spans="1:24">
      <c r="A29" s="39" t="s">
        <v>145</v>
      </c>
      <c r="B29" s="37" t="str">
        <f>SUBSTITUTE(INDEX(resultat[Domicile]&amp;resultat[Exterieur],SUMPRODUCT(MATCH(1,(resultat[Journée]=racing[[#This Row],[journée]])*((resultat[Domicile]=Equipe)+(resultat[Exterieur]=Equipe)),0))),Equipe,"")</f>
        <v>Toulouse</v>
      </c>
      <c r="C29" s="38" t="str">
        <f>IF(SUMPRODUCT((resultat[Journée]=racing[[#This Row],[journée]])*(resultat[Domicile]=Equipe)),"Domicile","Extérieur")</f>
        <v>Extérieur</v>
      </c>
      <c r="D29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29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29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29" s="34"/>
      <c r="H29" s="49"/>
      <c r="I29" s="50">
        <f>(racing[[#This Row],[Issue match]]="Victoire")*4 + (racing[[#This Row],[Issue match]]="Nul")*2 + racing[[#This Row],[Bonus off]] + racing[[#This Row],[Bonus déf]]</f>
        <v>0</v>
      </c>
      <c r="K29" s="10" t="s">
        <v>9</v>
      </c>
      <c r="L29" s="18"/>
      <c r="M29" s="18"/>
      <c r="N29" s="13"/>
      <c r="O29" s="1"/>
      <c r="P29" s="1" t="s">
        <v>51</v>
      </c>
      <c r="Q29" s="12" t="s">
        <v>50</v>
      </c>
      <c r="R29" s="1"/>
      <c r="S29" s="1"/>
      <c r="T29" s="1"/>
      <c r="U29" s="130" t="str">
        <f>INDEX(resultat[Match],SUMPRODUCT(MATCH(1,(resultat[Journée]=racing[[#This Row],[journée]])*((resultat[Domicile]=Equipe)+(resultat[Exterieur]=Equipe)),0)))</f>
        <v>Match 2</v>
      </c>
      <c r="V29" s="1"/>
      <c r="W29" s="1"/>
      <c r="X29" s="1"/>
    </row>
    <row r="30" spans="1:24">
      <c r="A30" s="39" t="s">
        <v>146</v>
      </c>
      <c r="B30" s="37" t="str">
        <f>SUBSTITUTE(INDEX(resultat[Domicile]&amp;resultat[Exterieur],SUMPRODUCT(MATCH(1,(resultat[Journée]=racing[[#This Row],[journée]])*((resultat[Domicile]=Equipe)+(resultat[Exterieur]=Equipe)),0))),Equipe,"")</f>
        <v>Clermont</v>
      </c>
      <c r="C30" s="38" t="str">
        <f>IF(SUMPRODUCT((resultat[Journée]=racing[[#This Row],[journée]])*(resultat[Domicile]=Equipe)),"Domicile","Extérieur")</f>
        <v>Domicile</v>
      </c>
      <c r="D30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30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30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30" s="34"/>
      <c r="H30" s="49"/>
      <c r="I30" s="50">
        <f>(racing[[#This Row],[Issue match]]="Victoire")*4 + (racing[[#This Row],[Issue match]]="Nul")*2 + racing[[#This Row],[Bonus off]] + racing[[#This Row],[Bonus déf]]</f>
        <v>0</v>
      </c>
      <c r="K30" s="10" t="s">
        <v>10</v>
      </c>
      <c r="L30" s="13"/>
      <c r="M30" s="13"/>
      <c r="N30" s="13"/>
      <c r="O30" s="1"/>
      <c r="P30" s="1" t="s">
        <v>51</v>
      </c>
      <c r="Q30" s="12" t="s">
        <v>52</v>
      </c>
      <c r="R30" s="1"/>
      <c r="S30" s="1"/>
      <c r="T30" s="1"/>
      <c r="U30" s="130" t="str">
        <f>INDEX(resultat[Match],SUMPRODUCT(MATCH(1,(resultat[Journée]=racing[[#This Row],[journée]])*((resultat[Domicile]=Equipe)+(resultat[Exterieur]=Equipe)),0)))</f>
        <v>Match 1</v>
      </c>
      <c r="V30" s="1"/>
      <c r="W30" s="1"/>
      <c r="X30" s="1"/>
    </row>
    <row r="31" spans="1:24">
      <c r="A31" s="39" t="s">
        <v>147</v>
      </c>
      <c r="B31" s="37" t="str">
        <f>SUBSTITUTE(INDEX(resultat[Domicile]&amp;resultat[Exterieur],SUMPRODUCT(MATCH(1,(resultat[Journée]=racing[[#This Row],[journée]])*((resultat[Domicile]=Equipe)+(resultat[Exterieur]=Equipe)),0))),Equipe,"")</f>
        <v>Pau</v>
      </c>
      <c r="C31" s="38" t="str">
        <f>IF(SUMPRODUCT((resultat[Journée]=racing[[#This Row],[journée]])*(resultat[Domicile]=Equipe)),"Domicile","Extérieur")</f>
        <v>Extérieur</v>
      </c>
      <c r="D31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31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31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31" s="34"/>
      <c r="H31" s="49"/>
      <c r="I31" s="50">
        <f>(racing[[#This Row],[Issue match]]="Victoire")*4 + (racing[[#This Row],[Issue match]]="Nul")*2 + racing[[#This Row],[Bonus off]] + racing[[#This Row],[Bonus déf]]</f>
        <v>0</v>
      </c>
      <c r="K31" s="10" t="s">
        <v>9</v>
      </c>
      <c r="L31" s="18"/>
      <c r="M31" s="18"/>
      <c r="N31" s="13"/>
      <c r="O31" s="1"/>
      <c r="P31" s="1" t="s">
        <v>51</v>
      </c>
      <c r="Q31" s="12" t="s">
        <v>53</v>
      </c>
      <c r="R31" s="1"/>
      <c r="S31" s="1"/>
      <c r="T31" s="1"/>
      <c r="U31" s="130" t="str">
        <f>INDEX(resultat[Match],SUMPRODUCT(MATCH(1,(resultat[Journée]=racing[[#This Row],[journée]])*((resultat[Domicile]=Equipe)+(resultat[Exterieur]=Equipe)),0)))</f>
        <v>Match 5</v>
      </c>
      <c r="V31" s="1"/>
      <c r="W31" s="1"/>
      <c r="X31" s="1"/>
    </row>
    <row r="32" spans="1:24">
      <c r="A32" s="39" t="s">
        <v>148</v>
      </c>
      <c r="B32" s="37" t="str">
        <f>SUBSTITUTE(INDEX(resultat[Domicile]&amp;resultat[Exterieur],SUMPRODUCT(MATCH(1,(resultat[Journée]=racing[[#This Row],[journée]])*((resultat[Domicile]=Equipe)+(resultat[Exterieur]=Equipe)),0))),Equipe,"")</f>
        <v>Agen</v>
      </c>
      <c r="C32" s="38" t="str">
        <f>IF(SUMPRODUCT((resultat[Journée]=racing[[#This Row],[journée]])*(resultat[Domicile]=Equipe)),"Domicile","Extérieur")</f>
        <v>Extérieur</v>
      </c>
      <c r="D32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32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32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32" s="34"/>
      <c r="H32" s="49"/>
      <c r="I32" s="50">
        <f>(racing[[#This Row],[Issue match]]="Victoire")*4 + (racing[[#This Row],[Issue match]]="Nul")*2 + racing[[#This Row],[Bonus off]] + racing[[#This Row],[Bonus déf]]</f>
        <v>0</v>
      </c>
      <c r="J32" s="1"/>
      <c r="K32" s="1"/>
      <c r="L32" s="1"/>
      <c r="M32" s="1"/>
      <c r="U32" s="130" t="str">
        <f>INDEX(resultat[Match],SUMPRODUCT(MATCH(1,(resultat[Journée]=racing[[#This Row],[journée]])*((resultat[Domicile]=Equipe)+(resultat[Exterieur]=Equipe)),0)))</f>
        <v>Match 2</v>
      </c>
      <c r="V32" s="1"/>
      <c r="W32" s="1"/>
      <c r="X32" s="1"/>
    </row>
    <row r="33" spans="1:24">
      <c r="A33" s="39" t="s">
        <v>149</v>
      </c>
      <c r="B33" s="37" t="str">
        <f>SUBSTITUTE(INDEX(resultat[Domicile]&amp;resultat[Exterieur],SUMPRODUCT(MATCH(1,(resultat[Journée]=racing[[#This Row],[journée]])*((resultat[Domicile]=Equipe)+(resultat[Exterieur]=Equipe)),0))),Equipe,"")</f>
        <v>Brive</v>
      </c>
      <c r="C33" s="38" t="str">
        <f>IF(SUMPRODUCT((resultat[Journée]=racing[[#This Row],[journée]])*(resultat[Domicile]=Equipe)),"Domicile","Extérieur")</f>
        <v>Domicile</v>
      </c>
      <c r="D33" s="52" t="str">
        <f>IF(INDEX(resultat[Issue],SUMPRODUCT(MATCH(1,(resultat[Journée]=racing[[#This Row],[journée]])*((resultat[Domicile]=Equipe)+(resultat[Exterieur]=Equipe)),0)))=Equipe,"Victoire",
IF(INDEX(resultat[Issue],SUMPRODUCT(MATCH(1,(resultat[Journée]=racing[[#This Row],[journée]])*((resultat[Domicile]=Equipe)+(resultat[Exterieur]=Equipe)),0)))=racing[[#This Row],[adversaire]],"Défaite",
INDEX(resultat[Issue],SUMPRODUCT(MATCH(1,(resultat[Journée]=racing[[#This Row],[journée]])*((resultat[Domicile]=Equipe)+(resultat[Exterieur]=Equipe)),0)))))</f>
        <v/>
      </c>
      <c r="E33" s="45">
        <f>SUMIFS(resultat[Score D],resultat[Journée],racing[[#This Row],[journée]],resultat[Domicile],racing[[#This Row],[adversaire]]) + SUMIFS(resultat[Score D],resultat[Journée],racing[[#This Row],[journée]],resultat[Exterieur],racing[[#This Row],[adversaire]])</f>
        <v>0</v>
      </c>
      <c r="F33" s="46">
        <f>SUMIFS(resultat[Score E],resultat[Journée],racing[[#This Row],[journée]],resultat[Domicile],racing[[#This Row],[adversaire]])  + SUMIFS(resultat[Score E],resultat[Journée],racing[[#This Row],[journée]],resultat[Exterieur],racing[[#This Row],[adversaire]])</f>
        <v>0</v>
      </c>
      <c r="G33" s="34"/>
      <c r="H33" s="49"/>
      <c r="I33" s="50">
        <f>(racing[[#This Row],[Issue match]]="Victoire")*4 + (racing[[#This Row],[Issue match]]="Nul")*2 + racing[[#This Row],[Bonus off]] + racing[[#This Row],[Bonus déf]]</f>
        <v>0</v>
      </c>
      <c r="J33" s="1"/>
      <c r="K33" s="1"/>
      <c r="L33" s="1"/>
      <c r="M33" s="1"/>
      <c r="U33" s="130" t="str">
        <f>INDEX(resultat[Match],SUMPRODUCT(MATCH(1,(resultat[Journée]=racing[[#This Row],[journée]])*((resultat[Domicile]=Equipe)+(resultat[Exterieur]=Equipe)),0)))</f>
        <v>Match 6</v>
      </c>
      <c r="V33" s="1"/>
      <c r="W33" s="1"/>
      <c r="X33" s="1"/>
    </row>
    <row r="34" spans="1:2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V34" s="1"/>
      <c r="W34" s="1"/>
      <c r="X34" s="1"/>
    </row>
    <row r="35" spans="1:24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24">
      <c r="A36" s="75" t="s">
        <v>32</v>
      </c>
      <c r="B36" s="74" t="s">
        <v>14</v>
      </c>
      <c r="C36" s="48">
        <v>17</v>
      </c>
      <c r="D36" s="23">
        <v>7</v>
      </c>
      <c r="E36" s="2">
        <v>3</v>
      </c>
      <c r="F36" s="19">
        <f t="shared" ref="F36:F48" si="1">(D36+E36)/C36</f>
        <v>0.58823529411764708</v>
      </c>
      <c r="G36" s="2">
        <v>1</v>
      </c>
      <c r="H36" s="2">
        <v>5</v>
      </c>
      <c r="I36" s="19">
        <f t="shared" ref="I36:I48" si="2">(G36+H36)/C36</f>
        <v>0.35294117647058826</v>
      </c>
      <c r="J36" s="2">
        <v>1</v>
      </c>
      <c r="K36" s="21">
        <f t="shared" ref="K36:K48" si="3">100%-(F36+I36)</f>
        <v>5.8823529411764719E-2</v>
      </c>
      <c r="L36" s="22">
        <f t="shared" ref="L36:L48" si="4">SUM(F36+I36+K36)</f>
        <v>1</v>
      </c>
      <c r="M36" s="1"/>
    </row>
    <row r="37" spans="1:24">
      <c r="A37" s="74" t="s">
        <v>32</v>
      </c>
      <c r="B37" s="74" t="s">
        <v>23</v>
      </c>
      <c r="C37" s="2">
        <v>23</v>
      </c>
      <c r="D37" s="23">
        <v>6</v>
      </c>
      <c r="E37" s="2">
        <v>5</v>
      </c>
      <c r="F37" s="19">
        <f t="shared" si="1"/>
        <v>0.47826086956521741</v>
      </c>
      <c r="G37" s="2">
        <v>3</v>
      </c>
      <c r="H37" s="2">
        <v>4</v>
      </c>
      <c r="I37" s="19">
        <f t="shared" si="2"/>
        <v>0.30434782608695654</v>
      </c>
      <c r="J37" s="48">
        <v>5</v>
      </c>
      <c r="K37" s="21">
        <f t="shared" si="3"/>
        <v>0.21739130434782605</v>
      </c>
      <c r="L37" s="22">
        <f t="shared" si="4"/>
        <v>1</v>
      </c>
      <c r="M37" s="1"/>
    </row>
    <row r="38" spans="1:24">
      <c r="A38" s="74" t="s">
        <v>32</v>
      </c>
      <c r="B38" s="74" t="s">
        <v>24</v>
      </c>
      <c r="C38" s="2">
        <v>26</v>
      </c>
      <c r="D38" s="23">
        <v>10</v>
      </c>
      <c r="E38" s="2">
        <v>6</v>
      </c>
      <c r="F38" s="19">
        <f t="shared" si="1"/>
        <v>0.61538461538461542</v>
      </c>
      <c r="G38" s="2">
        <v>2</v>
      </c>
      <c r="H38" s="2">
        <v>7</v>
      </c>
      <c r="I38" s="19">
        <f t="shared" si="2"/>
        <v>0.34615384615384615</v>
      </c>
      <c r="J38" s="48">
        <v>1</v>
      </c>
      <c r="K38" s="21">
        <f t="shared" si="3"/>
        <v>3.8461538461538436E-2</v>
      </c>
      <c r="L38" s="22">
        <f t="shared" si="4"/>
        <v>1</v>
      </c>
      <c r="M38" s="1"/>
    </row>
    <row r="39" spans="1:24">
      <c r="A39" s="74" t="s">
        <v>32</v>
      </c>
      <c r="B39" s="74" t="s">
        <v>25</v>
      </c>
      <c r="C39" s="2">
        <v>21</v>
      </c>
      <c r="D39" s="23">
        <v>7</v>
      </c>
      <c r="E39" s="2">
        <v>5</v>
      </c>
      <c r="F39" s="19">
        <f t="shared" si="1"/>
        <v>0.5714285714285714</v>
      </c>
      <c r="G39" s="2">
        <v>0</v>
      </c>
      <c r="H39" s="2">
        <v>3</v>
      </c>
      <c r="I39" s="19">
        <f t="shared" si="2"/>
        <v>0.14285714285714285</v>
      </c>
      <c r="J39" s="48">
        <v>6</v>
      </c>
      <c r="K39" s="21">
        <f t="shared" si="3"/>
        <v>0.28571428571428581</v>
      </c>
      <c r="L39" s="22">
        <f t="shared" si="4"/>
        <v>1</v>
      </c>
      <c r="M39" s="1"/>
    </row>
    <row r="40" spans="1:24">
      <c r="A40" s="74" t="s">
        <v>32</v>
      </c>
      <c r="B40" s="74" t="s">
        <v>37</v>
      </c>
      <c r="C40" s="2">
        <v>25</v>
      </c>
      <c r="D40" s="23">
        <v>10</v>
      </c>
      <c r="E40" s="2">
        <v>4</v>
      </c>
      <c r="F40" s="19">
        <f t="shared" si="1"/>
        <v>0.56000000000000005</v>
      </c>
      <c r="G40" s="2">
        <v>2</v>
      </c>
      <c r="H40" s="2">
        <v>8</v>
      </c>
      <c r="I40" s="19">
        <f t="shared" si="2"/>
        <v>0.4</v>
      </c>
      <c r="J40" s="48">
        <v>1</v>
      </c>
      <c r="K40" s="21">
        <f t="shared" si="3"/>
        <v>3.9999999999999925E-2</v>
      </c>
      <c r="L40" s="22">
        <f t="shared" si="4"/>
        <v>1</v>
      </c>
      <c r="M40" s="1"/>
    </row>
    <row r="41" spans="1:24">
      <c r="A41" s="74" t="s">
        <v>32</v>
      </c>
      <c r="B41" s="74" t="s">
        <v>26</v>
      </c>
      <c r="C41" s="2">
        <v>29</v>
      </c>
      <c r="D41" s="23">
        <v>10</v>
      </c>
      <c r="E41" s="2">
        <v>3</v>
      </c>
      <c r="F41" s="19">
        <f t="shared" si="1"/>
        <v>0.44827586206896552</v>
      </c>
      <c r="G41" s="2">
        <v>2</v>
      </c>
      <c r="H41" s="2">
        <v>12</v>
      </c>
      <c r="I41" s="19">
        <f t="shared" si="2"/>
        <v>0.48275862068965519</v>
      </c>
      <c r="J41" s="48">
        <v>2</v>
      </c>
      <c r="K41" s="21">
        <f t="shared" si="3"/>
        <v>6.8965517241379226E-2</v>
      </c>
      <c r="L41" s="22">
        <f t="shared" si="4"/>
        <v>1</v>
      </c>
      <c r="M41" s="1"/>
    </row>
    <row r="42" spans="1:24">
      <c r="A42" s="74" t="s">
        <v>32</v>
      </c>
      <c r="B42" s="74" t="s">
        <v>27</v>
      </c>
      <c r="C42" s="2">
        <v>30</v>
      </c>
      <c r="D42" s="23">
        <v>11</v>
      </c>
      <c r="E42" s="2">
        <v>4</v>
      </c>
      <c r="F42" s="19">
        <f t="shared" si="1"/>
        <v>0.5</v>
      </c>
      <c r="G42" s="2">
        <v>3</v>
      </c>
      <c r="H42" s="2">
        <v>7</v>
      </c>
      <c r="I42" s="19">
        <f t="shared" si="2"/>
        <v>0.33333333333333331</v>
      </c>
      <c r="J42" s="48">
        <v>5</v>
      </c>
      <c r="K42" s="21">
        <f t="shared" si="3"/>
        <v>0.16666666666666674</v>
      </c>
      <c r="L42" s="22">
        <f t="shared" si="4"/>
        <v>1</v>
      </c>
      <c r="M42" s="1"/>
    </row>
    <row r="43" spans="1:24">
      <c r="A43" s="74" t="s">
        <v>32</v>
      </c>
      <c r="B43" s="74" t="s">
        <v>28</v>
      </c>
      <c r="C43" s="2">
        <v>27</v>
      </c>
      <c r="D43" s="23">
        <v>7</v>
      </c>
      <c r="E43" s="2">
        <v>6</v>
      </c>
      <c r="F43" s="19">
        <f t="shared" si="1"/>
        <v>0.48148148148148145</v>
      </c>
      <c r="G43" s="2">
        <v>5</v>
      </c>
      <c r="H43" s="2">
        <v>7</v>
      </c>
      <c r="I43" s="19">
        <f t="shared" si="2"/>
        <v>0.44444444444444442</v>
      </c>
      <c r="J43" s="48">
        <v>2</v>
      </c>
      <c r="K43" s="21">
        <f t="shared" si="3"/>
        <v>7.4074074074074181E-2</v>
      </c>
      <c r="L43" s="22">
        <f t="shared" si="4"/>
        <v>1</v>
      </c>
      <c r="M43" s="1"/>
    </row>
    <row r="44" spans="1:24">
      <c r="A44" s="74" t="s">
        <v>32</v>
      </c>
      <c r="B44" s="74" t="s">
        <v>29</v>
      </c>
      <c r="C44" s="2">
        <v>28</v>
      </c>
      <c r="D44" s="23">
        <v>10</v>
      </c>
      <c r="E44" s="2">
        <v>4</v>
      </c>
      <c r="F44" s="19">
        <f t="shared" si="1"/>
        <v>0.5</v>
      </c>
      <c r="G44" s="2">
        <v>2</v>
      </c>
      <c r="H44" s="2">
        <v>7</v>
      </c>
      <c r="I44" s="19">
        <f t="shared" si="2"/>
        <v>0.32142857142857145</v>
      </c>
      <c r="J44" s="48">
        <v>5</v>
      </c>
      <c r="K44" s="21">
        <f t="shared" si="3"/>
        <v>0.1785714285714286</v>
      </c>
      <c r="L44" s="22">
        <f t="shared" si="4"/>
        <v>1</v>
      </c>
      <c r="M44" s="1"/>
    </row>
    <row r="45" spans="1:24">
      <c r="A45" s="74" t="s">
        <v>32</v>
      </c>
      <c r="B45" s="74" t="s">
        <v>30</v>
      </c>
      <c r="C45" s="2">
        <v>22</v>
      </c>
      <c r="D45" s="23">
        <v>8</v>
      </c>
      <c r="E45" s="2">
        <v>5</v>
      </c>
      <c r="F45" s="19">
        <f t="shared" si="1"/>
        <v>0.59090909090909094</v>
      </c>
      <c r="G45" s="2">
        <v>2</v>
      </c>
      <c r="H45" s="2">
        <v>7</v>
      </c>
      <c r="I45" s="19">
        <f t="shared" si="2"/>
        <v>0.40909090909090912</v>
      </c>
      <c r="J45" s="48"/>
      <c r="K45" s="21">
        <f t="shared" si="3"/>
        <v>0</v>
      </c>
      <c r="L45" s="22">
        <f t="shared" si="4"/>
        <v>1</v>
      </c>
      <c r="M45" s="1"/>
    </row>
    <row r="46" spans="1:24">
      <c r="A46" s="74" t="s">
        <v>32</v>
      </c>
      <c r="B46" s="74" t="s">
        <v>31</v>
      </c>
      <c r="C46" s="2">
        <v>15</v>
      </c>
      <c r="D46" s="23">
        <v>7</v>
      </c>
      <c r="E46" s="2">
        <v>2</v>
      </c>
      <c r="F46" s="19">
        <f t="shared" si="1"/>
        <v>0.6</v>
      </c>
      <c r="G46" s="2">
        <v>0</v>
      </c>
      <c r="H46" s="2">
        <v>5</v>
      </c>
      <c r="I46" s="19">
        <f t="shared" si="2"/>
        <v>0.33333333333333331</v>
      </c>
      <c r="J46" s="48">
        <v>1</v>
      </c>
      <c r="K46" s="21">
        <f t="shared" si="3"/>
        <v>6.6666666666666652E-2</v>
      </c>
      <c r="L46" s="22">
        <f t="shared" si="4"/>
        <v>1</v>
      </c>
      <c r="M46" s="1"/>
    </row>
    <row r="47" spans="1:24">
      <c r="A47" s="74" t="s">
        <v>32</v>
      </c>
      <c r="B47" s="74" t="s">
        <v>15</v>
      </c>
      <c r="C47" s="2">
        <v>37</v>
      </c>
      <c r="D47" s="23">
        <v>9</v>
      </c>
      <c r="E47" s="2">
        <v>7</v>
      </c>
      <c r="F47" s="19">
        <f t="shared" si="1"/>
        <v>0.43243243243243246</v>
      </c>
      <c r="G47" s="2">
        <v>6</v>
      </c>
      <c r="H47" s="2">
        <v>11</v>
      </c>
      <c r="I47" s="19">
        <f t="shared" si="2"/>
        <v>0.45945945945945948</v>
      </c>
      <c r="J47" s="28">
        <v>4</v>
      </c>
      <c r="K47" s="21">
        <f t="shared" si="3"/>
        <v>0.10810810810810811</v>
      </c>
      <c r="L47" s="22">
        <f t="shared" si="4"/>
        <v>1</v>
      </c>
      <c r="M47" s="1"/>
    </row>
    <row r="48" spans="1:24">
      <c r="A48" s="74" t="s">
        <v>32</v>
      </c>
      <c r="B48" s="74" t="s">
        <v>33</v>
      </c>
      <c r="C48" s="2">
        <v>26</v>
      </c>
      <c r="D48" s="23">
        <v>9</v>
      </c>
      <c r="E48" s="2">
        <v>2</v>
      </c>
      <c r="F48" s="19">
        <f t="shared" si="1"/>
        <v>0.42307692307692307</v>
      </c>
      <c r="G48" s="2">
        <v>4</v>
      </c>
      <c r="H48" s="2">
        <v>11</v>
      </c>
      <c r="I48" s="19">
        <f t="shared" si="2"/>
        <v>0.57692307692307687</v>
      </c>
      <c r="J48" s="28"/>
      <c r="K48" s="21">
        <f t="shared" si="3"/>
        <v>0</v>
      </c>
      <c r="L48" s="22">
        <f t="shared" si="4"/>
        <v>1</v>
      </c>
      <c r="M48" s="1"/>
    </row>
    <row r="50" spans="1:12">
      <c r="A50" s="92" t="s">
        <v>166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32</v>
      </c>
      <c r="B52" s="91" t="s">
        <v>14</v>
      </c>
      <c r="C52" s="83">
        <f>COUNTIFS(racing[adversaire],B52)</f>
        <v>2</v>
      </c>
      <c r="D52" s="84">
        <f>COUNTIFS(racing[adversaire],B52,racing[Lieu Match],"domicile",racing[Issue match],"victoire")</f>
        <v>0</v>
      </c>
      <c r="E52" s="84">
        <f>COUNTIFS(racing[adversaire],B52,racing[Lieu Match],"Extérieur",racing[Issue match],"victoire")</f>
        <v>0</v>
      </c>
      <c r="F52" s="82">
        <f t="shared" ref="F52" si="5">(D52+E52)/C52</f>
        <v>0</v>
      </c>
      <c r="G52" s="78">
        <f>COUNTIFS(racing[adversaire],B52,racing[Lieu Match],"domicile",racing[Issue match],"défaite")</f>
        <v>0</v>
      </c>
      <c r="H52" s="80">
        <f>COUNTIFS(racing[adversaire],B52,racing[Lieu Match],"Extérieur",racing[Issue match],"défaite")</f>
        <v>0</v>
      </c>
      <c r="I52" s="79">
        <f t="shared" ref="I52" si="6">(G52+H52)/C52</f>
        <v>0</v>
      </c>
      <c r="J52" s="85">
        <f>COUNTIFS(racing[adversaire],B52,racing[Lieu Match],"Domicile",racing[Issue match],"Nul")+COUNTIFS(racing[adversaire],B52,racing[Lieu Match],"Extérieur",racing[Issue match],"Nul")</f>
        <v>0</v>
      </c>
      <c r="K52" s="81">
        <f t="shared" ref="K52" si="7">100%-(F52+I52)</f>
        <v>1</v>
      </c>
      <c r="L52" s="89">
        <f t="shared" ref="L52" si="8">SUM(F52+I52+K52)</f>
        <v>1</v>
      </c>
    </row>
    <row r="53" spans="1:12">
      <c r="A53" s="90" t="s">
        <v>32</v>
      </c>
      <c r="B53" s="91" t="s">
        <v>23</v>
      </c>
      <c r="C53" s="83">
        <f>COUNTIFS(racing[adversaire],B53)</f>
        <v>2</v>
      </c>
      <c r="D53" s="84">
        <f>COUNTIFS(racing[adversaire],B53,racing[Lieu Match],"domicile",racing[Issue match],"victoire")</f>
        <v>0</v>
      </c>
      <c r="E53" s="84">
        <f>COUNTIFS(racing[adversaire],B53,racing[Lieu Match],"Extérieur",racing[Issue match],"victoire")</f>
        <v>0</v>
      </c>
      <c r="F53" s="82">
        <f t="shared" ref="F53:F64" si="9">(D53+E53)/C53</f>
        <v>0</v>
      </c>
      <c r="G53" s="78">
        <f>COUNTIFS(racing[adversaire],B53,racing[Lieu Match],"domicile",racing[Issue match],"défaite")</f>
        <v>0</v>
      </c>
      <c r="H53" s="80">
        <f>COUNTIFS(racing[adversaire],B53,racing[Lieu Match],"Extérieur",racing[Issue match],"défaite")</f>
        <v>0</v>
      </c>
      <c r="I53" s="79">
        <f t="shared" ref="I53:I64" si="10">(G53+H53)/C53</f>
        <v>0</v>
      </c>
      <c r="J53" s="85">
        <f>COUNTIFS(racing[adversaire],B53,racing[Lieu Match],"Domicile",racing[Issue match],"Nul")+COUNTIFS(racing[adversaire],B53,racing[Lieu Match],"Extérieur",racing[Issue match],"Nul")</f>
        <v>0</v>
      </c>
      <c r="K53" s="81">
        <f t="shared" ref="K53:K64" si="11">100%-(F53+I53)</f>
        <v>1</v>
      </c>
      <c r="L53" s="89">
        <f t="shared" ref="L53:L64" si="12">SUM(F53+I53+K53)</f>
        <v>1</v>
      </c>
    </row>
    <row r="54" spans="1:12">
      <c r="A54" s="90" t="s">
        <v>32</v>
      </c>
      <c r="B54" s="91" t="s">
        <v>24</v>
      </c>
      <c r="C54" s="83">
        <f>COUNTIFS(racing[adversaire],B54)</f>
        <v>2</v>
      </c>
      <c r="D54" s="84">
        <f>COUNTIFS(racing[adversaire],B54,racing[Lieu Match],"domicile",racing[Issue match],"victoire")</f>
        <v>0</v>
      </c>
      <c r="E54" s="84">
        <f>COUNTIFS(racing[adversaire],B54,racing[Lieu Match],"Extérieur",racing[Issue match],"victoire")</f>
        <v>0</v>
      </c>
      <c r="F54" s="82">
        <f t="shared" si="9"/>
        <v>0</v>
      </c>
      <c r="G54" s="78">
        <f>COUNTIFS(racing[adversaire],B54,racing[Lieu Match],"domicile",racing[Issue match],"défaite")</f>
        <v>0</v>
      </c>
      <c r="H54" s="80">
        <f>COUNTIFS(racing[adversaire],B54,racing[Lieu Match],"Extérieur",racing[Issue match],"défaite")</f>
        <v>0</v>
      </c>
      <c r="I54" s="79">
        <f t="shared" si="10"/>
        <v>0</v>
      </c>
      <c r="J54" s="85">
        <f>COUNTIFS(racing[adversaire],B54,racing[Lieu Match],"Domicile",racing[Issue match],"Nul")+COUNTIFS(racing[adversaire],B54,racing[Lieu Match],"Extérieur",racing[Issue match],"Nul")</f>
        <v>0</v>
      </c>
      <c r="K54" s="81">
        <f t="shared" si="11"/>
        <v>1</v>
      </c>
      <c r="L54" s="89">
        <f t="shared" si="12"/>
        <v>1</v>
      </c>
    </row>
    <row r="55" spans="1:12">
      <c r="A55" s="90" t="s">
        <v>32</v>
      </c>
      <c r="B55" s="91" t="s">
        <v>25</v>
      </c>
      <c r="C55" s="83">
        <f>COUNTIFS(racing[adversaire],B55)</f>
        <v>2</v>
      </c>
      <c r="D55" s="84">
        <f>COUNTIFS(racing[adversaire],B55,racing[Lieu Match],"domicile",racing[Issue match],"victoire")</f>
        <v>0</v>
      </c>
      <c r="E55" s="84">
        <f>COUNTIFS(racing[adversaire],B55,racing[Lieu Match],"Extérieur",racing[Issue match],"victoire")</f>
        <v>0</v>
      </c>
      <c r="F55" s="82">
        <f t="shared" si="9"/>
        <v>0</v>
      </c>
      <c r="G55" s="78">
        <f>COUNTIFS(racing[adversaire],B55,racing[Lieu Match],"domicile",racing[Issue match],"défaite")</f>
        <v>0</v>
      </c>
      <c r="H55" s="80">
        <f>COUNTIFS(racing[adversaire],B55,racing[Lieu Match],"Extérieur",racing[Issue match],"défaite")</f>
        <v>0</v>
      </c>
      <c r="I55" s="79">
        <f t="shared" si="10"/>
        <v>0</v>
      </c>
      <c r="J55" s="85">
        <f>COUNTIFS(racing[adversaire],B55,racing[Lieu Match],"Domicile",racing[Issue match],"Nul")+COUNTIFS(racing[adversaire],B55,racing[Lieu Match],"Extérieur",racing[Issue match],"Nul")</f>
        <v>0</v>
      </c>
      <c r="K55" s="81">
        <f t="shared" si="11"/>
        <v>1</v>
      </c>
      <c r="L55" s="89">
        <f t="shared" si="12"/>
        <v>1</v>
      </c>
    </row>
    <row r="56" spans="1:12">
      <c r="A56" s="90" t="s">
        <v>32</v>
      </c>
      <c r="B56" s="91" t="s">
        <v>37</v>
      </c>
      <c r="C56" s="83">
        <f>COUNTIFS(racing[adversaire],B56)</f>
        <v>2</v>
      </c>
      <c r="D56" s="84">
        <f>COUNTIFS(racing[adversaire],B56,racing[Lieu Match],"domicile",racing[Issue match],"victoire")</f>
        <v>0</v>
      </c>
      <c r="E56" s="84">
        <f>COUNTIFS(racing[adversaire],B56,racing[Lieu Match],"Extérieur",racing[Issue match],"victoire")</f>
        <v>0</v>
      </c>
      <c r="F56" s="82">
        <f t="shared" si="9"/>
        <v>0</v>
      </c>
      <c r="G56" s="78">
        <f>COUNTIFS(racing[adversaire],B56,racing[Lieu Match],"domicile",racing[Issue match],"défaite")</f>
        <v>0</v>
      </c>
      <c r="H56" s="80">
        <f>COUNTIFS(racing[adversaire],B56,racing[Lieu Match],"Extérieur",racing[Issue match],"défaite")</f>
        <v>1</v>
      </c>
      <c r="I56" s="79">
        <f t="shared" si="10"/>
        <v>0.5</v>
      </c>
      <c r="J56" s="85">
        <f>COUNTIFS(racing[adversaire],B56,racing[Lieu Match],"Domicile",racing[Issue match],"Nul")+COUNTIFS(racing[adversaire],B56,racing[Lieu Match],"Extérieur",racing[Issue match],"Nul")</f>
        <v>0</v>
      </c>
      <c r="K56" s="81">
        <f t="shared" si="11"/>
        <v>0.5</v>
      </c>
      <c r="L56" s="89">
        <f t="shared" si="12"/>
        <v>1</v>
      </c>
    </row>
    <row r="57" spans="1:12">
      <c r="A57" s="90" t="s">
        <v>32</v>
      </c>
      <c r="B57" s="91" t="s">
        <v>26</v>
      </c>
      <c r="C57" s="83">
        <f>COUNTIFS(racing[adversaire],B57)</f>
        <v>2</v>
      </c>
      <c r="D57" s="84">
        <f>COUNTIFS(racing[adversaire],B57,racing[Lieu Match],"domicile",racing[Issue match],"victoire")</f>
        <v>0</v>
      </c>
      <c r="E57" s="84">
        <f>COUNTIFS(racing[adversaire],B57,racing[Lieu Match],"Extérieur",racing[Issue match],"victoire")</f>
        <v>0</v>
      </c>
      <c r="F57" s="82">
        <f t="shared" si="9"/>
        <v>0</v>
      </c>
      <c r="G57" s="78">
        <f>COUNTIFS(racing[adversaire],B57,racing[Lieu Match],"domicile",racing[Issue match],"défaite")</f>
        <v>0</v>
      </c>
      <c r="H57" s="80">
        <f>COUNTIFS(racing[adversaire],B57,racing[Lieu Match],"Extérieur",racing[Issue match],"défaite")</f>
        <v>0</v>
      </c>
      <c r="I57" s="79">
        <f t="shared" si="10"/>
        <v>0</v>
      </c>
      <c r="J57" s="85">
        <f>COUNTIFS(racing[adversaire],B57,racing[Lieu Match],"Domicile",racing[Issue match],"Nul")+COUNTIFS(racing[adversaire],B57,racing[Lieu Match],"Extérieur",racing[Issue match],"Nul")</f>
        <v>0</v>
      </c>
      <c r="K57" s="81">
        <f t="shared" si="11"/>
        <v>1</v>
      </c>
      <c r="L57" s="89">
        <f t="shared" si="12"/>
        <v>1</v>
      </c>
    </row>
    <row r="58" spans="1:12">
      <c r="A58" s="90" t="s">
        <v>32</v>
      </c>
      <c r="B58" s="91" t="s">
        <v>27</v>
      </c>
      <c r="C58" s="83">
        <f>COUNTIFS(racing[adversaire],B58)</f>
        <v>2</v>
      </c>
      <c r="D58" s="84">
        <f>COUNTIFS(racing[adversaire],B58,racing[Lieu Match],"domicile",racing[Issue match],"victoire")</f>
        <v>0</v>
      </c>
      <c r="E58" s="84">
        <f>COUNTIFS(racing[adversaire],B58,racing[Lieu Match],"Extérieur",racing[Issue match],"victoire")</f>
        <v>0</v>
      </c>
      <c r="F58" s="82">
        <f t="shared" si="9"/>
        <v>0</v>
      </c>
      <c r="G58" s="78">
        <f>COUNTIFS(racing[adversaire],B58,racing[Lieu Match],"domicile",racing[Issue match],"défaite")</f>
        <v>0</v>
      </c>
      <c r="H58" s="80">
        <f>COUNTIFS(racing[adversaire],B58,racing[Lieu Match],"Extérieur",racing[Issue match],"défaite")</f>
        <v>0</v>
      </c>
      <c r="I58" s="79">
        <f t="shared" si="10"/>
        <v>0</v>
      </c>
      <c r="J58" s="85">
        <f>COUNTIFS(racing[adversaire],B58,racing[Lieu Match],"Domicile",racing[Issue match],"Nul")+COUNTIFS(racing[adversaire],B58,racing[Lieu Match],"Extérieur",racing[Issue match],"Nul")</f>
        <v>0</v>
      </c>
      <c r="K58" s="81">
        <f t="shared" si="11"/>
        <v>1</v>
      </c>
      <c r="L58" s="89">
        <f t="shared" si="12"/>
        <v>1</v>
      </c>
    </row>
    <row r="59" spans="1:12">
      <c r="A59" s="90" t="s">
        <v>32</v>
      </c>
      <c r="B59" s="91" t="s">
        <v>28</v>
      </c>
      <c r="C59" s="83">
        <f>COUNTIFS(racing[adversaire],B59)</f>
        <v>2</v>
      </c>
      <c r="D59" s="84">
        <f>COUNTIFS(racing[adversaire],B59,racing[Lieu Match],"domicile",racing[Issue match],"victoire")</f>
        <v>0</v>
      </c>
      <c r="E59" s="84">
        <f>COUNTIFS(racing[adversaire],B59,racing[Lieu Match],"Extérieur",racing[Issue match],"victoire")</f>
        <v>1</v>
      </c>
      <c r="F59" s="82">
        <f t="shared" si="9"/>
        <v>0.5</v>
      </c>
      <c r="G59" s="78">
        <f>COUNTIFS(racing[adversaire],B59,racing[Lieu Match],"domicile",racing[Issue match],"défaite")</f>
        <v>0</v>
      </c>
      <c r="H59" s="80">
        <f>COUNTIFS(racing[adversaire],B59,racing[Lieu Match],"Extérieur",racing[Issue match],"défaite")</f>
        <v>0</v>
      </c>
      <c r="I59" s="79">
        <f t="shared" si="10"/>
        <v>0</v>
      </c>
      <c r="J59" s="85">
        <f>COUNTIFS(racing[adversaire],B59,racing[Lieu Match],"Domicile",racing[Issue match],"Nul")+COUNTIFS(racing[adversaire],B59,racing[Lieu Match],"Extérieur",racing[Issue match],"Nul")</f>
        <v>0</v>
      </c>
      <c r="K59" s="81">
        <f t="shared" si="11"/>
        <v>0.5</v>
      </c>
      <c r="L59" s="89">
        <f t="shared" si="12"/>
        <v>1</v>
      </c>
    </row>
    <row r="60" spans="1:12">
      <c r="A60" s="90" t="s">
        <v>32</v>
      </c>
      <c r="B60" s="91" t="s">
        <v>29</v>
      </c>
      <c r="C60" s="83">
        <f>COUNTIFS(racing[adversaire],B60)</f>
        <v>2</v>
      </c>
      <c r="D60" s="84">
        <f>COUNTIFS(racing[adversaire],B60,racing[Lieu Match],"domicile",racing[Issue match],"victoire")</f>
        <v>1</v>
      </c>
      <c r="E60" s="84">
        <f>COUNTIFS(racing[adversaire],B60,racing[Lieu Match],"Extérieur",racing[Issue match],"victoire")</f>
        <v>0</v>
      </c>
      <c r="F60" s="82">
        <f t="shared" si="9"/>
        <v>0.5</v>
      </c>
      <c r="G60" s="78">
        <f>COUNTIFS(racing[adversaire],B60,racing[Lieu Match],"domicile",racing[Issue match],"défaite")</f>
        <v>0</v>
      </c>
      <c r="H60" s="80">
        <f>COUNTIFS(racing[adversaire],B60,racing[Lieu Match],"Extérieur",racing[Issue match],"défaite")</f>
        <v>0</v>
      </c>
      <c r="I60" s="79">
        <f t="shared" si="10"/>
        <v>0</v>
      </c>
      <c r="J60" s="85">
        <f>COUNTIFS(racing[adversaire],B60,racing[Lieu Match],"Domicile",racing[Issue match],"Nul")+COUNTIFS(racing[adversaire],B60,racing[Lieu Match],"Extérieur",racing[Issue match],"Nul")</f>
        <v>0</v>
      </c>
      <c r="K60" s="81">
        <f t="shared" si="11"/>
        <v>0.5</v>
      </c>
      <c r="L60" s="89">
        <f t="shared" si="12"/>
        <v>1</v>
      </c>
    </row>
    <row r="61" spans="1:12">
      <c r="A61" s="90" t="s">
        <v>32</v>
      </c>
      <c r="B61" s="91" t="s">
        <v>30</v>
      </c>
      <c r="C61" s="83">
        <f>COUNTIFS(racing[adversaire],B61)</f>
        <v>2</v>
      </c>
      <c r="D61" s="84">
        <f>COUNTIFS(racing[adversaire],B61,racing[Lieu Match],"domicile",racing[Issue match],"victoire")</f>
        <v>0</v>
      </c>
      <c r="E61" s="84">
        <f>COUNTIFS(racing[adversaire],B61,racing[Lieu Match],"Extérieur",racing[Issue match],"victoire")</f>
        <v>1</v>
      </c>
      <c r="F61" s="82">
        <f t="shared" si="9"/>
        <v>0.5</v>
      </c>
      <c r="G61" s="78">
        <f>COUNTIFS(racing[adversaire],B61,racing[Lieu Match],"domicile",racing[Issue match],"défaite")</f>
        <v>0</v>
      </c>
      <c r="H61" s="80">
        <f>COUNTIFS(racing[adversaire],B61,racing[Lieu Match],"Extérieur",racing[Issue match],"défaite")</f>
        <v>0</v>
      </c>
      <c r="I61" s="79">
        <f t="shared" si="10"/>
        <v>0</v>
      </c>
      <c r="J61" s="85">
        <f>COUNTIFS(racing[adversaire],B61,racing[Lieu Match],"Domicile",racing[Issue match],"Nul")+COUNTIFS(racing[adversaire],B61,racing[Lieu Match],"Extérieur",racing[Issue match],"Nul")</f>
        <v>0</v>
      </c>
      <c r="K61" s="81">
        <f t="shared" si="11"/>
        <v>0.5</v>
      </c>
      <c r="L61" s="89">
        <f t="shared" si="12"/>
        <v>1</v>
      </c>
    </row>
    <row r="62" spans="1:12">
      <c r="A62" s="90" t="s">
        <v>32</v>
      </c>
      <c r="B62" s="91" t="s">
        <v>31</v>
      </c>
      <c r="C62" s="83">
        <f>COUNTIFS(racing[adversaire],B62)</f>
        <v>2</v>
      </c>
      <c r="D62" s="84">
        <f>COUNTIFS(racing[adversaire],B62,racing[Lieu Match],"domicile",racing[Issue match],"victoire")</f>
        <v>0</v>
      </c>
      <c r="E62" s="84">
        <f>COUNTIFS(racing[adversaire],B62,racing[Lieu Match],"Extérieur",racing[Issue match],"victoire")</f>
        <v>0</v>
      </c>
      <c r="F62" s="82">
        <f t="shared" si="9"/>
        <v>0</v>
      </c>
      <c r="G62" s="78">
        <f>COUNTIFS(racing[adversaire],B62,racing[Lieu Match],"domicile",racing[Issue match],"défaite")</f>
        <v>0</v>
      </c>
      <c r="H62" s="80">
        <f>COUNTIFS(racing[adversaire],B62,racing[Lieu Match],"Extérieur",racing[Issue match],"défaite")</f>
        <v>0</v>
      </c>
      <c r="I62" s="79">
        <f t="shared" si="10"/>
        <v>0</v>
      </c>
      <c r="J62" s="85">
        <f>COUNTIFS(racing[adversaire],B62,racing[Lieu Match],"Domicile",racing[Issue match],"Nul")+COUNTIFS(racing[adversaire],B62,racing[Lieu Match],"Extérieur",racing[Issue match],"Nul")</f>
        <v>0</v>
      </c>
      <c r="K62" s="81">
        <f t="shared" si="11"/>
        <v>1</v>
      </c>
      <c r="L62" s="89">
        <f t="shared" si="12"/>
        <v>1</v>
      </c>
    </row>
    <row r="63" spans="1:12">
      <c r="A63" s="90" t="s">
        <v>32</v>
      </c>
      <c r="B63" s="91" t="s">
        <v>15</v>
      </c>
      <c r="C63" s="83">
        <f>COUNTIFS(racing[adversaire],B63)</f>
        <v>2</v>
      </c>
      <c r="D63" s="84">
        <f>COUNTIFS(racing[adversaire],B63,racing[Lieu Match],"domicile",racing[Issue match],"victoire")</f>
        <v>0</v>
      </c>
      <c r="E63" s="84">
        <f>COUNTIFS(racing[adversaire],B63,racing[Lieu Match],"Extérieur",racing[Issue match],"victoire")</f>
        <v>0</v>
      </c>
      <c r="F63" s="82">
        <f t="shared" si="9"/>
        <v>0</v>
      </c>
      <c r="G63" s="78">
        <f>COUNTIFS(racing[adversaire],B63,racing[Lieu Match],"domicile",racing[Issue match],"défaite")</f>
        <v>0</v>
      </c>
      <c r="H63" s="80">
        <f>COUNTIFS(racing[adversaire],B63,racing[Lieu Match],"Extérieur",racing[Issue match],"défaite")</f>
        <v>0</v>
      </c>
      <c r="I63" s="79">
        <f t="shared" si="10"/>
        <v>0</v>
      </c>
      <c r="J63" s="85">
        <f>COUNTIFS(racing[adversaire],B63,racing[Lieu Match],"Domicile",racing[Issue match],"Nul")+COUNTIFS(racing[adversaire],B63,racing[Lieu Match],"Extérieur",racing[Issue match],"Nul")</f>
        <v>0</v>
      </c>
      <c r="K63" s="81">
        <f t="shared" si="11"/>
        <v>1</v>
      </c>
      <c r="L63" s="89">
        <f t="shared" si="12"/>
        <v>1</v>
      </c>
    </row>
    <row r="64" spans="1:12">
      <c r="A64" s="90" t="s">
        <v>32</v>
      </c>
      <c r="B64" s="91" t="s">
        <v>33</v>
      </c>
      <c r="C64" s="83">
        <f>COUNTIFS(racing[adversaire],B64)</f>
        <v>2</v>
      </c>
      <c r="D64" s="84">
        <f>COUNTIFS(racing[adversaire],B64,racing[Lieu Match],"domicile",racing[Issue match],"victoire")</f>
        <v>0</v>
      </c>
      <c r="E64" s="84">
        <f>COUNTIFS(racing[adversaire],B64,racing[Lieu Match],"Extérieur",racing[Issue match],"victoire")</f>
        <v>0</v>
      </c>
      <c r="F64" s="82">
        <f t="shared" si="9"/>
        <v>0</v>
      </c>
      <c r="G64" s="78">
        <f>COUNTIFS(racing[adversaire],B64,racing[Lieu Match],"domicile",racing[Issue match],"défaite")</f>
        <v>1</v>
      </c>
      <c r="H64" s="80">
        <f>COUNTIFS(racing[adversaire],B64,racing[Lieu Match],"Extérieur",racing[Issue match],"défaite")</f>
        <v>0</v>
      </c>
      <c r="I64" s="79">
        <f t="shared" si="10"/>
        <v>0.5</v>
      </c>
      <c r="J64" s="85">
        <f>COUNTIFS(racing[adversaire],B64,racing[Lieu Match],"Domicile",racing[Issue match],"Nul")+COUNTIFS(racing[adversaire],B64,racing[Lieu Match],"Extérieur",racing[Issue match],"Nul")</f>
        <v>0</v>
      </c>
      <c r="K64" s="81">
        <f t="shared" si="11"/>
        <v>0.5</v>
      </c>
      <c r="L64" s="89">
        <f t="shared" si="12"/>
        <v>1</v>
      </c>
    </row>
  </sheetData>
  <mergeCells count="7">
    <mergeCell ref="Q1:S1"/>
    <mergeCell ref="Q9:S9"/>
    <mergeCell ref="A35:B35"/>
    <mergeCell ref="L1:N1"/>
    <mergeCell ref="A1:A2"/>
    <mergeCell ref="B1:E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T64"/>
  <sheetViews>
    <sheetView zoomScale="85" zoomScaleNormal="85" zoomScalePageLayoutView="85" workbookViewId="0">
      <selection activeCell="H14" sqref="H14"/>
    </sheetView>
  </sheetViews>
  <sheetFormatPr baseColWidth="10" defaultColWidth="10.5" defaultRowHeight="14" x14ac:dyDescent="0"/>
  <cols>
    <col min="1" max="1" width="13.33203125" bestFit="1" customWidth="1"/>
    <col min="2" max="3" width="13.1640625" bestFit="1" customWidth="1"/>
    <col min="4" max="4" width="11.5" bestFit="1" customWidth="1"/>
    <col min="5" max="5" width="12.5" bestFit="1" customWidth="1"/>
    <col min="6" max="7" width="9.6640625" bestFit="1" customWidth="1"/>
    <col min="8" max="8" width="9.5" bestFit="1" customWidth="1"/>
    <col min="9" max="9" width="7.1640625" bestFit="1" customWidth="1"/>
    <col min="10" max="10" width="4.1640625" bestFit="1" customWidth="1"/>
    <col min="11" max="11" width="14.33203125" bestFit="1" customWidth="1"/>
    <col min="12" max="12" width="8.1640625" bestFit="1" customWidth="1"/>
    <col min="13" max="13" width="12.1640625" bestFit="1" customWidth="1"/>
    <col min="16" max="16" width="14.33203125" bestFit="1" customWidth="1"/>
    <col min="17" max="17" width="12.1640625" bestFit="1" customWidth="1"/>
  </cols>
  <sheetData>
    <row r="1" spans="1:20">
      <c r="A1" s="121" t="s">
        <v>52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  <c r="T1" s="1"/>
    </row>
    <row r="2" spans="1:20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SUMIFS(toulon[Score D],toulon[Lieu Match],"domicile")</f>
        <v>80</v>
      </c>
      <c r="M2" s="72">
        <f ca="1">SUMIFS(toulon[Score E],toulon[Lieu Match],"domicile")</f>
        <v>41</v>
      </c>
      <c r="N2" s="72">
        <f ca="1">L2-M2</f>
        <v>39</v>
      </c>
      <c r="O2" s="1"/>
      <c r="P2" s="10" t="s">
        <v>7</v>
      </c>
      <c r="Q2" s="13">
        <v>158</v>
      </c>
      <c r="R2" s="72">
        <v>164</v>
      </c>
      <c r="S2" s="72">
        <v>-6</v>
      </c>
      <c r="T2" s="1"/>
    </row>
    <row r="3" spans="1:20">
      <c r="A3" s="10" t="s">
        <v>2</v>
      </c>
      <c r="B3" s="15">
        <f ca="1">COUNTIF(toulon[Lieu Match],"domicile")</f>
        <v>13</v>
      </c>
      <c r="C3" s="63">
        <f ca="1">COUNTIFS(toulon[Issue match],"victoire",toulon[Lieu Match],"domicile")</f>
        <v>3</v>
      </c>
      <c r="D3" s="63">
        <f ca="1">COUNTIFS(toulon[Issue match],"nul",toulon[Lieu Match],"domicile")</f>
        <v>0</v>
      </c>
      <c r="E3" s="63">
        <f ca="1">COUNTIFS(toulon[Issue match],"défaite",toulon[Lieu Match],"domicile")</f>
        <v>10</v>
      </c>
      <c r="F3" s="77">
        <f ca="1">C3+E3+D3-D3</f>
        <v>13</v>
      </c>
      <c r="G3" s="6" t="s">
        <v>52</v>
      </c>
      <c r="H3" s="7" t="s">
        <v>44</v>
      </c>
      <c r="K3" s="10" t="s">
        <v>9</v>
      </c>
      <c r="L3" s="18">
        <f ca="1">L2/F3</f>
        <v>6.1538461538461542</v>
      </c>
      <c r="M3" s="18">
        <f ca="1">M2/F3</f>
        <v>3.1538461538461537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  <c r="T3" s="1"/>
    </row>
    <row r="4" spans="1:20">
      <c r="A4" s="10" t="s">
        <v>3</v>
      </c>
      <c r="B4" s="15">
        <f ca="1">COUNTIF(toulon[Lieu Match],"extérieur")</f>
        <v>13</v>
      </c>
      <c r="C4" s="63">
        <f ca="1">COUNTIFS(toulon[Issue match],"victoire",toulon[Lieu Match],"extérieur")</f>
        <v>0</v>
      </c>
      <c r="D4" s="63">
        <f ca="1">COUNTIFS(toulon[Issue match],"nul",toulon[Lieu Match],"extérieur")</f>
        <v>0</v>
      </c>
      <c r="E4" s="63">
        <f ca="1">COUNTIFS(toulon[Issue match],"défaite",toulon[Lieu Match],"extérieur")</f>
        <v>13</v>
      </c>
      <c r="F4" s="77">
        <f ca="1">C4+E4+D4-D4</f>
        <v>13</v>
      </c>
      <c r="G4" s="8">
        <f t="array" ref="G4">INDEX($C$35:$L$46,MATCH(1,($A$35:$A$46=$A$1)*($B$35:$B$46=$H$3),0),4)</f>
        <v>0.53333333333333333</v>
      </c>
      <c r="H4" s="8">
        <f t="array" ref="H4">INDEX($C$35:$L$46,MATCH(1,($A$35:$A$46=$G$3)*($B$35:$B$46=$H$3),0),7)</f>
        <v>0.43333333333333335</v>
      </c>
      <c r="K4" s="10" t="s">
        <v>8</v>
      </c>
      <c r="L4" s="72">
        <f ca="1">SUMIFS(toulon[Score E],toulon[Lieu Match],"extérieur")</f>
        <v>34</v>
      </c>
      <c r="M4" s="72">
        <f ca="1">SUMIFS(toulon[Score D],toulon[Lieu Match],"extérieur")</f>
        <v>68</v>
      </c>
      <c r="N4" s="13">
        <f ca="1">L4-M4</f>
        <v>-34</v>
      </c>
      <c r="O4" s="1"/>
      <c r="P4" s="10" t="s">
        <v>8</v>
      </c>
      <c r="Q4" s="72">
        <v>140</v>
      </c>
      <c r="R4" s="72">
        <v>206</v>
      </c>
      <c r="S4" s="13">
        <v>-66</v>
      </c>
      <c r="T4" s="1"/>
    </row>
    <row r="5" spans="1:20">
      <c r="A5" s="10" t="s">
        <v>36</v>
      </c>
      <c r="B5" s="15">
        <f ca="1">B3+B4</f>
        <v>26</v>
      </c>
      <c r="C5" s="15">
        <f t="shared" ref="C5:E5" ca="1" si="0">C3+C4</f>
        <v>3</v>
      </c>
      <c r="D5" s="15">
        <f t="shared" ca="1" si="0"/>
        <v>0</v>
      </c>
      <c r="E5" s="15">
        <f t="shared" ca="1" si="0"/>
        <v>23</v>
      </c>
      <c r="F5" s="77">
        <f ca="1">C5+E5+D5-D5</f>
        <v>26</v>
      </c>
      <c r="G5" s="9">
        <f>100/G4/100</f>
        <v>1.875</v>
      </c>
      <c r="H5" s="9">
        <f>100/H4/100</f>
        <v>2.3076923076923079</v>
      </c>
      <c r="K5" s="10" t="s">
        <v>9</v>
      </c>
      <c r="L5" s="18">
        <f ca="1">L4/F4</f>
        <v>2.6153846153846154</v>
      </c>
      <c r="M5" s="18">
        <f ca="1">M4/F4</f>
        <v>5.2307692307692308</v>
      </c>
      <c r="N5" s="13"/>
      <c r="O5" s="1"/>
      <c r="P5" s="10" t="s">
        <v>9</v>
      </c>
      <c r="Q5" s="18">
        <v>17.5</v>
      </c>
      <c r="R5" s="18">
        <v>25.75</v>
      </c>
      <c r="S5" s="13"/>
      <c r="T5" s="1"/>
    </row>
    <row r="6" spans="1:20">
      <c r="A6" s="1"/>
      <c r="B6" s="1"/>
      <c r="C6" s="1"/>
      <c r="D6" s="1"/>
      <c r="E6" s="1"/>
      <c r="F6" s="1"/>
      <c r="K6" s="10" t="s">
        <v>10</v>
      </c>
      <c r="L6" s="13">
        <f ca="1">L2+M4</f>
        <v>148</v>
      </c>
      <c r="M6" s="13">
        <f ca="1">M2+L4</f>
        <v>75</v>
      </c>
      <c r="N6" s="13">
        <f ca="1">L6-M6</f>
        <v>73</v>
      </c>
      <c r="O6" s="1"/>
      <c r="P6" s="10" t="s">
        <v>10</v>
      </c>
      <c r="Q6" s="13">
        <v>298</v>
      </c>
      <c r="R6" s="13">
        <v>370</v>
      </c>
      <c r="S6" s="13">
        <v>-72</v>
      </c>
      <c r="T6" s="1"/>
    </row>
    <row r="7" spans="1:20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5.6923076923076925</v>
      </c>
      <c r="M7" s="18">
        <f ca="1">M6/F5</f>
        <v>2.8846153846153846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</row>
    <row r="8" spans="1:20">
      <c r="A8" s="39" t="s">
        <v>124</v>
      </c>
      <c r="B8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La Rochelle</v>
      </c>
      <c r="C8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8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8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29</v>
      </c>
      <c r="F8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15</v>
      </c>
      <c r="G8" s="34">
        <v>0</v>
      </c>
      <c r="H8" s="49">
        <v>0</v>
      </c>
      <c r="I8" s="50">
        <f ca="1">(toulon[[#This Row],[Issue match]]="Victoire")*4 + (toulon[[#This Row],[Issue match]]="Nul")*2 + toulon[[#This Row],[Bonus off]] + toulon[[#This Row],[Bonus déf]]</f>
        <v>0</v>
      </c>
      <c r="K8" s="1"/>
      <c r="L8" s="1"/>
      <c r="M8" s="1"/>
      <c r="N8" s="1"/>
      <c r="O8" s="1"/>
      <c r="P8" s="1"/>
      <c r="Q8" s="1"/>
      <c r="R8" s="1"/>
      <c r="S8" s="1"/>
    </row>
    <row r="9" spans="1:20">
      <c r="A9" s="39" t="s">
        <v>125</v>
      </c>
      <c r="B9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Lyon</v>
      </c>
      <c r="C9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9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Victoire</v>
      </c>
      <c r="E9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36</v>
      </c>
      <c r="F9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14</v>
      </c>
      <c r="G9" s="34">
        <v>1</v>
      </c>
      <c r="H9" s="49">
        <v>0</v>
      </c>
      <c r="I9" s="50">
        <f ca="1">(toulon[[#This Row],[Issue match]]="Victoire")*4 + (toulon[[#This Row],[Issue match]]="Nul")*2 + toulon[[#This Row],[Bonus off]] + toulon[[#This Row],[Bonus déf]]</f>
        <v>5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</row>
    <row r="10" spans="1:20">
      <c r="A10" s="39" t="s">
        <v>126</v>
      </c>
      <c r="B10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Toulouse</v>
      </c>
      <c r="C10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10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10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39</v>
      </c>
      <c r="F10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19</v>
      </c>
      <c r="G10" s="34">
        <v>0</v>
      </c>
      <c r="H10" s="49">
        <v>0</v>
      </c>
      <c r="I10" s="50">
        <f ca="1">(toulon[[#This Row],[Issue match]]="Victoire")*4 + (toulon[[#This Row],[Issue match]]="Nul")*2 + toulon[[#This Row],[Bonus off]] + toulon[[#This Row],[Bonus déf]]</f>
        <v>0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</row>
    <row r="11" spans="1:20">
      <c r="A11" s="39" t="s">
        <v>127</v>
      </c>
      <c r="B11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Montpellier</v>
      </c>
      <c r="C11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11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Victoire</v>
      </c>
      <c r="E11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25</v>
      </c>
      <c r="F11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21</v>
      </c>
      <c r="G11" s="34">
        <v>0</v>
      </c>
      <c r="H11" s="49">
        <v>0</v>
      </c>
      <c r="I11" s="50">
        <f ca="1">(toulon[[#This Row],[Issue match]]="Victoire")*4 + (toulon[[#This Row],[Issue match]]="Nul")*2 + toulon[[#This Row],[Bonus off]] + toulon[[#This Row],[Bonus déf]]</f>
        <v>4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</row>
    <row r="12" spans="1:20">
      <c r="A12" s="39" t="s">
        <v>128</v>
      </c>
      <c r="B12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Racing 92</v>
      </c>
      <c r="C12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12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12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12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12" s="34"/>
      <c r="H12" s="49"/>
      <c r="I12" s="50">
        <f ca="1">(toulon[[#This Row],[Issue match]]="Victoire")*4 + (toulon[[#This Row],[Issue match]]="Nul")*2 + toulon[[#This Row],[Bonus off]] + toulon[[#This Row],[Bonus déf]]</f>
        <v>0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</row>
    <row r="13" spans="1:20">
      <c r="A13" s="39" t="s">
        <v>129</v>
      </c>
      <c r="B13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Castres</v>
      </c>
      <c r="C13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13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Victoire</v>
      </c>
      <c r="E13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19</v>
      </c>
      <c r="F13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6</v>
      </c>
      <c r="G13" s="34">
        <v>0</v>
      </c>
      <c r="H13" s="49">
        <v>0</v>
      </c>
      <c r="I13" s="50">
        <f ca="1">(toulon[[#This Row],[Issue match]]="Victoire")*4 + (toulon[[#This Row],[Issue match]]="Nul")*2 + toulon[[#This Row],[Bonus off]] + toulon[[#This Row],[Bonus déf]]</f>
        <v>4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</row>
    <row r="14" spans="1:20">
      <c r="A14" s="39" t="s">
        <v>130</v>
      </c>
      <c r="B14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Bayonne</v>
      </c>
      <c r="C14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14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14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14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14" s="34"/>
      <c r="H14" s="49"/>
      <c r="I14" s="50">
        <f ca="1">(toulon[[#This Row],[Issue match]]="Victoire")*4 + (toulon[[#This Row],[Issue match]]="Nul")*2 + toulon[[#This Row],[Bonus off]] + toulon[[#This Row],[Bonus déf]]</f>
        <v>0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</row>
    <row r="15" spans="1:20">
      <c r="A15" s="39" t="s">
        <v>131</v>
      </c>
      <c r="B15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Brive</v>
      </c>
      <c r="C15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15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15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15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15" s="34"/>
      <c r="H15" s="49"/>
      <c r="I15" s="50">
        <f ca="1">(toulon[[#This Row],[Issue match]]="Victoire")*4 + (toulon[[#This Row],[Issue match]]="Nul")*2 + toulon[[#This Row],[Bonus off]] + toulon[[#This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</row>
    <row r="16" spans="1:20">
      <c r="A16" s="39" t="s">
        <v>132</v>
      </c>
      <c r="B16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Agen</v>
      </c>
      <c r="C16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16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16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16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16" s="34"/>
      <c r="H16" s="49"/>
      <c r="I16" s="50">
        <f ca="1">(toulon[[#This Row],[Issue match]]="Victoire")*4 + (toulon[[#This Row],[Issue match]]="Nul")*2 + toulon[[#This Row],[Bonus off]] + toulon[[#This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</row>
    <row r="17" spans="1:20">
      <c r="A17" s="39" t="s">
        <v>133</v>
      </c>
      <c r="B17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Pau</v>
      </c>
      <c r="C17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17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17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17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17" s="34"/>
      <c r="H17" s="49"/>
      <c r="I17" s="50">
        <f ca="1">(toulon[[#This Row],[Issue match]]="Victoire")*4 + (toulon[[#This Row],[Issue match]]="Nul")*2 + toulon[[#This Row],[Bonus off]] + toulon[[#This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</row>
    <row r="18" spans="1:20">
      <c r="A18" s="39" t="s">
        <v>134</v>
      </c>
      <c r="B18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Paris</v>
      </c>
      <c r="C18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18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18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18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18" s="34"/>
      <c r="H18" s="49"/>
      <c r="I18" s="50">
        <f ca="1">(toulon[[#This Row],[Issue match]]="Victoire")*4 + (toulon[[#This Row],[Issue match]]="Nul")*2 + toulon[[#This Row],[Bonus off]] + toulon[[#This Row],[Bonus déf]]</f>
        <v>0</v>
      </c>
      <c r="K18" s="10" t="s">
        <v>7</v>
      </c>
      <c r="L18" s="13"/>
      <c r="M18" s="72"/>
      <c r="N18" s="72"/>
      <c r="O18" s="1"/>
      <c r="P18" s="1"/>
      <c r="R18" s="1"/>
      <c r="S18" s="1"/>
    </row>
    <row r="19" spans="1:20">
      <c r="A19" s="39" t="s">
        <v>135</v>
      </c>
      <c r="B19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Clermont</v>
      </c>
      <c r="C19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19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19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19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19" s="34"/>
      <c r="H19" s="49"/>
      <c r="I19" s="50">
        <f ca="1">(toulon[[#This Row],[Issue match]]="Victoire")*4 + (toulon[[#This Row],[Issue match]]="Nul")*2 + toulon[[#This Row],[Bonus off]] + toulon[[#This Row],[Bonus déf]]</f>
        <v>0</v>
      </c>
      <c r="K19" s="10" t="s">
        <v>9</v>
      </c>
      <c r="L19" s="18"/>
      <c r="M19" s="18"/>
      <c r="N19" s="13"/>
      <c r="O19" s="1"/>
      <c r="P19" s="1" t="s">
        <v>52</v>
      </c>
      <c r="Q19" s="12" t="s">
        <v>41</v>
      </c>
      <c r="R19" s="1"/>
      <c r="S19" s="1"/>
    </row>
    <row r="20" spans="1:20">
      <c r="A20" s="39" t="s">
        <v>136</v>
      </c>
      <c r="B20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Bordeaux</v>
      </c>
      <c r="C20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20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0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0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0" s="34"/>
      <c r="H20" s="49"/>
      <c r="I20" s="50">
        <f ca="1">(toulon[[#This Row],[Issue match]]="Victoire")*4 + (toulon[[#This Row],[Issue match]]="Nul")*2 + toulon[[#This Row],[Bonus off]] + toulon[[#This Row],[Bonus déf]]</f>
        <v>0</v>
      </c>
      <c r="K20" s="10" t="s">
        <v>8</v>
      </c>
      <c r="L20" s="72"/>
      <c r="M20" s="72"/>
      <c r="N20" s="13"/>
      <c r="O20" s="1"/>
      <c r="P20" s="1" t="s">
        <v>52</v>
      </c>
      <c r="Q20" s="26" t="s">
        <v>42</v>
      </c>
      <c r="R20" s="1"/>
      <c r="S20" s="1"/>
      <c r="T20" s="1"/>
    </row>
    <row r="21" spans="1:20">
      <c r="A21" s="39" t="s">
        <v>137</v>
      </c>
      <c r="B21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Bayonne</v>
      </c>
      <c r="C21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21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1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1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1" s="34"/>
      <c r="H21" s="49"/>
      <c r="I21" s="50">
        <f ca="1">(toulon[[#This Row],[Issue match]]="Victoire")*4 + (toulon[[#This Row],[Issue match]]="Nul")*2 + toulon[[#This Row],[Bonus off]] + toulon[[#This Row],[Bonus déf]]</f>
        <v>0</v>
      </c>
      <c r="K21" s="10" t="s">
        <v>9</v>
      </c>
      <c r="L21" s="18"/>
      <c r="M21" s="18"/>
      <c r="N21" s="13"/>
      <c r="O21" s="1"/>
      <c r="P21" s="1" t="s">
        <v>52</v>
      </c>
      <c r="Q21" s="12" t="s">
        <v>43</v>
      </c>
      <c r="R21" s="1"/>
      <c r="S21" s="1"/>
      <c r="T21" s="1"/>
    </row>
    <row r="22" spans="1:20">
      <c r="A22" s="39" t="s">
        <v>138</v>
      </c>
      <c r="B22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Brive</v>
      </c>
      <c r="C22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22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2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2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2" s="34"/>
      <c r="H22" s="49"/>
      <c r="I22" s="50">
        <f ca="1">(toulon[[#This Row],[Issue match]]="Victoire")*4 + (toulon[[#This Row],[Issue match]]="Nul")*2 + toulon[[#This Row],[Bonus off]] + toulon[[#This Row],[Bonus déf]]</f>
        <v>0</v>
      </c>
      <c r="K22" s="10" t="s">
        <v>10</v>
      </c>
      <c r="L22" s="13"/>
      <c r="M22" s="13"/>
      <c r="N22" s="13"/>
      <c r="O22" s="1"/>
      <c r="P22" s="1" t="s">
        <v>52</v>
      </c>
      <c r="Q22" s="12" t="s">
        <v>40</v>
      </c>
      <c r="R22" s="1"/>
      <c r="S22" s="1"/>
      <c r="T22" s="1"/>
    </row>
    <row r="23" spans="1:20">
      <c r="A23" s="39" t="s">
        <v>139</v>
      </c>
      <c r="B23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La Rochelle</v>
      </c>
      <c r="C23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23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3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3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3" s="34"/>
      <c r="H23" s="49"/>
      <c r="I23" s="50">
        <f ca="1">(toulon[[#This Row],[Issue match]]="Victoire")*4 + (toulon[[#This Row],[Issue match]]="Nul")*2 + toulon[[#This Row],[Bonus off]] + toulon[[#This Row],[Bonus déf]]</f>
        <v>0</v>
      </c>
      <c r="K23" s="10" t="s">
        <v>9</v>
      </c>
      <c r="L23" s="18"/>
      <c r="M23" s="18"/>
      <c r="N23" s="13"/>
      <c r="O23" s="1"/>
      <c r="P23" s="1" t="s">
        <v>52</v>
      </c>
      <c r="Q23" s="12" t="s">
        <v>44</v>
      </c>
      <c r="R23" s="1"/>
      <c r="S23" s="1"/>
      <c r="T23" s="1"/>
    </row>
    <row r="24" spans="1:20">
      <c r="A24" s="39" t="s">
        <v>140</v>
      </c>
      <c r="B24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Pau</v>
      </c>
      <c r="C24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24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4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4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4" s="34"/>
      <c r="H24" s="49"/>
      <c r="I24" s="50">
        <f ca="1">(toulon[[#This Row],[Issue match]]="Victoire")*4 + (toulon[[#This Row],[Issue match]]="Nul")*2 + toulon[[#This Row],[Bonus off]] + toulon[[#This Row],[Bonus déf]]</f>
        <v>0</v>
      </c>
      <c r="K24" s="1"/>
      <c r="L24" s="1"/>
      <c r="M24" s="1"/>
      <c r="N24" s="1"/>
      <c r="O24" s="1"/>
      <c r="P24" s="1" t="s">
        <v>52</v>
      </c>
      <c r="Q24" s="12" t="s">
        <v>45</v>
      </c>
      <c r="R24" s="1"/>
      <c r="S24" s="1"/>
      <c r="T24" s="1"/>
    </row>
    <row r="25" spans="1:20">
      <c r="A25" s="39" t="s">
        <v>141</v>
      </c>
      <c r="B25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Racing 92</v>
      </c>
      <c r="C25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25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5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5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5" s="34"/>
      <c r="H25" s="49"/>
      <c r="I25" s="50">
        <f ca="1">(toulon[[#This Row],[Issue match]]="Victoire")*4 + (toulon[[#This Row],[Issue match]]="Nul")*2 + toulon[[#This Row],[Bonus off]] + toulon[[#This Row],[Bonus déf]]</f>
        <v>0</v>
      </c>
      <c r="K25" s="10" t="s">
        <v>6</v>
      </c>
      <c r="L25" s="69"/>
      <c r="M25" s="70"/>
      <c r="N25" s="71"/>
      <c r="O25" s="1"/>
      <c r="P25" s="1" t="s">
        <v>52</v>
      </c>
      <c r="Q25" s="12" t="s">
        <v>46</v>
      </c>
      <c r="R25" s="1"/>
      <c r="S25" s="1"/>
      <c r="T25" s="1"/>
    </row>
    <row r="26" spans="1:20">
      <c r="A26" s="39" t="s">
        <v>142</v>
      </c>
      <c r="B26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Paris</v>
      </c>
      <c r="C26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26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6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6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6" s="34"/>
      <c r="H26" s="49"/>
      <c r="I26" s="50">
        <f ca="1">(toulon[[#This Row],[Issue match]]="Victoire")*4 + (toulon[[#This Row],[Issue match]]="Nul")*2 + toulon[[#This Row],[Bonus off]] + toulon[[#This Row],[Bonus déf]]</f>
        <v>0</v>
      </c>
      <c r="K26" s="10" t="s">
        <v>7</v>
      </c>
      <c r="L26" s="13"/>
      <c r="M26" s="72"/>
      <c r="N26" s="72"/>
      <c r="O26" s="1"/>
      <c r="P26" s="1" t="s">
        <v>52</v>
      </c>
      <c r="Q26" s="12" t="s">
        <v>47</v>
      </c>
      <c r="R26" s="1"/>
      <c r="S26" s="1"/>
      <c r="T26" s="1"/>
    </row>
    <row r="27" spans="1:20">
      <c r="A27" s="39" t="s">
        <v>143</v>
      </c>
      <c r="B27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Lyon</v>
      </c>
      <c r="C27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27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7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7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7" s="34"/>
      <c r="H27" s="49"/>
      <c r="I27" s="50">
        <f ca="1">(toulon[[#This Row],[Issue match]]="Victoire")*4 + (toulon[[#This Row],[Issue match]]="Nul")*2 + toulon[[#This Row],[Bonus off]] + toulon[[#This Row],[Bonus déf]]</f>
        <v>0</v>
      </c>
      <c r="K27" s="10" t="s">
        <v>9</v>
      </c>
      <c r="L27" s="18"/>
      <c r="M27" s="18"/>
      <c r="N27" s="13"/>
      <c r="O27" s="1"/>
      <c r="P27" s="1" t="s">
        <v>52</v>
      </c>
      <c r="Q27" s="12" t="s">
        <v>48</v>
      </c>
      <c r="R27" s="1"/>
      <c r="S27" s="1"/>
      <c r="T27" s="1"/>
    </row>
    <row r="28" spans="1:20">
      <c r="A28" s="39" t="s">
        <v>144</v>
      </c>
      <c r="B28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Montpellier</v>
      </c>
      <c r="C28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28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8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8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8" s="34"/>
      <c r="H28" s="49"/>
      <c r="I28" s="50">
        <f ca="1">(toulon[[#This Row],[Issue match]]="Victoire")*4 + (toulon[[#This Row],[Issue match]]="Nul")*2 + toulon[[#This Row],[Bonus off]] + toulon[[#This Row],[Bonus déf]]</f>
        <v>0</v>
      </c>
      <c r="K28" s="10" t="s">
        <v>8</v>
      </c>
      <c r="L28" s="72"/>
      <c r="M28" s="72"/>
      <c r="N28" s="13"/>
      <c r="O28" s="1"/>
      <c r="P28" s="1" t="s">
        <v>52</v>
      </c>
      <c r="Q28" s="12" t="s">
        <v>49</v>
      </c>
      <c r="R28" s="1"/>
      <c r="S28" s="1"/>
      <c r="T28" s="1"/>
    </row>
    <row r="29" spans="1:20">
      <c r="A29" s="39" t="s">
        <v>145</v>
      </c>
      <c r="B29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Agen</v>
      </c>
      <c r="C29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29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29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29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29" s="34"/>
      <c r="H29" s="49"/>
      <c r="I29" s="50">
        <f ca="1">(toulon[[#This Row],[Issue match]]="Victoire")*4 + (toulon[[#This Row],[Issue match]]="Nul")*2 + toulon[[#This Row],[Bonus off]] + toulon[[#This Row],[Bonus déf]]</f>
        <v>0</v>
      </c>
      <c r="K29" s="10" t="s">
        <v>9</v>
      </c>
      <c r="L29" s="18"/>
      <c r="M29" s="18"/>
      <c r="N29" s="13"/>
      <c r="O29" s="1"/>
      <c r="P29" s="1" t="s">
        <v>52</v>
      </c>
      <c r="Q29" s="12" t="s">
        <v>50</v>
      </c>
      <c r="R29" s="1"/>
      <c r="S29" s="1"/>
      <c r="T29" s="1"/>
    </row>
    <row r="30" spans="1:20">
      <c r="A30" s="39" t="s">
        <v>146</v>
      </c>
      <c r="B30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Toulouse</v>
      </c>
      <c r="C30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30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30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30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30" s="34"/>
      <c r="H30" s="49"/>
      <c r="I30" s="50">
        <f ca="1">(toulon[[#This Row],[Issue match]]="Victoire")*4 + (toulon[[#This Row],[Issue match]]="Nul")*2 + toulon[[#This Row],[Bonus off]] + toulon[[#This Row],[Bonus déf]]</f>
        <v>0</v>
      </c>
      <c r="K30" s="10" t="s">
        <v>10</v>
      </c>
      <c r="L30" s="13"/>
      <c r="M30" s="13"/>
      <c r="N30" s="13"/>
      <c r="O30" s="1"/>
      <c r="P30" s="1" t="s">
        <v>52</v>
      </c>
      <c r="Q30" s="12" t="s">
        <v>51</v>
      </c>
      <c r="R30" s="1"/>
      <c r="S30" s="1"/>
      <c r="T30" s="1"/>
    </row>
    <row r="31" spans="1:20">
      <c r="A31" s="39" t="s">
        <v>147</v>
      </c>
      <c r="B31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Clermont</v>
      </c>
      <c r="C31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31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31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31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31" s="34"/>
      <c r="H31" s="49"/>
      <c r="I31" s="50">
        <f ca="1">(toulon[[#This Row],[Issue match]]="Victoire")*4 + (toulon[[#This Row],[Issue match]]="Nul")*2 + toulon[[#This Row],[Bonus off]] + toulon[[#This Row],[Bonus déf]]</f>
        <v>0</v>
      </c>
      <c r="K31" s="10" t="s">
        <v>9</v>
      </c>
      <c r="L31" s="18"/>
      <c r="M31" s="18"/>
      <c r="N31" s="13"/>
      <c r="O31" s="1"/>
      <c r="P31" s="1" t="s">
        <v>52</v>
      </c>
      <c r="Q31" s="12" t="s">
        <v>53</v>
      </c>
      <c r="R31" s="1"/>
      <c r="S31" s="1"/>
      <c r="T31" s="1"/>
    </row>
    <row r="32" spans="1:20">
      <c r="A32" s="39" t="s">
        <v>148</v>
      </c>
      <c r="B32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Bordeaux</v>
      </c>
      <c r="C32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Domicile</v>
      </c>
      <c r="D32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32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32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32" s="34"/>
      <c r="H32" s="49"/>
      <c r="I32" s="50">
        <f ca="1">(toulon[[#This Row],[Issue match]]="Victoire")*4 + (toulon[[#This Row],[Issue match]]="Nul")*2 + toulon[[#This Row],[Bonus off]] + toulon[[#This Row],[Bonus déf]]</f>
        <v>0</v>
      </c>
      <c r="J32" s="1"/>
      <c r="K32" s="1"/>
      <c r="L32" s="1"/>
      <c r="M32" s="1"/>
    </row>
    <row r="33" spans="1:13">
      <c r="A33" s="39" t="s">
        <v>149</v>
      </c>
      <c r="B33" s="37" t="str">
        <f ca="1">CONCATENATE(
IFERROR( INDEX(INDIRECT("resultat!C"&amp;PRODUCT(7,MATCH(toulon[[#This Row],[journée]],toulon[journée],0)-1)+2&amp;":C"&amp;PRODUCT(7,MATCH(toulon[[#This Row],[journée]],toulon[journée],0))+1),
IFERROR(MATCH($A$1, INDIRECT("resultat!f"&amp;PRODUCT(7,MATCH(toulon[[#This Row],[journée]],toulon[journée],0)-1)+2&amp;":f"&amp;PRODUCT(7,MATCH(toulon[[#This Row],[journée]],toulon[journée],0))+1),0 ),""),0),""),
IFERROR( INDEX(INDIRECT("resultat!f"&amp;PRODUCT(7,MATCH(toulon[[#This Row],[journée]],toulon[journée],0)-1)+2&amp;":f"&amp;PRODUCT(7,MATCH(toulon[[#This Row],[journée]],toulon[journée],0))+1),
IFERROR(MATCH($A$1, INDIRECT("resultat!c"&amp;PRODUCT(7,MATCH(toulon[[#This Row],[journée]],toulon[journée],0)-1)+2&amp;":c"&amp;PRODUCT(7,MATCH(toulon[[#This Row],[journée]],toulon[journée],0))+1),0 ),""),0),"") )</f>
        <v>Castres</v>
      </c>
      <c r="C33" s="38" t="str">
        <f ca="1">IF(AND(ISNA(MATCH($A$1,INDIRECT("resultat!f"&amp;PRODUCT(7,MATCH(toulon[[#This Row],[journée]],toulon[journée],0)-1)+2&amp;":f"&amp;PRODUCT(7,MATCH(toulon[[#This Row],[journée]],toulon[journée],0))+1),0)),
ISNA(MATCH($A$1,INDIRECT("resultat!c"&amp;PRODUCT(7,MATCH(toulon[[#This Row],[journée]],toulon[journée],0)-1)+2&amp;":c"&amp;PRODUCT(7,MATCH(toulon[[#This Row],[journée]],toulon[journée],0))+1),0))),"",IF(ISNA(MATCH($A$1,INDIRECT("resultat!f"&amp;PRODUCT(7,MATCH(toulon[[#This Row],[journée]],toulon[journée],0)-1)+2&amp;":f"&amp;PRODUCT(7,MATCH(toulon[[#This Row],[journée]],toulon[journée],0))+1),0)),
"Domicile","Extérieur"))</f>
        <v>Extérieur</v>
      </c>
      <c r="D33" s="52" t="str">
        <f ca="1">IFERROR(  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$A$1, "Victoire",
IF( INDEX(INDIRECT("resultat!h"&amp;PRODUCT(7,MATCH(toulon[[#This Row],[journée]],toulon[journée],0)-1)+2&amp;":h"&amp;PRODUCT(7,MATCH(toulon[[#This Row],[journée]],toulon[journée],0))+1),
CONCATENATE(
IFERROR(MATCH( $A$1, INDIRECT("resultat!C"&amp;PRODUCT(7,MATCH(toulon[[#This Row],[journée]],toulon[journée],0)-1)+2&amp;":C"&amp;PRODUCT(7,MATCH(toulon[[#This Row],[journée]],toulon[journée],0))+1),0),""),
IFERROR(MATCH($A$1, INDIRECT("resultat!f"&amp;PRODUCT(7,MATCH(toulon[[#This Row],[journée]],toulon[journée],0)-1)+2&amp;":f"&amp;PRODUCT(7,MATCH(toulon[[#This Row],[journée]],toulon[journée],0))+1),0 ),"")),0) = "Nul", "Nul", "Défaite" )), "")</f>
        <v>Défaite</v>
      </c>
      <c r="E33" s="45">
        <f ca="1">SUMIFS(resultat[Score D],resultat[Journée],toulon[[#This Row],[journée]],resultat[Domicile],toulon[[#This Row],[adversaire]]) + SUMIFS(resultat[Score D],resultat[Journée],toulon[[#This Row],[journée]],resultat[Exterieur],toulon[[#This Row],[adversaire]])</f>
        <v>0</v>
      </c>
      <c r="F33" s="46">
        <f ca="1">SUMIFS(resultat[Score E],resultat[Journée],toulon[[#This Row],[journée]],resultat[Domicile],toulon[[#This Row],[adversaire]])  + SUMIFS(resultat[Score E],resultat[Journée],toulon[[#This Row],[journée]],resultat[Exterieur],toulon[[#This Row],[adversaire]])</f>
        <v>0</v>
      </c>
      <c r="G33" s="34"/>
      <c r="H33" s="49"/>
      <c r="I33" s="50">
        <f ca="1">(toulon[[#This Row],[Issue match]]="Victoire")*4 + (toulon[[#This Row],[Issue match]]="Nul")*2 + toulon[[#This Row],[Bonus off]] + toulon[[#This Row],[Bonus déf]]</f>
        <v>0</v>
      </c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18" t="s">
        <v>16</v>
      </c>
      <c r="B35" s="119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</row>
    <row r="36" spans="1:13">
      <c r="A36" s="74" t="s">
        <v>15</v>
      </c>
      <c r="B36" s="74" t="s">
        <v>14</v>
      </c>
      <c r="C36" s="48">
        <v>17</v>
      </c>
      <c r="D36" s="48">
        <v>7</v>
      </c>
      <c r="E36" s="48">
        <v>3</v>
      </c>
      <c r="F36" s="19">
        <f t="shared" ref="F36:F48" si="1">(D36+E36)/C36</f>
        <v>0.58823529411764708</v>
      </c>
      <c r="G36" s="48">
        <v>1</v>
      </c>
      <c r="H36" s="48">
        <v>6</v>
      </c>
      <c r="I36" s="19">
        <f t="shared" ref="I36:I48" si="2">(G36+H36)/C36</f>
        <v>0.41176470588235292</v>
      </c>
      <c r="J36" s="48"/>
      <c r="K36" s="21">
        <f t="shared" ref="K36:K48" si="3">100%-(F36+I36)</f>
        <v>0</v>
      </c>
      <c r="L36" s="22">
        <f t="shared" ref="L36:L48" si="4">SUM(F36+I36+K36)</f>
        <v>1</v>
      </c>
      <c r="M36" s="1"/>
    </row>
    <row r="37" spans="1:13">
      <c r="A37" s="74" t="s">
        <v>15</v>
      </c>
      <c r="B37" s="74" t="s">
        <v>23</v>
      </c>
      <c r="C37" s="48">
        <v>25</v>
      </c>
      <c r="D37" s="48">
        <v>8</v>
      </c>
      <c r="E37" s="48">
        <v>3</v>
      </c>
      <c r="F37" s="19">
        <f t="shared" si="1"/>
        <v>0.44</v>
      </c>
      <c r="G37" s="48">
        <v>2</v>
      </c>
      <c r="H37" s="48">
        <v>6</v>
      </c>
      <c r="I37" s="19">
        <f t="shared" si="2"/>
        <v>0.32</v>
      </c>
      <c r="J37" s="48">
        <v>6</v>
      </c>
      <c r="K37" s="21">
        <f t="shared" si="3"/>
        <v>0.24</v>
      </c>
      <c r="L37" s="22">
        <f t="shared" si="4"/>
        <v>1</v>
      </c>
    </row>
    <row r="38" spans="1:13">
      <c r="A38" s="74" t="s">
        <v>15</v>
      </c>
      <c r="B38" s="74" t="s">
        <v>24</v>
      </c>
      <c r="C38" s="48">
        <v>22</v>
      </c>
      <c r="D38" s="48">
        <v>10</v>
      </c>
      <c r="E38" s="48">
        <v>4</v>
      </c>
      <c r="F38" s="19">
        <f t="shared" si="1"/>
        <v>0.63636363636363635</v>
      </c>
      <c r="G38" s="48">
        <v>0</v>
      </c>
      <c r="H38" s="48">
        <v>8</v>
      </c>
      <c r="I38" s="19">
        <f t="shared" si="2"/>
        <v>0.36363636363636365</v>
      </c>
      <c r="J38" s="48"/>
      <c r="K38" s="21">
        <f t="shared" si="3"/>
        <v>0</v>
      </c>
      <c r="L38" s="22">
        <f t="shared" si="4"/>
        <v>1</v>
      </c>
    </row>
    <row r="39" spans="1:13">
      <c r="A39" s="74" t="s">
        <v>15</v>
      </c>
      <c r="B39" s="74" t="s">
        <v>25</v>
      </c>
      <c r="C39" s="48">
        <v>26</v>
      </c>
      <c r="D39" s="48">
        <v>8</v>
      </c>
      <c r="E39" s="48">
        <v>2</v>
      </c>
      <c r="F39" s="19">
        <f t="shared" si="1"/>
        <v>0.38461538461538464</v>
      </c>
      <c r="G39" s="48">
        <v>2</v>
      </c>
      <c r="H39" s="48">
        <v>9</v>
      </c>
      <c r="I39" s="19">
        <f t="shared" si="2"/>
        <v>0.42307692307692307</v>
      </c>
      <c r="J39" s="48">
        <v>5</v>
      </c>
      <c r="K39" s="21">
        <f t="shared" si="3"/>
        <v>0.19230769230769229</v>
      </c>
      <c r="L39" s="22">
        <f t="shared" si="4"/>
        <v>1</v>
      </c>
    </row>
    <row r="40" spans="1:13">
      <c r="A40" s="74" t="s">
        <v>15</v>
      </c>
      <c r="B40" s="74" t="s">
        <v>37</v>
      </c>
      <c r="C40" s="48">
        <v>30</v>
      </c>
      <c r="D40" s="48">
        <v>14</v>
      </c>
      <c r="E40" s="48">
        <v>2</v>
      </c>
      <c r="F40" s="19">
        <f t="shared" si="1"/>
        <v>0.53333333333333333</v>
      </c>
      <c r="G40" s="48">
        <v>3</v>
      </c>
      <c r="H40" s="48">
        <v>10</v>
      </c>
      <c r="I40" s="19">
        <f t="shared" si="2"/>
        <v>0.43333333333333335</v>
      </c>
      <c r="J40" s="48">
        <v>1</v>
      </c>
      <c r="K40" s="21">
        <f t="shared" si="3"/>
        <v>3.3333333333333326E-2</v>
      </c>
      <c r="L40" s="22">
        <f t="shared" si="4"/>
        <v>1</v>
      </c>
    </row>
    <row r="41" spans="1:13">
      <c r="A41" s="74" t="s">
        <v>15</v>
      </c>
      <c r="B41" s="74" t="s">
        <v>26</v>
      </c>
      <c r="C41" s="48">
        <v>31</v>
      </c>
      <c r="D41" s="48">
        <v>9</v>
      </c>
      <c r="E41" s="48">
        <v>3</v>
      </c>
      <c r="F41" s="19">
        <f t="shared" si="1"/>
        <v>0.38709677419354838</v>
      </c>
      <c r="G41" s="48">
        <v>4</v>
      </c>
      <c r="H41" s="48">
        <v>13</v>
      </c>
      <c r="I41" s="19">
        <f t="shared" si="2"/>
        <v>0.54838709677419351</v>
      </c>
      <c r="J41" s="48">
        <v>2</v>
      </c>
      <c r="K41" s="21">
        <f t="shared" si="3"/>
        <v>6.4516129032258118E-2</v>
      </c>
      <c r="L41" s="22">
        <f t="shared" si="4"/>
        <v>1</v>
      </c>
    </row>
    <row r="42" spans="1:13">
      <c r="A42" s="74" t="s">
        <v>15</v>
      </c>
      <c r="B42" s="74" t="s">
        <v>27</v>
      </c>
      <c r="C42" s="48">
        <v>27</v>
      </c>
      <c r="D42" s="48">
        <v>9</v>
      </c>
      <c r="E42" s="48">
        <v>5</v>
      </c>
      <c r="F42" s="19">
        <f t="shared" si="1"/>
        <v>0.51851851851851849</v>
      </c>
      <c r="G42" s="48">
        <v>2</v>
      </c>
      <c r="H42" s="48">
        <v>8</v>
      </c>
      <c r="I42" s="19">
        <f t="shared" si="2"/>
        <v>0.37037037037037035</v>
      </c>
      <c r="J42" s="48">
        <v>3</v>
      </c>
      <c r="K42" s="21">
        <f t="shared" si="3"/>
        <v>0.11111111111111116</v>
      </c>
      <c r="L42" s="22">
        <f t="shared" si="4"/>
        <v>1</v>
      </c>
    </row>
    <row r="43" spans="1:13">
      <c r="A43" s="74" t="s">
        <v>15</v>
      </c>
      <c r="B43" s="74" t="s">
        <v>28</v>
      </c>
      <c r="C43" s="48">
        <v>26</v>
      </c>
      <c r="D43" s="48">
        <v>11</v>
      </c>
      <c r="E43" s="48">
        <v>3</v>
      </c>
      <c r="F43" s="19">
        <f t="shared" si="1"/>
        <v>0.53846153846153844</v>
      </c>
      <c r="G43" s="48">
        <v>1</v>
      </c>
      <c r="H43" s="48">
        <v>8</v>
      </c>
      <c r="I43" s="19">
        <f t="shared" si="2"/>
        <v>0.34615384615384615</v>
      </c>
      <c r="J43" s="48">
        <v>3</v>
      </c>
      <c r="K43" s="21">
        <f t="shared" si="3"/>
        <v>0.11538461538461542</v>
      </c>
      <c r="L43" s="22">
        <f t="shared" si="4"/>
        <v>1</v>
      </c>
    </row>
    <row r="44" spans="1:13">
      <c r="A44" s="74" t="s">
        <v>15</v>
      </c>
      <c r="B44" s="74" t="s">
        <v>29</v>
      </c>
      <c r="C44" s="48">
        <v>36</v>
      </c>
      <c r="D44" s="48">
        <v>15</v>
      </c>
      <c r="E44" s="48">
        <v>1</v>
      </c>
      <c r="F44" s="19">
        <f>(D44+E44)/C44</f>
        <v>0.44444444444444442</v>
      </c>
      <c r="G44" s="48">
        <v>1</v>
      </c>
      <c r="H44" s="48">
        <v>13</v>
      </c>
      <c r="I44" s="19">
        <f>(G44+H44)/C44</f>
        <v>0.3888888888888889</v>
      </c>
      <c r="J44" s="48">
        <v>6</v>
      </c>
      <c r="K44" s="21">
        <f t="shared" si="3"/>
        <v>0.16666666666666674</v>
      </c>
      <c r="L44" s="22">
        <f t="shared" si="4"/>
        <v>1</v>
      </c>
    </row>
    <row r="45" spans="1:13">
      <c r="A45" s="74" t="s">
        <v>15</v>
      </c>
      <c r="B45" s="74" t="s">
        <v>30</v>
      </c>
      <c r="C45" s="48">
        <v>28</v>
      </c>
      <c r="D45" s="48">
        <v>11</v>
      </c>
      <c r="E45" s="48">
        <v>4</v>
      </c>
      <c r="F45" s="19">
        <f>(D45+E45)/C45</f>
        <v>0.5357142857142857</v>
      </c>
      <c r="G45" s="48">
        <v>4</v>
      </c>
      <c r="H45" s="48">
        <v>8</v>
      </c>
      <c r="I45" s="19">
        <f>(G45+H45)/C45</f>
        <v>0.42857142857142855</v>
      </c>
      <c r="J45" s="48">
        <v>2</v>
      </c>
      <c r="K45" s="21">
        <f t="shared" si="3"/>
        <v>3.5714285714285809E-2</v>
      </c>
      <c r="L45" s="22">
        <f t="shared" si="4"/>
        <v>1</v>
      </c>
    </row>
    <row r="46" spans="1:13">
      <c r="A46" s="74" t="s">
        <v>15</v>
      </c>
      <c r="B46" s="74" t="s">
        <v>31</v>
      </c>
      <c r="C46" s="48">
        <v>15</v>
      </c>
      <c r="D46" s="48">
        <v>6</v>
      </c>
      <c r="E46" s="48">
        <v>4</v>
      </c>
      <c r="F46" s="19">
        <f t="shared" si="1"/>
        <v>0.66666666666666663</v>
      </c>
      <c r="G46" s="48">
        <v>1</v>
      </c>
      <c r="H46" s="48">
        <v>4</v>
      </c>
      <c r="I46" s="19">
        <f t="shared" si="2"/>
        <v>0.33333333333333331</v>
      </c>
      <c r="J46" s="48">
        <v>1</v>
      </c>
      <c r="K46" s="21">
        <f t="shared" si="3"/>
        <v>0</v>
      </c>
      <c r="L46" s="22">
        <f t="shared" si="4"/>
        <v>1</v>
      </c>
    </row>
    <row r="47" spans="1:13">
      <c r="A47" s="74" t="s">
        <v>15</v>
      </c>
      <c r="B47" s="74" t="s">
        <v>32</v>
      </c>
      <c r="C47" s="28">
        <v>37</v>
      </c>
      <c r="D47" s="28">
        <v>11</v>
      </c>
      <c r="E47" s="28">
        <v>6</v>
      </c>
      <c r="F47" s="19">
        <f t="shared" si="1"/>
        <v>0.45945945945945948</v>
      </c>
      <c r="G47" s="28">
        <v>7</v>
      </c>
      <c r="H47" s="28">
        <v>9</v>
      </c>
      <c r="I47" s="19">
        <f t="shared" si="2"/>
        <v>0.43243243243243246</v>
      </c>
      <c r="J47" s="28">
        <v>4</v>
      </c>
      <c r="K47" s="21">
        <f t="shared" si="3"/>
        <v>0.10810810810810811</v>
      </c>
      <c r="L47" s="22">
        <f t="shared" si="4"/>
        <v>1</v>
      </c>
    </row>
    <row r="48" spans="1:13">
      <c r="A48" s="74" t="s">
        <v>15</v>
      </c>
      <c r="B48" s="74" t="s">
        <v>33</v>
      </c>
      <c r="C48" s="28">
        <v>27</v>
      </c>
      <c r="D48" s="28">
        <v>10</v>
      </c>
      <c r="E48" s="28">
        <v>2</v>
      </c>
      <c r="F48" s="19">
        <f t="shared" si="1"/>
        <v>0.44444444444444442</v>
      </c>
      <c r="G48" s="28">
        <v>3</v>
      </c>
      <c r="H48" s="28">
        <v>11</v>
      </c>
      <c r="I48" s="19">
        <f t="shared" si="2"/>
        <v>0.51851851851851849</v>
      </c>
      <c r="J48" s="28">
        <v>1</v>
      </c>
      <c r="K48" s="21">
        <f t="shared" si="3"/>
        <v>3.703703703703709E-2</v>
      </c>
      <c r="L48" s="22">
        <f t="shared" si="4"/>
        <v>1</v>
      </c>
    </row>
    <row r="50" spans="1:12">
      <c r="A50" s="92" t="s">
        <v>166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15</v>
      </c>
      <c r="B52" s="91" t="s">
        <v>14</v>
      </c>
      <c r="C52" s="83">
        <f ca="1">COUNTIFS(toulon[adversaire],B52)</f>
        <v>2</v>
      </c>
      <c r="D52" s="84">
        <f ca="1">COUNTIFS(toulon[Lieu Match],B52,toulon[Lieu Match],"domicile",toulon[Issue match],"victoire")</f>
        <v>0</v>
      </c>
      <c r="E52" s="84">
        <f ca="1">COUNTIFS(toulon[adversaire],B52,toulon[Lieu Match],"Extérieur",toulon[Issue match],"victoire")</f>
        <v>0</v>
      </c>
      <c r="F52" s="82">
        <f t="shared" ref="F52" ca="1" si="5">(D52+E52)/C52</f>
        <v>0</v>
      </c>
      <c r="G52" s="78">
        <f ca="1">COUNTIFS(toulon[adversaire],B52,toulon[Lieu Match],"domicile",toulon[Issue match],"défaite")</f>
        <v>1</v>
      </c>
      <c r="H52" s="80">
        <f ca="1">COUNTIFS(agen[adversaire],B52,agen[Lieu Match],"Extérieur",agen[Issue match],"défaite")</f>
        <v>0</v>
      </c>
      <c r="I52" s="79">
        <f t="shared" ref="I52" ca="1" si="6">(G52+H52)/C52</f>
        <v>0.5</v>
      </c>
      <c r="J52" s="85">
        <f ca="1">COUNTIFS(toulon[adversaire],B52,toulon[Lieu Match],"Domicile",toulon[Issue match],"Nul")+COUNTIFS(toulon[adversaire],B52,toulon[Lieu Match],"Extérieur",toulon[Issue match],"Nul")</f>
        <v>0</v>
      </c>
      <c r="K52" s="81">
        <f t="shared" ref="K52" ca="1" si="7">100%-(F52+I52)</f>
        <v>0.5</v>
      </c>
      <c r="L52" s="89">
        <f t="shared" ref="L52" ca="1" si="8">SUM(F52+I52+K52)</f>
        <v>1</v>
      </c>
    </row>
    <row r="53" spans="1:12">
      <c r="A53" s="90" t="s">
        <v>15</v>
      </c>
      <c r="B53" s="91" t="s">
        <v>23</v>
      </c>
      <c r="C53" s="83">
        <f ca="1">COUNTIFS(toulon[adversaire],B53)</f>
        <v>2</v>
      </c>
      <c r="D53" s="84">
        <f ca="1">COUNTIFS(toulon[Lieu Match],B53,toulon[Lieu Match],"domicile",toulon[Issue match],"victoire")</f>
        <v>0</v>
      </c>
      <c r="E53" s="84">
        <f ca="1">COUNTIFS(toulon[adversaire],B53,toulon[Lieu Match],"Extérieur",toulon[Issue match],"victoire")</f>
        <v>0</v>
      </c>
      <c r="F53" s="82">
        <f t="shared" ref="F53:F64" ca="1" si="9">(D53+E53)/C53</f>
        <v>0</v>
      </c>
      <c r="G53" s="78">
        <f ca="1">COUNTIFS(toulon[adversaire],B53,toulon[Lieu Match],"domicile",toulon[Issue match],"défaite")</f>
        <v>1</v>
      </c>
      <c r="H53" s="80">
        <f ca="1">COUNTIFS(agen[adversaire],B53,agen[Lieu Match],"Extérieur",agen[Issue match],"défaite")</f>
        <v>1</v>
      </c>
      <c r="I53" s="79">
        <f t="shared" ref="I53:I64" ca="1" si="10">(G53+H53)/C53</f>
        <v>1</v>
      </c>
      <c r="J53" s="85">
        <f ca="1">COUNTIFS(toulon[adversaire],B53,toulon[Lieu Match],"Domicile",toulon[Issue match],"Nul")+COUNTIFS(toulon[adversaire],B53,toulon[Lieu Match],"Extérieur",toulon[Issue match],"Nul")</f>
        <v>0</v>
      </c>
      <c r="K53" s="81">
        <f t="shared" ref="K53:K64" ca="1" si="11">100%-(F53+I53)</f>
        <v>0</v>
      </c>
      <c r="L53" s="89">
        <f t="shared" ref="L53:L64" ca="1" si="12">SUM(F53+I53+K53)</f>
        <v>1</v>
      </c>
    </row>
    <row r="54" spans="1:12">
      <c r="A54" s="90" t="s">
        <v>15</v>
      </c>
      <c r="B54" s="91" t="s">
        <v>24</v>
      </c>
      <c r="C54" s="83">
        <f ca="1">COUNTIFS(toulon[adversaire],B54)</f>
        <v>2</v>
      </c>
      <c r="D54" s="84">
        <f ca="1">COUNTIFS(toulon[Lieu Match],B54,toulon[Lieu Match],"domicile",toulon[Issue match],"victoire")</f>
        <v>0</v>
      </c>
      <c r="E54" s="84">
        <f ca="1">COUNTIFS(toulon[adversaire],B54,toulon[Lieu Match],"Extérieur",toulon[Issue match],"victoire")</f>
        <v>0</v>
      </c>
      <c r="F54" s="82">
        <f t="shared" ca="1" si="9"/>
        <v>0</v>
      </c>
      <c r="G54" s="78">
        <f ca="1">COUNTIFS(toulon[adversaire],B54,toulon[Lieu Match],"domicile",toulon[Issue match],"défaite")</f>
        <v>1</v>
      </c>
      <c r="H54" s="80">
        <f ca="1">COUNTIFS(agen[adversaire],B54,agen[Lieu Match],"Extérieur",agen[Issue match],"défaite")</f>
        <v>1</v>
      </c>
      <c r="I54" s="79">
        <f t="shared" ca="1" si="10"/>
        <v>1</v>
      </c>
      <c r="J54" s="85">
        <f ca="1">COUNTIFS(toulon[adversaire],B54,toulon[Lieu Match],"Domicile",toulon[Issue match],"Nul")+COUNTIFS(toulon[adversaire],B54,toulon[Lieu Match],"Extérieur",toulon[Issue match],"Nul")</f>
        <v>0</v>
      </c>
      <c r="K54" s="81">
        <f t="shared" ca="1" si="11"/>
        <v>0</v>
      </c>
      <c r="L54" s="89">
        <f t="shared" ca="1" si="12"/>
        <v>1</v>
      </c>
    </row>
    <row r="55" spans="1:12">
      <c r="A55" s="90" t="s">
        <v>15</v>
      </c>
      <c r="B55" s="91" t="s">
        <v>25</v>
      </c>
      <c r="C55" s="83">
        <f ca="1">COUNTIFS(toulon[adversaire],B55)</f>
        <v>2</v>
      </c>
      <c r="D55" s="84">
        <f ca="1">COUNTIFS(toulon[Lieu Match],B55,toulon[Lieu Match],"domicile",toulon[Issue match],"victoire")</f>
        <v>0</v>
      </c>
      <c r="E55" s="84">
        <f ca="1">COUNTIFS(toulon[adversaire],B55,toulon[Lieu Match],"Extérieur",toulon[Issue match],"victoire")</f>
        <v>0</v>
      </c>
      <c r="F55" s="82">
        <f t="shared" ca="1" si="9"/>
        <v>0</v>
      </c>
      <c r="G55" s="78">
        <f ca="1">COUNTIFS(toulon[adversaire],B55,toulon[Lieu Match],"domicile",toulon[Issue match],"défaite")</f>
        <v>1</v>
      </c>
      <c r="H55" s="80">
        <f ca="1">COUNTIFS(agen[adversaire],B55,agen[Lieu Match],"Extérieur",agen[Issue match],"défaite")</f>
        <v>1</v>
      </c>
      <c r="I55" s="79">
        <f t="shared" ca="1" si="10"/>
        <v>1</v>
      </c>
      <c r="J55" s="85">
        <f ca="1">COUNTIFS(toulon[adversaire],B55,toulon[Lieu Match],"Domicile",toulon[Issue match],"Nul")+COUNTIFS(toulon[adversaire],B55,toulon[Lieu Match],"Extérieur",toulon[Issue match],"Nul")</f>
        <v>0</v>
      </c>
      <c r="K55" s="81">
        <f t="shared" ca="1" si="11"/>
        <v>0</v>
      </c>
      <c r="L55" s="89">
        <f t="shared" ca="1" si="12"/>
        <v>1</v>
      </c>
    </row>
    <row r="56" spans="1:12">
      <c r="A56" s="90" t="s">
        <v>15</v>
      </c>
      <c r="B56" s="91" t="s">
        <v>37</v>
      </c>
      <c r="C56" s="83">
        <f ca="1">COUNTIFS(toulon[adversaire],B56)</f>
        <v>2</v>
      </c>
      <c r="D56" s="84">
        <f ca="1">COUNTIFS(toulon[Lieu Match],B56,toulon[Lieu Match],"domicile",toulon[Issue match],"victoire")</f>
        <v>0</v>
      </c>
      <c r="E56" s="84">
        <f ca="1">COUNTIFS(toulon[adversaire],B56,toulon[Lieu Match],"Extérieur",toulon[Issue match],"victoire")</f>
        <v>0</v>
      </c>
      <c r="F56" s="82">
        <f t="shared" ca="1" si="9"/>
        <v>0</v>
      </c>
      <c r="G56" s="78">
        <f ca="1">COUNTIFS(toulon[adversaire],B56,toulon[Lieu Match],"domicile",toulon[Issue match],"défaite")</f>
        <v>0</v>
      </c>
      <c r="H56" s="80">
        <f ca="1">COUNTIFS(agen[adversaire],B56,agen[Lieu Match],"Extérieur",agen[Issue match],"défaite")</f>
        <v>1</v>
      </c>
      <c r="I56" s="79">
        <f t="shared" ca="1" si="10"/>
        <v>0.5</v>
      </c>
      <c r="J56" s="85">
        <f ca="1">COUNTIFS(toulon[adversaire],B56,toulon[Lieu Match],"Domicile",toulon[Issue match],"Nul")+COUNTIFS(toulon[adversaire],B56,toulon[Lieu Match],"Extérieur",toulon[Issue match],"Nul")</f>
        <v>0</v>
      </c>
      <c r="K56" s="81">
        <f t="shared" ca="1" si="11"/>
        <v>0.5</v>
      </c>
      <c r="L56" s="89">
        <f t="shared" ca="1" si="12"/>
        <v>1</v>
      </c>
    </row>
    <row r="57" spans="1:12">
      <c r="A57" s="90" t="s">
        <v>15</v>
      </c>
      <c r="B57" s="91" t="s">
        <v>26</v>
      </c>
      <c r="C57" s="83">
        <f ca="1">COUNTIFS(toulon[adversaire],B57)</f>
        <v>2</v>
      </c>
      <c r="D57" s="84">
        <f ca="1">COUNTIFS(toulon[Lieu Match],B57,toulon[Lieu Match],"domicile",toulon[Issue match],"victoire")</f>
        <v>0</v>
      </c>
      <c r="E57" s="84">
        <f ca="1">COUNTIFS(toulon[adversaire],B57,toulon[Lieu Match],"Extérieur",toulon[Issue match],"victoire")</f>
        <v>0</v>
      </c>
      <c r="F57" s="82">
        <f t="shared" ca="1" si="9"/>
        <v>0</v>
      </c>
      <c r="G57" s="78">
        <f ca="1">COUNTIFS(toulon[adversaire],B57,toulon[Lieu Match],"domicile",toulon[Issue match],"défaite")</f>
        <v>1</v>
      </c>
      <c r="H57" s="80">
        <f ca="1">COUNTIFS(agen[adversaire],B57,agen[Lieu Match],"Extérieur",agen[Issue match],"défaite")</f>
        <v>1</v>
      </c>
      <c r="I57" s="79">
        <f t="shared" ca="1" si="10"/>
        <v>1</v>
      </c>
      <c r="J57" s="85">
        <f ca="1">COUNTIFS(toulon[adversaire],B57,toulon[Lieu Match],"Domicile",toulon[Issue match],"Nul")+COUNTIFS(toulon[adversaire],B57,toulon[Lieu Match],"Extérieur",toulon[Issue match],"Nul")</f>
        <v>0</v>
      </c>
      <c r="K57" s="81">
        <f t="shared" ca="1" si="11"/>
        <v>0</v>
      </c>
      <c r="L57" s="89">
        <f t="shared" ca="1" si="12"/>
        <v>1</v>
      </c>
    </row>
    <row r="58" spans="1:12">
      <c r="A58" s="90" t="s">
        <v>15</v>
      </c>
      <c r="B58" s="91" t="s">
        <v>27</v>
      </c>
      <c r="C58" s="83">
        <f ca="1">COUNTIFS(toulon[adversaire],B58)</f>
        <v>2</v>
      </c>
      <c r="D58" s="84">
        <f ca="1">COUNTIFS(toulon[Lieu Match],B58,toulon[Lieu Match],"domicile",toulon[Issue match],"victoire")</f>
        <v>0</v>
      </c>
      <c r="E58" s="84">
        <f ca="1">COUNTIFS(toulon[adversaire],B58,toulon[Lieu Match],"Extérieur",toulon[Issue match],"victoire")</f>
        <v>0</v>
      </c>
      <c r="F58" s="82">
        <f t="shared" ca="1" si="9"/>
        <v>0</v>
      </c>
      <c r="G58" s="78">
        <f ca="1">COUNTIFS(toulon[adversaire],B58,toulon[Lieu Match],"domicile",toulon[Issue match],"défaite")</f>
        <v>1</v>
      </c>
      <c r="H58" s="80">
        <f ca="1">COUNTIFS(agen[adversaire],B58,agen[Lieu Match],"Extérieur",agen[Issue match],"défaite")</f>
        <v>1</v>
      </c>
      <c r="I58" s="79">
        <f t="shared" ca="1" si="10"/>
        <v>1</v>
      </c>
      <c r="J58" s="85">
        <f ca="1">COUNTIFS(toulon[adversaire],B58,toulon[Lieu Match],"Domicile",toulon[Issue match],"Nul")+COUNTIFS(toulon[adversaire],B58,toulon[Lieu Match],"Extérieur",toulon[Issue match],"Nul")</f>
        <v>0</v>
      </c>
      <c r="K58" s="81">
        <f t="shared" ca="1" si="11"/>
        <v>0</v>
      </c>
      <c r="L58" s="89">
        <f t="shared" ca="1" si="12"/>
        <v>1</v>
      </c>
    </row>
    <row r="59" spans="1:12">
      <c r="A59" s="90" t="s">
        <v>15</v>
      </c>
      <c r="B59" s="91" t="s">
        <v>28</v>
      </c>
      <c r="C59" s="83">
        <f ca="1">COUNTIFS(toulon[adversaire],B59)</f>
        <v>2</v>
      </c>
      <c r="D59" s="84">
        <f ca="1">COUNTIFS(toulon[Lieu Match],B59,toulon[Lieu Match],"domicile",toulon[Issue match],"victoire")</f>
        <v>0</v>
      </c>
      <c r="E59" s="84">
        <f ca="1">COUNTIFS(toulon[adversaire],B59,toulon[Lieu Match],"Extérieur",toulon[Issue match],"victoire")</f>
        <v>0</v>
      </c>
      <c r="F59" s="82">
        <f t="shared" ca="1" si="9"/>
        <v>0</v>
      </c>
      <c r="G59" s="78">
        <f ca="1">COUNTIFS(toulon[adversaire],B59,toulon[Lieu Match],"domicile",toulon[Issue match],"défaite")</f>
        <v>0</v>
      </c>
      <c r="H59" s="80">
        <f ca="1">COUNTIFS(agen[adversaire],B59,agen[Lieu Match],"Extérieur",agen[Issue match],"défaite")</f>
        <v>1</v>
      </c>
      <c r="I59" s="79">
        <f t="shared" ca="1" si="10"/>
        <v>0.5</v>
      </c>
      <c r="J59" s="85">
        <f ca="1">COUNTIFS(toulon[adversaire],B59,toulon[Lieu Match],"Domicile",toulon[Issue match],"Nul")+COUNTIFS(toulon[adversaire],B59,toulon[Lieu Match],"Extérieur",toulon[Issue match],"Nul")</f>
        <v>0</v>
      </c>
      <c r="K59" s="81">
        <f t="shared" ca="1" si="11"/>
        <v>0.5</v>
      </c>
      <c r="L59" s="89">
        <f t="shared" ca="1" si="12"/>
        <v>1</v>
      </c>
    </row>
    <row r="60" spans="1:12">
      <c r="A60" s="90" t="s">
        <v>15</v>
      </c>
      <c r="B60" s="91" t="s">
        <v>29</v>
      </c>
      <c r="C60" s="83">
        <f ca="1">COUNTIFS(toulon[adversaire],B60)</f>
        <v>2</v>
      </c>
      <c r="D60" s="84">
        <f ca="1">COUNTIFS(toulon[Lieu Match],B60,toulon[Lieu Match],"domicile",toulon[Issue match],"victoire")</f>
        <v>0</v>
      </c>
      <c r="E60" s="84">
        <f ca="1">COUNTIFS(toulon[adversaire],B60,toulon[Lieu Match],"Extérieur",toulon[Issue match],"victoire")</f>
        <v>0</v>
      </c>
      <c r="F60" s="82">
        <f t="shared" ca="1" si="9"/>
        <v>0</v>
      </c>
      <c r="G60" s="78">
        <f ca="1">COUNTIFS(toulon[adversaire],B60,toulon[Lieu Match],"domicile",toulon[Issue match],"défaite")</f>
        <v>0</v>
      </c>
      <c r="H60" s="80">
        <f ca="1">COUNTIFS(agen[adversaire],B60,agen[Lieu Match],"Extérieur",agen[Issue match],"défaite")</f>
        <v>1</v>
      </c>
      <c r="I60" s="79">
        <f t="shared" ca="1" si="10"/>
        <v>0.5</v>
      </c>
      <c r="J60" s="85">
        <f ca="1">COUNTIFS(toulon[adversaire],B60,toulon[Lieu Match],"Domicile",toulon[Issue match],"Nul")+COUNTIFS(toulon[adversaire],B60,toulon[Lieu Match],"Extérieur",toulon[Issue match],"Nul")</f>
        <v>0</v>
      </c>
      <c r="K60" s="81">
        <f t="shared" ca="1" si="11"/>
        <v>0.5</v>
      </c>
      <c r="L60" s="89">
        <f t="shared" ca="1" si="12"/>
        <v>1</v>
      </c>
    </row>
    <row r="61" spans="1:12">
      <c r="A61" s="90" t="s">
        <v>15</v>
      </c>
      <c r="B61" s="91" t="s">
        <v>30</v>
      </c>
      <c r="C61" s="83">
        <f ca="1">COUNTIFS(toulon[adversaire],B61)</f>
        <v>2</v>
      </c>
      <c r="D61" s="84">
        <f ca="1">COUNTIFS(toulon[Lieu Match],B61,toulon[Lieu Match],"domicile",toulon[Issue match],"victoire")</f>
        <v>0</v>
      </c>
      <c r="E61" s="84">
        <f ca="1">COUNTIFS(toulon[adversaire],B61,toulon[Lieu Match],"Extérieur",toulon[Issue match],"victoire")</f>
        <v>0</v>
      </c>
      <c r="F61" s="82">
        <f t="shared" ca="1" si="9"/>
        <v>0</v>
      </c>
      <c r="G61" s="78">
        <f ca="1">COUNTIFS(toulon[adversaire],B61,toulon[Lieu Match],"domicile",toulon[Issue match],"défaite")</f>
        <v>1</v>
      </c>
      <c r="H61" s="80">
        <f ca="1">COUNTIFS(agen[adversaire],B61,agen[Lieu Match],"Extérieur",agen[Issue match],"défaite")</f>
        <v>1</v>
      </c>
      <c r="I61" s="79">
        <f t="shared" ca="1" si="10"/>
        <v>1</v>
      </c>
      <c r="J61" s="85">
        <f ca="1">COUNTIFS(toulon[adversaire],B61,toulon[Lieu Match],"Domicile",toulon[Issue match],"Nul")+COUNTIFS(toulon[adversaire],B61,toulon[Lieu Match],"Extérieur",toulon[Issue match],"Nul")</f>
        <v>0</v>
      </c>
      <c r="K61" s="81">
        <f t="shared" ca="1" si="11"/>
        <v>0</v>
      </c>
      <c r="L61" s="89">
        <f t="shared" ca="1" si="12"/>
        <v>1</v>
      </c>
    </row>
    <row r="62" spans="1:12">
      <c r="A62" s="90" t="s">
        <v>15</v>
      </c>
      <c r="B62" s="91" t="s">
        <v>31</v>
      </c>
      <c r="C62" s="83">
        <f ca="1">COUNTIFS(toulon[adversaire],B62)</f>
        <v>2</v>
      </c>
      <c r="D62" s="84">
        <f ca="1">COUNTIFS(toulon[Lieu Match],B62,toulon[Lieu Match],"domicile",toulon[Issue match],"victoire")</f>
        <v>0</v>
      </c>
      <c r="E62" s="84">
        <f ca="1">COUNTIFS(toulon[adversaire],B62,toulon[Lieu Match],"Extérieur",toulon[Issue match],"victoire")</f>
        <v>0</v>
      </c>
      <c r="F62" s="82">
        <f t="shared" ca="1" si="9"/>
        <v>0</v>
      </c>
      <c r="G62" s="78">
        <f ca="1">COUNTIFS(toulon[adversaire],B62,toulon[Lieu Match],"domicile",toulon[Issue match],"défaite")</f>
        <v>1</v>
      </c>
      <c r="H62" s="80">
        <f ca="1">COUNTIFS(agen[adversaire],B62,agen[Lieu Match],"Extérieur",agen[Issue match],"défaite")</f>
        <v>1</v>
      </c>
      <c r="I62" s="79">
        <f t="shared" ca="1" si="10"/>
        <v>1</v>
      </c>
      <c r="J62" s="85">
        <f ca="1">COUNTIFS(toulon[adversaire],B62,toulon[Lieu Match],"Domicile",toulon[Issue match],"Nul")+COUNTIFS(toulon[adversaire],B62,toulon[Lieu Match],"Extérieur",toulon[Issue match],"Nul")</f>
        <v>0</v>
      </c>
      <c r="K62" s="81">
        <f t="shared" ca="1" si="11"/>
        <v>0</v>
      </c>
      <c r="L62" s="89">
        <f t="shared" ca="1" si="12"/>
        <v>1</v>
      </c>
    </row>
    <row r="63" spans="1:12">
      <c r="A63" s="90" t="s">
        <v>15</v>
      </c>
      <c r="B63" s="91" t="s">
        <v>32</v>
      </c>
      <c r="C63" s="83">
        <f ca="1">COUNTIFS(toulon[adversaire],B63)</f>
        <v>2</v>
      </c>
      <c r="D63" s="84">
        <f ca="1">COUNTIFS(toulon[Lieu Match],B63,toulon[Lieu Match],"domicile",toulon[Issue match],"victoire")</f>
        <v>0</v>
      </c>
      <c r="E63" s="84">
        <f ca="1">COUNTIFS(toulon[adversaire],B63,toulon[Lieu Match],"Extérieur",toulon[Issue match],"victoire")</f>
        <v>0</v>
      </c>
      <c r="F63" s="82">
        <f t="shared" ca="1" si="9"/>
        <v>0</v>
      </c>
      <c r="G63" s="78">
        <f ca="1">COUNTIFS(toulon[adversaire],B63,toulon[Lieu Match],"domicile",toulon[Issue match],"défaite")</f>
        <v>1</v>
      </c>
      <c r="H63" s="80">
        <f ca="1">COUNTIFS(agen[adversaire],B63,agen[Lieu Match],"Extérieur",agen[Issue match],"défaite")</f>
        <v>1</v>
      </c>
      <c r="I63" s="79">
        <f t="shared" ca="1" si="10"/>
        <v>1</v>
      </c>
      <c r="J63" s="85">
        <f ca="1">COUNTIFS(toulon[adversaire],B63,toulon[Lieu Match],"Domicile",toulon[Issue match],"Nul")+COUNTIFS(toulon[adversaire],B63,toulon[Lieu Match],"Extérieur",toulon[Issue match],"Nul")</f>
        <v>0</v>
      </c>
      <c r="K63" s="81">
        <f t="shared" ca="1" si="11"/>
        <v>0</v>
      </c>
      <c r="L63" s="89">
        <f t="shared" ca="1" si="12"/>
        <v>1</v>
      </c>
    </row>
    <row r="64" spans="1:12">
      <c r="A64" s="90" t="s">
        <v>15</v>
      </c>
      <c r="B64" s="91" t="s">
        <v>33</v>
      </c>
      <c r="C64" s="83">
        <f ca="1">COUNTIFS(toulon[adversaire],B64)</f>
        <v>2</v>
      </c>
      <c r="D64" s="84">
        <f ca="1">COUNTIFS(toulon[Lieu Match],B64,toulon[Lieu Match],"domicile",toulon[Issue match],"victoire")</f>
        <v>0</v>
      </c>
      <c r="E64" s="84">
        <f ca="1">COUNTIFS(toulon[adversaire],B64,toulon[Lieu Match],"Extérieur",toulon[Issue match],"victoire")</f>
        <v>0</v>
      </c>
      <c r="F64" s="82">
        <f t="shared" ca="1" si="9"/>
        <v>0</v>
      </c>
      <c r="G64" s="78">
        <f ca="1">COUNTIFS(toulon[adversaire],B64,toulon[Lieu Match],"domicile",toulon[Issue match],"défaite")</f>
        <v>1</v>
      </c>
      <c r="H64" s="80">
        <f ca="1">COUNTIFS(agen[adversaire],B64,agen[Lieu Match],"Extérieur",agen[Issue match],"défaite")</f>
        <v>1</v>
      </c>
      <c r="I64" s="79">
        <f t="shared" ca="1" si="10"/>
        <v>1</v>
      </c>
      <c r="J64" s="85">
        <f ca="1">COUNTIFS(toulon[adversaire],B64,toulon[Lieu Match],"Domicile",toulon[Issue match],"Nul")+COUNTIFS(toulon[adversaire],B64,toulon[Lieu Match],"Extérieur",toulon[Issue match],"Nul")</f>
        <v>0</v>
      </c>
      <c r="K64" s="81">
        <f t="shared" ca="1" si="11"/>
        <v>0</v>
      </c>
      <c r="L64" s="89">
        <f t="shared" ca="1" si="12"/>
        <v>1</v>
      </c>
    </row>
  </sheetData>
  <mergeCells count="7">
    <mergeCell ref="Q1:S1"/>
    <mergeCell ref="Q9:S9"/>
    <mergeCell ref="A35:B35"/>
    <mergeCell ref="A1:A2"/>
    <mergeCell ref="B1:E1"/>
    <mergeCell ref="L1:N1"/>
    <mergeCell ref="G1:H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AC64"/>
  <sheetViews>
    <sheetView topLeftCell="A4" zoomScale="85" zoomScaleNormal="85" zoomScalePageLayoutView="85" workbookViewId="0">
      <selection activeCell="H13" sqref="H13"/>
    </sheetView>
  </sheetViews>
  <sheetFormatPr baseColWidth="10" defaultColWidth="10.5" defaultRowHeight="14" x14ac:dyDescent="0"/>
  <cols>
    <col min="1" max="1" width="10.6640625" bestFit="1" customWidth="1"/>
    <col min="2" max="3" width="13.1640625" bestFit="1" customWidth="1"/>
    <col min="4" max="4" width="11.5" bestFit="1" customWidth="1"/>
    <col min="5" max="5" width="12.5" bestFit="1" customWidth="1"/>
    <col min="6" max="7" width="9.6640625" bestFit="1" customWidth="1"/>
    <col min="8" max="8" width="11.6640625" bestFit="1" customWidth="1"/>
    <col min="9" max="9" width="9.5" bestFit="1" customWidth="1"/>
    <col min="10" max="10" width="4.1640625" bestFit="1" customWidth="1"/>
    <col min="11" max="11" width="14.33203125" bestFit="1" customWidth="1"/>
    <col min="12" max="12" width="8.1640625" bestFit="1" customWidth="1"/>
    <col min="13" max="13" width="12.1640625" bestFit="1" customWidth="1"/>
    <col min="16" max="16" width="14.33203125" bestFit="1" customWidth="1"/>
  </cols>
  <sheetData>
    <row r="1" spans="1:29">
      <c r="A1" s="121" t="s">
        <v>53</v>
      </c>
      <c r="B1" s="122" t="s">
        <v>0</v>
      </c>
      <c r="C1" s="122"/>
      <c r="D1" s="122"/>
      <c r="E1" s="122"/>
      <c r="F1" s="16"/>
      <c r="G1" s="123" t="s">
        <v>12</v>
      </c>
      <c r="H1" s="124"/>
      <c r="K1" s="10" t="s">
        <v>6</v>
      </c>
      <c r="L1" s="118" t="s">
        <v>80</v>
      </c>
      <c r="M1" s="120"/>
      <c r="N1" s="119"/>
      <c r="O1" s="1"/>
      <c r="P1" s="10" t="s">
        <v>6</v>
      </c>
      <c r="Q1" s="118" t="s">
        <v>0</v>
      </c>
      <c r="R1" s="120"/>
      <c r="S1" s="119"/>
    </row>
    <row r="2" spans="1:29">
      <c r="A2" s="121"/>
      <c r="B2" s="63" t="s">
        <v>1</v>
      </c>
      <c r="C2" s="63" t="s">
        <v>4</v>
      </c>
      <c r="D2" s="63" t="s">
        <v>35</v>
      </c>
      <c r="E2" s="63" t="s">
        <v>5</v>
      </c>
      <c r="F2" s="17"/>
      <c r="G2" s="4" t="s">
        <v>13</v>
      </c>
      <c r="H2" s="5" t="s">
        <v>34</v>
      </c>
      <c r="K2" s="10" t="s">
        <v>7</v>
      </c>
      <c r="L2" s="72">
        <f ca="1">SUMIFS(toulouse[Score D],toulouse[Lieu Match],"domicile")</f>
        <v>85</v>
      </c>
      <c r="M2" s="72">
        <f ca="1">SUMIFS(toulouse[Score E],toulouse[Lieu Match],"domicile")</f>
        <v>58</v>
      </c>
      <c r="N2" s="72">
        <f ca="1">L2-M2</f>
        <v>27</v>
      </c>
      <c r="O2" s="1"/>
      <c r="P2" s="10" t="s">
        <v>7</v>
      </c>
      <c r="Q2" s="13">
        <v>158</v>
      </c>
      <c r="R2" s="72">
        <v>164</v>
      </c>
      <c r="S2" s="72">
        <v>-6</v>
      </c>
    </row>
    <row r="3" spans="1:29">
      <c r="A3" s="10" t="s">
        <v>108</v>
      </c>
      <c r="B3" s="15">
        <f ca="1">COUNTIF(toulouse[Lieu Match],"domicile")</f>
        <v>13</v>
      </c>
      <c r="C3" s="63">
        <f ca="1">COUNTIFS(toulouse[Issue match],"victoire",toulouse[Lieu Match],"domicile")</f>
        <v>2</v>
      </c>
      <c r="D3" s="63">
        <f ca="1">COUNTIFS(toulouse[Issue match],"nul",toulouse[Lieu Match],"domicile")</f>
        <v>0</v>
      </c>
      <c r="E3" s="63">
        <f ca="1">COUNTIFS(toulouse[Issue match],"défaite",toulouse[Lieu Match],"domicile")</f>
        <v>11</v>
      </c>
      <c r="F3" s="77">
        <f ca="1">C3+E3+D3-D3</f>
        <v>13</v>
      </c>
      <c r="G3" s="6" t="s">
        <v>53</v>
      </c>
      <c r="H3" s="7" t="s">
        <v>47</v>
      </c>
      <c r="K3" s="10" t="s">
        <v>9</v>
      </c>
      <c r="L3" s="18">
        <f ca="1">L2/F3</f>
        <v>6.5384615384615383</v>
      </c>
      <c r="M3" s="18">
        <f ca="1">M2/F3</f>
        <v>4.4615384615384617</v>
      </c>
      <c r="N3" s="13"/>
      <c r="O3" s="1"/>
      <c r="P3" s="10" t="s">
        <v>9</v>
      </c>
      <c r="Q3" s="18">
        <v>17.555555555555557</v>
      </c>
      <c r="R3" s="18">
        <v>18.222222222222221</v>
      </c>
      <c r="S3" s="13"/>
    </row>
    <row r="4" spans="1:29">
      <c r="A4" s="10" t="s">
        <v>155</v>
      </c>
      <c r="B4" s="15">
        <f ca="1">COUNTIF(toulouse[Lieu Match],"extérieur")</f>
        <v>13</v>
      </c>
      <c r="C4" s="63">
        <f ca="1">COUNTIFS(toulouse[Issue match],"victoire",toulouse[Lieu Match],"extérieur")</f>
        <v>2</v>
      </c>
      <c r="D4" s="63">
        <f ca="1">COUNTIFS(toulouse[Issue match],"nul",toulouse[Lieu Match],"extérieur")</f>
        <v>0</v>
      </c>
      <c r="E4" s="63">
        <f ca="1">COUNTIFS(toulouse[Issue match],"défaite",toulouse[Lieu Match],"extérieur")</f>
        <v>11</v>
      </c>
      <c r="F4" s="77">
        <f ca="1">C4+E4+D4-D4</f>
        <v>13</v>
      </c>
      <c r="G4" s="8">
        <f t="array" ref="G4">INDEX($C$36:$L$48,MATCH(1,($A$36:$A$48=$G$3)*($B$36:$B$48=$H$3),0),4)</f>
        <v>0.61538461538461542</v>
      </c>
      <c r="H4" s="8">
        <f t="array" ref="H4">INDEX($C$36:$L$48,MATCH(1,($A$36:$A$48=$G$3)*($B$36:$B$48=$H$3),0),7)</f>
        <v>0.30769230769230771</v>
      </c>
      <c r="K4" s="10" t="s">
        <v>8</v>
      </c>
      <c r="L4" s="72">
        <f ca="1">SUMIFS(toulouse[Score E],toulouse[Lieu Match],"extérieur")</f>
        <v>110</v>
      </c>
      <c r="M4" s="72">
        <f ca="1">SUMIFS(toulouse[Score D],toulouse[Lieu Match],"extérieur")</f>
        <v>121</v>
      </c>
      <c r="N4" s="13">
        <f ca="1">L4-M4</f>
        <v>-11</v>
      </c>
      <c r="O4" s="1"/>
      <c r="P4" s="10" t="s">
        <v>8</v>
      </c>
      <c r="Q4" s="72">
        <v>140</v>
      </c>
      <c r="R4" s="72">
        <v>206</v>
      </c>
      <c r="S4" s="13">
        <v>-66</v>
      </c>
    </row>
    <row r="5" spans="1:29">
      <c r="A5" s="10" t="s">
        <v>156</v>
      </c>
      <c r="B5" s="15">
        <f ca="1">B3+B4</f>
        <v>26</v>
      </c>
      <c r="C5" s="15">
        <f t="shared" ref="C5:E5" ca="1" si="0">C3+C4</f>
        <v>4</v>
      </c>
      <c r="D5" s="15">
        <f t="shared" ca="1" si="0"/>
        <v>0</v>
      </c>
      <c r="E5" s="15">
        <f t="shared" ca="1" si="0"/>
        <v>22</v>
      </c>
      <c r="F5" s="77">
        <f ca="1">C5+E5+D5-D5</f>
        <v>26</v>
      </c>
      <c r="G5" s="9">
        <f>100/G4/100</f>
        <v>1.625</v>
      </c>
      <c r="H5" s="9">
        <f>100/H4/100</f>
        <v>3.25</v>
      </c>
      <c r="K5" s="10" t="s">
        <v>9</v>
      </c>
      <c r="L5" s="18">
        <f ca="1">L4/F4</f>
        <v>8.4615384615384617</v>
      </c>
      <c r="M5" s="18">
        <f ca="1">M4/F4</f>
        <v>9.3076923076923084</v>
      </c>
      <c r="N5" s="13"/>
      <c r="O5" s="1"/>
      <c r="P5" s="10" t="s">
        <v>9</v>
      </c>
      <c r="Q5" s="18">
        <v>17.5</v>
      </c>
      <c r="R5" s="18">
        <v>25.75</v>
      </c>
      <c r="S5" s="13"/>
    </row>
    <row r="6" spans="1:29">
      <c r="A6" s="1"/>
      <c r="B6" s="1"/>
      <c r="C6" s="1"/>
      <c r="D6" s="1"/>
      <c r="E6" s="1"/>
      <c r="F6" s="1"/>
      <c r="K6" s="10" t="s">
        <v>10</v>
      </c>
      <c r="L6" s="13">
        <f ca="1">L2+M4</f>
        <v>206</v>
      </c>
      <c r="M6" s="13">
        <f ca="1">M2+L4</f>
        <v>168</v>
      </c>
      <c r="N6" s="13">
        <f ca="1">L6-M6</f>
        <v>38</v>
      </c>
      <c r="O6" s="1"/>
      <c r="P6" s="10" t="s">
        <v>10</v>
      </c>
      <c r="Q6" s="13">
        <v>298</v>
      </c>
      <c r="R6" s="13">
        <v>370</v>
      </c>
      <c r="S6" s="13">
        <v>-72</v>
      </c>
    </row>
    <row r="7" spans="1:29">
      <c r="A7" s="40" t="s">
        <v>120</v>
      </c>
      <c r="B7" s="41" t="s">
        <v>121</v>
      </c>
      <c r="C7" s="42" t="s">
        <v>122</v>
      </c>
      <c r="D7" s="51" t="s">
        <v>123</v>
      </c>
      <c r="E7" s="43" t="s">
        <v>110</v>
      </c>
      <c r="F7" s="44" t="s">
        <v>111</v>
      </c>
      <c r="G7" s="34" t="s">
        <v>164</v>
      </c>
      <c r="H7" s="49" t="s">
        <v>163</v>
      </c>
      <c r="I7" s="50" t="s">
        <v>157</v>
      </c>
      <c r="K7" s="10" t="s">
        <v>9</v>
      </c>
      <c r="L7" s="18">
        <f ca="1">L6/F5</f>
        <v>7.9230769230769234</v>
      </c>
      <c r="M7" s="18">
        <f ca="1">M6/F5</f>
        <v>6.4615384615384617</v>
      </c>
      <c r="N7" s="13"/>
      <c r="O7" s="1"/>
      <c r="P7" s="10" t="s">
        <v>9</v>
      </c>
      <c r="Q7" s="18">
        <v>17.529411764705884</v>
      </c>
      <c r="R7" s="18">
        <v>21.764705882352942</v>
      </c>
      <c r="S7" s="13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>
      <c r="A8" s="39" t="s">
        <v>124</v>
      </c>
      <c r="B8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Clermont</v>
      </c>
      <c r="C8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8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8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33</v>
      </c>
      <c r="F8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30</v>
      </c>
      <c r="G8" s="34">
        <v>0</v>
      </c>
      <c r="H8" s="49">
        <v>1</v>
      </c>
      <c r="I8" s="50">
        <f ca="1">(toulouse[[#This Row],[Issue match]]="Victoire")*4 + (toulouse[[#This Row],[Issue match]]="Nul")*2 + toulouse[[#This Row],[Bonus off]] + toulouse[[#This Row],[Bonus déf]]</f>
        <v>1</v>
      </c>
      <c r="K8" s="1"/>
      <c r="L8" s="1"/>
      <c r="M8" s="1"/>
      <c r="N8" s="1"/>
      <c r="O8" s="1"/>
      <c r="P8" s="1"/>
      <c r="Q8" s="1"/>
      <c r="R8" s="1"/>
      <c r="S8" s="1"/>
      <c r="V8" s="1"/>
      <c r="W8" s="1"/>
      <c r="X8" s="1"/>
      <c r="Y8" s="1"/>
      <c r="Z8" s="1"/>
      <c r="AA8" s="1"/>
      <c r="AB8" s="1"/>
      <c r="AC8" s="1"/>
    </row>
    <row r="9" spans="1:29">
      <c r="A9" s="39" t="s">
        <v>125</v>
      </c>
      <c r="B9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La Rochelle</v>
      </c>
      <c r="C9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9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Victoire</v>
      </c>
      <c r="E9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39</v>
      </c>
      <c r="F9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23</v>
      </c>
      <c r="G9" s="34">
        <v>0</v>
      </c>
      <c r="H9" s="49">
        <v>0</v>
      </c>
      <c r="I9" s="50">
        <f ca="1">(toulouse[[#This Row],[Issue match]]="Victoire")*4 + (toulouse[[#This Row],[Issue match]]="Nul")*2 + toulouse[[#This Row],[Bonus off]] + toulouse[[#This Row],[Bonus déf]]</f>
        <v>4</v>
      </c>
      <c r="K9" s="10" t="s">
        <v>6</v>
      </c>
      <c r="L9" s="69"/>
      <c r="M9" s="70"/>
      <c r="N9" s="71"/>
      <c r="O9" s="1"/>
      <c r="P9" s="10" t="s">
        <v>6</v>
      </c>
      <c r="Q9" s="118"/>
      <c r="R9" s="120"/>
      <c r="S9" s="119"/>
      <c r="V9" s="1"/>
      <c r="W9" s="1"/>
      <c r="X9" s="1"/>
      <c r="Y9" s="1"/>
      <c r="Z9" s="1"/>
      <c r="AA9" s="1"/>
      <c r="AB9" s="1"/>
      <c r="AC9" s="1"/>
    </row>
    <row r="10" spans="1:29">
      <c r="A10" s="39" t="s">
        <v>126</v>
      </c>
      <c r="B10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Toulon</v>
      </c>
      <c r="C10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10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Victoire</v>
      </c>
      <c r="E10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39</v>
      </c>
      <c r="F10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19</v>
      </c>
      <c r="G10" s="34">
        <v>0</v>
      </c>
      <c r="H10" s="49">
        <v>0</v>
      </c>
      <c r="I10" s="50">
        <f ca="1">(toulouse[[#This Row],[Issue match]]="Victoire")*4 + (toulouse[[#This Row],[Issue match]]="Nul")*2 + toulouse[[#This Row],[Bonus off]] + toulouse[[#This Row],[Bonus déf]]</f>
        <v>4</v>
      </c>
      <c r="K10" s="10" t="s">
        <v>7</v>
      </c>
      <c r="L10" s="13"/>
      <c r="M10" s="72"/>
      <c r="N10" s="72"/>
      <c r="O10" s="1"/>
      <c r="P10" s="10" t="s">
        <v>7</v>
      </c>
      <c r="Q10" s="13"/>
      <c r="R10" s="72"/>
      <c r="S10" s="72"/>
      <c r="V10" s="1"/>
      <c r="W10" s="1"/>
      <c r="X10" s="1"/>
      <c r="Y10" s="1"/>
      <c r="Z10" s="1"/>
      <c r="AA10" s="1"/>
      <c r="AB10" s="1"/>
      <c r="AC10" s="1"/>
    </row>
    <row r="11" spans="1:29">
      <c r="A11" s="39" t="s">
        <v>127</v>
      </c>
      <c r="B11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Racing 92</v>
      </c>
      <c r="C11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11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Victoire</v>
      </c>
      <c r="E11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24</v>
      </c>
      <c r="F11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30</v>
      </c>
      <c r="G11" s="34">
        <v>0</v>
      </c>
      <c r="H11" s="49">
        <v>0</v>
      </c>
      <c r="I11" s="50">
        <f ca="1">(toulouse[[#This Row],[Issue match]]="Victoire")*4 + (toulouse[[#This Row],[Issue match]]="Nul")*2 + toulouse[[#This Row],[Bonus off]] + toulouse[[#This Row],[Bonus déf]]</f>
        <v>4</v>
      </c>
      <c r="K11" s="10" t="s">
        <v>9</v>
      </c>
      <c r="L11" s="18"/>
      <c r="M11" s="18"/>
      <c r="N11" s="13"/>
      <c r="O11" s="1"/>
      <c r="P11" s="10" t="s">
        <v>9</v>
      </c>
      <c r="Q11" s="18"/>
      <c r="R11" s="18"/>
      <c r="S11" s="13"/>
      <c r="V11" s="1"/>
      <c r="W11" s="1"/>
      <c r="X11" s="1"/>
      <c r="Y11" s="1"/>
      <c r="Z11" s="1"/>
      <c r="AA11" s="1"/>
      <c r="AB11" s="1"/>
      <c r="AC11" s="1"/>
    </row>
    <row r="12" spans="1:29">
      <c r="A12" s="39" t="s">
        <v>128</v>
      </c>
      <c r="B12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Brive</v>
      </c>
      <c r="C12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12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Victoire</v>
      </c>
      <c r="E12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16</v>
      </c>
      <c r="F12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36</v>
      </c>
      <c r="G12" s="34">
        <v>1</v>
      </c>
      <c r="H12" s="49">
        <v>0</v>
      </c>
      <c r="I12" s="50">
        <f ca="1">(toulouse[[#This Row],[Issue match]]="Victoire")*4 + (toulouse[[#This Row],[Issue match]]="Nul")*2 + toulouse[[#This Row],[Bonus off]] + toulouse[[#This Row],[Bonus déf]]</f>
        <v>5</v>
      </c>
      <c r="K12" s="10" t="s">
        <v>8</v>
      </c>
      <c r="L12" s="72"/>
      <c r="M12" s="72"/>
      <c r="N12" s="13"/>
      <c r="O12" s="1"/>
      <c r="P12" s="10" t="s">
        <v>8</v>
      </c>
      <c r="Q12" s="72"/>
      <c r="R12" s="72"/>
      <c r="S12" s="13"/>
      <c r="V12" s="1"/>
      <c r="W12" s="1"/>
      <c r="X12" s="1"/>
      <c r="Y12" s="1"/>
      <c r="Z12" s="1"/>
      <c r="AA12" s="1"/>
      <c r="AB12" s="1"/>
      <c r="AC12" s="1"/>
    </row>
    <row r="13" spans="1:29">
      <c r="A13" s="39" t="s">
        <v>129</v>
      </c>
      <c r="B13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Lyon</v>
      </c>
      <c r="C13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13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13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7</v>
      </c>
      <c r="F13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16</v>
      </c>
      <c r="G13" s="34">
        <v>0</v>
      </c>
      <c r="H13" s="49">
        <v>0</v>
      </c>
      <c r="I13" s="50">
        <f ca="1">(toulouse[[#This Row],[Issue match]]="Victoire")*4 + (toulouse[[#This Row],[Issue match]]="Nul")*2 + toulouse[[#This Row],[Bonus off]] + toulouse[[#This Row],[Bonus déf]]</f>
        <v>0</v>
      </c>
      <c r="K13" s="10" t="s">
        <v>9</v>
      </c>
      <c r="L13" s="18"/>
      <c r="M13" s="18"/>
      <c r="N13" s="13"/>
      <c r="O13" s="1"/>
      <c r="P13" s="10" t="s">
        <v>9</v>
      </c>
      <c r="Q13" s="18"/>
      <c r="R13" s="18"/>
      <c r="S13" s="13"/>
      <c r="V13" s="1"/>
      <c r="W13" s="1"/>
      <c r="X13" s="1"/>
      <c r="Y13" s="1"/>
      <c r="Z13" s="1"/>
      <c r="AA13" s="1"/>
      <c r="AB13" s="1"/>
      <c r="AC13" s="1"/>
    </row>
    <row r="14" spans="1:29">
      <c r="A14" s="39" t="s">
        <v>130</v>
      </c>
      <c r="B14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Paris</v>
      </c>
      <c r="C14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14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14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48</v>
      </c>
      <c r="F14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14</v>
      </c>
      <c r="G14" s="34"/>
      <c r="H14" s="49"/>
      <c r="I14" s="50">
        <f ca="1">(toulouse[[#This Row],[Issue match]]="Victoire")*4 + (toulouse[[#This Row],[Issue match]]="Nul")*2 + toulouse[[#This Row],[Bonus off]] + toulouse[[#This Row],[Bonus déf]]</f>
        <v>0</v>
      </c>
      <c r="K14" s="10" t="s">
        <v>10</v>
      </c>
      <c r="L14" s="13"/>
      <c r="M14" s="13"/>
      <c r="N14" s="13"/>
      <c r="O14" s="1"/>
      <c r="P14" s="10" t="s">
        <v>10</v>
      </c>
      <c r="Q14" s="13"/>
      <c r="R14" s="13"/>
      <c r="S14" s="13"/>
      <c r="V14" s="1"/>
      <c r="W14" s="1"/>
      <c r="X14" s="1"/>
      <c r="Y14" s="1"/>
      <c r="Z14" s="1"/>
      <c r="AA14" s="1"/>
      <c r="AB14" s="1"/>
      <c r="AC14" s="1"/>
    </row>
    <row r="15" spans="1:29">
      <c r="A15" s="39" t="s">
        <v>131</v>
      </c>
      <c r="B15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Castres</v>
      </c>
      <c r="C15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15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15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15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15" s="34"/>
      <c r="H15" s="49"/>
      <c r="I15" s="50">
        <f ca="1">(toulouse[[#This Row],[Issue match]]="Victoire")*4 + (toulouse[[#This Row],[Issue match]]="Nul")*2 + toulouse[[#This Row],[Bonus off]] + toulouse[[#This Row],[Bonus déf]]</f>
        <v>0</v>
      </c>
      <c r="K15" s="10" t="s">
        <v>9</v>
      </c>
      <c r="L15" s="18"/>
      <c r="M15" s="18"/>
      <c r="N15" s="13"/>
      <c r="O15" s="1"/>
      <c r="P15" s="10" t="s">
        <v>9</v>
      </c>
      <c r="Q15" s="18"/>
      <c r="R15" s="18"/>
      <c r="S15" s="13"/>
      <c r="V15" s="1"/>
      <c r="W15" s="1"/>
      <c r="X15" s="1"/>
      <c r="Y15" s="1"/>
      <c r="Z15" s="1"/>
      <c r="AA15" s="1"/>
      <c r="AB15" s="1"/>
      <c r="AC15" s="1"/>
    </row>
    <row r="16" spans="1:29">
      <c r="A16" s="39" t="s">
        <v>132</v>
      </c>
      <c r="B16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Pau</v>
      </c>
      <c r="C16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16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16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16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16" s="34"/>
      <c r="H16" s="49"/>
      <c r="I16" s="50">
        <f ca="1">(toulouse[[#This Row],[Issue match]]="Victoire")*4 + (toulouse[[#This Row],[Issue match]]="Nul")*2 + toulouse[[#This Row],[Bonus off]] + toulouse[[#This Row],[Bonus déf]]</f>
        <v>0</v>
      </c>
      <c r="K16" s="1"/>
      <c r="L16" s="1"/>
      <c r="M16" s="1"/>
      <c r="N16" s="1"/>
      <c r="O16" s="1"/>
      <c r="P16" s="1"/>
      <c r="Q16" s="1"/>
      <c r="R16" s="1"/>
      <c r="S16" s="1"/>
      <c r="V16" s="1"/>
      <c r="W16" s="1"/>
      <c r="X16" s="1"/>
      <c r="Y16" s="1"/>
      <c r="Z16" s="1"/>
      <c r="AA16" s="1"/>
      <c r="AB16" s="1"/>
      <c r="AC16" s="1"/>
    </row>
    <row r="17" spans="1:29">
      <c r="A17" s="39" t="s">
        <v>133</v>
      </c>
      <c r="B17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Agen</v>
      </c>
      <c r="C17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17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17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17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17" s="34"/>
      <c r="H17" s="49"/>
      <c r="I17" s="50">
        <f ca="1">(toulouse[[#This Row],[Issue match]]="Victoire")*4 + (toulouse[[#This Row],[Issue match]]="Nul")*2 + toulouse[[#This Row],[Bonus off]] + toulouse[[#This Row],[Bonus déf]]</f>
        <v>0</v>
      </c>
      <c r="K17" s="10" t="s">
        <v>6</v>
      </c>
      <c r="L17" s="69"/>
      <c r="M17" s="70"/>
      <c r="N17" s="71"/>
      <c r="O17" s="1"/>
      <c r="P17" s="1"/>
      <c r="Q17" s="1"/>
      <c r="R17" s="1"/>
      <c r="S17" s="1"/>
      <c r="V17" s="1"/>
      <c r="W17" s="1"/>
      <c r="X17" s="1"/>
      <c r="Y17" s="1"/>
      <c r="Z17" s="1"/>
      <c r="AA17" s="1"/>
      <c r="AB17" s="1"/>
      <c r="AC17" s="1"/>
    </row>
    <row r="18" spans="1:29">
      <c r="A18" s="39" t="s">
        <v>134</v>
      </c>
      <c r="B18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Bayonne</v>
      </c>
      <c r="C18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18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18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18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18" s="34"/>
      <c r="H18" s="49"/>
      <c r="I18" s="50">
        <f ca="1">(toulouse[[#This Row],[Issue match]]="Victoire")*4 + (toulouse[[#This Row],[Issue match]]="Nul")*2 + toulouse[[#This Row],[Bonus off]] + toulouse[[#This Row],[Bonus déf]]</f>
        <v>0</v>
      </c>
      <c r="K18" s="10" t="s">
        <v>7</v>
      </c>
      <c r="L18" s="13"/>
      <c r="M18" s="72"/>
      <c r="N18" s="72"/>
      <c r="O18" s="1"/>
      <c r="P18" s="1"/>
      <c r="R18" s="1"/>
      <c r="S18" s="1"/>
      <c r="V18" s="1"/>
      <c r="W18" s="1"/>
      <c r="X18" s="1"/>
      <c r="Y18" s="1"/>
      <c r="Z18" s="1"/>
      <c r="AA18" s="1"/>
      <c r="AB18" s="1"/>
      <c r="AC18" s="1"/>
    </row>
    <row r="19" spans="1:29">
      <c r="A19" s="39" t="s">
        <v>135</v>
      </c>
      <c r="B19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Bordeaux</v>
      </c>
      <c r="C19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19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19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19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19" s="34"/>
      <c r="H19" s="49"/>
      <c r="I19" s="50">
        <f ca="1">(toulouse[[#This Row],[Issue match]]="Victoire")*4 + (toulouse[[#This Row],[Issue match]]="Nul")*2 + toulouse[[#This Row],[Bonus off]] + toulouse[[#This Row],[Bonus déf]]</f>
        <v>0</v>
      </c>
      <c r="K19" s="10" t="s">
        <v>9</v>
      </c>
      <c r="L19" s="18"/>
      <c r="M19" s="18"/>
      <c r="N19" s="13"/>
      <c r="O19" s="1"/>
      <c r="P19" s="1" t="s">
        <v>165</v>
      </c>
      <c r="Q19" s="12" t="s">
        <v>41</v>
      </c>
      <c r="R19" s="1"/>
      <c r="S19" s="1"/>
      <c r="V19" s="1"/>
      <c r="W19" s="1"/>
      <c r="X19" s="1"/>
      <c r="Y19" s="1"/>
      <c r="Z19" s="1"/>
      <c r="AA19" s="1"/>
      <c r="AB19" s="1"/>
      <c r="AC19" s="1"/>
    </row>
    <row r="20" spans="1:29">
      <c r="A20" s="39" t="s">
        <v>136</v>
      </c>
      <c r="B20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Lyon</v>
      </c>
      <c r="C20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20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0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0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0" s="34"/>
      <c r="H20" s="49"/>
      <c r="I20" s="50">
        <f ca="1">(toulouse[[#This Row],[Issue match]]="Victoire")*4 + (toulouse[[#This Row],[Issue match]]="Nul")*2 + toulouse[[#This Row],[Bonus off]] + toulouse[[#This Row],[Bonus déf]]</f>
        <v>0</v>
      </c>
      <c r="K20" s="10" t="s">
        <v>8</v>
      </c>
      <c r="L20" s="72"/>
      <c r="M20" s="72"/>
      <c r="N20" s="13"/>
      <c r="O20" s="1"/>
      <c r="P20" s="1" t="s">
        <v>165</v>
      </c>
      <c r="Q20" s="26" t="s">
        <v>42</v>
      </c>
      <c r="R20" s="1"/>
      <c r="S20" s="1"/>
      <c r="V20" s="1"/>
      <c r="W20" s="1"/>
      <c r="X20" s="1"/>
      <c r="Y20" s="1"/>
      <c r="Z20" s="1"/>
      <c r="AA20" s="1"/>
      <c r="AB20" s="1"/>
      <c r="AC20" s="1"/>
    </row>
    <row r="21" spans="1:29">
      <c r="A21" s="39" t="s">
        <v>137</v>
      </c>
      <c r="B21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Paris</v>
      </c>
      <c r="C21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21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1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1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1" s="34"/>
      <c r="H21" s="49"/>
      <c r="I21" s="50">
        <f ca="1">(toulouse[[#This Row],[Issue match]]="Victoire")*4 + (toulouse[[#This Row],[Issue match]]="Nul")*2 + toulouse[[#This Row],[Bonus off]] + toulouse[[#This Row],[Bonus déf]]</f>
        <v>0</v>
      </c>
      <c r="K21" s="10" t="s">
        <v>9</v>
      </c>
      <c r="L21" s="18"/>
      <c r="M21" s="18"/>
      <c r="N21" s="13"/>
      <c r="O21" s="1"/>
      <c r="P21" s="1" t="s">
        <v>165</v>
      </c>
      <c r="Q21" s="12" t="s">
        <v>43</v>
      </c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A22" s="39" t="s">
        <v>138</v>
      </c>
      <c r="B22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La Rochelle</v>
      </c>
      <c r="C22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22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2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2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2" s="34"/>
      <c r="H22" s="49"/>
      <c r="I22" s="50">
        <f ca="1">(toulouse[[#This Row],[Issue match]]="Victoire")*4 + (toulouse[[#This Row],[Issue match]]="Nul")*2 + toulouse[[#This Row],[Bonus off]] + toulouse[[#This Row],[Bonus déf]]</f>
        <v>0</v>
      </c>
      <c r="K22" s="10" t="s">
        <v>10</v>
      </c>
      <c r="L22" s="13"/>
      <c r="M22" s="13"/>
      <c r="N22" s="13"/>
      <c r="O22" s="1"/>
      <c r="P22" s="1" t="s">
        <v>165</v>
      </c>
      <c r="Q22" s="12" t="s">
        <v>40</v>
      </c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A23" s="39" t="s">
        <v>139</v>
      </c>
      <c r="B23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Pau</v>
      </c>
      <c r="C23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23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3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3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3" s="34"/>
      <c r="H23" s="49"/>
      <c r="I23" s="50">
        <f ca="1">(toulouse[[#This Row],[Issue match]]="Victoire")*4 + (toulouse[[#This Row],[Issue match]]="Nul")*2 + toulouse[[#This Row],[Bonus off]] + toulouse[[#This Row],[Bonus déf]]</f>
        <v>0</v>
      </c>
      <c r="K23" s="10" t="s">
        <v>9</v>
      </c>
      <c r="L23" s="18"/>
      <c r="M23" s="18"/>
      <c r="N23" s="13"/>
      <c r="O23" s="1"/>
      <c r="P23" s="1" t="s">
        <v>165</v>
      </c>
      <c r="Q23" s="12" t="s">
        <v>44</v>
      </c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 s="39" t="s">
        <v>140</v>
      </c>
      <c r="B24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Lyon</v>
      </c>
      <c r="C24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24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4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4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4" s="34"/>
      <c r="H24" s="49"/>
      <c r="I24" s="50">
        <f ca="1">(toulouse[[#This Row],[Issue match]]="Victoire")*4 + (toulouse[[#This Row],[Issue match]]="Nul")*2 + toulouse[[#This Row],[Bonus off]] + toulouse[[#This Row],[Bonus déf]]</f>
        <v>0</v>
      </c>
      <c r="K24" s="1"/>
      <c r="L24" s="1"/>
      <c r="M24" s="1"/>
      <c r="N24" s="1"/>
      <c r="O24" s="1"/>
      <c r="P24" s="1" t="s">
        <v>165</v>
      </c>
      <c r="Q24" s="12" t="s">
        <v>45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>
      <c r="A25" s="39" t="s">
        <v>141</v>
      </c>
      <c r="B25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Brive</v>
      </c>
      <c r="C25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25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5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5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5" s="34"/>
      <c r="H25" s="49"/>
      <c r="I25" s="50">
        <f ca="1">(toulouse[[#This Row],[Issue match]]="Victoire")*4 + (toulouse[[#This Row],[Issue match]]="Nul")*2 + toulouse[[#This Row],[Bonus off]] + toulouse[[#This Row],[Bonus déf]]</f>
        <v>0</v>
      </c>
      <c r="K25" s="10" t="s">
        <v>6</v>
      </c>
      <c r="L25" s="69"/>
      <c r="M25" s="70"/>
      <c r="N25" s="71"/>
      <c r="O25" s="1"/>
      <c r="P25" s="1" t="s">
        <v>165</v>
      </c>
      <c r="Q25" s="12" t="s">
        <v>46</v>
      </c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39" t="s">
        <v>142</v>
      </c>
      <c r="B26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Agen</v>
      </c>
      <c r="C26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26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6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6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6" s="34"/>
      <c r="H26" s="49"/>
      <c r="I26" s="50">
        <f ca="1">(toulouse[[#This Row],[Issue match]]="Victoire")*4 + (toulouse[[#This Row],[Issue match]]="Nul")*2 + toulouse[[#This Row],[Bonus off]] + toulouse[[#This Row],[Bonus déf]]</f>
        <v>0</v>
      </c>
      <c r="K26" s="10" t="s">
        <v>7</v>
      </c>
      <c r="L26" s="13"/>
      <c r="M26" s="72"/>
      <c r="N26" s="72"/>
      <c r="O26" s="1"/>
      <c r="P26" s="1" t="s">
        <v>165</v>
      </c>
      <c r="Q26" s="12" t="s">
        <v>47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39" t="s">
        <v>143</v>
      </c>
      <c r="B27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Lyon</v>
      </c>
      <c r="C27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27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7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7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7" s="34"/>
      <c r="H27" s="49"/>
      <c r="I27" s="50">
        <f ca="1">(toulouse[[#This Row],[Issue match]]="Victoire")*4 + (toulouse[[#This Row],[Issue match]]="Nul")*2 + toulouse[[#This Row],[Bonus off]] + toulouse[[#This Row],[Bonus déf]]</f>
        <v>0</v>
      </c>
      <c r="K27" s="10" t="s">
        <v>9</v>
      </c>
      <c r="L27" s="18"/>
      <c r="M27" s="18"/>
      <c r="N27" s="13"/>
      <c r="O27" s="1"/>
      <c r="P27" s="1" t="s">
        <v>165</v>
      </c>
      <c r="Q27" s="12" t="s">
        <v>48</v>
      </c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>
      <c r="A28" s="39" t="s">
        <v>144</v>
      </c>
      <c r="B28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Castres</v>
      </c>
      <c r="C28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28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8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8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8" s="34"/>
      <c r="H28" s="49"/>
      <c r="I28" s="50">
        <f ca="1">(toulouse[[#This Row],[Issue match]]="Victoire")*4 + (toulouse[[#This Row],[Issue match]]="Nul")*2 + toulouse[[#This Row],[Bonus off]] + toulouse[[#This Row],[Bonus déf]]</f>
        <v>0</v>
      </c>
      <c r="K28" s="10" t="s">
        <v>8</v>
      </c>
      <c r="L28" s="72"/>
      <c r="M28" s="72"/>
      <c r="N28" s="13"/>
      <c r="O28" s="1"/>
      <c r="P28" s="1" t="s">
        <v>165</v>
      </c>
      <c r="Q28" s="12" t="s">
        <v>49</v>
      </c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39" t="s">
        <v>145</v>
      </c>
      <c r="B29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Racing 92</v>
      </c>
      <c r="C29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29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29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29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29" s="34"/>
      <c r="H29" s="49"/>
      <c r="I29" s="50">
        <f ca="1">(toulouse[[#This Row],[Issue match]]="Victoire")*4 + (toulouse[[#This Row],[Issue match]]="Nul")*2 + toulouse[[#This Row],[Bonus off]] + toulouse[[#This Row],[Bonus déf]]</f>
        <v>0</v>
      </c>
      <c r="K29" s="10" t="s">
        <v>9</v>
      </c>
      <c r="L29" s="18"/>
      <c r="M29" s="18"/>
      <c r="N29" s="13"/>
      <c r="O29" s="1"/>
      <c r="P29" s="1" t="s">
        <v>165</v>
      </c>
      <c r="Q29" s="12" t="s">
        <v>50</v>
      </c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>
      <c r="A30" s="39" t="s">
        <v>146</v>
      </c>
      <c r="B30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Toulon</v>
      </c>
      <c r="C30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30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30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30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30" s="34"/>
      <c r="H30" s="49"/>
      <c r="I30" s="50">
        <f ca="1">(toulouse[[#This Row],[Issue match]]="Victoire")*4 + (toulouse[[#This Row],[Issue match]]="Nul")*2 + toulouse[[#This Row],[Bonus off]] + toulouse[[#This Row],[Bonus déf]]</f>
        <v>0</v>
      </c>
      <c r="K30" s="10" t="s">
        <v>10</v>
      </c>
      <c r="L30" s="13"/>
      <c r="M30" s="13"/>
      <c r="N30" s="13"/>
      <c r="O30" s="1"/>
      <c r="P30" s="1" t="s">
        <v>165</v>
      </c>
      <c r="Q30" s="12" t="s">
        <v>51</v>
      </c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>
      <c r="A31" s="39" t="s">
        <v>147</v>
      </c>
      <c r="B31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Bayonne</v>
      </c>
      <c r="C31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31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31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31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31" s="34"/>
      <c r="H31" s="49"/>
      <c r="I31" s="50">
        <f ca="1">(toulouse[[#This Row],[Issue match]]="Victoire")*4 + (toulouse[[#This Row],[Issue match]]="Nul")*2 + toulouse[[#This Row],[Bonus off]] + toulouse[[#This Row],[Bonus déf]]</f>
        <v>0</v>
      </c>
      <c r="K31" s="10" t="s">
        <v>9</v>
      </c>
      <c r="L31" s="18"/>
      <c r="M31" s="18"/>
      <c r="N31" s="13"/>
      <c r="O31" s="1"/>
      <c r="P31" s="1" t="s">
        <v>165</v>
      </c>
      <c r="Q31" s="12" t="s">
        <v>52</v>
      </c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>
      <c r="A32" s="39" t="s">
        <v>148</v>
      </c>
      <c r="B32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Clermont</v>
      </c>
      <c r="C32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Domicile</v>
      </c>
      <c r="D32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32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32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32" s="34"/>
      <c r="H32" s="49"/>
      <c r="I32" s="50">
        <f ca="1">(toulouse[[#This Row],[Issue match]]="Victoire")*4 + (toulouse[[#This Row],[Issue match]]="Nul")*2 + toulouse[[#This Row],[Bonus off]] + toulouse[[#This Row],[Bonus déf]]</f>
        <v>0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>
      <c r="A33" s="39" t="s">
        <v>149</v>
      </c>
      <c r="B33" s="37" t="str">
        <f ca="1">CONCATENATE(
IFERROR( INDEX(INDIRECT("resultat!C"&amp;PRODUCT(7,MATCH(toulouse[[#This Row],[journée]],toulouse[journée],0)-1)+2&amp;":C"&amp;PRODUCT(7,MATCH(toulouse[[#This Row],[journée]],toulouse[journée],0))+1),
IFERROR(MATCH($A$1, INDIRECT("resultat!f"&amp;PRODUCT(7,MATCH(toulouse[[#This Row],[journée]],toulouse[journée],0)-1)+2&amp;":f"&amp;PRODUCT(7,MATCH(toulouse[[#This Row],[journée]],toulouse[journée],0))+1),0 ),""),0),""),
IFERROR( INDEX(INDIRECT("resultat!f"&amp;PRODUCT(7,MATCH(toulouse[[#This Row],[journée]],toulouse[journée],0)-1)+2&amp;":f"&amp;PRODUCT(7,MATCH(toulouse[[#This Row],[journée]],toulouse[journée],0))+1),
IFERROR(MATCH($A$1, INDIRECT("resultat!c"&amp;PRODUCT(7,MATCH(toulouse[[#This Row],[journée]],toulouse[journée],0)-1)+2&amp;":c"&amp;PRODUCT(7,MATCH(toulouse[[#This Row],[journée]],toulouse[journée],0))+1),0 ),""),0),"") )</f>
        <v>Bordeaux</v>
      </c>
      <c r="C33" s="38" t="str">
        <f ca="1">IF(AND(ISNA(MATCH($A$1,INDIRECT("resultat!f"&amp;PRODUCT(7,MATCH(toulouse[[#This Row],[journée]],toulouse[journée],0)-1)+2&amp;":f"&amp;PRODUCT(7,MATCH(toulouse[[#This Row],[journée]],toulouse[journée],0))+1),0)),
ISNA(MATCH($A$1,INDIRECT("resultat!c"&amp;PRODUCT(7,MATCH(toulouse[[#This Row],[journée]],toulouse[journée],0)-1)+2&amp;":c"&amp;PRODUCT(7,MATCH(toulouse[[#This Row],[journée]],toulouse[journée],0))+1),0))),"",IF(ISNA(MATCH($A$1,INDIRECT("resultat!f"&amp;PRODUCT(7,MATCH(toulouse[[#This Row],[journée]],toulouse[journée],0)-1)+2&amp;":f"&amp;PRODUCT(7,MATCH(toulouse[[#This Row],[journée]],toulouse[journée],0))+1),0)),
"Domicile","Extérieur"))</f>
        <v>Extérieur</v>
      </c>
      <c r="D33" s="52" t="str">
        <f ca="1">IFERROR(  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$A$1, "Victoire",
IF( INDEX(INDIRECT("resultat!h"&amp;PRODUCT(7,MATCH(toulouse[[#This Row],[journée]],toulouse[journée],0)-1)+2&amp;":h"&amp;PRODUCT(7,MATCH(toulouse[[#This Row],[journée]],toulouse[journée],0))+1),
CONCATENATE(
IFERROR(MATCH( $A$1, INDIRECT("resultat!C"&amp;PRODUCT(7,MATCH(toulouse[[#This Row],[journée]],toulouse[journée],0)-1)+2&amp;":C"&amp;PRODUCT(7,MATCH(toulouse[[#This Row],[journée]],toulouse[journée],0))+1),0),""),
IFERROR(MATCH($A$1, INDIRECT("resultat!f"&amp;PRODUCT(7,MATCH(toulouse[[#This Row],[journée]],toulouse[journée],0)-1)+2&amp;":f"&amp;PRODUCT(7,MATCH(toulouse[[#This Row],[journée]],toulouse[journée],0))+1),0 ),"")),0) = "Nul", "Nul", "Défaite" )), "")</f>
        <v>Défaite</v>
      </c>
      <c r="E33" s="45">
        <f ca="1">SUMIFS(resultat[Score D],resultat[Journée],toulouse[[#This Row],[journée]],resultat[Domicile],toulouse[[#This Row],[adversaire]]) + SUMIFS(resultat[Score D],resultat[Journée],toulouse[[#This Row],[journée]],resultat[Exterieur],toulouse[[#This Row],[adversaire]])</f>
        <v>0</v>
      </c>
      <c r="F33" s="46">
        <f ca="1">SUMIFS(resultat[Score E],resultat[Journée],toulouse[[#This Row],[journée]],resultat[Domicile],toulouse[[#This Row],[adversaire]])  + SUMIFS(resultat[Score E],resultat[Journée],toulouse[[#This Row],[journée]],resultat[Exterieur],toulouse[[#This Row],[adversaire]])</f>
        <v>0</v>
      </c>
      <c r="G33" s="34"/>
      <c r="H33" s="49"/>
      <c r="I33" s="50">
        <f ca="1">(toulouse[[#This Row],[Issue match]]="Victoire")*4 + (toulouse[[#This Row],[Issue match]]="Nul")*2 + toulouse[[#This Row],[Bonus off]] + toulouse[[#This Row],[Bonus déf]]</f>
        <v>0</v>
      </c>
      <c r="J33" s="1"/>
      <c r="K33" s="1"/>
      <c r="L33" s="1"/>
      <c r="M33" s="1"/>
      <c r="N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>
      <c r="A35" s="30" t="s">
        <v>16</v>
      </c>
      <c r="B35" s="31"/>
      <c r="C35" s="73" t="s">
        <v>17</v>
      </c>
      <c r="D35" s="73" t="s">
        <v>18</v>
      </c>
      <c r="E35" s="73" t="s">
        <v>19</v>
      </c>
      <c r="F35" s="73" t="s">
        <v>20</v>
      </c>
      <c r="G35" s="73" t="s">
        <v>21</v>
      </c>
      <c r="H35" s="73" t="s">
        <v>22</v>
      </c>
      <c r="I35" s="73" t="s">
        <v>20</v>
      </c>
      <c r="J35" s="73" t="s">
        <v>11</v>
      </c>
      <c r="K35" s="73" t="s">
        <v>20</v>
      </c>
      <c r="L35" s="10"/>
      <c r="M35" s="1"/>
      <c r="N35" s="1"/>
    </row>
    <row r="36" spans="1:29">
      <c r="A36" s="74" t="s">
        <v>33</v>
      </c>
      <c r="B36" s="74" t="s">
        <v>14</v>
      </c>
      <c r="C36" s="32">
        <v>23</v>
      </c>
      <c r="D36" s="32">
        <v>11</v>
      </c>
      <c r="E36" s="32">
        <v>7</v>
      </c>
      <c r="F36" s="19">
        <f t="shared" ref="F36:F48" si="1">(D36+E36)/C36</f>
        <v>0.78260869565217395</v>
      </c>
      <c r="G36" s="32">
        <v>1</v>
      </c>
      <c r="H36" s="32">
        <v>4</v>
      </c>
      <c r="I36" s="19">
        <f t="shared" ref="I36:I48" si="2">(G36+H36)/C36</f>
        <v>0.21739130434782608</v>
      </c>
      <c r="J36" s="32"/>
      <c r="K36" s="21">
        <f t="shared" ref="K36:K48" si="3">100%-(F36+I36)</f>
        <v>0</v>
      </c>
      <c r="L36" s="22">
        <f t="shared" ref="L36:L48" si="4">SUM(F36+I36+K36)</f>
        <v>1</v>
      </c>
      <c r="M36" s="1"/>
      <c r="N36" s="1"/>
    </row>
    <row r="37" spans="1:29">
      <c r="A37" s="74" t="s">
        <v>33</v>
      </c>
      <c r="B37" s="74" t="s">
        <v>23</v>
      </c>
      <c r="C37" s="32">
        <v>26</v>
      </c>
      <c r="D37" s="32">
        <v>12</v>
      </c>
      <c r="E37" s="32">
        <v>6</v>
      </c>
      <c r="F37" s="19">
        <f t="shared" si="1"/>
        <v>0.69230769230769229</v>
      </c>
      <c r="G37" s="32">
        <v>1</v>
      </c>
      <c r="H37" s="32">
        <v>7</v>
      </c>
      <c r="I37" s="19">
        <f t="shared" si="2"/>
        <v>0.30769230769230771</v>
      </c>
      <c r="J37" s="32"/>
      <c r="K37" s="21">
        <f t="shared" si="3"/>
        <v>0</v>
      </c>
      <c r="L37" s="22">
        <f t="shared" si="4"/>
        <v>1</v>
      </c>
      <c r="N37" s="1"/>
    </row>
    <row r="38" spans="1:29">
      <c r="A38" s="74" t="s">
        <v>33</v>
      </c>
      <c r="B38" s="74" t="s">
        <v>24</v>
      </c>
      <c r="C38" s="32">
        <v>18</v>
      </c>
      <c r="D38" s="32">
        <v>8</v>
      </c>
      <c r="E38" s="32">
        <v>4</v>
      </c>
      <c r="F38" s="19">
        <f t="shared" si="1"/>
        <v>0.66666666666666663</v>
      </c>
      <c r="G38" s="32">
        <v>0</v>
      </c>
      <c r="H38" s="32">
        <v>5</v>
      </c>
      <c r="I38" s="19">
        <f t="shared" si="2"/>
        <v>0.27777777777777779</v>
      </c>
      <c r="J38" s="32">
        <v>1</v>
      </c>
      <c r="K38" s="21">
        <f t="shared" si="3"/>
        <v>5.555555555555558E-2</v>
      </c>
      <c r="L38" s="22">
        <f t="shared" si="4"/>
        <v>1</v>
      </c>
      <c r="N38" s="1"/>
    </row>
    <row r="39" spans="1:29">
      <c r="A39" s="74" t="s">
        <v>33</v>
      </c>
      <c r="B39" s="74" t="s">
        <v>25</v>
      </c>
      <c r="C39" s="32">
        <v>29</v>
      </c>
      <c r="D39" s="32">
        <v>13</v>
      </c>
      <c r="E39" s="32">
        <v>5</v>
      </c>
      <c r="F39" s="19">
        <f t="shared" si="1"/>
        <v>0.62068965517241381</v>
      </c>
      <c r="G39" s="32">
        <v>1</v>
      </c>
      <c r="H39" s="32">
        <v>7</v>
      </c>
      <c r="I39" s="19">
        <f t="shared" si="2"/>
        <v>0.27586206896551724</v>
      </c>
      <c r="J39" s="32">
        <v>3</v>
      </c>
      <c r="K39" s="21">
        <f t="shared" si="3"/>
        <v>0.10344827586206895</v>
      </c>
      <c r="L39" s="22">
        <f t="shared" si="4"/>
        <v>1</v>
      </c>
      <c r="N39" s="1"/>
    </row>
    <row r="40" spans="1:29">
      <c r="A40" s="74" t="s">
        <v>33</v>
      </c>
      <c r="B40" s="74" t="s">
        <v>37</v>
      </c>
      <c r="C40" s="32">
        <v>34</v>
      </c>
      <c r="D40" s="32">
        <v>16</v>
      </c>
      <c r="E40" s="32">
        <v>7</v>
      </c>
      <c r="F40" s="19">
        <f t="shared" si="1"/>
        <v>0.67647058823529416</v>
      </c>
      <c r="G40" s="32">
        <v>3</v>
      </c>
      <c r="H40" s="32">
        <v>8</v>
      </c>
      <c r="I40" s="19">
        <f t="shared" si="2"/>
        <v>0.3235294117647059</v>
      </c>
      <c r="J40" s="32"/>
      <c r="K40" s="21">
        <f t="shared" si="3"/>
        <v>0</v>
      </c>
      <c r="L40" s="22">
        <f t="shared" si="4"/>
        <v>1</v>
      </c>
      <c r="N40" s="1"/>
    </row>
    <row r="41" spans="1:29">
      <c r="A41" s="74" t="s">
        <v>33</v>
      </c>
      <c r="B41" s="74" t="s">
        <v>26</v>
      </c>
      <c r="C41" s="32">
        <v>40</v>
      </c>
      <c r="D41" s="32">
        <v>16</v>
      </c>
      <c r="E41" s="32">
        <v>2</v>
      </c>
      <c r="F41" s="19">
        <f t="shared" si="1"/>
        <v>0.45</v>
      </c>
      <c r="G41" s="32">
        <v>4</v>
      </c>
      <c r="H41" s="32">
        <v>17</v>
      </c>
      <c r="I41" s="19">
        <f t="shared" si="2"/>
        <v>0.52500000000000002</v>
      </c>
      <c r="J41" s="32">
        <v>1</v>
      </c>
      <c r="K41" s="21">
        <f t="shared" si="3"/>
        <v>2.4999999999999911E-2</v>
      </c>
      <c r="L41" s="22">
        <f t="shared" si="4"/>
        <v>1</v>
      </c>
      <c r="N41" s="1"/>
    </row>
    <row r="42" spans="1:29">
      <c r="A42" s="74" t="s">
        <v>33</v>
      </c>
      <c r="B42" s="74" t="s">
        <v>27</v>
      </c>
      <c r="C42" s="32">
        <v>17</v>
      </c>
      <c r="D42" s="32">
        <v>8</v>
      </c>
      <c r="E42" s="32">
        <v>3</v>
      </c>
      <c r="F42" s="19">
        <f t="shared" si="1"/>
        <v>0.6470588235294118</v>
      </c>
      <c r="G42" s="32">
        <v>1</v>
      </c>
      <c r="H42" s="32">
        <v>5</v>
      </c>
      <c r="I42" s="19">
        <f t="shared" si="2"/>
        <v>0.35294117647058826</v>
      </c>
      <c r="J42" s="32"/>
      <c r="K42" s="21">
        <f t="shared" si="3"/>
        <v>0</v>
      </c>
      <c r="L42" s="22">
        <f t="shared" si="4"/>
        <v>1</v>
      </c>
      <c r="N42" s="1"/>
    </row>
    <row r="43" spans="1:29">
      <c r="A43" s="74" t="s">
        <v>33</v>
      </c>
      <c r="B43" s="74" t="s">
        <v>28</v>
      </c>
      <c r="C43" s="32">
        <v>13</v>
      </c>
      <c r="D43" s="32">
        <v>5</v>
      </c>
      <c r="E43" s="32">
        <v>3</v>
      </c>
      <c r="F43" s="19">
        <f t="shared" si="1"/>
        <v>0.61538461538461542</v>
      </c>
      <c r="G43" s="32">
        <v>1</v>
      </c>
      <c r="H43" s="32">
        <v>3</v>
      </c>
      <c r="I43" s="19">
        <f t="shared" si="2"/>
        <v>0.30769230769230771</v>
      </c>
      <c r="J43" s="32">
        <v>1</v>
      </c>
      <c r="K43" s="21">
        <f t="shared" si="3"/>
        <v>7.6923076923076872E-2</v>
      </c>
      <c r="L43" s="22">
        <f t="shared" si="4"/>
        <v>1</v>
      </c>
      <c r="N43" s="1"/>
    </row>
    <row r="44" spans="1:29">
      <c r="A44" s="74" t="s">
        <v>33</v>
      </c>
      <c r="B44" s="74" t="s">
        <v>29</v>
      </c>
      <c r="C44" s="32">
        <v>37</v>
      </c>
      <c r="D44" s="32">
        <v>16</v>
      </c>
      <c r="E44" s="32">
        <v>5</v>
      </c>
      <c r="F44" s="19">
        <f>(D44+E44)/C44</f>
        <v>0.56756756756756754</v>
      </c>
      <c r="G44" s="32">
        <v>2</v>
      </c>
      <c r="H44" s="32">
        <v>11</v>
      </c>
      <c r="I44" s="19">
        <f t="shared" si="2"/>
        <v>0.35135135135135137</v>
      </c>
      <c r="J44" s="32">
        <v>3</v>
      </c>
      <c r="K44" s="21">
        <f t="shared" si="3"/>
        <v>8.1081081081081141E-2</v>
      </c>
      <c r="L44" s="22">
        <f t="shared" si="4"/>
        <v>1</v>
      </c>
      <c r="N44" s="1"/>
    </row>
    <row r="45" spans="1:29">
      <c r="A45" s="74" t="s">
        <v>33</v>
      </c>
      <c r="B45" s="74" t="s">
        <v>30</v>
      </c>
      <c r="C45" s="32">
        <v>39</v>
      </c>
      <c r="D45" s="32">
        <v>16</v>
      </c>
      <c r="E45" s="32">
        <v>9</v>
      </c>
      <c r="F45" s="19">
        <f>(D45+E45)/C45</f>
        <v>0.64102564102564108</v>
      </c>
      <c r="G45" s="32">
        <v>1</v>
      </c>
      <c r="H45" s="32">
        <v>11</v>
      </c>
      <c r="I45" s="19">
        <f t="shared" si="2"/>
        <v>0.30769230769230771</v>
      </c>
      <c r="J45" s="32">
        <v>2</v>
      </c>
      <c r="K45" s="21">
        <f t="shared" si="3"/>
        <v>5.1282051282051211E-2</v>
      </c>
      <c r="L45" s="22">
        <f t="shared" si="4"/>
        <v>1</v>
      </c>
      <c r="N45" s="1"/>
    </row>
    <row r="46" spans="1:29">
      <c r="A46" s="74" t="s">
        <v>33</v>
      </c>
      <c r="B46" s="74" t="s">
        <v>31</v>
      </c>
      <c r="C46" s="32">
        <v>15</v>
      </c>
      <c r="D46" s="32">
        <v>7</v>
      </c>
      <c r="E46" s="32">
        <v>2</v>
      </c>
      <c r="F46" s="19">
        <f t="shared" si="1"/>
        <v>0.6</v>
      </c>
      <c r="G46" s="32">
        <v>1</v>
      </c>
      <c r="H46" s="32">
        <v>3</v>
      </c>
      <c r="I46" s="19">
        <f t="shared" si="2"/>
        <v>0.26666666666666666</v>
      </c>
      <c r="J46" s="32">
        <v>1</v>
      </c>
      <c r="K46" s="21">
        <f t="shared" si="3"/>
        <v>0.1333333333333333</v>
      </c>
      <c r="L46" s="22">
        <f t="shared" si="4"/>
        <v>1</v>
      </c>
      <c r="N46" s="1"/>
    </row>
    <row r="47" spans="1:29">
      <c r="A47" s="74" t="s">
        <v>33</v>
      </c>
      <c r="B47" s="74" t="s">
        <v>32</v>
      </c>
      <c r="C47" s="28">
        <v>26</v>
      </c>
      <c r="D47" s="28">
        <v>11</v>
      </c>
      <c r="E47" s="28">
        <v>4</v>
      </c>
      <c r="F47" s="19">
        <f t="shared" si="1"/>
        <v>0.57692307692307687</v>
      </c>
      <c r="G47" s="28">
        <v>2</v>
      </c>
      <c r="H47" s="28">
        <v>9</v>
      </c>
      <c r="I47" s="19">
        <f t="shared" si="2"/>
        <v>0.42307692307692307</v>
      </c>
      <c r="J47" s="28"/>
      <c r="K47" s="21">
        <f t="shared" si="3"/>
        <v>0</v>
      </c>
      <c r="L47" s="22">
        <f t="shared" si="4"/>
        <v>1</v>
      </c>
      <c r="N47" s="1"/>
    </row>
    <row r="48" spans="1:29">
      <c r="A48" s="74" t="s">
        <v>33</v>
      </c>
      <c r="B48" s="74" t="s">
        <v>15</v>
      </c>
      <c r="C48" s="28">
        <v>27</v>
      </c>
      <c r="D48" s="28">
        <v>11</v>
      </c>
      <c r="E48" s="28">
        <v>3</v>
      </c>
      <c r="F48" s="19">
        <f t="shared" si="1"/>
        <v>0.51851851851851849</v>
      </c>
      <c r="G48" s="28">
        <v>2</v>
      </c>
      <c r="H48" s="28">
        <v>10</v>
      </c>
      <c r="I48" s="19">
        <f t="shared" si="2"/>
        <v>0.44444444444444442</v>
      </c>
      <c r="J48" s="28">
        <v>1</v>
      </c>
      <c r="K48" s="21">
        <f t="shared" si="3"/>
        <v>3.703703703703709E-2</v>
      </c>
      <c r="L48" s="22">
        <f t="shared" si="4"/>
        <v>1</v>
      </c>
      <c r="N48" s="1"/>
    </row>
    <row r="49" spans="1:12">
      <c r="A49" s="1"/>
      <c r="B49" s="1"/>
    </row>
    <row r="50" spans="1:12">
      <c r="A50" s="92" t="s">
        <v>166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>
      <c r="A51" s="86" t="s">
        <v>16</v>
      </c>
      <c r="B51" s="87" t="s">
        <v>121</v>
      </c>
      <c r="C51" s="88" t="s">
        <v>17</v>
      </c>
      <c r="D51" s="88" t="s">
        <v>18</v>
      </c>
      <c r="E51" s="88" t="s">
        <v>19</v>
      </c>
      <c r="F51" s="88" t="s">
        <v>167</v>
      </c>
      <c r="G51" s="88" t="s">
        <v>21</v>
      </c>
      <c r="H51" s="88" t="s">
        <v>22</v>
      </c>
      <c r="I51" s="88" t="s">
        <v>168</v>
      </c>
      <c r="J51" s="88" t="s">
        <v>11</v>
      </c>
      <c r="K51" s="88" t="s">
        <v>169</v>
      </c>
      <c r="L51" s="88" t="s">
        <v>170</v>
      </c>
    </row>
    <row r="52" spans="1:12">
      <c r="A52" s="90" t="s">
        <v>33</v>
      </c>
      <c r="B52" s="91" t="s">
        <v>14</v>
      </c>
      <c r="C52" s="83">
        <f ca="1">COUNTIFS(toulouse[adversaire],B52)</f>
        <v>2</v>
      </c>
      <c r="D52" s="84">
        <f ca="1">COUNTIFS(toulouse[adversaire],B52,toulouse[Lieu Match],"domicile",toulouse[Issue match],"victoire")</f>
        <v>0</v>
      </c>
      <c r="E52" s="84">
        <f ca="1">COUNTIFS(toulouse[adversaire],B52,toulouse[Lieu Match],"Extérieur",toulouse[Issue match],"victoire")</f>
        <v>0</v>
      </c>
      <c r="F52" s="82">
        <f t="shared" ref="F52" ca="1" si="5">(D52+E52)/C52</f>
        <v>0</v>
      </c>
      <c r="G52" s="78">
        <f ca="1">COUNTIFS(toulouse[adversaire],B52,toulouse[Lieu Match],"domicile",toulouse[Issue match],"défaite")</f>
        <v>1</v>
      </c>
      <c r="H52" s="80">
        <f ca="1">COUNTIFS(toulouse[adversaire],B52,toulouse[Lieu Match],"Extérieur",toulouse[Issue match],"défaite")</f>
        <v>1</v>
      </c>
      <c r="I52" s="79">
        <f t="shared" ref="I52" ca="1" si="6">(G52+H52)/C52</f>
        <v>1</v>
      </c>
      <c r="J52" s="85">
        <f ca="1">COUNTIFS(toulouse[adversaire],B52,toulouse[Lieu Match],"Domicile",toulouse[Issue match],"Nul")+COUNTIFS(toulouse[adversaire],B52,toulouse[Lieu Match],"Extérieur",toulouse[Issue match],"Nul")</f>
        <v>0</v>
      </c>
      <c r="K52" s="81">
        <f t="shared" ref="K52" ca="1" si="7">100%-(F52+I52)</f>
        <v>0</v>
      </c>
      <c r="L52" s="89">
        <f t="shared" ref="L52" ca="1" si="8">SUM(F52+I52+K52)</f>
        <v>1</v>
      </c>
    </row>
    <row r="53" spans="1:12">
      <c r="A53" s="90" t="s">
        <v>33</v>
      </c>
      <c r="B53" s="91" t="s">
        <v>23</v>
      </c>
      <c r="C53" s="83">
        <f ca="1">COUNTIFS(toulouse[adversaire],B53)</f>
        <v>2</v>
      </c>
      <c r="D53" s="84">
        <f ca="1">COUNTIFS(toulouse[adversaire],B53,toulouse[Lieu Match],"domicile",toulouse[Issue match],"victoire")</f>
        <v>0</v>
      </c>
      <c r="E53" s="84">
        <f ca="1">COUNTIFS(toulouse[adversaire],B53,toulouse[Lieu Match],"Extérieur",toulouse[Issue match],"victoire")</f>
        <v>0</v>
      </c>
      <c r="F53" s="82">
        <f t="shared" ref="F53:F64" ca="1" si="9">(D53+E53)/C53</f>
        <v>0</v>
      </c>
      <c r="G53" s="78">
        <f ca="1">COUNTIFS(toulouse[adversaire],B53,toulouse[Lieu Match],"domicile",toulouse[Issue match],"défaite")</f>
        <v>1</v>
      </c>
      <c r="H53" s="80">
        <f ca="1">COUNTIFS(toulouse[adversaire],B53,toulouse[Lieu Match],"Extérieur",toulouse[Issue match],"défaite")</f>
        <v>1</v>
      </c>
      <c r="I53" s="79">
        <f t="shared" ref="I53:I64" ca="1" si="10">(G53+H53)/C53</f>
        <v>1</v>
      </c>
      <c r="J53" s="85">
        <f ca="1">COUNTIFS(toulouse[adversaire],B53,toulouse[Lieu Match],"Domicile",toulouse[Issue match],"Nul")+COUNTIFS(toulouse[adversaire],B53,toulouse[Lieu Match],"Extérieur",toulouse[Issue match],"Nul")</f>
        <v>0</v>
      </c>
      <c r="K53" s="81">
        <f t="shared" ref="K53:K64" ca="1" si="11">100%-(F53+I53)</f>
        <v>0</v>
      </c>
      <c r="L53" s="89">
        <f t="shared" ref="L53:L64" ca="1" si="12">SUM(F53+I53+K53)</f>
        <v>1</v>
      </c>
    </row>
    <row r="54" spans="1:12">
      <c r="A54" s="90" t="s">
        <v>33</v>
      </c>
      <c r="B54" s="91" t="s">
        <v>24</v>
      </c>
      <c r="C54" s="83">
        <f ca="1">COUNTIFS(toulouse[adversaire],B54)</f>
        <v>2</v>
      </c>
      <c r="D54" s="84">
        <f ca="1">COUNTIFS(toulouse[adversaire],B54,toulouse[Lieu Match],"domicile",toulouse[Issue match],"victoire")</f>
        <v>0</v>
      </c>
      <c r="E54" s="84">
        <f ca="1">COUNTIFS(toulouse[adversaire],B54,toulouse[Lieu Match],"Extérieur",toulouse[Issue match],"victoire")</f>
        <v>0</v>
      </c>
      <c r="F54" s="82">
        <f t="shared" ca="1" si="9"/>
        <v>0</v>
      </c>
      <c r="G54" s="78">
        <f ca="1">COUNTIFS(toulouse[adversaire],B54,toulouse[Lieu Match],"domicile",toulouse[Issue match],"défaite")</f>
        <v>1</v>
      </c>
      <c r="H54" s="80">
        <f ca="1">COUNTIFS(toulouse[adversaire],B54,toulouse[Lieu Match],"Extérieur",toulouse[Issue match],"défaite")</f>
        <v>1</v>
      </c>
      <c r="I54" s="79">
        <f t="shared" ca="1" si="10"/>
        <v>1</v>
      </c>
      <c r="J54" s="85">
        <f ca="1">COUNTIFS(toulouse[adversaire],B54,toulouse[Lieu Match],"Domicile",toulouse[Issue match],"Nul")+COUNTIFS(toulouse[adversaire],B54,toulouse[Lieu Match],"Extérieur",toulouse[Issue match],"Nul")</f>
        <v>0</v>
      </c>
      <c r="K54" s="81">
        <f t="shared" ca="1" si="11"/>
        <v>0</v>
      </c>
      <c r="L54" s="89">
        <f t="shared" ca="1" si="12"/>
        <v>1</v>
      </c>
    </row>
    <row r="55" spans="1:12">
      <c r="A55" s="90" t="s">
        <v>33</v>
      </c>
      <c r="B55" s="91" t="s">
        <v>25</v>
      </c>
      <c r="C55" s="83">
        <f ca="1">COUNTIFS(toulouse[adversaire],B55)</f>
        <v>2</v>
      </c>
      <c r="D55" s="84">
        <f ca="1">COUNTIFS(toulouse[adversaire],B55,toulouse[Lieu Match],"domicile",toulouse[Issue match],"victoire")</f>
        <v>0</v>
      </c>
      <c r="E55" s="84">
        <f ca="1">COUNTIFS(toulouse[adversaire],B55,toulouse[Lieu Match],"Extérieur",toulouse[Issue match],"victoire")</f>
        <v>1</v>
      </c>
      <c r="F55" s="82">
        <f t="shared" ca="1" si="9"/>
        <v>0.5</v>
      </c>
      <c r="G55" s="78">
        <f ca="1">COUNTIFS(toulouse[adversaire],B55,toulouse[Lieu Match],"domicile",toulouse[Issue match],"défaite")</f>
        <v>1</v>
      </c>
      <c r="H55" s="80">
        <f ca="1">COUNTIFS(toulouse[adversaire],B55,toulouse[Lieu Match],"Extérieur",toulouse[Issue match],"défaite")</f>
        <v>0</v>
      </c>
      <c r="I55" s="79">
        <f t="shared" ca="1" si="10"/>
        <v>0.5</v>
      </c>
      <c r="J55" s="85">
        <f ca="1">COUNTIFS(toulouse[adversaire],B55,toulouse[Lieu Match],"Domicile",toulouse[Issue match],"Nul")+COUNTIFS(toulouse[adversaire],B55,toulouse[Lieu Match],"Extérieur",toulouse[Issue match],"Nul")</f>
        <v>0</v>
      </c>
      <c r="K55" s="81">
        <f t="shared" ca="1" si="11"/>
        <v>0</v>
      </c>
      <c r="L55" s="89">
        <f t="shared" ca="1" si="12"/>
        <v>1</v>
      </c>
    </row>
    <row r="56" spans="1:12">
      <c r="A56" s="90" t="s">
        <v>33</v>
      </c>
      <c r="B56" s="91" t="s">
        <v>37</v>
      </c>
      <c r="C56" s="83">
        <f ca="1">COUNTIFS(toulouse[adversaire],B56)</f>
        <v>2</v>
      </c>
      <c r="D56" s="84">
        <f ca="1">COUNTIFS(toulouse[adversaire],B56,toulouse[Lieu Match],"domicile",toulouse[Issue match],"victoire")</f>
        <v>0</v>
      </c>
      <c r="E56" s="84">
        <f ca="1">COUNTIFS(toulouse[adversaire],B56,toulouse[Lieu Match],"Extérieur",toulouse[Issue match],"victoire")</f>
        <v>0</v>
      </c>
      <c r="F56" s="82">
        <f t="shared" ca="1" si="9"/>
        <v>0</v>
      </c>
      <c r="G56" s="78">
        <f ca="1">COUNTIFS(toulouse[adversaire],B56,toulouse[Lieu Match],"domicile",toulouse[Issue match],"défaite")</f>
        <v>1</v>
      </c>
      <c r="H56" s="80">
        <f ca="1">COUNTIFS(toulouse[adversaire],B56,toulouse[Lieu Match],"Extérieur",toulouse[Issue match],"défaite")</f>
        <v>1</v>
      </c>
      <c r="I56" s="79">
        <f t="shared" ca="1" si="10"/>
        <v>1</v>
      </c>
      <c r="J56" s="85">
        <f ca="1">COUNTIFS(toulouse[adversaire],B56,toulouse[Lieu Match],"Domicile",toulouse[Issue match],"Nul")+COUNTIFS(toulouse[adversaire],B56,toulouse[Lieu Match],"Extérieur",toulouse[Issue match],"Nul")</f>
        <v>0</v>
      </c>
      <c r="K56" s="81">
        <f t="shared" ca="1" si="11"/>
        <v>0</v>
      </c>
      <c r="L56" s="89">
        <f t="shared" ca="1" si="12"/>
        <v>1</v>
      </c>
    </row>
    <row r="57" spans="1:12">
      <c r="A57" s="90" t="s">
        <v>33</v>
      </c>
      <c r="B57" s="91" t="s">
        <v>26</v>
      </c>
      <c r="C57" s="83">
        <f ca="1">COUNTIFS(toulouse[adversaire],B57)</f>
        <v>2</v>
      </c>
      <c r="D57" s="84">
        <f ca="1">COUNTIFS(toulouse[adversaire],B57,toulouse[Lieu Match],"domicile",toulouse[Issue match],"victoire")</f>
        <v>0</v>
      </c>
      <c r="E57" s="84">
        <f ca="1">COUNTIFS(toulouse[adversaire],B57,toulouse[Lieu Match],"Extérieur",toulouse[Issue match],"victoire")</f>
        <v>0</v>
      </c>
      <c r="F57" s="82">
        <f t="shared" ca="1" si="9"/>
        <v>0</v>
      </c>
      <c r="G57" s="78">
        <f ca="1">COUNTIFS(toulouse[adversaire],B57,toulouse[Lieu Match],"domicile",toulouse[Issue match],"défaite")</f>
        <v>1</v>
      </c>
      <c r="H57" s="80">
        <f ca="1">COUNTIFS(toulouse[adversaire],B57,toulouse[Lieu Match],"Extérieur",toulouse[Issue match],"défaite")</f>
        <v>1</v>
      </c>
      <c r="I57" s="79">
        <f t="shared" ca="1" si="10"/>
        <v>1</v>
      </c>
      <c r="J57" s="85">
        <f ca="1">COUNTIFS(toulouse[adversaire],B57,toulouse[Lieu Match],"Domicile",toulouse[Issue match],"Nul")+COUNTIFS(toulouse[adversaire],B57,toulouse[Lieu Match],"Extérieur",toulouse[Issue match],"Nul")</f>
        <v>0</v>
      </c>
      <c r="K57" s="81">
        <f t="shared" ca="1" si="11"/>
        <v>0</v>
      </c>
      <c r="L57" s="89">
        <f t="shared" ca="1" si="12"/>
        <v>1</v>
      </c>
    </row>
    <row r="58" spans="1:12">
      <c r="A58" s="90" t="s">
        <v>33</v>
      </c>
      <c r="B58" s="91" t="s">
        <v>27</v>
      </c>
      <c r="C58" s="83">
        <f ca="1">COUNTIFS(toulouse[adversaire],B58)</f>
        <v>2</v>
      </c>
      <c r="D58" s="84">
        <f ca="1">COUNTIFS(toulouse[adversaire],B58,toulouse[Lieu Match],"domicile",toulouse[Issue match],"victoire")</f>
        <v>1</v>
      </c>
      <c r="E58" s="84">
        <f ca="1">COUNTIFS(toulouse[adversaire],B58,toulouse[Lieu Match],"Extérieur",toulouse[Issue match],"victoire")</f>
        <v>0</v>
      </c>
      <c r="F58" s="82">
        <f t="shared" ca="1" si="9"/>
        <v>0.5</v>
      </c>
      <c r="G58" s="78">
        <f ca="1">COUNTIFS(toulouse[adversaire],B58,toulouse[Lieu Match],"domicile",toulouse[Issue match],"défaite")</f>
        <v>0</v>
      </c>
      <c r="H58" s="80">
        <f ca="1">COUNTIFS(toulouse[adversaire],B58,toulouse[Lieu Match],"Extérieur",toulouse[Issue match],"défaite")</f>
        <v>1</v>
      </c>
      <c r="I58" s="79">
        <f t="shared" ca="1" si="10"/>
        <v>0.5</v>
      </c>
      <c r="J58" s="85">
        <f ca="1">COUNTIFS(toulouse[adversaire],B58,toulouse[Lieu Match],"Domicile",toulouse[Issue match],"Nul")+COUNTIFS(toulouse[adversaire],B58,toulouse[Lieu Match],"Extérieur",toulouse[Issue match],"Nul")</f>
        <v>0</v>
      </c>
      <c r="K58" s="81">
        <f t="shared" ca="1" si="11"/>
        <v>0</v>
      </c>
      <c r="L58" s="89">
        <f t="shared" ca="1" si="12"/>
        <v>1</v>
      </c>
    </row>
    <row r="59" spans="1:12">
      <c r="A59" s="90" t="s">
        <v>33</v>
      </c>
      <c r="B59" s="91" t="s">
        <v>28</v>
      </c>
      <c r="C59" s="83">
        <f ca="1">COUNTIFS(toulouse[adversaire],B59)</f>
        <v>4</v>
      </c>
      <c r="D59" s="84">
        <f ca="1">COUNTIFS(toulouse[adversaire],B59,toulouse[Lieu Match],"domicile",toulouse[Issue match],"victoire")</f>
        <v>0</v>
      </c>
      <c r="E59" s="84">
        <f ca="1">COUNTIFS(toulouse[adversaire],B59,toulouse[Lieu Match],"Extérieur",toulouse[Issue match],"victoire")</f>
        <v>0</v>
      </c>
      <c r="F59" s="82">
        <f t="shared" ca="1" si="9"/>
        <v>0</v>
      </c>
      <c r="G59" s="78">
        <f ca="1">COUNTIFS(toulouse[adversaire],B59,toulouse[Lieu Match],"domicile",toulouse[Issue match],"défaite")</f>
        <v>2</v>
      </c>
      <c r="H59" s="80">
        <f ca="1">COUNTIFS(toulouse[adversaire],B59,toulouse[Lieu Match],"Extérieur",toulouse[Issue match],"défaite")</f>
        <v>2</v>
      </c>
      <c r="I59" s="79">
        <f t="shared" ca="1" si="10"/>
        <v>1</v>
      </c>
      <c r="J59" s="85">
        <f ca="1">COUNTIFS(toulouse[adversaire],B59,toulouse[Lieu Match],"Domicile",toulouse[Issue match],"Nul")+COUNTIFS(toulouse[adversaire],B59,toulouse[Lieu Match],"Extérieur",toulouse[Issue match],"Nul")</f>
        <v>0</v>
      </c>
      <c r="K59" s="81">
        <f t="shared" ca="1" si="11"/>
        <v>0</v>
      </c>
      <c r="L59" s="89">
        <f t="shared" ca="1" si="12"/>
        <v>1</v>
      </c>
    </row>
    <row r="60" spans="1:12">
      <c r="A60" s="90" t="s">
        <v>33</v>
      </c>
      <c r="B60" s="91" t="s">
        <v>29</v>
      </c>
      <c r="C60" s="83">
        <f ca="1">COUNTIFS(toulouse[adversaire],B60)</f>
        <v>0</v>
      </c>
      <c r="D60" s="84">
        <f ca="1">COUNTIFS(toulouse[adversaire],B60,toulouse[Lieu Match],"domicile",toulouse[Issue match],"victoire")</f>
        <v>0</v>
      </c>
      <c r="E60" s="84">
        <f ca="1">COUNTIFS(toulouse[adversaire],B60,toulouse[Lieu Match],"Extérieur",toulouse[Issue match],"victoire")</f>
        <v>0</v>
      </c>
      <c r="F60" s="82" t="e">
        <f t="shared" ca="1" si="9"/>
        <v>#DIV/0!</v>
      </c>
      <c r="G60" s="78">
        <f ca="1">COUNTIFS(toulouse[adversaire],B60,toulouse[Lieu Match],"domicile",toulouse[Issue match],"défaite")</f>
        <v>0</v>
      </c>
      <c r="H60" s="80">
        <f ca="1">COUNTIFS(toulouse[adversaire],B60,toulouse[Lieu Match],"Extérieur",toulouse[Issue match],"défaite")</f>
        <v>0</v>
      </c>
      <c r="I60" s="79" t="e">
        <f t="shared" ca="1" si="10"/>
        <v>#DIV/0!</v>
      </c>
      <c r="J60" s="85">
        <f ca="1">COUNTIFS(toulouse[adversaire],B60,toulouse[Lieu Match],"Domicile",toulouse[Issue match],"Nul")+COUNTIFS(toulouse[adversaire],B60,toulouse[Lieu Match],"Extérieur",toulouse[Issue match],"Nul")</f>
        <v>0</v>
      </c>
      <c r="K60" s="81" t="e">
        <f t="shared" ca="1" si="11"/>
        <v>#DIV/0!</v>
      </c>
      <c r="L60" s="89" t="e">
        <f t="shared" ca="1" si="12"/>
        <v>#DIV/0!</v>
      </c>
    </row>
    <row r="61" spans="1:12">
      <c r="A61" s="90" t="s">
        <v>33</v>
      </c>
      <c r="B61" s="91" t="s">
        <v>30</v>
      </c>
      <c r="C61" s="83">
        <f ca="1">COUNTIFS(toulouse[adversaire],B61)</f>
        <v>2</v>
      </c>
      <c r="D61" s="84">
        <f ca="1">COUNTIFS(toulouse[adversaire],B61,toulouse[Lieu Match],"domicile",toulouse[Issue match],"victoire")</f>
        <v>0</v>
      </c>
      <c r="E61" s="84">
        <f ca="1">COUNTIFS(toulouse[adversaire],B61,toulouse[Lieu Match],"Extérieur",toulouse[Issue match],"victoire")</f>
        <v>0</v>
      </c>
      <c r="F61" s="82">
        <f t="shared" ca="1" si="9"/>
        <v>0</v>
      </c>
      <c r="G61" s="78">
        <f ca="1">COUNTIFS(toulouse[adversaire],B61,toulouse[Lieu Match],"domicile",toulouse[Issue match],"défaite")</f>
        <v>1</v>
      </c>
      <c r="H61" s="80">
        <f ca="1">COUNTIFS(toulouse[adversaire],B61,toulouse[Lieu Match],"Extérieur",toulouse[Issue match],"défaite")</f>
        <v>1</v>
      </c>
      <c r="I61" s="79">
        <f t="shared" ca="1" si="10"/>
        <v>1</v>
      </c>
      <c r="J61" s="85">
        <f ca="1">COUNTIFS(toulouse[adversaire],B61,toulouse[Lieu Match],"Domicile",toulouse[Issue match],"Nul")+COUNTIFS(toulouse[adversaire],B61,toulouse[Lieu Match],"Extérieur",toulouse[Issue match],"Nul")</f>
        <v>0</v>
      </c>
      <c r="K61" s="81">
        <f t="shared" ca="1" si="11"/>
        <v>0</v>
      </c>
      <c r="L61" s="89">
        <f t="shared" ca="1" si="12"/>
        <v>1</v>
      </c>
    </row>
    <row r="62" spans="1:12">
      <c r="A62" s="90" t="s">
        <v>33</v>
      </c>
      <c r="B62" s="91" t="s">
        <v>31</v>
      </c>
      <c r="C62" s="83">
        <f ca="1">COUNTIFS(toulouse[adversaire],B62)</f>
        <v>2</v>
      </c>
      <c r="D62" s="84">
        <f ca="1">COUNTIFS(toulouse[adversaire],B62,toulouse[Lieu Match],"domicile",toulouse[Issue match],"victoire")</f>
        <v>0</v>
      </c>
      <c r="E62" s="84">
        <f ca="1">COUNTIFS(toulouse[adversaire],B62,toulouse[Lieu Match],"Extérieur",toulouse[Issue match],"victoire")</f>
        <v>0</v>
      </c>
      <c r="F62" s="82">
        <f t="shared" ca="1" si="9"/>
        <v>0</v>
      </c>
      <c r="G62" s="78">
        <f ca="1">COUNTIFS(toulouse[adversaire],B62,toulouse[Lieu Match],"domicile",toulouse[Issue match],"défaite")</f>
        <v>1</v>
      </c>
      <c r="H62" s="80">
        <f ca="1">COUNTIFS(toulouse[adversaire],B62,toulouse[Lieu Match],"Extérieur",toulouse[Issue match],"défaite")</f>
        <v>1</v>
      </c>
      <c r="I62" s="79">
        <f t="shared" ca="1" si="10"/>
        <v>1</v>
      </c>
      <c r="J62" s="85">
        <f ca="1">COUNTIFS(toulouse[adversaire],B62,toulouse[Lieu Match],"Domicile",toulouse[Issue match],"Nul")+COUNTIFS(toulouse[adversaire],B62,toulouse[Lieu Match],"Extérieur",toulouse[Issue match],"Nul")</f>
        <v>0</v>
      </c>
      <c r="K62" s="81">
        <f t="shared" ca="1" si="11"/>
        <v>0</v>
      </c>
      <c r="L62" s="89">
        <f t="shared" ca="1" si="12"/>
        <v>1</v>
      </c>
    </row>
    <row r="63" spans="1:12">
      <c r="A63" s="90" t="s">
        <v>33</v>
      </c>
      <c r="B63" s="91" t="s">
        <v>32</v>
      </c>
      <c r="C63" s="83">
        <f ca="1">COUNTIFS(toulouse[adversaire],B63)</f>
        <v>2</v>
      </c>
      <c r="D63" s="84">
        <f ca="1">COUNTIFS(toulouse[adversaire],B63,toulouse[Lieu Match],"domicile",toulouse[Issue match],"victoire")</f>
        <v>0</v>
      </c>
      <c r="E63" s="84">
        <f ca="1">COUNTIFS(toulouse[adversaire],B63,toulouse[Lieu Match],"Extérieur",toulouse[Issue match],"victoire")</f>
        <v>1</v>
      </c>
      <c r="F63" s="82">
        <f t="shared" ca="1" si="9"/>
        <v>0.5</v>
      </c>
      <c r="G63" s="78">
        <f ca="1">COUNTIFS(toulouse[adversaire],B63,toulouse[Lieu Match],"domicile",toulouse[Issue match],"défaite")</f>
        <v>1</v>
      </c>
      <c r="H63" s="80">
        <f ca="1">COUNTIFS(toulouse[adversaire],B63,toulouse[Lieu Match],"Extérieur",toulouse[Issue match],"défaite")</f>
        <v>0</v>
      </c>
      <c r="I63" s="79">
        <f t="shared" ca="1" si="10"/>
        <v>0.5</v>
      </c>
      <c r="J63" s="85">
        <f ca="1">COUNTIFS(toulouse[adversaire],B63,toulouse[Lieu Match],"Domicile",toulouse[Issue match],"Nul")+COUNTIFS(toulouse[adversaire],B63,toulouse[Lieu Match],"Extérieur",toulouse[Issue match],"Nul")</f>
        <v>0</v>
      </c>
      <c r="K63" s="81">
        <f t="shared" ca="1" si="11"/>
        <v>0</v>
      </c>
      <c r="L63" s="89">
        <f t="shared" ca="1" si="12"/>
        <v>1</v>
      </c>
    </row>
    <row r="64" spans="1:12">
      <c r="A64" s="90" t="s">
        <v>33</v>
      </c>
      <c r="B64" s="91" t="s">
        <v>15</v>
      </c>
      <c r="C64" s="83">
        <f ca="1">COUNTIFS(toulouse[adversaire],B64)</f>
        <v>2</v>
      </c>
      <c r="D64" s="84">
        <f ca="1">COUNTIFS(toulouse[adversaire],B64,toulouse[Lieu Match],"domicile",toulouse[Issue match],"victoire")</f>
        <v>1</v>
      </c>
      <c r="E64" s="84">
        <f ca="1">COUNTIFS(toulouse[adversaire],B64,toulouse[Lieu Match],"Extérieur",toulouse[Issue match],"victoire")</f>
        <v>0</v>
      </c>
      <c r="F64" s="82">
        <f t="shared" ca="1" si="9"/>
        <v>0.5</v>
      </c>
      <c r="G64" s="78">
        <f ca="1">COUNTIFS(toulouse[adversaire],B64,toulouse[Lieu Match],"domicile",toulouse[Issue match],"défaite")</f>
        <v>0</v>
      </c>
      <c r="H64" s="80">
        <f ca="1">COUNTIFS(toulouse[adversaire],B64,toulouse[Lieu Match],"Extérieur",toulouse[Issue match],"défaite")</f>
        <v>1</v>
      </c>
      <c r="I64" s="79">
        <f t="shared" ca="1" si="10"/>
        <v>0.5</v>
      </c>
      <c r="J64" s="85">
        <f ca="1">COUNTIFS(toulouse[adversaire],B64,toulouse[Lieu Match],"Domicile",toulouse[Issue match],"Nul")+COUNTIFS(toulouse[adversaire],B64,toulouse[Lieu Match],"Extérieur",toulouse[Issue match],"Nul")</f>
        <v>0</v>
      </c>
      <c r="K64" s="81">
        <f t="shared" ca="1" si="11"/>
        <v>0</v>
      </c>
      <c r="L64" s="89">
        <f t="shared" ca="1" si="12"/>
        <v>1</v>
      </c>
    </row>
  </sheetData>
  <mergeCells count="6">
    <mergeCell ref="Q1:S1"/>
    <mergeCell ref="Q9:S9"/>
    <mergeCell ref="G1:H1"/>
    <mergeCell ref="A1:A2"/>
    <mergeCell ref="B1:E1"/>
    <mergeCell ref="L1:N1"/>
  </mergeCells>
  <dataValidations count="1">
    <dataValidation type="list" allowBlank="1" showInputMessage="1" showErrorMessage="1" sqref="H3">
      <formula1>$Q$19:$Q$31</formula1>
    </dataValidation>
  </dataValidation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>
    <tabColor theme="5" tint="0.39997558519241921"/>
  </sheetPr>
  <dimension ref="A1:P183"/>
  <sheetViews>
    <sheetView workbookViewId="0">
      <selection activeCell="C22" sqref="C22"/>
    </sheetView>
  </sheetViews>
  <sheetFormatPr baseColWidth="10" defaultColWidth="10.83203125" defaultRowHeight="14" x14ac:dyDescent="0"/>
  <cols>
    <col min="1" max="1" width="13.1640625" style="29" bestFit="1" customWidth="1"/>
    <col min="2" max="2" width="11.1640625" style="29" bestFit="1" customWidth="1"/>
    <col min="3" max="3" width="13.5" style="29" bestFit="1" customWidth="1"/>
    <col min="4" max="4" width="12.1640625" style="29" bestFit="1" customWidth="1"/>
    <col min="5" max="5" width="11.83203125" style="29" bestFit="1" customWidth="1"/>
    <col min="6" max="6" width="13.6640625" style="29" bestFit="1" customWidth="1"/>
    <col min="7" max="7" width="16.5" style="29" bestFit="1" customWidth="1"/>
    <col min="8" max="8" width="11" bestFit="1" customWidth="1"/>
    <col min="9" max="9" width="15.83203125" style="29" bestFit="1" customWidth="1"/>
    <col min="10" max="10" width="11.5" style="29" bestFit="1" customWidth="1"/>
    <col min="11" max="11" width="11.1640625" style="29" bestFit="1" customWidth="1"/>
    <col min="12" max="12" width="11.83203125" style="29" bestFit="1" customWidth="1"/>
    <col min="13" max="13" width="11.5" style="29" bestFit="1" customWidth="1"/>
    <col min="14" max="15" width="10.83203125" style="29"/>
    <col min="16" max="16" width="10.83203125" style="35"/>
    <col min="17" max="16384" width="10.83203125" style="29"/>
  </cols>
  <sheetData>
    <row r="1" spans="1:16">
      <c r="A1" s="29" t="s">
        <v>153</v>
      </c>
      <c r="B1" s="29" t="s">
        <v>109</v>
      </c>
      <c r="C1" s="29" t="s">
        <v>108</v>
      </c>
      <c r="D1" s="29" t="s">
        <v>110</v>
      </c>
      <c r="E1" s="29" t="s">
        <v>111</v>
      </c>
      <c r="F1" s="29" t="s">
        <v>107</v>
      </c>
      <c r="G1" s="29" t="s">
        <v>119</v>
      </c>
      <c r="H1" s="29" t="s">
        <v>154</v>
      </c>
      <c r="I1" s="29" t="s">
        <v>158</v>
      </c>
      <c r="J1" s="29" t="s">
        <v>159</v>
      </c>
      <c r="K1" s="29" t="s">
        <v>160</v>
      </c>
      <c r="L1" s="29" t="s">
        <v>161</v>
      </c>
      <c r="M1" s="29" t="s">
        <v>162</v>
      </c>
      <c r="O1" s="35"/>
      <c r="P1" s="29"/>
    </row>
    <row r="2" spans="1:16">
      <c r="A2" s="29" t="s">
        <v>54</v>
      </c>
      <c r="B2" s="29" t="s">
        <v>112</v>
      </c>
      <c r="C2" s="29" t="s">
        <v>46</v>
      </c>
      <c r="D2" s="29">
        <v>29</v>
      </c>
      <c r="E2" s="29">
        <v>15</v>
      </c>
      <c r="F2" s="29" t="s">
        <v>52</v>
      </c>
      <c r="G2" s="29" t="str">
        <f>IF(COUNTBLANK(resultat[[#This Row],[Score D]:[Score E]])=0,CONCATENATE(resultat[[#This Row],[Score D]],"-",resultat[[#This Row],[Score E]]),"")</f>
        <v>29-15</v>
      </c>
      <c r="H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La Rochelle</v>
      </c>
      <c r="I2" s="131">
        <f>ABS(resultat[[#This Row],[Score D]]-resultat[[#This Row],[Score E]])</f>
        <v>14</v>
      </c>
      <c r="O2" s="36"/>
      <c r="P2" s="29"/>
    </row>
    <row r="3" spans="1:16">
      <c r="A3" s="29" t="s">
        <v>54</v>
      </c>
      <c r="B3" s="29" t="s">
        <v>113</v>
      </c>
      <c r="C3" s="29" t="s">
        <v>41</v>
      </c>
      <c r="D3" s="29">
        <v>22</v>
      </c>
      <c r="E3" s="29">
        <v>26</v>
      </c>
      <c r="F3" s="29" t="s">
        <v>44</v>
      </c>
      <c r="G3" s="29" t="str">
        <f t="shared" ref="G3:G66" si="0">IF(NOT(AND(D3="",E3="")),CONCATENATE(D3,"-",E3),"")</f>
        <v>22-26</v>
      </c>
      <c r="H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Castres</v>
      </c>
      <c r="I3" s="131">
        <f>ABS(resultat[[#This Row],[Score D]]-resultat[[#This Row],[Score E]])</f>
        <v>4</v>
      </c>
      <c r="O3" s="36"/>
      <c r="P3" s="29"/>
    </row>
    <row r="4" spans="1:16">
      <c r="A4" s="29" t="s">
        <v>54</v>
      </c>
      <c r="B4" s="29" t="s">
        <v>114</v>
      </c>
      <c r="C4" s="29" t="s">
        <v>40</v>
      </c>
      <c r="D4" s="29">
        <v>42</v>
      </c>
      <c r="E4" s="29">
        <v>23</v>
      </c>
      <c r="F4" s="29" t="s">
        <v>42</v>
      </c>
      <c r="G4" s="29" t="str">
        <f t="shared" si="0"/>
        <v>42-23</v>
      </c>
      <c r="H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Brive</v>
      </c>
      <c r="I4" s="131">
        <f>ABS(resultat[[#This Row],[Score D]]-resultat[[#This Row],[Score E]])</f>
        <v>19</v>
      </c>
      <c r="O4" s="36"/>
      <c r="P4" s="29"/>
    </row>
    <row r="5" spans="1:16">
      <c r="A5" s="29" t="s">
        <v>54</v>
      </c>
      <c r="B5" s="29" t="s">
        <v>115</v>
      </c>
      <c r="C5" s="29" t="s">
        <v>47</v>
      </c>
      <c r="D5" s="29">
        <v>23</v>
      </c>
      <c r="E5" s="29">
        <v>27</v>
      </c>
      <c r="F5" s="29" t="s">
        <v>51</v>
      </c>
      <c r="G5" s="29" t="str">
        <f t="shared" si="0"/>
        <v>23-27</v>
      </c>
      <c r="H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Racing 92</v>
      </c>
      <c r="I5" s="131">
        <f>ABS(resultat[[#This Row],[Score D]]-resultat[[#This Row],[Score E]])</f>
        <v>4</v>
      </c>
      <c r="O5" s="36"/>
      <c r="P5" s="29"/>
    </row>
    <row r="6" spans="1:16">
      <c r="A6" s="29" t="s">
        <v>54</v>
      </c>
      <c r="B6" s="29" t="s">
        <v>116</v>
      </c>
      <c r="C6" s="29" t="s">
        <v>48</v>
      </c>
      <c r="D6" s="29">
        <v>23</v>
      </c>
      <c r="E6" s="29">
        <v>26</v>
      </c>
      <c r="F6" s="29" t="s">
        <v>50</v>
      </c>
      <c r="G6" s="29" t="str">
        <f t="shared" si="0"/>
        <v>23-26</v>
      </c>
      <c r="H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Pau</v>
      </c>
      <c r="I6" s="131">
        <f>ABS(resultat[[#This Row],[Score D]]-resultat[[#This Row],[Score E]])</f>
        <v>3</v>
      </c>
      <c r="O6" s="36"/>
      <c r="P6" s="29"/>
    </row>
    <row r="7" spans="1:16">
      <c r="A7" s="29" t="s">
        <v>54</v>
      </c>
      <c r="B7" s="29" t="s">
        <v>117</v>
      </c>
      <c r="C7" s="29" t="s">
        <v>49</v>
      </c>
      <c r="F7" s="29" t="s">
        <v>43</v>
      </c>
      <c r="G7" s="29" t="str">
        <f t="shared" si="0"/>
        <v/>
      </c>
      <c r="H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" s="131">
        <f>ABS(resultat[[#This Row],[Score D]]-resultat[[#This Row],[Score E]])</f>
        <v>0</v>
      </c>
      <c r="O7" s="36"/>
      <c r="P7" s="29"/>
    </row>
    <row r="8" spans="1:16">
      <c r="A8" s="29" t="s">
        <v>54</v>
      </c>
      <c r="B8" s="29" t="s">
        <v>118</v>
      </c>
      <c r="C8" s="29" t="s">
        <v>45</v>
      </c>
      <c r="D8" s="29">
        <v>33</v>
      </c>
      <c r="E8" s="29">
        <v>30</v>
      </c>
      <c r="F8" s="29" t="s">
        <v>53</v>
      </c>
      <c r="G8" s="29" t="str">
        <f t="shared" si="0"/>
        <v>33-30</v>
      </c>
      <c r="H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Clermont</v>
      </c>
      <c r="I8" s="131">
        <f>ABS(resultat[[#This Row],[Score D]]-resultat[[#This Row],[Score E]])</f>
        <v>3</v>
      </c>
      <c r="O8" s="35"/>
      <c r="P8" s="29"/>
    </row>
    <row r="9" spans="1:16">
      <c r="A9" s="29" t="s">
        <v>55</v>
      </c>
      <c r="B9" s="29" t="s">
        <v>112</v>
      </c>
      <c r="C9" s="29" t="s">
        <v>52</v>
      </c>
      <c r="D9" s="29">
        <v>36</v>
      </c>
      <c r="E9" s="29">
        <v>14</v>
      </c>
      <c r="F9" s="29" t="s">
        <v>47</v>
      </c>
      <c r="G9" s="29" t="str">
        <f t="shared" si="0"/>
        <v>36-14</v>
      </c>
      <c r="H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Toulon</v>
      </c>
      <c r="I9" s="131">
        <f>ABS(resultat[[#This Row],[Score D]]-resultat[[#This Row],[Score E]])</f>
        <v>22</v>
      </c>
      <c r="O9" s="35"/>
      <c r="P9" s="29"/>
    </row>
    <row r="10" spans="1:16">
      <c r="A10" s="29" t="s">
        <v>55</v>
      </c>
      <c r="B10" s="29" t="s">
        <v>113</v>
      </c>
      <c r="C10" s="29" t="s">
        <v>42</v>
      </c>
      <c r="D10" s="29">
        <v>21</v>
      </c>
      <c r="E10" s="29">
        <v>19</v>
      </c>
      <c r="F10" s="29" t="s">
        <v>45</v>
      </c>
      <c r="G10" s="29" t="str">
        <f t="shared" si="0"/>
        <v>21-19</v>
      </c>
      <c r="H1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Bayonne</v>
      </c>
      <c r="I10" s="131">
        <f>ABS(resultat[[#This Row],[Score D]]-resultat[[#This Row],[Score E]])</f>
        <v>2</v>
      </c>
      <c r="O10" s="35"/>
      <c r="P10" s="29"/>
    </row>
    <row r="11" spans="1:16">
      <c r="A11" s="29" t="s">
        <v>55</v>
      </c>
      <c r="B11" s="29" t="s">
        <v>114</v>
      </c>
      <c r="C11" s="29" t="s">
        <v>43</v>
      </c>
      <c r="D11" s="29">
        <v>25</v>
      </c>
      <c r="E11" s="29">
        <v>20</v>
      </c>
      <c r="F11" s="29" t="s">
        <v>40</v>
      </c>
      <c r="G11" s="29" t="str">
        <f t="shared" si="0"/>
        <v>25-20</v>
      </c>
      <c r="H1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Bordeaux</v>
      </c>
      <c r="I11" s="131">
        <f>ABS(resultat[[#This Row],[Score D]]-resultat[[#This Row],[Score E]])</f>
        <v>5</v>
      </c>
      <c r="O11" s="35"/>
      <c r="P11" s="29"/>
    </row>
    <row r="12" spans="1:16">
      <c r="A12" s="29" t="s">
        <v>55</v>
      </c>
      <c r="B12" s="29" t="s">
        <v>115</v>
      </c>
      <c r="C12" s="29" t="s">
        <v>44</v>
      </c>
      <c r="D12" s="29">
        <v>16</v>
      </c>
      <c r="E12" s="29">
        <v>22</v>
      </c>
      <c r="F12" s="29" t="s">
        <v>49</v>
      </c>
      <c r="G12" s="29" t="str">
        <f t="shared" si="0"/>
        <v>16-22</v>
      </c>
      <c r="H1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Paris</v>
      </c>
      <c r="I12" s="131">
        <f>ABS(resultat[[#This Row],[Score D]]-resultat[[#This Row],[Score E]])</f>
        <v>6</v>
      </c>
      <c r="O12" s="35"/>
      <c r="P12" s="29"/>
    </row>
    <row r="13" spans="1:16">
      <c r="A13" s="29" t="s">
        <v>55</v>
      </c>
      <c r="B13" s="29" t="s">
        <v>116</v>
      </c>
      <c r="C13" s="29" t="s">
        <v>50</v>
      </c>
      <c r="D13" s="29">
        <v>33</v>
      </c>
      <c r="E13" s="29">
        <v>23</v>
      </c>
      <c r="F13" s="29" t="s">
        <v>41</v>
      </c>
      <c r="G13" s="29" t="str">
        <f t="shared" si="0"/>
        <v>33-23</v>
      </c>
      <c r="H1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Pau</v>
      </c>
      <c r="I13" s="131">
        <f>ABS(resultat[[#This Row],[Score D]]-resultat[[#This Row],[Score E]])</f>
        <v>10</v>
      </c>
      <c r="O13" s="35"/>
      <c r="P13" s="29"/>
    </row>
    <row r="14" spans="1:16">
      <c r="A14" s="29" t="s">
        <v>55</v>
      </c>
      <c r="B14" s="29" t="s">
        <v>117</v>
      </c>
      <c r="C14" s="29" t="s">
        <v>51</v>
      </c>
      <c r="D14" s="29">
        <v>41</v>
      </c>
      <c r="E14" s="29">
        <v>17</v>
      </c>
      <c r="F14" s="29" t="s">
        <v>48</v>
      </c>
      <c r="G14" s="29" t="str">
        <f t="shared" si="0"/>
        <v>41-17</v>
      </c>
      <c r="H1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Racing 92</v>
      </c>
      <c r="I14" s="131">
        <f>ABS(resultat[[#This Row],[Score D]]-resultat[[#This Row],[Score E]])</f>
        <v>24</v>
      </c>
      <c r="M14" s="47"/>
      <c r="O14" s="35"/>
      <c r="P14" s="29"/>
    </row>
    <row r="15" spans="1:16">
      <c r="A15" s="29" t="s">
        <v>55</v>
      </c>
      <c r="B15" s="29" t="s">
        <v>118</v>
      </c>
      <c r="C15" s="29" t="s">
        <v>53</v>
      </c>
      <c r="D15" s="29">
        <v>39</v>
      </c>
      <c r="E15" s="29">
        <v>23</v>
      </c>
      <c r="F15" s="29" t="s">
        <v>46</v>
      </c>
      <c r="G15" s="29" t="str">
        <f t="shared" si="0"/>
        <v>39-23</v>
      </c>
      <c r="H1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Toulouse</v>
      </c>
      <c r="I15" s="131">
        <f>ABS(resultat[[#This Row],[Score D]]-resultat[[#This Row],[Score E]])</f>
        <v>16</v>
      </c>
      <c r="M15" s="47"/>
      <c r="O15" s="35"/>
      <c r="P15" s="29"/>
    </row>
    <row r="16" spans="1:16">
      <c r="A16" s="29" t="s">
        <v>56</v>
      </c>
      <c r="B16" s="29" t="s">
        <v>112</v>
      </c>
      <c r="C16" s="29" t="s">
        <v>40</v>
      </c>
      <c r="D16" s="29">
        <v>19</v>
      </c>
      <c r="E16" s="29">
        <v>13</v>
      </c>
      <c r="F16" s="29" t="s">
        <v>50</v>
      </c>
      <c r="G16" s="29" t="str">
        <f t="shared" si="0"/>
        <v>19-13</v>
      </c>
      <c r="H1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Brive</v>
      </c>
      <c r="I16" s="131">
        <f>ABS(resultat[[#This Row],[Score D]]-resultat[[#This Row],[Score E]])</f>
        <v>6</v>
      </c>
      <c r="M16" s="47"/>
      <c r="O16" s="35"/>
      <c r="P16" s="29"/>
    </row>
    <row r="17" spans="1:16">
      <c r="A17" s="29" t="s">
        <v>56</v>
      </c>
      <c r="B17" s="29" t="s">
        <v>113</v>
      </c>
      <c r="C17" s="29" t="s">
        <v>45</v>
      </c>
      <c r="D17" s="29">
        <v>31</v>
      </c>
      <c r="E17" s="29">
        <v>12</v>
      </c>
      <c r="F17" s="29" t="s">
        <v>41</v>
      </c>
      <c r="G17" s="29" t="str">
        <f t="shared" si="0"/>
        <v>31-12</v>
      </c>
      <c r="H1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Clermont</v>
      </c>
      <c r="I17" s="131">
        <f>ABS(resultat[[#This Row],[Score D]]-resultat[[#This Row],[Score E]])</f>
        <v>19</v>
      </c>
      <c r="M17" s="47"/>
      <c r="O17" s="35"/>
      <c r="P17" s="29"/>
    </row>
    <row r="18" spans="1:16">
      <c r="A18" s="29" t="s">
        <v>56</v>
      </c>
      <c r="B18" s="29" t="s">
        <v>114</v>
      </c>
      <c r="C18" s="29" t="s">
        <v>46</v>
      </c>
      <c r="F18" s="29" t="s">
        <v>51</v>
      </c>
      <c r="G18" s="29" t="str">
        <f t="shared" si="0"/>
        <v/>
      </c>
      <c r="H1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8" s="131">
        <f>ABS(resultat[[#This Row],[Score D]]-resultat[[#This Row],[Score E]])</f>
        <v>0</v>
      </c>
      <c r="M18" s="47"/>
      <c r="O18" s="35"/>
      <c r="P18" s="29"/>
    </row>
    <row r="19" spans="1:16">
      <c r="A19" s="29" t="s">
        <v>56</v>
      </c>
      <c r="B19" s="29" t="s">
        <v>115</v>
      </c>
      <c r="C19" s="29" t="s">
        <v>47</v>
      </c>
      <c r="D19" s="29">
        <v>27</v>
      </c>
      <c r="E19" s="29">
        <v>10</v>
      </c>
      <c r="F19" s="29" t="s">
        <v>43</v>
      </c>
      <c r="G19" s="29" t="str">
        <f t="shared" si="0"/>
        <v>27-10</v>
      </c>
      <c r="H1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Lyon</v>
      </c>
      <c r="I19" s="131">
        <f>ABS(resultat[[#This Row],[Score D]]-resultat[[#This Row],[Score E]])</f>
        <v>17</v>
      </c>
      <c r="O19" s="35"/>
      <c r="P19" s="29"/>
    </row>
    <row r="20" spans="1:16">
      <c r="A20" s="29" t="s">
        <v>56</v>
      </c>
      <c r="B20" s="29" t="s">
        <v>116</v>
      </c>
      <c r="C20" s="29" t="s">
        <v>48</v>
      </c>
      <c r="F20" s="29" t="s">
        <v>44</v>
      </c>
      <c r="G20" s="29" t="str">
        <f t="shared" si="0"/>
        <v/>
      </c>
      <c r="H2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20" s="131">
        <f>ABS(resultat[[#This Row],[Score D]]-resultat[[#This Row],[Score E]])</f>
        <v>0</v>
      </c>
      <c r="O20" s="35"/>
      <c r="P20" s="29"/>
    </row>
    <row r="21" spans="1:16">
      <c r="A21" s="29" t="s">
        <v>56</v>
      </c>
      <c r="B21" s="29" t="s">
        <v>117</v>
      </c>
      <c r="C21" s="29" t="s">
        <v>49</v>
      </c>
      <c r="D21" s="29">
        <v>19</v>
      </c>
      <c r="E21" s="29">
        <v>26</v>
      </c>
      <c r="F21" s="29" t="s">
        <v>42</v>
      </c>
      <c r="G21" s="29" t="str">
        <f t="shared" si="0"/>
        <v>19-26</v>
      </c>
      <c r="H2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Bayonne</v>
      </c>
      <c r="I21" s="131">
        <f>ABS(resultat[[#This Row],[Score D]]-resultat[[#This Row],[Score E]])</f>
        <v>7</v>
      </c>
      <c r="O21" s="35"/>
      <c r="P21" s="29"/>
    </row>
    <row r="22" spans="1:16">
      <c r="A22" s="29" t="s">
        <v>56</v>
      </c>
      <c r="B22" s="29" t="s">
        <v>118</v>
      </c>
      <c r="C22" s="29" t="s">
        <v>53</v>
      </c>
      <c r="D22" s="29">
        <v>39</v>
      </c>
      <c r="E22" s="29">
        <v>19</v>
      </c>
      <c r="F22" s="29" t="s">
        <v>52</v>
      </c>
      <c r="G22" s="29" t="str">
        <f t="shared" si="0"/>
        <v>39-19</v>
      </c>
      <c r="H2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Toulouse</v>
      </c>
      <c r="I22" s="131">
        <f>ABS(resultat[[#This Row],[Score D]]-resultat[[#This Row],[Score E]])</f>
        <v>20</v>
      </c>
      <c r="O22" s="35"/>
      <c r="P22" s="29"/>
    </row>
    <row r="23" spans="1:16">
      <c r="A23" s="29" t="s">
        <v>57</v>
      </c>
      <c r="B23" s="29" t="s">
        <v>112</v>
      </c>
      <c r="C23" s="29" t="s">
        <v>43</v>
      </c>
      <c r="F23" s="29" t="s">
        <v>45</v>
      </c>
      <c r="G23" s="29" t="str">
        <f t="shared" si="0"/>
        <v/>
      </c>
      <c r="H2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23" s="131">
        <f>ABS(resultat[[#This Row],[Score D]]-resultat[[#This Row],[Score E]])</f>
        <v>0</v>
      </c>
      <c r="O23" s="35"/>
      <c r="P23" s="29"/>
    </row>
    <row r="24" spans="1:16">
      <c r="A24" s="29" t="s">
        <v>57</v>
      </c>
      <c r="B24" s="29" t="s">
        <v>113</v>
      </c>
      <c r="C24" s="29" t="s">
        <v>51</v>
      </c>
      <c r="D24" s="29">
        <v>24</v>
      </c>
      <c r="E24" s="29">
        <v>30</v>
      </c>
      <c r="F24" s="29" t="s">
        <v>53</v>
      </c>
      <c r="G24" s="29" t="str">
        <f t="shared" si="0"/>
        <v>24-30</v>
      </c>
      <c r="H2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Toulouse</v>
      </c>
      <c r="I24" s="131">
        <f>ABS(resultat[[#This Row],[Score D]]-resultat[[#This Row],[Score E]])</f>
        <v>6</v>
      </c>
      <c r="O24" s="35"/>
      <c r="P24" s="29"/>
    </row>
    <row r="25" spans="1:16">
      <c r="A25" s="29" t="s">
        <v>57</v>
      </c>
      <c r="B25" s="29" t="s">
        <v>114</v>
      </c>
      <c r="C25" s="29" t="s">
        <v>41</v>
      </c>
      <c r="D25" s="29">
        <v>3</v>
      </c>
      <c r="E25" s="29">
        <v>20</v>
      </c>
      <c r="F25" s="29" t="s">
        <v>49</v>
      </c>
      <c r="G25" s="29" t="str">
        <f t="shared" si="0"/>
        <v>3-20</v>
      </c>
      <c r="H2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Paris</v>
      </c>
      <c r="I25" s="131">
        <f>ABS(resultat[[#This Row],[Score D]]-resultat[[#This Row],[Score E]])</f>
        <v>17</v>
      </c>
      <c r="O25" s="35"/>
      <c r="P25" s="29"/>
    </row>
    <row r="26" spans="1:16">
      <c r="A26" s="29" t="s">
        <v>57</v>
      </c>
      <c r="B26" s="29" t="s">
        <v>115</v>
      </c>
      <c r="C26" s="29" t="s">
        <v>42</v>
      </c>
      <c r="D26" s="29">
        <v>19</v>
      </c>
      <c r="E26" s="29">
        <v>36</v>
      </c>
      <c r="F26" s="29" t="s">
        <v>46</v>
      </c>
      <c r="G26" s="29" t="str">
        <f t="shared" si="0"/>
        <v>19-36</v>
      </c>
      <c r="H2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La Rochelle</v>
      </c>
      <c r="I26" s="131">
        <f>ABS(resultat[[#This Row],[Score D]]-resultat[[#This Row],[Score E]])</f>
        <v>17</v>
      </c>
      <c r="O26" s="35"/>
      <c r="P26" s="29"/>
    </row>
    <row r="27" spans="1:16">
      <c r="A27" s="29" t="s">
        <v>57</v>
      </c>
      <c r="B27" s="29" t="s">
        <v>116</v>
      </c>
      <c r="C27" s="29" t="s">
        <v>44</v>
      </c>
      <c r="F27" s="29" t="s">
        <v>40</v>
      </c>
      <c r="G27" s="29" t="str">
        <f t="shared" si="0"/>
        <v/>
      </c>
      <c r="H2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27" s="131">
        <f>ABS(resultat[[#This Row],[Score D]]-resultat[[#This Row],[Score E]])</f>
        <v>0</v>
      </c>
      <c r="O27" s="35"/>
      <c r="P27" s="29"/>
    </row>
    <row r="28" spans="1:16">
      <c r="A28" s="29" t="s">
        <v>57</v>
      </c>
      <c r="B28" s="29" t="s">
        <v>117</v>
      </c>
      <c r="C28" s="29" t="s">
        <v>50</v>
      </c>
      <c r="D28" s="29">
        <v>29</v>
      </c>
      <c r="E28" s="29">
        <v>29</v>
      </c>
      <c r="F28" s="29" t="s">
        <v>47</v>
      </c>
      <c r="G28" s="29" t="str">
        <f t="shared" si="0"/>
        <v>29-29</v>
      </c>
      <c r="H2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Nul</v>
      </c>
      <c r="I28" s="131">
        <f>ABS(resultat[[#This Row],[Score D]]-resultat[[#This Row],[Score E]])</f>
        <v>0</v>
      </c>
      <c r="O28" s="35"/>
      <c r="P28" s="29"/>
    </row>
    <row r="29" spans="1:16">
      <c r="A29" s="29" t="s">
        <v>57</v>
      </c>
      <c r="B29" s="29" t="s">
        <v>118</v>
      </c>
      <c r="C29" s="29" t="s">
        <v>52</v>
      </c>
      <c r="D29" s="29">
        <v>25</v>
      </c>
      <c r="E29" s="29">
        <v>21</v>
      </c>
      <c r="F29" s="29" t="s">
        <v>48</v>
      </c>
      <c r="G29" s="29" t="str">
        <f t="shared" si="0"/>
        <v>25-21</v>
      </c>
      <c r="H2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Toulon</v>
      </c>
      <c r="I29" s="131">
        <f>ABS(resultat[[#This Row],[Score D]]-resultat[[#This Row],[Score E]])</f>
        <v>4</v>
      </c>
      <c r="O29" s="35"/>
      <c r="P29" s="29"/>
    </row>
    <row r="30" spans="1:16">
      <c r="A30" s="29" t="s">
        <v>58</v>
      </c>
      <c r="B30" s="29" t="s">
        <v>112</v>
      </c>
      <c r="C30" s="29" t="s">
        <v>51</v>
      </c>
      <c r="F30" s="29" t="s">
        <v>52</v>
      </c>
      <c r="G30" s="29" t="str">
        <f t="shared" si="0"/>
        <v/>
      </c>
      <c r="H3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30" s="131">
        <f>ABS(resultat[[#This Row],[Score D]]-resultat[[#This Row],[Score E]])</f>
        <v>0</v>
      </c>
      <c r="O30" s="35"/>
      <c r="P30" s="29"/>
    </row>
    <row r="31" spans="1:16">
      <c r="A31" s="29" t="s">
        <v>58</v>
      </c>
      <c r="B31" s="29" t="s">
        <v>113</v>
      </c>
      <c r="C31" s="29" t="s">
        <v>45</v>
      </c>
      <c r="D31" s="29">
        <v>41</v>
      </c>
      <c r="E31" s="29">
        <v>27</v>
      </c>
      <c r="F31" s="29" t="s">
        <v>49</v>
      </c>
      <c r="G31" s="29" t="str">
        <f t="shared" si="0"/>
        <v>41-27</v>
      </c>
      <c r="H3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Clermont</v>
      </c>
      <c r="I31" s="131">
        <f>ABS(resultat[[#This Row],[Score D]]-resultat[[#This Row],[Score E]])</f>
        <v>14</v>
      </c>
      <c r="O31" s="35"/>
      <c r="P31" s="29"/>
    </row>
    <row r="32" spans="1:16">
      <c r="A32" s="29" t="s">
        <v>58</v>
      </c>
      <c r="B32" s="29" t="s">
        <v>114</v>
      </c>
      <c r="C32" s="29" t="s">
        <v>40</v>
      </c>
      <c r="D32" s="29">
        <v>16</v>
      </c>
      <c r="E32" s="29">
        <v>36</v>
      </c>
      <c r="F32" s="29" t="s">
        <v>53</v>
      </c>
      <c r="G32" s="29" t="str">
        <f t="shared" si="0"/>
        <v>16-36</v>
      </c>
      <c r="H3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Toulouse</v>
      </c>
      <c r="I32" s="131">
        <f>ABS(resultat[[#This Row],[Score D]]-resultat[[#This Row],[Score E]])</f>
        <v>20</v>
      </c>
      <c r="O32" s="35"/>
      <c r="P32" s="29"/>
    </row>
    <row r="33" spans="1:16">
      <c r="A33" s="29" t="s">
        <v>58</v>
      </c>
      <c r="B33" s="29" t="s">
        <v>115</v>
      </c>
      <c r="C33" s="29" t="s">
        <v>46</v>
      </c>
      <c r="D33" s="29">
        <v>62</v>
      </c>
      <c r="E33" s="29">
        <v>3</v>
      </c>
      <c r="F33" s="29" t="s">
        <v>44</v>
      </c>
      <c r="G33" s="29" t="str">
        <f t="shared" si="0"/>
        <v>62-3</v>
      </c>
      <c r="H3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La Rochelle</v>
      </c>
      <c r="I33" s="131">
        <f>ABS(resultat[[#This Row],[Score D]]-resultat[[#This Row],[Score E]])</f>
        <v>59</v>
      </c>
      <c r="O33" s="35"/>
      <c r="P33" s="29"/>
    </row>
    <row r="34" spans="1:16">
      <c r="A34" s="29" t="s">
        <v>58</v>
      </c>
      <c r="B34" s="29" t="s">
        <v>116</v>
      </c>
      <c r="C34" s="29" t="s">
        <v>47</v>
      </c>
      <c r="D34" s="29">
        <v>62</v>
      </c>
      <c r="E34" s="29">
        <v>10</v>
      </c>
      <c r="F34" s="29" t="s">
        <v>42</v>
      </c>
      <c r="G34" s="29" t="str">
        <f t="shared" si="0"/>
        <v>62-10</v>
      </c>
      <c r="H3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Lyon</v>
      </c>
      <c r="I34" s="131">
        <f>ABS(resultat[[#This Row],[Score D]]-resultat[[#This Row],[Score E]])</f>
        <v>52</v>
      </c>
      <c r="O34" s="35"/>
      <c r="P34" s="29"/>
    </row>
    <row r="35" spans="1:16">
      <c r="A35" s="29" t="s">
        <v>58</v>
      </c>
      <c r="B35" s="29" t="s">
        <v>117</v>
      </c>
      <c r="C35" s="29" t="s">
        <v>48</v>
      </c>
      <c r="D35" s="29">
        <v>42</v>
      </c>
      <c r="E35" s="29">
        <v>13</v>
      </c>
      <c r="F35" s="29" t="s">
        <v>41</v>
      </c>
      <c r="G35" s="29" t="str">
        <f t="shared" si="0"/>
        <v>42-13</v>
      </c>
      <c r="H3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Montpellier</v>
      </c>
      <c r="I35" s="131">
        <f>ABS(resultat[[#This Row],[Score D]]-resultat[[#This Row],[Score E]])</f>
        <v>29</v>
      </c>
      <c r="O35" s="35"/>
      <c r="P35" s="29"/>
    </row>
    <row r="36" spans="1:16">
      <c r="A36" s="29" t="s">
        <v>58</v>
      </c>
      <c r="B36" s="29" t="s">
        <v>118</v>
      </c>
      <c r="C36" s="29" t="s">
        <v>50</v>
      </c>
      <c r="D36" s="29">
        <v>29</v>
      </c>
      <c r="E36" s="29">
        <v>24</v>
      </c>
      <c r="F36" s="29" t="s">
        <v>43</v>
      </c>
      <c r="G36" s="29" t="str">
        <f t="shared" si="0"/>
        <v>29-24</v>
      </c>
      <c r="H3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Pau</v>
      </c>
      <c r="I36" s="131">
        <f>ABS(resultat[[#This Row],[Score D]]-resultat[[#This Row],[Score E]])</f>
        <v>5</v>
      </c>
      <c r="O36" s="35"/>
      <c r="P36" s="29"/>
    </row>
    <row r="37" spans="1:16">
      <c r="A37" s="29" t="s">
        <v>59</v>
      </c>
      <c r="B37" s="29" t="s">
        <v>112</v>
      </c>
      <c r="C37" s="29" t="s">
        <v>49</v>
      </c>
      <c r="D37" s="29">
        <v>25</v>
      </c>
      <c r="E37" s="29">
        <v>27</v>
      </c>
      <c r="F37" s="29" t="s">
        <v>51</v>
      </c>
      <c r="G37" s="29" t="str">
        <f t="shared" si="0"/>
        <v>25-27</v>
      </c>
      <c r="H3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Racing 92</v>
      </c>
      <c r="I37" s="131">
        <f>ABS(resultat[[#This Row],[Score D]]-resultat[[#This Row],[Score E]])</f>
        <v>2</v>
      </c>
      <c r="O37" s="35"/>
      <c r="P37" s="29"/>
    </row>
    <row r="38" spans="1:16">
      <c r="A38" s="29" t="s">
        <v>59</v>
      </c>
      <c r="B38" s="29" t="s">
        <v>113</v>
      </c>
      <c r="C38" s="29" t="s">
        <v>41</v>
      </c>
      <c r="D38" s="29">
        <v>15</v>
      </c>
      <c r="E38" s="29">
        <v>26</v>
      </c>
      <c r="F38" s="29" t="s">
        <v>42</v>
      </c>
      <c r="G38" s="29" t="str">
        <f t="shared" si="0"/>
        <v>15-26</v>
      </c>
      <c r="H3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Bayonne</v>
      </c>
      <c r="I38" s="131">
        <f>ABS(resultat[[#This Row],[Score D]]-resultat[[#This Row],[Score E]])</f>
        <v>11</v>
      </c>
      <c r="O38" s="35"/>
      <c r="P38" s="29"/>
    </row>
    <row r="39" spans="1:16">
      <c r="A39" s="29" t="s">
        <v>59</v>
      </c>
      <c r="B39" s="29" t="s">
        <v>114</v>
      </c>
      <c r="C39" s="29" t="s">
        <v>45</v>
      </c>
      <c r="D39" s="29">
        <v>50</v>
      </c>
      <c r="E39" s="29">
        <v>19</v>
      </c>
      <c r="F39" s="29" t="s">
        <v>50</v>
      </c>
      <c r="G39" s="29" t="str">
        <f t="shared" si="0"/>
        <v>50-19</v>
      </c>
      <c r="H3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Clermont</v>
      </c>
      <c r="I39" s="131">
        <f>ABS(resultat[[#This Row],[Score D]]-resultat[[#This Row],[Score E]])</f>
        <v>31</v>
      </c>
      <c r="O39" s="35"/>
      <c r="P39" s="29"/>
    </row>
    <row r="40" spans="1:16">
      <c r="A40" s="29" t="s">
        <v>59</v>
      </c>
      <c r="B40" s="29" t="s">
        <v>115</v>
      </c>
      <c r="C40" s="29" t="s">
        <v>46</v>
      </c>
      <c r="D40" s="29">
        <v>20</v>
      </c>
      <c r="E40" s="29">
        <v>6</v>
      </c>
      <c r="F40" s="29" t="s">
        <v>43</v>
      </c>
      <c r="G40" s="29" t="str">
        <f t="shared" si="0"/>
        <v>20-6</v>
      </c>
      <c r="H4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La Rochelle</v>
      </c>
      <c r="I40" s="131">
        <f>ABS(resultat[[#This Row],[Score D]]-resultat[[#This Row],[Score E]])</f>
        <v>14</v>
      </c>
      <c r="O40" s="35"/>
      <c r="P40" s="29"/>
    </row>
    <row r="41" spans="1:16">
      <c r="A41" s="29" t="s">
        <v>59</v>
      </c>
      <c r="B41" s="29" t="s">
        <v>116</v>
      </c>
      <c r="C41" s="29" t="s">
        <v>48</v>
      </c>
      <c r="D41" s="29">
        <v>30</v>
      </c>
      <c r="E41" s="29">
        <v>6</v>
      </c>
      <c r="F41" s="29" t="s">
        <v>40</v>
      </c>
      <c r="G41" s="29" t="str">
        <f t="shared" si="0"/>
        <v>30-6</v>
      </c>
      <c r="H4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Montpellier</v>
      </c>
      <c r="I41" s="131">
        <f>ABS(resultat[[#This Row],[Score D]]-resultat[[#This Row],[Score E]])</f>
        <v>24</v>
      </c>
      <c r="O41" s="35"/>
      <c r="P41" s="29"/>
    </row>
    <row r="42" spans="1:16">
      <c r="A42" s="29" t="s">
        <v>59</v>
      </c>
      <c r="B42" s="29" t="s">
        <v>117</v>
      </c>
      <c r="C42" s="29" t="s">
        <v>52</v>
      </c>
      <c r="D42" s="29">
        <v>19</v>
      </c>
      <c r="E42" s="29">
        <v>6</v>
      </c>
      <c r="F42" s="29" t="s">
        <v>44</v>
      </c>
      <c r="G42" s="29" t="str">
        <f t="shared" si="0"/>
        <v>19-6</v>
      </c>
      <c r="H4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Toulon</v>
      </c>
      <c r="I42" s="131">
        <f>ABS(resultat[[#This Row],[Score D]]-resultat[[#This Row],[Score E]])</f>
        <v>13</v>
      </c>
      <c r="O42" s="35"/>
      <c r="P42" s="29"/>
    </row>
    <row r="43" spans="1:16">
      <c r="A43" s="29" t="s">
        <v>59</v>
      </c>
      <c r="B43" s="29" t="s">
        <v>118</v>
      </c>
      <c r="C43" s="29" t="s">
        <v>53</v>
      </c>
      <c r="D43" s="29">
        <v>7</v>
      </c>
      <c r="E43" s="29">
        <v>16</v>
      </c>
      <c r="F43" s="29" t="s">
        <v>47</v>
      </c>
      <c r="G43" s="29" t="str">
        <f t="shared" si="0"/>
        <v>7-16</v>
      </c>
      <c r="H4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Lyon</v>
      </c>
      <c r="I43" s="131">
        <f>ABS(resultat[[#This Row],[Score D]]-resultat[[#This Row],[Score E]])</f>
        <v>9</v>
      </c>
      <c r="O43" s="35"/>
      <c r="P43" s="29"/>
    </row>
    <row r="44" spans="1:16">
      <c r="A44" s="29" t="s">
        <v>60</v>
      </c>
      <c r="B44" s="29" t="s">
        <v>112</v>
      </c>
      <c r="C44" s="29" t="s">
        <v>49</v>
      </c>
      <c r="D44" s="29">
        <v>48</v>
      </c>
      <c r="E44" s="29">
        <v>14</v>
      </c>
      <c r="F44" s="29" t="s">
        <v>53</v>
      </c>
      <c r="G44" s="29" t="str">
        <f t="shared" si="0"/>
        <v>48-14</v>
      </c>
      <c r="H4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Paris</v>
      </c>
      <c r="I44" s="131">
        <f>ABS(resultat[[#This Row],[Score D]]-resultat[[#This Row],[Score E]])</f>
        <v>34</v>
      </c>
      <c r="O44" s="35"/>
      <c r="P44" s="29"/>
    </row>
    <row r="45" spans="1:16">
      <c r="A45" s="29" t="s">
        <v>60</v>
      </c>
      <c r="B45" s="29" t="s">
        <v>113</v>
      </c>
      <c r="C45" s="29" t="s">
        <v>42</v>
      </c>
      <c r="F45" s="29" t="s">
        <v>52</v>
      </c>
      <c r="G45" s="29" t="str">
        <f t="shared" si="0"/>
        <v/>
      </c>
      <c r="H4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45" s="131">
        <f>ABS(resultat[[#This Row],[Score D]]-resultat[[#This Row],[Score E]])</f>
        <v>0</v>
      </c>
      <c r="O45" s="35"/>
      <c r="P45" s="29"/>
    </row>
    <row r="46" spans="1:16">
      <c r="A46" s="29" t="s">
        <v>60</v>
      </c>
      <c r="B46" s="29" t="s">
        <v>114</v>
      </c>
      <c r="C46" s="29" t="s">
        <v>43</v>
      </c>
      <c r="D46" s="29">
        <v>71</v>
      </c>
      <c r="E46" s="29">
        <v>5</v>
      </c>
      <c r="F46" s="29" t="s">
        <v>41</v>
      </c>
      <c r="G46" s="29" t="str">
        <f t="shared" si="0"/>
        <v>71-5</v>
      </c>
      <c r="H4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Bordeaux</v>
      </c>
      <c r="I46" s="131">
        <f>ABS(resultat[[#This Row],[Score D]]-resultat[[#This Row],[Score E]])</f>
        <v>66</v>
      </c>
      <c r="O46" s="35"/>
      <c r="P46" s="29"/>
    </row>
    <row r="47" spans="1:16">
      <c r="A47" s="29" t="s">
        <v>60</v>
      </c>
      <c r="B47" s="29" t="s">
        <v>115</v>
      </c>
      <c r="C47" s="29" t="s">
        <v>40</v>
      </c>
      <c r="D47" s="29">
        <v>21</v>
      </c>
      <c r="E47" s="29">
        <v>43</v>
      </c>
      <c r="F47" s="29" t="s">
        <v>45</v>
      </c>
      <c r="G47" s="29" t="str">
        <f t="shared" si="0"/>
        <v>21-43</v>
      </c>
      <c r="H4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Clermont</v>
      </c>
      <c r="I47" s="131">
        <f>ABS(resultat[[#This Row],[Score D]]-resultat[[#This Row],[Score E]])</f>
        <v>22</v>
      </c>
      <c r="O47" s="35"/>
      <c r="P47" s="29"/>
    </row>
    <row r="48" spans="1:16">
      <c r="A48" s="29" t="s">
        <v>60</v>
      </c>
      <c r="B48" s="29" t="s">
        <v>116</v>
      </c>
      <c r="C48" s="29" t="s">
        <v>44</v>
      </c>
      <c r="D48" s="29">
        <v>28</v>
      </c>
      <c r="E48" s="29">
        <v>26</v>
      </c>
      <c r="F48" s="29" t="s">
        <v>51</v>
      </c>
      <c r="G48" s="29" t="str">
        <f t="shared" si="0"/>
        <v>28-26</v>
      </c>
      <c r="H4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Castres</v>
      </c>
      <c r="I48" s="131">
        <f>ABS(resultat[[#This Row],[Score D]]-resultat[[#This Row],[Score E]])</f>
        <v>2</v>
      </c>
      <c r="O48" s="35"/>
      <c r="P48" s="29"/>
    </row>
    <row r="49" spans="1:16">
      <c r="A49" s="29" t="s">
        <v>60</v>
      </c>
      <c r="B49" s="29" t="s">
        <v>117</v>
      </c>
      <c r="C49" s="29" t="s">
        <v>47</v>
      </c>
      <c r="F49" s="29" t="s">
        <v>48</v>
      </c>
      <c r="G49" s="29" t="str">
        <f t="shared" si="0"/>
        <v/>
      </c>
      <c r="H4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49" s="131">
        <f>ABS(resultat[[#This Row],[Score D]]-resultat[[#This Row],[Score E]])</f>
        <v>0</v>
      </c>
      <c r="O49" s="35"/>
      <c r="P49" s="29"/>
    </row>
    <row r="50" spans="1:16">
      <c r="A50" s="29" t="s">
        <v>60</v>
      </c>
      <c r="B50" s="29" t="s">
        <v>118</v>
      </c>
      <c r="C50" s="29" t="s">
        <v>50</v>
      </c>
      <c r="D50" s="29">
        <v>24</v>
      </c>
      <c r="E50" s="29">
        <v>35</v>
      </c>
      <c r="F50" s="29" t="s">
        <v>46</v>
      </c>
      <c r="G50" s="29" t="str">
        <f t="shared" si="0"/>
        <v>24-35</v>
      </c>
      <c r="H5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>La Rochelle</v>
      </c>
      <c r="I50" s="131">
        <f>ABS(resultat[[#This Row],[Score D]]-resultat[[#This Row],[Score E]])</f>
        <v>11</v>
      </c>
      <c r="O50" s="35"/>
      <c r="P50" s="29"/>
    </row>
    <row r="51" spans="1:16">
      <c r="A51" s="29" t="s">
        <v>61</v>
      </c>
      <c r="B51" s="29" t="s">
        <v>112</v>
      </c>
      <c r="C51" s="29" t="s">
        <v>46</v>
      </c>
      <c r="F51" s="29" t="s">
        <v>45</v>
      </c>
      <c r="G51" s="29" t="str">
        <f t="shared" si="0"/>
        <v/>
      </c>
      <c r="H5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51" s="131">
        <f>ABS(resultat[[#This Row],[Score D]]-resultat[[#This Row],[Score E]])</f>
        <v>0</v>
      </c>
      <c r="O51" s="35"/>
      <c r="P51" s="29"/>
    </row>
    <row r="52" spans="1:16">
      <c r="A52" s="29" t="s">
        <v>61</v>
      </c>
      <c r="B52" s="29" t="s">
        <v>113</v>
      </c>
      <c r="C52" s="29" t="s">
        <v>41</v>
      </c>
      <c r="F52" s="29" t="s">
        <v>47</v>
      </c>
      <c r="G52" s="29" t="str">
        <f t="shared" si="0"/>
        <v/>
      </c>
      <c r="H5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52" s="131">
        <f>ABS(resultat[[#This Row],[Score D]]-resultat[[#This Row],[Score E]])</f>
        <v>0</v>
      </c>
      <c r="O52" s="35"/>
      <c r="P52" s="29"/>
    </row>
    <row r="53" spans="1:16">
      <c r="A53" s="29" t="s">
        <v>61</v>
      </c>
      <c r="B53" s="29" t="s">
        <v>114</v>
      </c>
      <c r="C53" s="29" t="s">
        <v>43</v>
      </c>
      <c r="F53" s="29" t="s">
        <v>42</v>
      </c>
      <c r="G53" s="29" t="str">
        <f t="shared" si="0"/>
        <v/>
      </c>
      <c r="H5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53" s="131">
        <f>ABS(resultat[[#This Row],[Score D]]-resultat[[#This Row],[Score E]])</f>
        <v>0</v>
      </c>
      <c r="O53" s="35"/>
      <c r="P53" s="29"/>
    </row>
    <row r="54" spans="1:16">
      <c r="A54" s="29" t="s">
        <v>61</v>
      </c>
      <c r="B54" s="29" t="s">
        <v>115</v>
      </c>
      <c r="C54" s="29" t="s">
        <v>48</v>
      </c>
      <c r="F54" s="29" t="s">
        <v>49</v>
      </c>
      <c r="G54" s="29" t="str">
        <f t="shared" si="0"/>
        <v/>
      </c>
      <c r="H5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54" s="131">
        <f>ABS(resultat[[#This Row],[Score D]]-resultat[[#This Row],[Score E]])</f>
        <v>0</v>
      </c>
      <c r="O54" s="35"/>
      <c r="P54" s="29"/>
    </row>
    <row r="55" spans="1:16">
      <c r="A55" s="29" t="s">
        <v>61</v>
      </c>
      <c r="B55" s="29" t="s">
        <v>116</v>
      </c>
      <c r="C55" s="29" t="s">
        <v>51</v>
      </c>
      <c r="F55" s="29" t="s">
        <v>50</v>
      </c>
      <c r="G55" s="29" t="str">
        <f t="shared" si="0"/>
        <v/>
      </c>
      <c r="H5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55" s="131">
        <f>ABS(resultat[[#This Row],[Score D]]-resultat[[#This Row],[Score E]])</f>
        <v>0</v>
      </c>
      <c r="O55" s="35"/>
      <c r="P55" s="29"/>
    </row>
    <row r="56" spans="1:16">
      <c r="A56" s="29" t="s">
        <v>61</v>
      </c>
      <c r="B56" s="29" t="s">
        <v>117</v>
      </c>
      <c r="C56" s="29" t="s">
        <v>52</v>
      </c>
      <c r="F56" s="29" t="s">
        <v>40</v>
      </c>
      <c r="G56" s="29" t="str">
        <f t="shared" si="0"/>
        <v/>
      </c>
      <c r="H5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56" s="131">
        <f>ABS(resultat[[#This Row],[Score D]]-resultat[[#This Row],[Score E]])</f>
        <v>0</v>
      </c>
      <c r="O56" s="35"/>
      <c r="P56" s="29"/>
    </row>
    <row r="57" spans="1:16">
      <c r="A57" s="29" t="s">
        <v>61</v>
      </c>
      <c r="B57" s="29" t="s">
        <v>118</v>
      </c>
      <c r="C57" s="29" t="s">
        <v>53</v>
      </c>
      <c r="F57" s="29" t="s">
        <v>44</v>
      </c>
      <c r="G57" s="29" t="str">
        <f t="shared" si="0"/>
        <v/>
      </c>
      <c r="H5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57" s="131">
        <f>ABS(resultat[[#This Row],[Score D]]-resultat[[#This Row],[Score E]])</f>
        <v>0</v>
      </c>
      <c r="O57" s="35"/>
      <c r="P57" s="29"/>
    </row>
    <row r="58" spans="1:16">
      <c r="A58" s="29" t="s">
        <v>79</v>
      </c>
      <c r="B58" s="29" t="s">
        <v>112</v>
      </c>
      <c r="C58" s="29" t="s">
        <v>45</v>
      </c>
      <c r="F58" s="29" t="s">
        <v>46</v>
      </c>
      <c r="G58" s="29" t="str">
        <f t="shared" si="0"/>
        <v/>
      </c>
      <c r="H5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58" s="131">
        <f>ABS(resultat[[#This Row],[Score D]]-resultat[[#This Row],[Score E]])</f>
        <v>0</v>
      </c>
      <c r="O58" s="35"/>
      <c r="P58" s="29"/>
    </row>
    <row r="59" spans="1:16">
      <c r="A59" s="29" t="s">
        <v>79</v>
      </c>
      <c r="B59" s="29" t="s">
        <v>113</v>
      </c>
      <c r="C59" s="29" t="s">
        <v>41</v>
      </c>
      <c r="F59" s="29" t="s">
        <v>52</v>
      </c>
      <c r="G59" s="29" t="str">
        <f t="shared" si="0"/>
        <v/>
      </c>
      <c r="H5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59" s="131">
        <f>ABS(resultat[[#This Row],[Score D]]-resultat[[#This Row],[Score E]])</f>
        <v>0</v>
      </c>
      <c r="O59" s="35"/>
      <c r="P59" s="29"/>
    </row>
    <row r="60" spans="1:16">
      <c r="A60" s="29" t="s">
        <v>79</v>
      </c>
      <c r="B60" s="29" t="s">
        <v>114</v>
      </c>
      <c r="C60" s="29" t="s">
        <v>42</v>
      </c>
      <c r="F60" s="29" t="s">
        <v>47</v>
      </c>
      <c r="G60" s="29" t="str">
        <f t="shared" si="0"/>
        <v/>
      </c>
      <c r="H6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0" s="131">
        <f>ABS(resultat[[#This Row],[Score D]]-resultat[[#This Row],[Score E]])</f>
        <v>0</v>
      </c>
      <c r="O60" s="35"/>
      <c r="P60" s="29"/>
    </row>
    <row r="61" spans="1:16">
      <c r="A61" s="29" t="s">
        <v>79</v>
      </c>
      <c r="B61" s="29" t="s">
        <v>115</v>
      </c>
      <c r="C61" s="29" t="s">
        <v>40</v>
      </c>
      <c r="F61" s="29" t="s">
        <v>51</v>
      </c>
      <c r="G61" s="29" t="str">
        <f t="shared" si="0"/>
        <v/>
      </c>
      <c r="H6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1" s="131">
        <f>ABS(resultat[[#This Row],[Score D]]-resultat[[#This Row],[Score E]])</f>
        <v>0</v>
      </c>
      <c r="O61" s="35"/>
      <c r="P61" s="29"/>
    </row>
    <row r="62" spans="1:16">
      <c r="A62" s="29" t="s">
        <v>79</v>
      </c>
      <c r="B62" s="29" t="s">
        <v>116</v>
      </c>
      <c r="C62" s="29" t="s">
        <v>44</v>
      </c>
      <c r="F62" s="29" t="s">
        <v>43</v>
      </c>
      <c r="G62" s="29" t="str">
        <f t="shared" si="0"/>
        <v/>
      </c>
      <c r="H6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2" s="131">
        <f>ABS(resultat[[#This Row],[Score D]]-resultat[[#This Row],[Score E]])</f>
        <v>0</v>
      </c>
      <c r="O62" s="35"/>
      <c r="P62" s="29"/>
    </row>
    <row r="63" spans="1:16">
      <c r="A63" s="29" t="s">
        <v>79</v>
      </c>
      <c r="B63" s="29" t="s">
        <v>117</v>
      </c>
      <c r="C63" s="29" t="s">
        <v>49</v>
      </c>
      <c r="F63" s="29" t="s">
        <v>46</v>
      </c>
      <c r="G63" s="29" t="str">
        <f t="shared" si="0"/>
        <v/>
      </c>
      <c r="H6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3" s="131">
        <f>ABS(resultat[[#This Row],[Score D]]-resultat[[#This Row],[Score E]])</f>
        <v>0</v>
      </c>
      <c r="O63" s="35"/>
      <c r="P63" s="29"/>
    </row>
    <row r="64" spans="1:16">
      <c r="A64" s="29" t="s">
        <v>79</v>
      </c>
      <c r="B64" s="29" t="s">
        <v>118</v>
      </c>
      <c r="C64" s="29" t="s">
        <v>50</v>
      </c>
      <c r="F64" s="29" t="s">
        <v>53</v>
      </c>
      <c r="G64" s="29" t="str">
        <f t="shared" si="0"/>
        <v/>
      </c>
      <c r="H6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4" s="131">
        <f>ABS(resultat[[#This Row],[Score D]]-resultat[[#This Row],[Score E]])</f>
        <v>0</v>
      </c>
      <c r="O64" s="35"/>
      <c r="P64" s="29"/>
    </row>
    <row r="65" spans="1:16">
      <c r="A65" s="29" t="s">
        <v>62</v>
      </c>
      <c r="B65" s="29" t="s">
        <v>112</v>
      </c>
      <c r="C65" s="29" t="s">
        <v>46</v>
      </c>
      <c r="F65" s="29" t="s">
        <v>49</v>
      </c>
      <c r="G65" s="29" t="str">
        <f t="shared" si="0"/>
        <v/>
      </c>
      <c r="H6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5" s="131">
        <f>ABS(resultat[[#This Row],[Score D]]-resultat[[#This Row],[Score E]])</f>
        <v>0</v>
      </c>
      <c r="O65" s="35"/>
      <c r="P65" s="29"/>
    </row>
    <row r="66" spans="1:16">
      <c r="A66" s="29" t="s">
        <v>62</v>
      </c>
      <c r="B66" s="29" t="s">
        <v>113</v>
      </c>
      <c r="C66" s="29" t="s">
        <v>44</v>
      </c>
      <c r="F66" s="29" t="s">
        <v>45</v>
      </c>
      <c r="G66" s="29" t="str">
        <f t="shared" si="0"/>
        <v/>
      </c>
      <c r="H6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6" s="131">
        <f>ABS(resultat[[#This Row],[Score D]]-resultat[[#This Row],[Score E]])</f>
        <v>0</v>
      </c>
      <c r="O66" s="35"/>
      <c r="P66" s="29"/>
    </row>
    <row r="67" spans="1:16">
      <c r="A67" s="29" t="s">
        <v>62</v>
      </c>
      <c r="B67" s="29" t="s">
        <v>114</v>
      </c>
      <c r="C67" s="29" t="s">
        <v>46</v>
      </c>
      <c r="F67" s="29" t="s">
        <v>40</v>
      </c>
      <c r="G67" s="29" t="str">
        <f t="shared" ref="G67:G130" si="1">IF(NOT(AND(D67="",E67="")),CONCATENATE(D67,"-",E67),"")</f>
        <v/>
      </c>
      <c r="H6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7" s="131">
        <f>ABS(resultat[[#This Row],[Score D]]-resultat[[#This Row],[Score E]])</f>
        <v>0</v>
      </c>
      <c r="O67" s="35"/>
      <c r="P67" s="29"/>
    </row>
    <row r="68" spans="1:16">
      <c r="A68" s="29" t="s">
        <v>62</v>
      </c>
      <c r="B68" s="29" t="s">
        <v>115</v>
      </c>
      <c r="C68" s="29" t="s">
        <v>48</v>
      </c>
      <c r="F68" s="29" t="s">
        <v>43</v>
      </c>
      <c r="G68" s="29" t="str">
        <f t="shared" si="1"/>
        <v/>
      </c>
      <c r="H6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8" s="131">
        <f>ABS(resultat[[#This Row],[Score D]]-resultat[[#This Row],[Score E]])</f>
        <v>0</v>
      </c>
      <c r="O68" s="35"/>
      <c r="P68" s="29"/>
    </row>
    <row r="69" spans="1:16">
      <c r="A69" s="29" t="s">
        <v>62</v>
      </c>
      <c r="B69" s="29" t="s">
        <v>116</v>
      </c>
      <c r="C69" s="29" t="s">
        <v>51</v>
      </c>
      <c r="F69" s="29" t="s">
        <v>42</v>
      </c>
      <c r="G69" s="29" t="str">
        <f t="shared" si="1"/>
        <v/>
      </c>
      <c r="H6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69" s="131">
        <f>ABS(resultat[[#This Row],[Score D]]-resultat[[#This Row],[Score E]])</f>
        <v>0</v>
      </c>
      <c r="O69" s="35"/>
      <c r="P69" s="29"/>
    </row>
    <row r="70" spans="1:16">
      <c r="A70" s="29" t="s">
        <v>62</v>
      </c>
      <c r="B70" s="29" t="s">
        <v>117</v>
      </c>
      <c r="C70" s="29" t="s">
        <v>52</v>
      </c>
      <c r="F70" s="29" t="s">
        <v>50</v>
      </c>
      <c r="G70" s="29" t="str">
        <f t="shared" si="1"/>
        <v/>
      </c>
      <c r="H7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0" s="131">
        <f>ABS(resultat[[#This Row],[Score D]]-resultat[[#This Row],[Score E]])</f>
        <v>0</v>
      </c>
      <c r="O70" s="35"/>
      <c r="P70" s="29"/>
    </row>
    <row r="71" spans="1:16">
      <c r="A71" s="29" t="s">
        <v>62</v>
      </c>
      <c r="B71" s="29" t="s">
        <v>118</v>
      </c>
      <c r="C71" s="29" t="s">
        <v>53</v>
      </c>
      <c r="F71" s="29" t="s">
        <v>41</v>
      </c>
      <c r="G71" s="29" t="str">
        <f t="shared" si="1"/>
        <v/>
      </c>
      <c r="H7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1" s="131">
        <f>ABS(resultat[[#This Row],[Score D]]-resultat[[#This Row],[Score E]])</f>
        <v>0</v>
      </c>
      <c r="O71" s="35"/>
      <c r="P71" s="29"/>
    </row>
    <row r="72" spans="1:16">
      <c r="A72" s="29" t="s">
        <v>63</v>
      </c>
      <c r="B72" s="29" t="s">
        <v>112</v>
      </c>
      <c r="C72" s="29" t="s">
        <v>49</v>
      </c>
      <c r="F72" s="29" t="s">
        <v>52</v>
      </c>
      <c r="G72" s="29" t="str">
        <f t="shared" si="1"/>
        <v/>
      </c>
      <c r="H7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2" s="131">
        <f>ABS(resultat[[#This Row],[Score D]]-resultat[[#This Row],[Score E]])</f>
        <v>0</v>
      </c>
      <c r="O72" s="35"/>
      <c r="P72" s="29"/>
    </row>
    <row r="73" spans="1:16">
      <c r="A73" s="29" t="s">
        <v>63</v>
      </c>
      <c r="B73" s="29" t="s">
        <v>113</v>
      </c>
      <c r="C73" s="29" t="s">
        <v>43</v>
      </c>
      <c r="F73" s="29" t="s">
        <v>51</v>
      </c>
      <c r="G73" s="29" t="str">
        <f t="shared" si="1"/>
        <v/>
      </c>
      <c r="H7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3" s="131">
        <f>ABS(resultat[[#This Row],[Score D]]-resultat[[#This Row],[Score E]])</f>
        <v>0</v>
      </c>
      <c r="O73" s="35"/>
      <c r="P73" s="29"/>
    </row>
    <row r="74" spans="1:16">
      <c r="A74" s="29" t="s">
        <v>63</v>
      </c>
      <c r="B74" s="29" t="s">
        <v>114</v>
      </c>
      <c r="C74" s="29" t="s">
        <v>41</v>
      </c>
      <c r="F74" s="29" t="s">
        <v>40</v>
      </c>
      <c r="G74" s="29" t="str">
        <f t="shared" si="1"/>
        <v/>
      </c>
      <c r="H7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4" s="131">
        <f>ABS(resultat[[#This Row],[Score D]]-resultat[[#This Row],[Score E]])</f>
        <v>0</v>
      </c>
      <c r="O74" s="35"/>
      <c r="P74" s="29"/>
    </row>
    <row r="75" spans="1:16">
      <c r="A75" s="29" t="s">
        <v>63</v>
      </c>
      <c r="B75" s="29" t="s">
        <v>115</v>
      </c>
      <c r="C75" s="29" t="s">
        <v>42</v>
      </c>
      <c r="F75" s="29" t="s">
        <v>53</v>
      </c>
      <c r="G75" s="29" t="str">
        <f t="shared" si="1"/>
        <v/>
      </c>
      <c r="H7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5" s="131">
        <f>ABS(resultat[[#This Row],[Score D]]-resultat[[#This Row],[Score E]])</f>
        <v>0</v>
      </c>
      <c r="O75" s="35"/>
      <c r="P75" s="29"/>
    </row>
    <row r="76" spans="1:16">
      <c r="A76" s="29" t="s">
        <v>63</v>
      </c>
      <c r="B76" s="29" t="s">
        <v>116</v>
      </c>
      <c r="C76" s="29" t="s">
        <v>45</v>
      </c>
      <c r="F76" s="29" t="s">
        <v>48</v>
      </c>
      <c r="G76" s="29" t="str">
        <f t="shared" si="1"/>
        <v/>
      </c>
      <c r="H7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6" s="131">
        <f>ABS(resultat[[#This Row],[Score D]]-resultat[[#This Row],[Score E]])</f>
        <v>0</v>
      </c>
      <c r="O76" s="35"/>
      <c r="P76" s="29"/>
    </row>
    <row r="77" spans="1:16">
      <c r="A77" s="29" t="s">
        <v>63</v>
      </c>
      <c r="B77" s="29" t="s">
        <v>117</v>
      </c>
      <c r="C77" s="29" t="s">
        <v>47</v>
      </c>
      <c r="F77" s="29" t="s">
        <v>46</v>
      </c>
      <c r="G77" s="29" t="str">
        <f t="shared" si="1"/>
        <v/>
      </c>
      <c r="H7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7" s="131">
        <f>ABS(resultat[[#This Row],[Score D]]-resultat[[#This Row],[Score E]])</f>
        <v>0</v>
      </c>
      <c r="O77" s="35"/>
      <c r="P77" s="29"/>
    </row>
    <row r="78" spans="1:16">
      <c r="A78" s="29" t="s">
        <v>63</v>
      </c>
      <c r="B78" s="29" t="s">
        <v>118</v>
      </c>
      <c r="C78" s="29" t="s">
        <v>50</v>
      </c>
      <c r="F78" s="29" t="s">
        <v>44</v>
      </c>
      <c r="G78" s="29" t="str">
        <f t="shared" si="1"/>
        <v/>
      </c>
      <c r="H7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8" s="131">
        <f>ABS(resultat[[#This Row],[Score D]]-resultat[[#This Row],[Score E]])</f>
        <v>0</v>
      </c>
      <c r="O78" s="35"/>
      <c r="P78" s="29"/>
    </row>
    <row r="79" spans="1:16">
      <c r="A79" s="29" t="s">
        <v>64</v>
      </c>
      <c r="B79" s="29" t="s">
        <v>112</v>
      </c>
      <c r="C79" s="29" t="s">
        <v>40</v>
      </c>
      <c r="F79" s="29" t="s">
        <v>47</v>
      </c>
      <c r="G79" s="29" t="str">
        <f t="shared" si="1"/>
        <v/>
      </c>
      <c r="H7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79" s="131">
        <f>ABS(resultat[[#This Row],[Score D]]-resultat[[#This Row],[Score E]])</f>
        <v>0</v>
      </c>
      <c r="O79" s="35"/>
      <c r="P79" s="29"/>
    </row>
    <row r="80" spans="1:16">
      <c r="A80" s="29" t="s">
        <v>64</v>
      </c>
      <c r="B80" s="29" t="s">
        <v>113</v>
      </c>
      <c r="C80" s="29" t="s">
        <v>44</v>
      </c>
      <c r="F80" s="29" t="s">
        <v>42</v>
      </c>
      <c r="G80" s="29" t="str">
        <f t="shared" si="1"/>
        <v/>
      </c>
      <c r="H8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0" s="131">
        <f>ABS(resultat[[#This Row],[Score D]]-resultat[[#This Row],[Score E]])</f>
        <v>0</v>
      </c>
      <c r="O80" s="35"/>
      <c r="P80" s="29"/>
    </row>
    <row r="81" spans="1:16">
      <c r="A81" s="29" t="s">
        <v>64</v>
      </c>
      <c r="B81" s="29" t="s">
        <v>114</v>
      </c>
      <c r="C81" s="29" t="s">
        <v>46</v>
      </c>
      <c r="F81" s="29" t="s">
        <v>48</v>
      </c>
      <c r="G81" s="29" t="str">
        <f t="shared" si="1"/>
        <v/>
      </c>
      <c r="H8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1" s="131">
        <f>ABS(resultat[[#This Row],[Score D]]-resultat[[#This Row],[Score E]])</f>
        <v>0</v>
      </c>
      <c r="O81" s="35"/>
      <c r="P81" s="29"/>
    </row>
    <row r="82" spans="1:16">
      <c r="A82" s="29" t="s">
        <v>64</v>
      </c>
      <c r="B82" s="29" t="s">
        <v>115</v>
      </c>
      <c r="C82" s="29" t="s">
        <v>50</v>
      </c>
      <c r="F82" s="29" t="s">
        <v>49</v>
      </c>
      <c r="G82" s="29" t="str">
        <f t="shared" si="1"/>
        <v/>
      </c>
      <c r="H8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2" s="131">
        <f>ABS(resultat[[#This Row],[Score D]]-resultat[[#This Row],[Score E]])</f>
        <v>0</v>
      </c>
      <c r="O82" s="35"/>
      <c r="P82" s="29"/>
    </row>
    <row r="83" spans="1:16">
      <c r="A83" s="29" t="s">
        <v>64</v>
      </c>
      <c r="B83" s="29" t="s">
        <v>116</v>
      </c>
      <c r="C83" s="29" t="s">
        <v>51</v>
      </c>
      <c r="F83" s="29" t="s">
        <v>41</v>
      </c>
      <c r="G83" s="29" t="str">
        <f t="shared" si="1"/>
        <v/>
      </c>
      <c r="H8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3" s="131">
        <f>ABS(resultat[[#This Row],[Score D]]-resultat[[#This Row],[Score E]])</f>
        <v>0</v>
      </c>
      <c r="O83" s="35"/>
      <c r="P83" s="29"/>
    </row>
    <row r="84" spans="1:16">
      <c r="A84" s="29" t="s">
        <v>64</v>
      </c>
      <c r="B84" s="29" t="s">
        <v>117</v>
      </c>
      <c r="C84" s="29" t="s">
        <v>52</v>
      </c>
      <c r="F84" s="29" t="s">
        <v>45</v>
      </c>
      <c r="G84" s="29" t="str">
        <f t="shared" si="1"/>
        <v/>
      </c>
      <c r="H8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4" s="131">
        <f>ABS(resultat[[#This Row],[Score D]]-resultat[[#This Row],[Score E]])</f>
        <v>0</v>
      </c>
      <c r="O84" s="35"/>
      <c r="P84" s="29"/>
    </row>
    <row r="85" spans="1:16">
      <c r="A85" s="29" t="s">
        <v>64</v>
      </c>
      <c r="B85" s="29" t="s">
        <v>118</v>
      </c>
      <c r="C85" s="29" t="s">
        <v>53</v>
      </c>
      <c r="F85" s="29" t="s">
        <v>43</v>
      </c>
      <c r="G85" s="29" t="str">
        <f t="shared" si="1"/>
        <v/>
      </c>
      <c r="H8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5" s="131">
        <f>ABS(resultat[[#This Row],[Score D]]-resultat[[#This Row],[Score E]])</f>
        <v>0</v>
      </c>
      <c r="O85" s="35"/>
      <c r="P85" s="29"/>
    </row>
    <row r="86" spans="1:16">
      <c r="A86" s="29" t="s">
        <v>65</v>
      </c>
      <c r="B86" s="29" t="s">
        <v>112</v>
      </c>
      <c r="C86" s="29" t="s">
        <v>43</v>
      </c>
      <c r="F86" s="29" t="s">
        <v>52</v>
      </c>
      <c r="G86" s="29" t="str">
        <f t="shared" si="1"/>
        <v/>
      </c>
      <c r="H8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6" s="131">
        <f>ABS(resultat[[#This Row],[Score D]]-resultat[[#This Row],[Score E]])</f>
        <v>0</v>
      </c>
      <c r="O86" s="35"/>
      <c r="P86" s="29"/>
    </row>
    <row r="87" spans="1:16">
      <c r="A87" s="29" t="s">
        <v>65</v>
      </c>
      <c r="B87" s="29" t="s">
        <v>113</v>
      </c>
      <c r="C87" s="29" t="s">
        <v>45</v>
      </c>
      <c r="F87" s="29" t="s">
        <v>51</v>
      </c>
      <c r="G87" s="29" t="str">
        <f t="shared" si="1"/>
        <v/>
      </c>
      <c r="H8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7" s="131">
        <f>ABS(resultat[[#This Row],[Score D]]-resultat[[#This Row],[Score E]])</f>
        <v>0</v>
      </c>
      <c r="O87" s="35"/>
      <c r="P87" s="29"/>
    </row>
    <row r="88" spans="1:16">
      <c r="A88" s="29" t="s">
        <v>65</v>
      </c>
      <c r="B88" s="29" t="s">
        <v>114</v>
      </c>
      <c r="C88" s="29" t="s">
        <v>47</v>
      </c>
      <c r="F88" s="29" t="s">
        <v>53</v>
      </c>
      <c r="G88" s="29" t="str">
        <f t="shared" si="1"/>
        <v/>
      </c>
      <c r="H8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8" s="131">
        <f>ABS(resultat[[#This Row],[Score D]]-resultat[[#This Row],[Score E]])</f>
        <v>0</v>
      </c>
      <c r="O88" s="35"/>
      <c r="P88" s="29"/>
    </row>
    <row r="89" spans="1:16">
      <c r="A89" s="29" t="s">
        <v>65</v>
      </c>
      <c r="B89" s="29" t="s">
        <v>115</v>
      </c>
      <c r="C89" s="29" t="s">
        <v>41</v>
      </c>
      <c r="F89" s="29" t="s">
        <v>46</v>
      </c>
      <c r="G89" s="29" t="str">
        <f t="shared" si="1"/>
        <v/>
      </c>
      <c r="H8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89" s="131">
        <f>ABS(resultat[[#This Row],[Score D]]-resultat[[#This Row],[Score E]])</f>
        <v>0</v>
      </c>
      <c r="O89" s="35"/>
      <c r="P89" s="29"/>
    </row>
    <row r="90" spans="1:16">
      <c r="A90" s="29" t="s">
        <v>65</v>
      </c>
      <c r="B90" s="29" t="s">
        <v>116</v>
      </c>
      <c r="C90" s="29" t="s">
        <v>42</v>
      </c>
      <c r="F90" s="29" t="s">
        <v>50</v>
      </c>
      <c r="G90" s="29" t="str">
        <f t="shared" si="1"/>
        <v/>
      </c>
      <c r="H9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0" s="131">
        <f>ABS(resultat[[#This Row],[Score D]]-resultat[[#This Row],[Score E]])</f>
        <v>0</v>
      </c>
      <c r="O90" s="35"/>
      <c r="P90" s="29"/>
    </row>
    <row r="91" spans="1:16">
      <c r="A91" s="29" t="s">
        <v>65</v>
      </c>
      <c r="B91" s="29" t="s">
        <v>117</v>
      </c>
      <c r="C91" s="29" t="s">
        <v>47</v>
      </c>
      <c r="F91" s="29" t="s">
        <v>44</v>
      </c>
      <c r="G91" s="29" t="str">
        <f t="shared" si="1"/>
        <v/>
      </c>
      <c r="H9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1" s="131">
        <f>ABS(resultat[[#This Row],[Score D]]-resultat[[#This Row],[Score E]])</f>
        <v>0</v>
      </c>
      <c r="O91" s="35"/>
      <c r="P91" s="29"/>
    </row>
    <row r="92" spans="1:16">
      <c r="A92" s="29" t="s">
        <v>65</v>
      </c>
      <c r="B92" s="29" t="s">
        <v>118</v>
      </c>
      <c r="C92" s="29" t="s">
        <v>49</v>
      </c>
      <c r="F92" s="29" t="s">
        <v>40</v>
      </c>
      <c r="G92" s="29" t="str">
        <f t="shared" si="1"/>
        <v/>
      </c>
      <c r="H9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2" s="131">
        <f>ABS(resultat[[#This Row],[Score D]]-resultat[[#This Row],[Score E]])</f>
        <v>0</v>
      </c>
      <c r="O92" s="35"/>
      <c r="P92" s="29"/>
    </row>
    <row r="93" spans="1:16">
      <c r="A93" s="29" t="s">
        <v>66</v>
      </c>
      <c r="B93" s="29" t="s">
        <v>112</v>
      </c>
      <c r="C93" s="29" t="s">
        <v>53</v>
      </c>
      <c r="F93" s="29" t="s">
        <v>49</v>
      </c>
      <c r="G93" s="29" t="str">
        <f t="shared" si="1"/>
        <v/>
      </c>
      <c r="H9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3" s="131">
        <f>ABS(resultat[[#This Row],[Score D]]-resultat[[#This Row],[Score E]])</f>
        <v>0</v>
      </c>
      <c r="O93" s="35"/>
      <c r="P93" s="29"/>
    </row>
    <row r="94" spans="1:16">
      <c r="A94" s="29" t="s">
        <v>66</v>
      </c>
      <c r="B94" s="29" t="s">
        <v>113</v>
      </c>
      <c r="C94" s="29" t="s">
        <v>43</v>
      </c>
      <c r="F94" s="29" t="s">
        <v>47</v>
      </c>
      <c r="G94" s="29" t="str">
        <f t="shared" si="1"/>
        <v/>
      </c>
      <c r="H9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4" s="131">
        <f>ABS(resultat[[#This Row],[Score D]]-resultat[[#This Row],[Score E]])</f>
        <v>0</v>
      </c>
      <c r="O94" s="35"/>
      <c r="P94" s="29"/>
    </row>
    <row r="95" spans="1:16">
      <c r="A95" s="29" t="s">
        <v>66</v>
      </c>
      <c r="B95" s="29" t="s">
        <v>114</v>
      </c>
      <c r="C95" s="29" t="s">
        <v>40</v>
      </c>
      <c r="F95" s="29" t="s">
        <v>48</v>
      </c>
      <c r="G95" s="29" t="str">
        <f t="shared" si="1"/>
        <v/>
      </c>
      <c r="H9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5" s="131">
        <f>ABS(resultat[[#This Row],[Score D]]-resultat[[#This Row],[Score E]])</f>
        <v>0</v>
      </c>
      <c r="O95" s="35"/>
      <c r="P95" s="29"/>
    </row>
    <row r="96" spans="1:16">
      <c r="A96" s="29" t="s">
        <v>66</v>
      </c>
      <c r="B96" s="29" t="s">
        <v>115</v>
      </c>
      <c r="C96" s="29" t="s">
        <v>44</v>
      </c>
      <c r="F96" s="29" t="s">
        <v>41</v>
      </c>
      <c r="G96" s="29" t="str">
        <f t="shared" si="1"/>
        <v/>
      </c>
      <c r="H9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6" s="131">
        <f>ABS(resultat[[#This Row],[Score D]]-resultat[[#This Row],[Score E]])</f>
        <v>0</v>
      </c>
      <c r="O96" s="35"/>
      <c r="P96" s="29"/>
    </row>
    <row r="97" spans="1:16">
      <c r="A97" s="29" t="s">
        <v>66</v>
      </c>
      <c r="B97" s="29" t="s">
        <v>116</v>
      </c>
      <c r="C97" s="29" t="s">
        <v>50</v>
      </c>
      <c r="F97" s="29" t="s">
        <v>45</v>
      </c>
      <c r="G97" s="29" t="str">
        <f t="shared" si="1"/>
        <v/>
      </c>
      <c r="H9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7" s="131">
        <f>ABS(resultat[[#This Row],[Score D]]-resultat[[#This Row],[Score E]])</f>
        <v>0</v>
      </c>
      <c r="O97" s="35"/>
      <c r="P97" s="29"/>
    </row>
    <row r="98" spans="1:16">
      <c r="A98" s="29" t="s">
        <v>66</v>
      </c>
      <c r="B98" s="29" t="s">
        <v>117</v>
      </c>
      <c r="C98" s="29" t="s">
        <v>51</v>
      </c>
      <c r="F98" s="29" t="s">
        <v>46</v>
      </c>
      <c r="G98" s="29" t="str">
        <f t="shared" si="1"/>
        <v/>
      </c>
      <c r="H9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8" s="131">
        <f>ABS(resultat[[#This Row],[Score D]]-resultat[[#This Row],[Score E]])</f>
        <v>0</v>
      </c>
      <c r="O98" s="35"/>
      <c r="P98" s="29"/>
    </row>
    <row r="99" spans="1:16">
      <c r="A99" s="29" t="s">
        <v>66</v>
      </c>
      <c r="B99" s="29" t="s">
        <v>118</v>
      </c>
      <c r="C99" s="29" t="s">
        <v>52</v>
      </c>
      <c r="F99" s="29" t="s">
        <v>42</v>
      </c>
      <c r="G99" s="29" t="str">
        <f t="shared" si="1"/>
        <v/>
      </c>
      <c r="H9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99" s="131">
        <f>ABS(resultat[[#This Row],[Score D]]-resultat[[#This Row],[Score E]])</f>
        <v>0</v>
      </c>
      <c r="O99" s="35"/>
      <c r="P99" s="29"/>
    </row>
    <row r="100" spans="1:16">
      <c r="A100" s="29" t="s">
        <v>67</v>
      </c>
      <c r="B100" s="29" t="s">
        <v>112</v>
      </c>
      <c r="C100" s="29" t="s">
        <v>45</v>
      </c>
      <c r="F100" s="29" t="s">
        <v>43</v>
      </c>
      <c r="G100" s="29" t="str">
        <f t="shared" si="1"/>
        <v/>
      </c>
      <c r="H10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0" s="131">
        <f>ABS(resultat[[#This Row],[Score D]]-resultat[[#This Row],[Score E]])</f>
        <v>0</v>
      </c>
      <c r="O100" s="35"/>
      <c r="P100" s="29"/>
    </row>
    <row r="101" spans="1:16">
      <c r="A101" s="29" t="s">
        <v>67</v>
      </c>
      <c r="B101" s="29" t="s">
        <v>113</v>
      </c>
      <c r="C101" s="29" t="s">
        <v>46</v>
      </c>
      <c r="F101" s="29" t="s">
        <v>53</v>
      </c>
      <c r="G101" s="29" t="str">
        <f t="shared" si="1"/>
        <v/>
      </c>
      <c r="H10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1" s="131">
        <f>ABS(resultat[[#This Row],[Score D]]-resultat[[#This Row],[Score E]])</f>
        <v>0</v>
      </c>
      <c r="O101" s="35"/>
      <c r="P101" s="29"/>
    </row>
    <row r="102" spans="1:16">
      <c r="A102" s="29" t="s">
        <v>67</v>
      </c>
      <c r="B102" s="29" t="s">
        <v>114</v>
      </c>
      <c r="C102" s="29" t="s">
        <v>42</v>
      </c>
      <c r="F102" s="29" t="s">
        <v>41</v>
      </c>
      <c r="G102" s="29" t="str">
        <f t="shared" si="1"/>
        <v/>
      </c>
      <c r="H10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2" s="131">
        <f>ABS(resultat[[#This Row],[Score D]]-resultat[[#This Row],[Score E]])</f>
        <v>0</v>
      </c>
      <c r="O102" s="35"/>
      <c r="P102" s="29"/>
    </row>
    <row r="103" spans="1:16">
      <c r="A103" s="29" t="s">
        <v>67</v>
      </c>
      <c r="B103" s="29" t="s">
        <v>115</v>
      </c>
      <c r="C103" s="29" t="s">
        <v>40</v>
      </c>
      <c r="F103" s="29" t="s">
        <v>52</v>
      </c>
      <c r="G103" s="29" t="str">
        <f t="shared" si="1"/>
        <v/>
      </c>
      <c r="H10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3" s="131">
        <f>ABS(resultat[[#This Row],[Score D]]-resultat[[#This Row],[Score E]])</f>
        <v>0</v>
      </c>
      <c r="O103" s="35"/>
      <c r="P103" s="29"/>
    </row>
    <row r="104" spans="1:16">
      <c r="A104" s="29" t="s">
        <v>67</v>
      </c>
      <c r="B104" s="29" t="s">
        <v>116</v>
      </c>
      <c r="C104" s="29" t="s">
        <v>47</v>
      </c>
      <c r="F104" s="29" t="s">
        <v>50</v>
      </c>
      <c r="G104" s="29" t="str">
        <f t="shared" si="1"/>
        <v/>
      </c>
      <c r="H10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4" s="131">
        <f>ABS(resultat[[#This Row],[Score D]]-resultat[[#This Row],[Score E]])</f>
        <v>0</v>
      </c>
      <c r="O104" s="35"/>
      <c r="P104" s="29"/>
    </row>
    <row r="105" spans="1:16">
      <c r="A105" s="29" t="s">
        <v>67</v>
      </c>
      <c r="B105" s="29" t="s">
        <v>117</v>
      </c>
      <c r="C105" s="29" t="s">
        <v>48</v>
      </c>
      <c r="F105" s="29" t="s">
        <v>51</v>
      </c>
      <c r="G105" s="29" t="str">
        <f t="shared" si="1"/>
        <v/>
      </c>
      <c r="H10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5" s="131">
        <f>ABS(resultat[[#This Row],[Score D]]-resultat[[#This Row],[Score E]])</f>
        <v>0</v>
      </c>
      <c r="O105" s="35"/>
      <c r="P105" s="29"/>
    </row>
    <row r="106" spans="1:16">
      <c r="A106" s="29" t="s">
        <v>67</v>
      </c>
      <c r="B106" s="29" t="s">
        <v>118</v>
      </c>
      <c r="C106" s="29" t="s">
        <v>49</v>
      </c>
      <c r="F106" s="29" t="s">
        <v>44</v>
      </c>
      <c r="G106" s="29" t="str">
        <f t="shared" si="1"/>
        <v/>
      </c>
      <c r="H10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6" s="131">
        <f>ABS(resultat[[#This Row],[Score D]]-resultat[[#This Row],[Score E]])</f>
        <v>0</v>
      </c>
      <c r="O106" s="35"/>
      <c r="P106" s="29"/>
    </row>
    <row r="107" spans="1:16">
      <c r="A107" s="29" t="s">
        <v>68</v>
      </c>
      <c r="B107" s="29" t="s">
        <v>112</v>
      </c>
      <c r="C107" s="29" t="s">
        <v>43</v>
      </c>
      <c r="F107" s="29" t="s">
        <v>49</v>
      </c>
      <c r="G107" s="29" t="str">
        <f t="shared" si="1"/>
        <v/>
      </c>
      <c r="H10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7" s="131">
        <f>ABS(resultat[[#This Row],[Score D]]-resultat[[#This Row],[Score E]])</f>
        <v>0</v>
      </c>
      <c r="O107" s="35"/>
      <c r="P107" s="29"/>
    </row>
    <row r="108" spans="1:16">
      <c r="A108" s="29" t="s">
        <v>68</v>
      </c>
      <c r="B108" s="29" t="s">
        <v>113</v>
      </c>
      <c r="C108" s="29" t="s">
        <v>41</v>
      </c>
      <c r="F108" s="29" t="s">
        <v>45</v>
      </c>
      <c r="G108" s="29" t="str">
        <f t="shared" si="1"/>
        <v/>
      </c>
      <c r="H10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8" s="131">
        <f>ABS(resultat[[#This Row],[Score D]]-resultat[[#This Row],[Score E]])</f>
        <v>0</v>
      </c>
      <c r="O108" s="35"/>
      <c r="P108" s="29"/>
    </row>
    <row r="109" spans="1:16">
      <c r="A109" s="29" t="s">
        <v>68</v>
      </c>
      <c r="B109" s="29" t="s">
        <v>114</v>
      </c>
      <c r="C109" s="29" t="s">
        <v>42</v>
      </c>
      <c r="F109" s="29" t="s">
        <v>40</v>
      </c>
      <c r="G109" s="29" t="str">
        <f t="shared" si="1"/>
        <v/>
      </c>
      <c r="H10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09" s="131">
        <f>ABS(resultat[[#This Row],[Score D]]-resultat[[#This Row],[Score E]])</f>
        <v>0</v>
      </c>
      <c r="O109" s="35"/>
      <c r="P109" s="29"/>
    </row>
    <row r="110" spans="1:16">
      <c r="A110" s="29" t="s">
        <v>68</v>
      </c>
      <c r="B110" s="29" t="s">
        <v>115</v>
      </c>
      <c r="C110" s="29" t="s">
        <v>44</v>
      </c>
      <c r="F110" s="29" t="s">
        <v>48</v>
      </c>
      <c r="G110" s="29" t="str">
        <f t="shared" si="1"/>
        <v/>
      </c>
      <c r="H11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0" s="131">
        <f>ABS(resultat[[#This Row],[Score D]]-resultat[[#This Row],[Score E]])</f>
        <v>0</v>
      </c>
      <c r="O110" s="35"/>
      <c r="P110" s="29"/>
    </row>
    <row r="111" spans="1:16">
      <c r="A111" s="29" t="s">
        <v>68</v>
      </c>
      <c r="B111" s="29" t="s">
        <v>116</v>
      </c>
      <c r="C111" s="29" t="s">
        <v>51</v>
      </c>
      <c r="F111" s="29" t="s">
        <v>47</v>
      </c>
      <c r="G111" s="29" t="str">
        <f t="shared" si="1"/>
        <v/>
      </c>
      <c r="H11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1" s="131">
        <f>ABS(resultat[[#This Row],[Score D]]-resultat[[#This Row],[Score E]])</f>
        <v>0</v>
      </c>
      <c r="O111" s="35"/>
      <c r="P111" s="29"/>
    </row>
    <row r="112" spans="1:16">
      <c r="A112" s="29" t="s">
        <v>68</v>
      </c>
      <c r="B112" s="29" t="s">
        <v>117</v>
      </c>
      <c r="C112" s="29" t="s">
        <v>52</v>
      </c>
      <c r="F112" s="29" t="s">
        <v>46</v>
      </c>
      <c r="G112" s="29" t="str">
        <f t="shared" si="1"/>
        <v/>
      </c>
      <c r="H11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2" s="131">
        <f>ABS(resultat[[#This Row],[Score D]]-resultat[[#This Row],[Score E]])</f>
        <v>0</v>
      </c>
      <c r="O112" s="35"/>
      <c r="P112" s="29"/>
    </row>
    <row r="113" spans="1:16">
      <c r="A113" s="29" t="s">
        <v>68</v>
      </c>
      <c r="B113" s="29" t="s">
        <v>118</v>
      </c>
      <c r="C113" s="29" t="s">
        <v>53</v>
      </c>
      <c r="F113" s="29" t="s">
        <v>50</v>
      </c>
      <c r="G113" s="29" t="str">
        <f t="shared" si="1"/>
        <v/>
      </c>
      <c r="H11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3" s="131">
        <f>ABS(resultat[[#This Row],[Score D]]-resultat[[#This Row],[Score E]])</f>
        <v>0</v>
      </c>
      <c r="O113" s="35"/>
      <c r="P113" s="29"/>
    </row>
    <row r="114" spans="1:16">
      <c r="A114" s="29" t="s">
        <v>69</v>
      </c>
      <c r="B114" s="29" t="s">
        <v>112</v>
      </c>
      <c r="C114" s="29" t="s">
        <v>47</v>
      </c>
      <c r="F114" s="29" t="s">
        <v>53</v>
      </c>
      <c r="G114" s="29" t="str">
        <f t="shared" si="1"/>
        <v/>
      </c>
      <c r="H11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4" s="131">
        <f>ABS(resultat[[#This Row],[Score D]]-resultat[[#This Row],[Score E]])</f>
        <v>0</v>
      </c>
      <c r="O114" s="35"/>
      <c r="P114" s="29"/>
    </row>
    <row r="115" spans="1:16">
      <c r="A115" s="29" t="s">
        <v>69</v>
      </c>
      <c r="B115" s="29" t="s">
        <v>113</v>
      </c>
      <c r="C115" s="29" t="s">
        <v>41</v>
      </c>
      <c r="F115" s="29" t="s">
        <v>48</v>
      </c>
      <c r="G115" s="29" t="str">
        <f t="shared" si="1"/>
        <v/>
      </c>
      <c r="H11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5" s="131">
        <f>ABS(resultat[[#This Row],[Score D]]-resultat[[#This Row],[Score E]])</f>
        <v>0</v>
      </c>
      <c r="O115" s="35"/>
      <c r="P115" s="29"/>
    </row>
    <row r="116" spans="1:16">
      <c r="A116" s="29" t="s">
        <v>69</v>
      </c>
      <c r="B116" s="29" t="s">
        <v>114</v>
      </c>
      <c r="C116" s="29" t="s">
        <v>40</v>
      </c>
      <c r="F116" s="29" t="s">
        <v>43</v>
      </c>
      <c r="G116" s="29" t="str">
        <f t="shared" si="1"/>
        <v/>
      </c>
      <c r="H11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6" s="131">
        <f>ABS(resultat[[#This Row],[Score D]]-resultat[[#This Row],[Score E]])</f>
        <v>0</v>
      </c>
      <c r="O116" s="35"/>
      <c r="P116" s="29"/>
    </row>
    <row r="117" spans="1:16">
      <c r="A117" s="29" t="s">
        <v>69</v>
      </c>
      <c r="B117" s="29" t="s">
        <v>115</v>
      </c>
      <c r="C117" s="29" t="s">
        <v>45</v>
      </c>
      <c r="F117" s="29" t="s">
        <v>42</v>
      </c>
      <c r="G117" s="29" t="str">
        <f t="shared" si="1"/>
        <v/>
      </c>
      <c r="H11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7" s="131">
        <f>ABS(resultat[[#This Row],[Score D]]-resultat[[#This Row],[Score E]])</f>
        <v>0</v>
      </c>
      <c r="O117" s="35"/>
      <c r="P117" s="29"/>
    </row>
    <row r="118" spans="1:16">
      <c r="A118" s="29" t="s">
        <v>69</v>
      </c>
      <c r="B118" s="29" t="s">
        <v>116</v>
      </c>
      <c r="C118" s="29" t="s">
        <v>46</v>
      </c>
      <c r="F118" s="29" t="s">
        <v>49</v>
      </c>
      <c r="G118" s="29" t="str">
        <f t="shared" si="1"/>
        <v/>
      </c>
      <c r="H11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8" s="131">
        <f>ABS(resultat[[#This Row],[Score D]]-resultat[[#This Row],[Score E]])</f>
        <v>0</v>
      </c>
      <c r="O118" s="35"/>
      <c r="P118" s="29"/>
    </row>
    <row r="119" spans="1:16">
      <c r="A119" s="29" t="s">
        <v>69</v>
      </c>
      <c r="B119" s="29" t="s">
        <v>117</v>
      </c>
      <c r="C119" s="29" t="s">
        <v>50</v>
      </c>
      <c r="F119" s="29" t="s">
        <v>52</v>
      </c>
      <c r="G119" s="29" t="str">
        <f t="shared" si="1"/>
        <v/>
      </c>
      <c r="H11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19" s="131">
        <f>ABS(resultat[[#This Row],[Score D]]-resultat[[#This Row],[Score E]])</f>
        <v>0</v>
      </c>
      <c r="O119" s="35"/>
      <c r="P119" s="29"/>
    </row>
    <row r="120" spans="1:16">
      <c r="A120" s="29" t="s">
        <v>69</v>
      </c>
      <c r="B120" s="29" t="s">
        <v>118</v>
      </c>
      <c r="C120" s="29" t="s">
        <v>51</v>
      </c>
      <c r="F120" s="29" t="s">
        <v>44</v>
      </c>
      <c r="G120" s="29" t="str">
        <f t="shared" si="1"/>
        <v/>
      </c>
      <c r="H12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0" s="131">
        <f>ABS(resultat[[#This Row],[Score D]]-resultat[[#This Row],[Score E]])</f>
        <v>0</v>
      </c>
      <c r="O120" s="35"/>
      <c r="P120" s="29"/>
    </row>
    <row r="121" spans="1:16">
      <c r="A121" s="29" t="s">
        <v>70</v>
      </c>
      <c r="B121" s="29" t="s">
        <v>112</v>
      </c>
      <c r="C121" s="29" t="s">
        <v>52</v>
      </c>
      <c r="F121" s="29" t="s">
        <v>51</v>
      </c>
      <c r="G121" s="29" t="str">
        <f t="shared" si="1"/>
        <v/>
      </c>
      <c r="H12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1" s="131">
        <f>ABS(resultat[[#This Row],[Score D]]-resultat[[#This Row],[Score E]])</f>
        <v>0</v>
      </c>
      <c r="O121" s="35"/>
      <c r="P121" s="29"/>
    </row>
    <row r="122" spans="1:16">
      <c r="A122" s="29" t="s">
        <v>70</v>
      </c>
      <c r="B122" s="29" t="s">
        <v>113</v>
      </c>
      <c r="C122" s="29" t="s">
        <v>48</v>
      </c>
      <c r="F122" s="29" t="s">
        <v>45</v>
      </c>
      <c r="G122" s="29" t="str">
        <f t="shared" si="1"/>
        <v/>
      </c>
      <c r="H12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2" s="131">
        <f>ABS(resultat[[#This Row],[Score D]]-resultat[[#This Row],[Score E]])</f>
        <v>0</v>
      </c>
      <c r="O122" s="35"/>
      <c r="P122" s="29"/>
    </row>
    <row r="123" spans="1:16">
      <c r="A123" s="29" t="s">
        <v>70</v>
      </c>
      <c r="B123" s="29" t="s">
        <v>114</v>
      </c>
      <c r="C123" s="29" t="s">
        <v>42</v>
      </c>
      <c r="F123" s="29" t="s">
        <v>47</v>
      </c>
      <c r="G123" s="29" t="str">
        <f t="shared" si="1"/>
        <v/>
      </c>
      <c r="H12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3" s="131">
        <f>ABS(resultat[[#This Row],[Score D]]-resultat[[#This Row],[Score E]])</f>
        <v>0</v>
      </c>
      <c r="O123" s="35"/>
      <c r="P123" s="29"/>
    </row>
    <row r="124" spans="1:16">
      <c r="A124" s="29" t="s">
        <v>70</v>
      </c>
      <c r="B124" s="29" t="s">
        <v>115</v>
      </c>
      <c r="C124" s="29" t="s">
        <v>43</v>
      </c>
      <c r="F124" s="29" t="s">
        <v>50</v>
      </c>
      <c r="G124" s="29" t="str">
        <f t="shared" si="1"/>
        <v/>
      </c>
      <c r="H12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4" s="131">
        <f>ABS(resultat[[#This Row],[Score D]]-resultat[[#This Row],[Score E]])</f>
        <v>0</v>
      </c>
      <c r="O124" s="35"/>
      <c r="P124" s="29"/>
    </row>
    <row r="125" spans="1:16">
      <c r="A125" s="29" t="s">
        <v>70</v>
      </c>
      <c r="B125" s="29" t="s">
        <v>116</v>
      </c>
      <c r="C125" s="29" t="s">
        <v>44</v>
      </c>
      <c r="F125" s="29" t="s">
        <v>46</v>
      </c>
      <c r="G125" s="29" t="str">
        <f t="shared" si="1"/>
        <v/>
      </c>
      <c r="H12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5" s="131">
        <f>ABS(resultat[[#This Row],[Score D]]-resultat[[#This Row],[Score E]])</f>
        <v>0</v>
      </c>
      <c r="O125" s="35"/>
      <c r="P125" s="29"/>
    </row>
    <row r="126" spans="1:16">
      <c r="A126" s="29" t="s">
        <v>70</v>
      </c>
      <c r="B126" s="29" t="s">
        <v>117</v>
      </c>
      <c r="C126" s="29" t="s">
        <v>49</v>
      </c>
      <c r="F126" s="29" t="s">
        <v>41</v>
      </c>
      <c r="G126" s="29" t="str">
        <f t="shared" si="1"/>
        <v/>
      </c>
      <c r="H12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6" s="131">
        <f>ABS(resultat[[#This Row],[Score D]]-resultat[[#This Row],[Score E]])</f>
        <v>0</v>
      </c>
      <c r="O126" s="35"/>
      <c r="P126" s="29"/>
    </row>
    <row r="127" spans="1:16">
      <c r="A127" s="29" t="s">
        <v>70</v>
      </c>
      <c r="B127" s="29" t="s">
        <v>118</v>
      </c>
      <c r="C127" s="29" t="s">
        <v>53</v>
      </c>
      <c r="F127" s="29" t="s">
        <v>40</v>
      </c>
      <c r="G127" s="29" t="str">
        <f t="shared" si="1"/>
        <v/>
      </c>
      <c r="H12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7" s="131">
        <f>ABS(resultat[[#This Row],[Score D]]-resultat[[#This Row],[Score E]])</f>
        <v>0</v>
      </c>
      <c r="O127" s="35"/>
      <c r="P127" s="29"/>
    </row>
    <row r="128" spans="1:16">
      <c r="A128" s="29" t="s">
        <v>71</v>
      </c>
      <c r="B128" s="29" t="s">
        <v>112</v>
      </c>
      <c r="C128" s="29" t="s">
        <v>52</v>
      </c>
      <c r="F128" s="29" t="s">
        <v>49</v>
      </c>
      <c r="G128" s="29" t="str">
        <f t="shared" si="1"/>
        <v/>
      </c>
      <c r="H12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8" s="131">
        <f>ABS(resultat[[#This Row],[Score D]]-resultat[[#This Row],[Score E]])</f>
        <v>0</v>
      </c>
      <c r="O128" s="35"/>
      <c r="P128" s="29"/>
    </row>
    <row r="129" spans="1:16">
      <c r="A129" s="29" t="s">
        <v>71</v>
      </c>
      <c r="B129" s="29" t="s">
        <v>113</v>
      </c>
      <c r="C129" s="29" t="s">
        <v>51</v>
      </c>
      <c r="F129" s="29" t="s">
        <v>43</v>
      </c>
      <c r="G129" s="29" t="str">
        <f t="shared" si="1"/>
        <v/>
      </c>
      <c r="H12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29" s="131">
        <f>ABS(resultat[[#This Row],[Score D]]-resultat[[#This Row],[Score E]])</f>
        <v>0</v>
      </c>
      <c r="O129" s="35"/>
      <c r="P129" s="29"/>
    </row>
    <row r="130" spans="1:16">
      <c r="A130" s="29" t="s">
        <v>71</v>
      </c>
      <c r="B130" s="29" t="s">
        <v>114</v>
      </c>
      <c r="C130" s="29" t="s">
        <v>41</v>
      </c>
      <c r="F130" s="29" t="s">
        <v>53</v>
      </c>
      <c r="G130" s="29" t="str">
        <f t="shared" si="1"/>
        <v/>
      </c>
      <c r="H13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0" s="131">
        <f>ABS(resultat[[#This Row],[Score D]]-resultat[[#This Row],[Score E]])</f>
        <v>0</v>
      </c>
      <c r="O130" s="35"/>
      <c r="P130" s="29"/>
    </row>
    <row r="131" spans="1:16">
      <c r="A131" s="29" t="s">
        <v>71</v>
      </c>
      <c r="B131" s="29" t="s">
        <v>115</v>
      </c>
      <c r="C131" s="29" t="s">
        <v>45</v>
      </c>
      <c r="F131" s="29" t="s">
        <v>44</v>
      </c>
      <c r="G131" s="29" t="str">
        <f t="shared" ref="G131:G183" si="2">IF(NOT(AND(D131="",E131="")),CONCATENATE(D131,"-",E131),"")</f>
        <v/>
      </c>
      <c r="H13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1" s="131">
        <f>ABS(resultat[[#This Row],[Score D]]-resultat[[#This Row],[Score E]])</f>
        <v>0</v>
      </c>
      <c r="O131" s="35"/>
      <c r="P131" s="29"/>
    </row>
    <row r="132" spans="1:16">
      <c r="A132" s="29" t="s">
        <v>71</v>
      </c>
      <c r="B132" s="29" t="s">
        <v>116</v>
      </c>
      <c r="C132" s="29" t="s">
        <v>46</v>
      </c>
      <c r="F132" s="29" t="s">
        <v>42</v>
      </c>
      <c r="G132" s="29" t="str">
        <f t="shared" si="2"/>
        <v/>
      </c>
      <c r="H13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2" s="131">
        <f>ABS(resultat[[#This Row],[Score D]]-resultat[[#This Row],[Score E]])</f>
        <v>0</v>
      </c>
      <c r="O132" s="35"/>
      <c r="P132" s="29"/>
    </row>
    <row r="133" spans="1:16">
      <c r="A133" s="29" t="s">
        <v>71</v>
      </c>
      <c r="B133" s="29" t="s">
        <v>117</v>
      </c>
      <c r="C133" s="29" t="s">
        <v>48</v>
      </c>
      <c r="F133" s="29" t="s">
        <v>46</v>
      </c>
      <c r="G133" s="29" t="str">
        <f t="shared" si="2"/>
        <v/>
      </c>
      <c r="H13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3" s="131">
        <f>ABS(resultat[[#This Row],[Score D]]-resultat[[#This Row],[Score E]])</f>
        <v>0</v>
      </c>
      <c r="O133" s="35"/>
      <c r="P133" s="29"/>
    </row>
    <row r="134" spans="1:16">
      <c r="A134" s="29" t="s">
        <v>71</v>
      </c>
      <c r="B134" s="29" t="s">
        <v>118</v>
      </c>
      <c r="C134" s="29" t="s">
        <v>50</v>
      </c>
      <c r="F134" s="29" t="s">
        <v>40</v>
      </c>
      <c r="G134" s="29" t="str">
        <f t="shared" si="2"/>
        <v/>
      </c>
      <c r="H13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4" s="131">
        <f>ABS(resultat[[#This Row],[Score D]]-resultat[[#This Row],[Score E]])</f>
        <v>0</v>
      </c>
      <c r="O134" s="35"/>
      <c r="P134" s="29"/>
    </row>
    <row r="135" spans="1:16">
      <c r="A135" s="29" t="s">
        <v>72</v>
      </c>
      <c r="B135" s="29" t="s">
        <v>112</v>
      </c>
      <c r="C135" s="29" t="s">
        <v>47</v>
      </c>
      <c r="F135" s="29" t="s">
        <v>52</v>
      </c>
      <c r="G135" s="29" t="str">
        <f t="shared" si="2"/>
        <v/>
      </c>
      <c r="H13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5" s="131">
        <f>ABS(resultat[[#This Row],[Score D]]-resultat[[#This Row],[Score E]])</f>
        <v>0</v>
      </c>
      <c r="O135" s="35"/>
      <c r="P135" s="29"/>
    </row>
    <row r="136" spans="1:16">
      <c r="A136" s="29" t="s">
        <v>72</v>
      </c>
      <c r="B136" s="29" t="s">
        <v>113</v>
      </c>
      <c r="C136" s="29" t="s">
        <v>49</v>
      </c>
      <c r="F136" s="29" t="s">
        <v>45</v>
      </c>
      <c r="G136" s="29" t="str">
        <f t="shared" si="2"/>
        <v/>
      </c>
      <c r="H13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6" s="131">
        <f>ABS(resultat[[#This Row],[Score D]]-resultat[[#This Row],[Score E]])</f>
        <v>0</v>
      </c>
      <c r="O136" s="35"/>
      <c r="P136" s="29"/>
    </row>
    <row r="137" spans="1:16">
      <c r="A137" s="29" t="s">
        <v>72</v>
      </c>
      <c r="B137" s="29" t="s">
        <v>114</v>
      </c>
      <c r="C137" s="29" t="s">
        <v>42</v>
      </c>
      <c r="F137" s="29" t="s">
        <v>51</v>
      </c>
      <c r="G137" s="29" t="str">
        <f t="shared" si="2"/>
        <v/>
      </c>
      <c r="H13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7" s="131">
        <f>ABS(resultat[[#This Row],[Score D]]-resultat[[#This Row],[Score E]])</f>
        <v>0</v>
      </c>
      <c r="O137" s="35"/>
      <c r="P137" s="29"/>
    </row>
    <row r="138" spans="1:16">
      <c r="A138" s="29" t="s">
        <v>72</v>
      </c>
      <c r="B138" s="29" t="s">
        <v>115</v>
      </c>
      <c r="C138" s="29" t="s">
        <v>43</v>
      </c>
      <c r="F138" s="29" t="s">
        <v>46</v>
      </c>
      <c r="G138" s="29" t="str">
        <f t="shared" si="2"/>
        <v/>
      </c>
      <c r="H13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8" s="131">
        <f>ABS(resultat[[#This Row],[Score D]]-resultat[[#This Row],[Score E]])</f>
        <v>0</v>
      </c>
      <c r="O138" s="35"/>
      <c r="P138" s="29"/>
    </row>
    <row r="139" spans="1:16">
      <c r="A139" s="29" t="s">
        <v>72</v>
      </c>
      <c r="B139" s="29" t="s">
        <v>116</v>
      </c>
      <c r="C139" s="29" t="s">
        <v>40</v>
      </c>
      <c r="F139" s="29" t="s">
        <v>41</v>
      </c>
      <c r="G139" s="29" t="str">
        <f t="shared" si="2"/>
        <v/>
      </c>
      <c r="H13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39" s="131">
        <f>ABS(resultat[[#This Row],[Score D]]-resultat[[#This Row],[Score E]])</f>
        <v>0</v>
      </c>
      <c r="O139" s="35"/>
      <c r="P139" s="29"/>
    </row>
    <row r="140" spans="1:16">
      <c r="A140" s="29" t="s">
        <v>72</v>
      </c>
      <c r="B140" s="29" t="s">
        <v>117</v>
      </c>
      <c r="C140" s="29" t="s">
        <v>44</v>
      </c>
      <c r="F140" s="29" t="s">
        <v>50</v>
      </c>
      <c r="G140" s="29" t="str">
        <f t="shared" si="2"/>
        <v/>
      </c>
      <c r="H14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0" s="131">
        <f>ABS(resultat[[#This Row],[Score D]]-resultat[[#This Row],[Score E]])</f>
        <v>0</v>
      </c>
      <c r="O140" s="35"/>
      <c r="P140" s="29"/>
    </row>
    <row r="141" spans="1:16">
      <c r="A141" s="29" t="s">
        <v>72</v>
      </c>
      <c r="B141" s="29" t="s">
        <v>118</v>
      </c>
      <c r="C141" s="29" t="s">
        <v>53</v>
      </c>
      <c r="F141" s="29" t="s">
        <v>47</v>
      </c>
      <c r="G141" s="29" t="str">
        <f t="shared" si="2"/>
        <v/>
      </c>
      <c r="H14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1" s="131">
        <f>ABS(resultat[[#This Row],[Score D]]-resultat[[#This Row],[Score E]])</f>
        <v>0</v>
      </c>
      <c r="O141" s="35"/>
      <c r="P141" s="29"/>
    </row>
    <row r="142" spans="1:16">
      <c r="A142" s="29" t="s">
        <v>73</v>
      </c>
      <c r="B142" s="29" t="s">
        <v>112</v>
      </c>
      <c r="C142" s="29" t="s">
        <v>51</v>
      </c>
      <c r="F142" s="29" t="s">
        <v>49</v>
      </c>
      <c r="G142" s="29" t="str">
        <f t="shared" si="2"/>
        <v/>
      </c>
      <c r="H14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2" s="131">
        <f>ABS(resultat[[#This Row],[Score D]]-resultat[[#This Row],[Score E]])</f>
        <v>0</v>
      </c>
      <c r="O142" s="35"/>
      <c r="P142" s="29"/>
    </row>
    <row r="143" spans="1:16">
      <c r="A143" s="29" t="s">
        <v>73</v>
      </c>
      <c r="B143" s="29" t="s">
        <v>113</v>
      </c>
      <c r="C143" s="29" t="s">
        <v>48</v>
      </c>
      <c r="F143" s="29" t="s">
        <v>52</v>
      </c>
      <c r="G143" s="29" t="str">
        <f t="shared" si="2"/>
        <v/>
      </c>
      <c r="H14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3" s="131">
        <f>ABS(resultat[[#This Row],[Score D]]-resultat[[#This Row],[Score E]])</f>
        <v>0</v>
      </c>
      <c r="O143" s="35"/>
      <c r="P143" s="29"/>
    </row>
    <row r="144" spans="1:16">
      <c r="A144" s="29" t="s">
        <v>73</v>
      </c>
      <c r="B144" s="29" t="s">
        <v>114</v>
      </c>
      <c r="C144" s="29" t="s">
        <v>41</v>
      </c>
      <c r="F144" s="29" t="s">
        <v>43</v>
      </c>
      <c r="G144" s="29" t="str">
        <f t="shared" si="2"/>
        <v/>
      </c>
      <c r="H14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4" s="131">
        <f>ABS(resultat[[#This Row],[Score D]]-resultat[[#This Row],[Score E]])</f>
        <v>0</v>
      </c>
      <c r="O144" s="35"/>
      <c r="P144" s="29"/>
    </row>
    <row r="145" spans="1:16">
      <c r="A145" s="29" t="s">
        <v>73</v>
      </c>
      <c r="B145" s="29" t="s">
        <v>115</v>
      </c>
      <c r="C145" s="29" t="s">
        <v>44</v>
      </c>
      <c r="F145" s="29" t="s">
        <v>53</v>
      </c>
      <c r="G145" s="29" t="str">
        <f t="shared" si="2"/>
        <v/>
      </c>
      <c r="H14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5" s="131">
        <f>ABS(resultat[[#This Row],[Score D]]-resultat[[#This Row],[Score E]])</f>
        <v>0</v>
      </c>
      <c r="O145" s="35"/>
      <c r="P145" s="29"/>
    </row>
    <row r="146" spans="1:16">
      <c r="A146" s="29" t="s">
        <v>73</v>
      </c>
      <c r="B146" s="29" t="s">
        <v>116</v>
      </c>
      <c r="C146" s="29" t="s">
        <v>45</v>
      </c>
      <c r="F146" s="29" t="s">
        <v>40</v>
      </c>
      <c r="G146" s="29" t="str">
        <f t="shared" si="2"/>
        <v/>
      </c>
      <c r="H14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6" s="131">
        <f>ABS(resultat[[#This Row],[Score D]]-resultat[[#This Row],[Score E]])</f>
        <v>0</v>
      </c>
      <c r="O146" s="35"/>
      <c r="P146" s="29"/>
    </row>
    <row r="147" spans="1:16">
      <c r="A147" s="29" t="s">
        <v>73</v>
      </c>
      <c r="B147" s="29" t="s">
        <v>117</v>
      </c>
      <c r="C147" s="29" t="s">
        <v>46</v>
      </c>
      <c r="F147" s="29" t="s">
        <v>47</v>
      </c>
      <c r="G147" s="29" t="str">
        <f t="shared" si="2"/>
        <v/>
      </c>
      <c r="H14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7" s="131">
        <f>ABS(resultat[[#This Row],[Score D]]-resultat[[#This Row],[Score E]])</f>
        <v>0</v>
      </c>
      <c r="O147" s="35"/>
      <c r="P147" s="29"/>
    </row>
    <row r="148" spans="1:16">
      <c r="A148" s="29" t="s">
        <v>73</v>
      </c>
      <c r="B148" s="29" t="s">
        <v>118</v>
      </c>
      <c r="C148" s="29" t="s">
        <v>50</v>
      </c>
      <c r="F148" s="29" t="s">
        <v>42</v>
      </c>
      <c r="G148" s="29" t="str">
        <f t="shared" si="2"/>
        <v/>
      </c>
      <c r="H14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8" s="131">
        <f>ABS(resultat[[#This Row],[Score D]]-resultat[[#This Row],[Score E]])</f>
        <v>0</v>
      </c>
      <c r="O148" s="35"/>
      <c r="P148" s="29"/>
    </row>
    <row r="149" spans="1:16">
      <c r="A149" s="29" t="s">
        <v>74</v>
      </c>
      <c r="B149" s="29" t="s">
        <v>112</v>
      </c>
      <c r="C149" s="29" t="s">
        <v>47</v>
      </c>
      <c r="F149" s="29" t="s">
        <v>44</v>
      </c>
      <c r="G149" s="29" t="str">
        <f t="shared" si="2"/>
        <v/>
      </c>
      <c r="H14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49" s="131">
        <f>ABS(resultat[[#This Row],[Score D]]-resultat[[#This Row],[Score E]])</f>
        <v>0</v>
      </c>
      <c r="O149" s="35"/>
      <c r="P149" s="29"/>
    </row>
    <row r="150" spans="1:16">
      <c r="A150" s="29" t="s">
        <v>74</v>
      </c>
      <c r="B150" s="29" t="s">
        <v>113</v>
      </c>
      <c r="C150" s="29" t="s">
        <v>53</v>
      </c>
      <c r="F150" s="29" t="s">
        <v>51</v>
      </c>
      <c r="G150" s="29" t="str">
        <f t="shared" si="2"/>
        <v/>
      </c>
      <c r="H15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0" s="131">
        <f>ABS(resultat[[#This Row],[Score D]]-resultat[[#This Row],[Score E]])</f>
        <v>0</v>
      </c>
      <c r="O150" s="35"/>
      <c r="P150" s="29"/>
    </row>
    <row r="151" spans="1:16">
      <c r="A151" s="29" t="s">
        <v>74</v>
      </c>
      <c r="B151" s="29" t="s">
        <v>114</v>
      </c>
      <c r="C151" s="29" t="s">
        <v>42</v>
      </c>
      <c r="F151" s="29" t="s">
        <v>44</v>
      </c>
      <c r="G151" s="29" t="str">
        <f t="shared" si="2"/>
        <v/>
      </c>
      <c r="H15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1" s="131">
        <f>ABS(resultat[[#This Row],[Score D]]-resultat[[#This Row],[Score E]])</f>
        <v>0</v>
      </c>
      <c r="O151" s="35"/>
      <c r="P151" s="29"/>
    </row>
    <row r="152" spans="1:16">
      <c r="A152" s="29" t="s">
        <v>74</v>
      </c>
      <c r="B152" s="29" t="s">
        <v>115</v>
      </c>
      <c r="C152" s="29" t="s">
        <v>43</v>
      </c>
      <c r="F152" s="29" t="s">
        <v>48</v>
      </c>
      <c r="G152" s="29" t="str">
        <f t="shared" si="2"/>
        <v/>
      </c>
      <c r="H15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2" s="131">
        <f>ABS(resultat[[#This Row],[Score D]]-resultat[[#This Row],[Score E]])</f>
        <v>0</v>
      </c>
      <c r="O152" s="35"/>
      <c r="P152" s="29"/>
    </row>
    <row r="153" spans="1:16">
      <c r="A153" s="29" t="s">
        <v>74</v>
      </c>
      <c r="B153" s="29" t="s">
        <v>116</v>
      </c>
      <c r="C153" s="29" t="s">
        <v>40</v>
      </c>
      <c r="F153" s="29" t="s">
        <v>45</v>
      </c>
      <c r="G153" s="29" t="str">
        <f t="shared" si="2"/>
        <v/>
      </c>
      <c r="H15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3" s="131">
        <f>ABS(resultat[[#This Row],[Score D]]-resultat[[#This Row],[Score E]])</f>
        <v>0</v>
      </c>
      <c r="O153" s="35"/>
      <c r="P153" s="29"/>
    </row>
    <row r="154" spans="1:16">
      <c r="A154" s="29" t="s">
        <v>74</v>
      </c>
      <c r="B154" s="29" t="s">
        <v>117</v>
      </c>
      <c r="C154" s="29" t="s">
        <v>49</v>
      </c>
      <c r="F154" s="29" t="s">
        <v>50</v>
      </c>
      <c r="G154" s="29" t="str">
        <f t="shared" si="2"/>
        <v/>
      </c>
      <c r="H15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4" s="131">
        <f>ABS(resultat[[#This Row],[Score D]]-resultat[[#This Row],[Score E]])</f>
        <v>0</v>
      </c>
      <c r="O154" s="35"/>
      <c r="P154" s="29"/>
    </row>
    <row r="155" spans="1:16">
      <c r="A155" s="29" t="s">
        <v>74</v>
      </c>
      <c r="B155" s="29" t="s">
        <v>118</v>
      </c>
      <c r="C155" s="29" t="s">
        <v>52</v>
      </c>
      <c r="F155" s="29" t="s">
        <v>41</v>
      </c>
      <c r="G155" s="29" t="str">
        <f t="shared" si="2"/>
        <v/>
      </c>
      <c r="H15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5" s="131">
        <f>ABS(resultat[[#This Row],[Score D]]-resultat[[#This Row],[Score E]])</f>
        <v>0</v>
      </c>
      <c r="O155" s="35"/>
      <c r="P155" s="29"/>
    </row>
    <row r="156" spans="1:16">
      <c r="A156" s="29" t="s">
        <v>75</v>
      </c>
      <c r="B156" s="29" t="s">
        <v>112</v>
      </c>
      <c r="C156" s="29" t="s">
        <v>51</v>
      </c>
      <c r="F156" s="29" t="s">
        <v>45</v>
      </c>
      <c r="G156" s="29" t="str">
        <f t="shared" si="2"/>
        <v/>
      </c>
      <c r="H15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6" s="131">
        <f>ABS(resultat[[#This Row],[Score D]]-resultat[[#This Row],[Score E]])</f>
        <v>0</v>
      </c>
      <c r="O156" s="35"/>
      <c r="P156" s="29"/>
    </row>
    <row r="157" spans="1:16">
      <c r="A157" s="29" t="s">
        <v>75</v>
      </c>
      <c r="B157" s="29" t="s">
        <v>113</v>
      </c>
      <c r="C157" s="29" t="s">
        <v>41</v>
      </c>
      <c r="F157" s="29" t="s">
        <v>50</v>
      </c>
      <c r="G157" s="29" t="str">
        <f t="shared" si="2"/>
        <v/>
      </c>
      <c r="H15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7" s="131">
        <f>ABS(resultat[[#This Row],[Score D]]-resultat[[#This Row],[Score E]])</f>
        <v>0</v>
      </c>
      <c r="O157" s="35"/>
      <c r="P157" s="29"/>
    </row>
    <row r="158" spans="1:16">
      <c r="A158" s="29" t="s">
        <v>75</v>
      </c>
      <c r="B158" s="29" t="s">
        <v>114</v>
      </c>
      <c r="C158" s="29" t="s">
        <v>42</v>
      </c>
      <c r="F158" s="29" t="s">
        <v>43</v>
      </c>
      <c r="G158" s="29" t="str">
        <f t="shared" si="2"/>
        <v/>
      </c>
      <c r="H15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8" s="131">
        <f>ABS(resultat[[#This Row],[Score D]]-resultat[[#This Row],[Score E]])</f>
        <v>0</v>
      </c>
      <c r="O158" s="35"/>
      <c r="P158" s="29"/>
    </row>
    <row r="159" spans="1:16">
      <c r="A159" s="29" t="s">
        <v>75</v>
      </c>
      <c r="B159" s="29" t="s">
        <v>115</v>
      </c>
      <c r="C159" s="29" t="s">
        <v>40</v>
      </c>
      <c r="F159" s="29" t="s">
        <v>49</v>
      </c>
      <c r="G159" s="29" t="str">
        <f t="shared" si="2"/>
        <v/>
      </c>
      <c r="H15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59" s="131">
        <f>ABS(resultat[[#This Row],[Score D]]-resultat[[#This Row],[Score E]])</f>
        <v>0</v>
      </c>
      <c r="O159" s="35"/>
      <c r="P159" s="29"/>
    </row>
    <row r="160" spans="1:16">
      <c r="A160" s="29" t="s">
        <v>75</v>
      </c>
      <c r="B160" s="29" t="s">
        <v>116</v>
      </c>
      <c r="C160" s="29" t="s">
        <v>44</v>
      </c>
      <c r="F160" s="29" t="s">
        <v>47</v>
      </c>
      <c r="G160" s="29" t="str">
        <f t="shared" si="2"/>
        <v/>
      </c>
      <c r="H16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0" s="131">
        <f>ABS(resultat[[#This Row],[Score D]]-resultat[[#This Row],[Score E]])</f>
        <v>0</v>
      </c>
      <c r="O160" s="35"/>
      <c r="P160" s="29"/>
    </row>
    <row r="161" spans="1:16">
      <c r="A161" s="29" t="s">
        <v>75</v>
      </c>
      <c r="B161" s="29" t="s">
        <v>117</v>
      </c>
      <c r="C161" s="29" t="s">
        <v>48</v>
      </c>
      <c r="F161" s="29" t="s">
        <v>46</v>
      </c>
      <c r="G161" s="29" t="str">
        <f t="shared" si="2"/>
        <v/>
      </c>
      <c r="H16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1" s="131">
        <f>ABS(resultat[[#This Row],[Score D]]-resultat[[#This Row],[Score E]])</f>
        <v>0</v>
      </c>
      <c r="O161" s="35"/>
      <c r="P161" s="29"/>
    </row>
    <row r="162" spans="1:16">
      <c r="A162" s="29" t="s">
        <v>75</v>
      </c>
      <c r="B162" s="29" t="s">
        <v>118</v>
      </c>
      <c r="C162" s="29" t="s">
        <v>52</v>
      </c>
      <c r="F162" s="29" t="s">
        <v>53</v>
      </c>
      <c r="G162" s="29" t="str">
        <f t="shared" si="2"/>
        <v/>
      </c>
      <c r="H16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2" s="131">
        <f>ABS(resultat[[#This Row],[Score D]]-resultat[[#This Row],[Score E]])</f>
        <v>0</v>
      </c>
      <c r="O162" s="35"/>
      <c r="P162" s="29"/>
    </row>
    <row r="163" spans="1:16">
      <c r="A163" s="29" t="s">
        <v>76</v>
      </c>
      <c r="B163" s="29" t="s">
        <v>112</v>
      </c>
      <c r="C163" s="29" t="s">
        <v>43</v>
      </c>
      <c r="F163" s="29" t="s">
        <v>44</v>
      </c>
      <c r="G163" s="29" t="str">
        <f t="shared" si="2"/>
        <v/>
      </c>
      <c r="H16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3" s="131">
        <f>ABS(resultat[[#This Row],[Score D]]-resultat[[#This Row],[Score E]])</f>
        <v>0</v>
      </c>
      <c r="O163" s="35"/>
      <c r="P163" s="29"/>
    </row>
    <row r="164" spans="1:16">
      <c r="A164" s="29" t="s">
        <v>76</v>
      </c>
      <c r="B164" s="29" t="s">
        <v>113</v>
      </c>
      <c r="C164" s="29" t="s">
        <v>46</v>
      </c>
      <c r="F164" s="29" t="s">
        <v>41</v>
      </c>
      <c r="G164" s="29" t="str">
        <f t="shared" si="2"/>
        <v/>
      </c>
      <c r="H16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4" s="131">
        <f>ABS(resultat[[#This Row],[Score D]]-resultat[[#This Row],[Score E]])</f>
        <v>0</v>
      </c>
      <c r="O164" s="35"/>
      <c r="P164" s="29"/>
    </row>
    <row r="165" spans="1:16">
      <c r="A165" s="29" t="s">
        <v>76</v>
      </c>
      <c r="B165" s="29" t="s">
        <v>114</v>
      </c>
      <c r="C165" s="29" t="s">
        <v>47</v>
      </c>
      <c r="F165" s="29" t="s">
        <v>40</v>
      </c>
      <c r="G165" s="29" t="str">
        <f t="shared" si="2"/>
        <v/>
      </c>
      <c r="H16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5" s="131">
        <f>ABS(resultat[[#This Row],[Score D]]-resultat[[#This Row],[Score E]])</f>
        <v>0</v>
      </c>
      <c r="O165" s="35"/>
      <c r="P165" s="29"/>
    </row>
    <row r="166" spans="1:16">
      <c r="A166" s="29" t="s">
        <v>76</v>
      </c>
      <c r="B166" s="29" t="s">
        <v>115</v>
      </c>
      <c r="C166" s="29" t="s">
        <v>49</v>
      </c>
      <c r="F166" s="29" t="s">
        <v>48</v>
      </c>
      <c r="G166" s="29" t="str">
        <f t="shared" si="2"/>
        <v/>
      </c>
      <c r="H16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6" s="131">
        <f>ABS(resultat[[#This Row],[Score D]]-resultat[[#This Row],[Score E]])</f>
        <v>0</v>
      </c>
      <c r="O166" s="35"/>
      <c r="P166" s="29"/>
    </row>
    <row r="167" spans="1:16">
      <c r="A167" s="29" t="s">
        <v>76</v>
      </c>
      <c r="B167" s="29" t="s">
        <v>116</v>
      </c>
      <c r="C167" s="29" t="s">
        <v>50</v>
      </c>
      <c r="F167" s="29" t="s">
        <v>51</v>
      </c>
      <c r="G167" s="29" t="str">
        <f t="shared" si="2"/>
        <v/>
      </c>
      <c r="H16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7" s="131">
        <f>ABS(resultat[[#This Row],[Score D]]-resultat[[#This Row],[Score E]])</f>
        <v>0</v>
      </c>
      <c r="O167" s="35"/>
      <c r="P167" s="29"/>
    </row>
    <row r="168" spans="1:16">
      <c r="A168" s="29" t="s">
        <v>76</v>
      </c>
      <c r="B168" s="29" t="s">
        <v>117</v>
      </c>
      <c r="C168" s="29" t="s">
        <v>53</v>
      </c>
      <c r="F168" s="29" t="s">
        <v>42</v>
      </c>
      <c r="G168" s="29" t="str">
        <f t="shared" si="2"/>
        <v/>
      </c>
      <c r="H16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8" s="131">
        <f>ABS(resultat[[#This Row],[Score D]]-resultat[[#This Row],[Score E]])</f>
        <v>0</v>
      </c>
      <c r="O168" s="35"/>
      <c r="P168" s="29"/>
    </row>
    <row r="169" spans="1:16">
      <c r="A169" s="29" t="s">
        <v>76</v>
      </c>
      <c r="B169" s="29" t="s">
        <v>118</v>
      </c>
      <c r="C169" s="29" t="s">
        <v>45</v>
      </c>
      <c r="F169" s="29" t="s">
        <v>52</v>
      </c>
      <c r="G169" s="29" t="str">
        <f t="shared" si="2"/>
        <v/>
      </c>
      <c r="H16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69" s="131">
        <f>ABS(resultat[[#This Row],[Score D]]-resultat[[#This Row],[Score E]])</f>
        <v>0</v>
      </c>
      <c r="O169" s="35"/>
      <c r="P169" s="29"/>
    </row>
    <row r="170" spans="1:16">
      <c r="A170" s="29" t="s">
        <v>77</v>
      </c>
      <c r="B170" s="29" t="s">
        <v>112</v>
      </c>
      <c r="C170" s="29" t="s">
        <v>52</v>
      </c>
      <c r="F170" s="29" t="s">
        <v>43</v>
      </c>
      <c r="G170" s="29" t="str">
        <f t="shared" si="2"/>
        <v/>
      </c>
      <c r="H17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0" s="131">
        <f>ABS(resultat[[#This Row],[Score D]]-resultat[[#This Row],[Score E]])</f>
        <v>0</v>
      </c>
      <c r="O170" s="35"/>
      <c r="P170" s="29"/>
    </row>
    <row r="171" spans="1:16">
      <c r="A171" s="29" t="s">
        <v>77</v>
      </c>
      <c r="B171" s="29" t="s">
        <v>113</v>
      </c>
      <c r="C171" s="29" t="s">
        <v>41</v>
      </c>
      <c r="F171" s="29" t="s">
        <v>51</v>
      </c>
      <c r="G171" s="29" t="str">
        <f t="shared" si="2"/>
        <v/>
      </c>
      <c r="H17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1" s="131">
        <f>ABS(resultat[[#This Row],[Score D]]-resultat[[#This Row],[Score E]])</f>
        <v>0</v>
      </c>
      <c r="O171" s="35"/>
      <c r="P171" s="29"/>
    </row>
    <row r="172" spans="1:16">
      <c r="A172" s="29" t="s">
        <v>77</v>
      </c>
      <c r="B172" s="29" t="s">
        <v>114</v>
      </c>
      <c r="C172" s="29" t="s">
        <v>40</v>
      </c>
      <c r="F172" s="29" t="s">
        <v>44</v>
      </c>
      <c r="G172" s="29" t="str">
        <f t="shared" si="2"/>
        <v/>
      </c>
      <c r="H17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2" s="131">
        <f>ABS(resultat[[#This Row],[Score D]]-resultat[[#This Row],[Score E]])</f>
        <v>0</v>
      </c>
      <c r="O172" s="35"/>
      <c r="P172" s="29"/>
    </row>
    <row r="173" spans="1:16">
      <c r="A173" s="29" t="s">
        <v>77</v>
      </c>
      <c r="B173" s="29" t="s">
        <v>115</v>
      </c>
      <c r="C173" s="29" t="s">
        <v>46</v>
      </c>
      <c r="F173" s="29" t="s">
        <v>50</v>
      </c>
      <c r="G173" s="29" t="str">
        <f t="shared" si="2"/>
        <v/>
      </c>
      <c r="H17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3" s="131">
        <f>ABS(resultat[[#This Row],[Score D]]-resultat[[#This Row],[Score E]])</f>
        <v>0</v>
      </c>
      <c r="O173" s="35"/>
      <c r="P173" s="29"/>
    </row>
    <row r="174" spans="1:16">
      <c r="A174" s="29" t="s">
        <v>77</v>
      </c>
      <c r="B174" s="29" t="s">
        <v>116</v>
      </c>
      <c r="C174" s="29" t="s">
        <v>48</v>
      </c>
      <c r="F174" s="29" t="s">
        <v>42</v>
      </c>
      <c r="G174" s="29" t="str">
        <f t="shared" si="2"/>
        <v/>
      </c>
      <c r="H174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4" s="131">
        <f>ABS(resultat[[#This Row],[Score D]]-resultat[[#This Row],[Score E]])</f>
        <v>0</v>
      </c>
      <c r="O174" s="35"/>
      <c r="P174" s="29"/>
    </row>
    <row r="175" spans="1:16">
      <c r="A175" s="29" t="s">
        <v>77</v>
      </c>
      <c r="B175" s="29" t="s">
        <v>117</v>
      </c>
      <c r="C175" s="29" t="s">
        <v>49</v>
      </c>
      <c r="F175" s="29" t="s">
        <v>47</v>
      </c>
      <c r="G175" s="29" t="str">
        <f t="shared" si="2"/>
        <v/>
      </c>
      <c r="H175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5" s="131">
        <f>ABS(resultat[[#This Row],[Score D]]-resultat[[#This Row],[Score E]])</f>
        <v>0</v>
      </c>
      <c r="O175" s="35"/>
      <c r="P175" s="29"/>
    </row>
    <row r="176" spans="1:16">
      <c r="A176" s="29" t="s">
        <v>77</v>
      </c>
      <c r="B176" s="29" t="s">
        <v>118</v>
      </c>
      <c r="C176" s="29" t="s">
        <v>53</v>
      </c>
      <c r="F176" s="29" t="s">
        <v>45</v>
      </c>
      <c r="G176" s="29" t="str">
        <f t="shared" si="2"/>
        <v/>
      </c>
      <c r="H176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6" s="131">
        <f>ABS(resultat[[#This Row],[Score D]]-resultat[[#This Row],[Score E]])</f>
        <v>0</v>
      </c>
      <c r="O176" s="35"/>
      <c r="P176" s="29"/>
    </row>
    <row r="177" spans="1:16">
      <c r="A177" s="29" t="s">
        <v>78</v>
      </c>
      <c r="B177" s="29" t="s">
        <v>112</v>
      </c>
      <c r="C177" s="29" t="s">
        <v>42</v>
      </c>
      <c r="F177" s="29" t="s">
        <v>49</v>
      </c>
      <c r="G177" s="29" t="str">
        <f t="shared" si="2"/>
        <v/>
      </c>
      <c r="H177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7" s="131">
        <f>ABS(resultat[[#This Row],[Score D]]-resultat[[#This Row],[Score E]])</f>
        <v>0</v>
      </c>
      <c r="O177" s="35"/>
      <c r="P177" s="29"/>
    </row>
    <row r="178" spans="1:16">
      <c r="A178" s="29" t="s">
        <v>78</v>
      </c>
      <c r="B178" s="29" t="s">
        <v>113</v>
      </c>
      <c r="C178" s="29" t="s">
        <v>44</v>
      </c>
      <c r="F178" s="29" t="s">
        <v>52</v>
      </c>
      <c r="G178" s="29" t="str">
        <f t="shared" si="2"/>
        <v/>
      </c>
      <c r="H178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8" s="131">
        <f>ABS(resultat[[#This Row],[Score D]]-resultat[[#This Row],[Score E]])</f>
        <v>0</v>
      </c>
      <c r="O178" s="35"/>
      <c r="P178" s="29"/>
    </row>
    <row r="179" spans="1:16">
      <c r="A179" s="29" t="s">
        <v>78</v>
      </c>
      <c r="B179" s="29" t="s">
        <v>114</v>
      </c>
      <c r="C179" s="29" t="s">
        <v>45</v>
      </c>
      <c r="F179" s="29" t="s">
        <v>46</v>
      </c>
      <c r="G179" s="29" t="str">
        <f t="shared" si="2"/>
        <v/>
      </c>
      <c r="H179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79" s="131">
        <f>ABS(resultat[[#This Row],[Score D]]-resultat[[#This Row],[Score E]])</f>
        <v>0</v>
      </c>
      <c r="O179" s="35"/>
      <c r="P179" s="29"/>
    </row>
    <row r="180" spans="1:16">
      <c r="A180" s="29" t="s">
        <v>78</v>
      </c>
      <c r="B180" s="29" t="s">
        <v>115</v>
      </c>
      <c r="C180" s="29" t="s">
        <v>47</v>
      </c>
      <c r="F180" s="29" t="s">
        <v>41</v>
      </c>
      <c r="G180" s="29" t="str">
        <f t="shared" si="2"/>
        <v/>
      </c>
      <c r="H180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80" s="131">
        <f>ABS(resultat[[#This Row],[Score D]]-resultat[[#This Row],[Score E]])</f>
        <v>0</v>
      </c>
      <c r="O180" s="35"/>
      <c r="P180" s="29"/>
    </row>
    <row r="181" spans="1:16">
      <c r="A181" s="29" t="s">
        <v>78</v>
      </c>
      <c r="B181" s="29" t="s">
        <v>116</v>
      </c>
      <c r="C181" s="29" t="s">
        <v>50</v>
      </c>
      <c r="F181" s="29" t="s">
        <v>48</v>
      </c>
      <c r="G181" s="29" t="str">
        <f t="shared" si="2"/>
        <v/>
      </c>
      <c r="H181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81" s="131">
        <f>ABS(resultat[[#This Row],[Score D]]-resultat[[#This Row],[Score E]])</f>
        <v>0</v>
      </c>
      <c r="O181" s="35"/>
      <c r="P181" s="29"/>
    </row>
    <row r="182" spans="1:16">
      <c r="A182" s="29" t="s">
        <v>78</v>
      </c>
      <c r="B182" s="29" t="s">
        <v>117</v>
      </c>
      <c r="C182" s="29" t="s">
        <v>51</v>
      </c>
      <c r="F182" s="29" t="s">
        <v>40</v>
      </c>
      <c r="G182" s="29" t="str">
        <f t="shared" si="2"/>
        <v/>
      </c>
      <c r="H182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82" s="131">
        <f>ABS(resultat[[#This Row],[Score D]]-resultat[[#This Row],[Score E]])</f>
        <v>0</v>
      </c>
      <c r="O182" s="35"/>
      <c r="P182" s="29"/>
    </row>
    <row r="183" spans="1:16">
      <c r="A183" s="29" t="s">
        <v>78</v>
      </c>
      <c r="B183" s="29" t="s">
        <v>118</v>
      </c>
      <c r="C183" s="29" t="s">
        <v>43</v>
      </c>
      <c r="F183" s="29" t="s">
        <v>53</v>
      </c>
      <c r="G183" s="29" t="str">
        <f t="shared" si="2"/>
        <v/>
      </c>
      <c r="H183" s="29" t="str">
        <f>IF(resultat[[#This Row],[Score Match]]="","",IF(resultat[[#This Row],[Score E]]&gt;resultat[[#This Row],[Score D]],resultat[[#This Row],[Exterieur]],IF(resultat[[#This Row],[Score D]]&gt;resultat[[#This Row],[Score E]],resultat[[#This Row],[Domicile]],"Nul")))</f>
        <v/>
      </c>
      <c r="I183" s="131">
        <f>ABS(resultat[[#This Row],[Score D]]-resultat[[#This Row],[Score E]])</f>
        <v>0</v>
      </c>
      <c r="O183" s="35"/>
      <c r="P183" s="29"/>
    </row>
  </sheetData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Feuil1!$D$1:$D$14</xm:f>
          </x14:formula1>
          <xm:sqref>C99:C183 C2:C92 F97 F2:F92 F105:F183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D26"/>
  <sheetViews>
    <sheetView workbookViewId="0">
      <selection activeCell="A27" sqref="A27"/>
    </sheetView>
  </sheetViews>
  <sheetFormatPr baseColWidth="10" defaultColWidth="10.5" defaultRowHeight="14" x14ac:dyDescent="0"/>
  <sheetData>
    <row r="1" spans="1:4">
      <c r="A1" t="s">
        <v>81</v>
      </c>
      <c r="B1" t="s">
        <v>108</v>
      </c>
      <c r="C1" t="s">
        <v>150</v>
      </c>
      <c r="D1" s="26" t="s">
        <v>41</v>
      </c>
    </row>
    <row r="2" spans="1:4">
      <c r="A2" s="1" t="s">
        <v>82</v>
      </c>
      <c r="B2" t="s">
        <v>39</v>
      </c>
      <c r="C2" t="s">
        <v>151</v>
      </c>
      <c r="D2" s="12" t="s">
        <v>42</v>
      </c>
    </row>
    <row r="3" spans="1:4">
      <c r="A3" s="1" t="s">
        <v>83</v>
      </c>
      <c r="C3" s="1" t="s">
        <v>152</v>
      </c>
      <c r="D3" s="12" t="s">
        <v>43</v>
      </c>
    </row>
    <row r="4" spans="1:4">
      <c r="A4" s="1" t="s">
        <v>84</v>
      </c>
      <c r="D4" s="12" t="s">
        <v>40</v>
      </c>
    </row>
    <row r="5" spans="1:4">
      <c r="A5" s="1" t="s">
        <v>85</v>
      </c>
      <c r="D5" s="12" t="s">
        <v>44</v>
      </c>
    </row>
    <row r="6" spans="1:4">
      <c r="A6" s="1" t="s">
        <v>86</v>
      </c>
      <c r="D6" s="12" t="s">
        <v>45</v>
      </c>
    </row>
    <row r="7" spans="1:4">
      <c r="A7" s="1" t="s">
        <v>87</v>
      </c>
      <c r="D7" s="12" t="s">
        <v>46</v>
      </c>
    </row>
    <row r="8" spans="1:4">
      <c r="A8" s="1" t="s">
        <v>88</v>
      </c>
      <c r="D8" s="12" t="s">
        <v>47</v>
      </c>
    </row>
    <row r="9" spans="1:4">
      <c r="A9" s="1" t="s">
        <v>89</v>
      </c>
      <c r="D9" s="12" t="s">
        <v>48</v>
      </c>
    </row>
    <row r="10" spans="1:4">
      <c r="A10" s="1" t="s">
        <v>90</v>
      </c>
      <c r="D10" s="12" t="s">
        <v>49</v>
      </c>
    </row>
    <row r="11" spans="1:4">
      <c r="A11" s="1" t="s">
        <v>91</v>
      </c>
      <c r="D11" s="12" t="s">
        <v>50</v>
      </c>
    </row>
    <row r="12" spans="1:4">
      <c r="A12" s="1" t="s">
        <v>92</v>
      </c>
      <c r="D12" s="12" t="s">
        <v>51</v>
      </c>
    </row>
    <row r="13" spans="1:4">
      <c r="A13" s="1" t="s">
        <v>93</v>
      </c>
      <c r="D13" s="12" t="s">
        <v>52</v>
      </c>
    </row>
    <row r="14" spans="1:4">
      <c r="A14" s="1" t="s">
        <v>94</v>
      </c>
      <c r="D14" s="26" t="s">
        <v>53</v>
      </c>
    </row>
    <row r="15" spans="1:4">
      <c r="A15" s="1" t="s">
        <v>95</v>
      </c>
    </row>
    <row r="16" spans="1:4">
      <c r="A16" s="1" t="s">
        <v>96</v>
      </c>
    </row>
    <row r="17" spans="1:1">
      <c r="A17" s="1" t="s">
        <v>97</v>
      </c>
    </row>
    <row r="18" spans="1:1">
      <c r="A18" s="1" t="s">
        <v>98</v>
      </c>
    </row>
    <row r="19" spans="1:1">
      <c r="A19" s="1" t="s">
        <v>99</v>
      </c>
    </row>
    <row r="20" spans="1:1">
      <c r="A20" s="1" t="s">
        <v>100</v>
      </c>
    </row>
    <row r="21" spans="1:1">
      <c r="A21" s="1" t="s">
        <v>101</v>
      </c>
    </row>
    <row r="22" spans="1:1">
      <c r="A22" s="1" t="s">
        <v>102</v>
      </c>
    </row>
    <row r="23" spans="1:1">
      <c r="A23" s="1" t="s">
        <v>103</v>
      </c>
    </row>
    <row r="24" spans="1:1">
      <c r="A24" s="1" t="s">
        <v>104</v>
      </c>
    </row>
    <row r="25" spans="1:1">
      <c r="A25" s="1" t="s">
        <v>105</v>
      </c>
    </row>
    <row r="26" spans="1:1">
      <c r="A26" s="1" t="s">
        <v>106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1"/>
  <sheetViews>
    <sheetView topLeftCell="D1" workbookViewId="0">
      <selection activeCell="G4" sqref="G4:I141"/>
    </sheetView>
  </sheetViews>
  <sheetFormatPr baseColWidth="10" defaultRowHeight="14" x14ac:dyDescent="0"/>
  <cols>
    <col min="1" max="1" width="12.5" customWidth="1"/>
    <col min="2" max="2" width="12.83203125" customWidth="1"/>
    <col min="3" max="3" width="13.5" customWidth="1"/>
    <col min="4" max="4" width="12.5" customWidth="1"/>
    <col min="5" max="5" width="12.83203125" customWidth="1"/>
    <col min="6" max="6" width="13.5" customWidth="1"/>
    <col min="7" max="7" width="12.5" customWidth="1"/>
    <col min="8" max="8" width="12.83203125" customWidth="1"/>
    <col min="9" max="9" width="13.5" customWidth="1"/>
    <col min="10" max="10" width="12.5" customWidth="1"/>
    <col min="11" max="11" width="12.83203125" customWidth="1"/>
    <col min="12" max="12" width="13.5" customWidth="1"/>
    <col min="13" max="13" width="12.5" customWidth="1"/>
    <col min="14" max="14" width="12.83203125" customWidth="1"/>
    <col min="15" max="15" width="13.5" customWidth="1"/>
    <col min="16" max="16" width="12.5" customWidth="1"/>
    <col min="17" max="17" width="12.83203125" customWidth="1"/>
    <col min="18" max="18" width="13.5" customWidth="1"/>
    <col min="19" max="19" width="12.5" customWidth="1"/>
    <col min="20" max="20" width="12.83203125" customWidth="1"/>
    <col min="21" max="21" width="13.5" customWidth="1"/>
    <col min="22" max="22" width="12.5" customWidth="1"/>
    <col min="23" max="23" width="12.83203125" customWidth="1"/>
    <col min="24" max="24" width="13.5" customWidth="1"/>
    <col min="25" max="25" width="12.5" customWidth="1"/>
    <col min="26" max="26" width="12.83203125" customWidth="1"/>
    <col min="27" max="27" width="13.5" customWidth="1"/>
    <col min="28" max="28" width="12.5" customWidth="1"/>
    <col min="29" max="29" width="12.83203125" customWidth="1"/>
    <col min="30" max="30" width="13.5" customWidth="1"/>
    <col min="31" max="31" width="12.5" customWidth="1"/>
    <col min="32" max="32" width="12.83203125" customWidth="1"/>
    <col min="33" max="33" width="13.5" customWidth="1"/>
    <col min="34" max="34" width="12.5" customWidth="1"/>
    <col min="35" max="35" width="12.83203125" customWidth="1"/>
    <col min="36" max="36" width="13.5" customWidth="1"/>
    <col min="37" max="37" width="12.5" customWidth="1"/>
    <col min="38" max="38" width="12.83203125" customWidth="1"/>
    <col min="39" max="39" width="13.5" customWidth="1"/>
    <col min="40" max="40" width="12.5" customWidth="1"/>
    <col min="41" max="41" width="12.83203125" customWidth="1"/>
    <col min="42" max="42" width="13.5" customWidth="1"/>
  </cols>
  <sheetData>
    <row r="1" spans="1:42">
      <c r="A1" s="127" t="s">
        <v>41</v>
      </c>
      <c r="B1" s="127"/>
      <c r="C1" s="127"/>
      <c r="D1" s="127" t="s">
        <v>42</v>
      </c>
      <c r="E1" s="127"/>
      <c r="F1" s="127"/>
      <c r="G1" s="127" t="s">
        <v>43</v>
      </c>
      <c r="H1" s="127"/>
      <c r="I1" s="127"/>
      <c r="J1" s="127" t="s">
        <v>40</v>
      </c>
      <c r="K1" s="127"/>
      <c r="L1" s="127"/>
      <c r="M1" s="127" t="s">
        <v>44</v>
      </c>
      <c r="N1" s="127"/>
      <c r="O1" s="127"/>
      <c r="P1" s="127" t="s">
        <v>45</v>
      </c>
      <c r="Q1" s="127"/>
      <c r="R1" s="127"/>
      <c r="S1" s="127" t="s">
        <v>46</v>
      </c>
      <c r="T1" s="127"/>
      <c r="U1" s="127"/>
      <c r="V1" s="127" t="s">
        <v>47</v>
      </c>
      <c r="W1" s="127"/>
      <c r="X1" s="127"/>
      <c r="Y1" s="127" t="s">
        <v>48</v>
      </c>
      <c r="Z1" s="127"/>
      <c r="AA1" s="127"/>
      <c r="AB1" s="127" t="s">
        <v>49</v>
      </c>
      <c r="AC1" s="127"/>
      <c r="AD1" s="127"/>
      <c r="AE1" s="127" t="s">
        <v>50</v>
      </c>
      <c r="AF1" s="127"/>
      <c r="AG1" s="127"/>
      <c r="AH1" s="127" t="s">
        <v>51</v>
      </c>
      <c r="AI1" s="127"/>
      <c r="AJ1" s="127"/>
      <c r="AK1" s="127" t="s">
        <v>52</v>
      </c>
      <c r="AL1" s="127"/>
      <c r="AM1" s="127"/>
      <c r="AN1" s="127" t="s">
        <v>53</v>
      </c>
      <c r="AO1" s="127"/>
      <c r="AP1" s="127"/>
    </row>
    <row r="2" spans="1:42">
      <c r="A2" s="129" t="s">
        <v>166</v>
      </c>
      <c r="B2" s="129"/>
      <c r="C2" s="129"/>
      <c r="D2" s="128" t="s">
        <v>166</v>
      </c>
      <c r="E2" s="128"/>
      <c r="F2" s="128"/>
      <c r="G2" s="128" t="s">
        <v>166</v>
      </c>
      <c r="H2" s="128"/>
      <c r="I2" s="128"/>
      <c r="J2" s="128" t="s">
        <v>166</v>
      </c>
      <c r="K2" s="128"/>
      <c r="L2" s="128"/>
      <c r="M2" s="128" t="s">
        <v>166</v>
      </c>
      <c r="N2" s="128"/>
      <c r="O2" s="128"/>
      <c r="P2" s="128" t="s">
        <v>166</v>
      </c>
      <c r="Q2" s="128"/>
      <c r="R2" s="128"/>
      <c r="S2" s="128" t="s">
        <v>166</v>
      </c>
      <c r="T2" s="128"/>
      <c r="U2" s="128"/>
      <c r="V2" s="128" t="s">
        <v>166</v>
      </c>
      <c r="W2" s="128"/>
      <c r="X2" s="128"/>
      <c r="Y2" s="128" t="s">
        <v>166</v>
      </c>
      <c r="Z2" s="128"/>
      <c r="AA2" s="128"/>
      <c r="AB2" s="128" t="s">
        <v>166</v>
      </c>
      <c r="AC2" s="128"/>
      <c r="AD2" s="128"/>
      <c r="AE2" s="128" t="s">
        <v>166</v>
      </c>
      <c r="AF2" s="128"/>
      <c r="AG2" s="128"/>
      <c r="AH2" s="128" t="s">
        <v>166</v>
      </c>
      <c r="AI2" s="128"/>
      <c r="AJ2" s="128"/>
      <c r="AK2" s="128" t="s">
        <v>166</v>
      </c>
      <c r="AL2" s="128"/>
      <c r="AM2" s="128"/>
      <c r="AN2" s="128" t="s">
        <v>166</v>
      </c>
      <c r="AO2" s="128"/>
      <c r="AP2" s="128"/>
    </row>
    <row r="3" spans="1:42" ht="15" thickBot="1">
      <c r="A3" s="102" t="s">
        <v>121</v>
      </c>
      <c r="B3" s="98" t="s">
        <v>122</v>
      </c>
      <c r="C3" s="101" t="s">
        <v>123</v>
      </c>
      <c r="D3" s="102" t="s">
        <v>121</v>
      </c>
      <c r="E3" s="98" t="s">
        <v>122</v>
      </c>
      <c r="F3" s="101" t="s">
        <v>123</v>
      </c>
      <c r="G3" s="102" t="s">
        <v>121</v>
      </c>
      <c r="H3" s="98" t="s">
        <v>122</v>
      </c>
      <c r="I3" s="101" t="s">
        <v>123</v>
      </c>
      <c r="J3" s="102" t="s">
        <v>121</v>
      </c>
      <c r="K3" s="98" t="s">
        <v>122</v>
      </c>
      <c r="L3" s="101" t="s">
        <v>123</v>
      </c>
      <c r="M3" s="102" t="s">
        <v>121</v>
      </c>
      <c r="N3" s="98" t="s">
        <v>122</v>
      </c>
      <c r="O3" s="101" t="s">
        <v>123</v>
      </c>
      <c r="P3" s="102" t="s">
        <v>121</v>
      </c>
      <c r="Q3" s="98" t="s">
        <v>122</v>
      </c>
      <c r="R3" s="101" t="s">
        <v>123</v>
      </c>
      <c r="S3" s="102" t="s">
        <v>121</v>
      </c>
      <c r="T3" s="98" t="s">
        <v>122</v>
      </c>
      <c r="U3" s="101" t="s">
        <v>123</v>
      </c>
      <c r="V3" s="102" t="s">
        <v>121</v>
      </c>
      <c r="W3" s="98" t="s">
        <v>122</v>
      </c>
      <c r="X3" s="101" t="s">
        <v>123</v>
      </c>
      <c r="Y3" s="102" t="s">
        <v>121</v>
      </c>
      <c r="Z3" s="98" t="s">
        <v>122</v>
      </c>
      <c r="AA3" s="101" t="s">
        <v>123</v>
      </c>
      <c r="AB3" s="102" t="s">
        <v>121</v>
      </c>
      <c r="AC3" s="98" t="s">
        <v>122</v>
      </c>
      <c r="AD3" s="101" t="s">
        <v>123</v>
      </c>
      <c r="AE3" s="102" t="s">
        <v>121</v>
      </c>
      <c r="AF3" s="98" t="s">
        <v>122</v>
      </c>
      <c r="AG3" s="101" t="s">
        <v>123</v>
      </c>
      <c r="AH3" s="102" t="s">
        <v>121</v>
      </c>
      <c r="AI3" s="98" t="s">
        <v>122</v>
      </c>
      <c r="AJ3" s="101" t="s">
        <v>123</v>
      </c>
      <c r="AK3" s="102" t="s">
        <v>121</v>
      </c>
      <c r="AL3" s="98" t="s">
        <v>122</v>
      </c>
      <c r="AM3" s="101" t="s">
        <v>123</v>
      </c>
      <c r="AN3" s="102" t="s">
        <v>121</v>
      </c>
      <c r="AO3" s="98" t="s">
        <v>122</v>
      </c>
      <c r="AP3" s="101" t="s">
        <v>123</v>
      </c>
    </row>
    <row r="4" spans="1:42">
      <c r="A4" s="104"/>
      <c r="B4" s="99"/>
      <c r="C4" s="94"/>
      <c r="D4" s="104"/>
      <c r="E4" s="99"/>
      <c r="F4" s="94"/>
      <c r="G4" s="104"/>
      <c r="H4" s="99"/>
      <c r="I4" s="94"/>
      <c r="J4" s="104"/>
      <c r="K4" s="99"/>
      <c r="L4" s="94"/>
      <c r="M4" s="104"/>
      <c r="N4" s="99"/>
      <c r="O4" s="94"/>
      <c r="P4" s="104"/>
      <c r="Q4" s="99"/>
      <c r="R4" s="94"/>
      <c r="S4" s="104"/>
      <c r="T4" s="99"/>
      <c r="U4" s="94"/>
      <c r="V4" s="104"/>
      <c r="W4" s="99"/>
      <c r="X4" s="94"/>
      <c r="Y4" s="104"/>
      <c r="Z4" s="99"/>
      <c r="AA4" s="94"/>
      <c r="AB4" s="104"/>
      <c r="AC4" s="99"/>
      <c r="AD4" s="94"/>
      <c r="AE4" s="104"/>
      <c r="AF4" s="99"/>
      <c r="AG4" s="94"/>
      <c r="AH4" s="104"/>
      <c r="AI4" s="99"/>
      <c r="AJ4" s="94"/>
      <c r="AK4" s="104"/>
      <c r="AL4" s="99"/>
      <c r="AM4" s="94"/>
      <c r="AN4" s="104"/>
      <c r="AO4" s="99"/>
      <c r="AP4" s="94"/>
    </row>
    <row r="5" spans="1:42">
      <c r="A5" s="104"/>
      <c r="B5" s="99"/>
      <c r="C5" s="94"/>
      <c r="D5" s="104"/>
      <c r="E5" s="99"/>
      <c r="F5" s="94"/>
      <c r="G5" s="104"/>
      <c r="H5" s="99"/>
      <c r="I5" s="94"/>
      <c r="J5" s="104"/>
      <c r="K5" s="99"/>
      <c r="L5" s="94"/>
      <c r="M5" s="104"/>
      <c r="N5" s="99"/>
      <c r="O5" s="94"/>
      <c r="P5" s="104"/>
      <c r="Q5" s="99"/>
      <c r="R5" s="94"/>
      <c r="S5" s="104"/>
      <c r="T5" s="99"/>
      <c r="U5" s="94"/>
      <c r="V5" s="104"/>
      <c r="W5" s="99"/>
      <c r="X5" s="94"/>
      <c r="Y5" s="104"/>
      <c r="Z5" s="99"/>
      <c r="AA5" s="94"/>
      <c r="AB5" s="104"/>
      <c r="AC5" s="99"/>
      <c r="AD5" s="94"/>
      <c r="AE5" s="104"/>
      <c r="AF5" s="99"/>
      <c r="AG5" s="94"/>
      <c r="AH5" s="104"/>
      <c r="AI5" s="99"/>
      <c r="AJ5" s="94"/>
      <c r="AK5" s="104"/>
      <c r="AL5" s="99"/>
      <c r="AM5" s="94"/>
      <c r="AN5" s="104"/>
      <c r="AO5" s="99"/>
      <c r="AP5" s="94"/>
    </row>
    <row r="6" spans="1:42">
      <c r="A6" s="104"/>
      <c r="B6" s="99"/>
      <c r="C6" s="94"/>
      <c r="D6" s="104"/>
      <c r="E6" s="99"/>
      <c r="F6" s="94"/>
      <c r="G6" s="104"/>
      <c r="H6" s="99"/>
      <c r="I6" s="94"/>
      <c r="J6" s="104"/>
      <c r="K6" s="99"/>
      <c r="L6" s="94"/>
      <c r="M6" s="104"/>
      <c r="N6" s="99"/>
      <c r="O6" s="94"/>
      <c r="P6" s="104"/>
      <c r="Q6" s="99"/>
      <c r="R6" s="94"/>
      <c r="S6" s="104"/>
      <c r="T6" s="99"/>
      <c r="U6" s="94"/>
      <c r="V6" s="104"/>
      <c r="W6" s="99"/>
      <c r="X6" s="94"/>
      <c r="Y6" s="104"/>
      <c r="Z6" s="99"/>
      <c r="AA6" s="94"/>
      <c r="AB6" s="104"/>
      <c r="AC6" s="99"/>
      <c r="AD6" s="94"/>
      <c r="AE6" s="104"/>
      <c r="AF6" s="99"/>
      <c r="AG6" s="94"/>
      <c r="AH6" s="104"/>
      <c r="AI6" s="99"/>
      <c r="AJ6" s="94"/>
      <c r="AK6" s="104"/>
      <c r="AL6" s="99"/>
      <c r="AM6" s="94"/>
      <c r="AN6" s="104"/>
      <c r="AO6" s="99"/>
      <c r="AP6" s="94"/>
    </row>
    <row r="7" spans="1:42">
      <c r="A7" s="104"/>
      <c r="B7" s="99"/>
      <c r="C7" s="94"/>
      <c r="D7" s="104"/>
      <c r="E7" s="99"/>
      <c r="F7" s="94"/>
      <c r="G7" s="104"/>
      <c r="H7" s="99"/>
      <c r="I7" s="94"/>
      <c r="J7" s="104"/>
      <c r="K7" s="99"/>
      <c r="L7" s="94"/>
      <c r="M7" s="104"/>
      <c r="N7" s="99"/>
      <c r="O7" s="94"/>
      <c r="P7" s="104"/>
      <c r="Q7" s="99"/>
      <c r="R7" s="94"/>
      <c r="S7" s="104"/>
      <c r="T7" s="99"/>
      <c r="U7" s="94"/>
      <c r="V7" s="104"/>
      <c r="W7" s="99"/>
      <c r="X7" s="94"/>
      <c r="Y7" s="104"/>
      <c r="Z7" s="99"/>
      <c r="AA7" s="94"/>
      <c r="AB7" s="104"/>
      <c r="AC7" s="99"/>
      <c r="AD7" s="94"/>
      <c r="AE7" s="104"/>
      <c r="AF7" s="99"/>
      <c r="AG7" s="94"/>
      <c r="AH7" s="104"/>
      <c r="AI7" s="99"/>
      <c r="AJ7" s="94"/>
      <c r="AK7" s="104"/>
      <c r="AL7" s="99"/>
      <c r="AM7" s="94"/>
      <c r="AN7" s="104"/>
      <c r="AO7" s="99"/>
      <c r="AP7" s="94"/>
    </row>
    <row r="8" spans="1:42">
      <c r="A8" s="104"/>
      <c r="B8" s="99"/>
      <c r="C8" s="94"/>
      <c r="D8" s="104"/>
      <c r="E8" s="99"/>
      <c r="F8" s="94"/>
      <c r="G8" s="104"/>
      <c r="H8" s="99"/>
      <c r="I8" s="94"/>
      <c r="J8" s="104"/>
      <c r="K8" s="99"/>
      <c r="L8" s="94"/>
      <c r="M8" s="104"/>
      <c r="N8" s="99"/>
      <c r="O8" s="94"/>
      <c r="P8" s="104"/>
      <c r="Q8" s="99"/>
      <c r="R8" s="94"/>
      <c r="S8" s="104"/>
      <c r="T8" s="99"/>
      <c r="U8" s="94"/>
      <c r="V8" s="104"/>
      <c r="W8" s="99"/>
      <c r="X8" s="94"/>
      <c r="Y8" s="104"/>
      <c r="Z8" s="99"/>
      <c r="AA8" s="94"/>
      <c r="AB8" s="104"/>
      <c r="AC8" s="99"/>
      <c r="AD8" s="94"/>
      <c r="AE8" s="104"/>
      <c r="AF8" s="99"/>
      <c r="AG8" s="94"/>
      <c r="AH8" s="104"/>
      <c r="AI8" s="99"/>
      <c r="AJ8" s="94"/>
      <c r="AK8" s="104"/>
      <c r="AL8" s="99"/>
      <c r="AM8" s="94"/>
      <c r="AN8" s="104"/>
      <c r="AO8" s="99"/>
      <c r="AP8" s="94"/>
    </row>
    <row r="9" spans="1:42">
      <c r="A9" s="104"/>
      <c r="B9" s="99"/>
      <c r="C9" s="94"/>
      <c r="D9" s="104"/>
      <c r="E9" s="99"/>
      <c r="F9" s="94"/>
      <c r="G9" s="104"/>
      <c r="H9" s="99"/>
      <c r="I9" s="94"/>
      <c r="J9" s="104"/>
      <c r="K9" s="99"/>
      <c r="L9" s="94"/>
      <c r="M9" s="104"/>
      <c r="N9" s="99"/>
      <c r="O9" s="94"/>
      <c r="P9" s="104"/>
      <c r="Q9" s="99"/>
      <c r="R9" s="94"/>
      <c r="S9" s="104"/>
      <c r="T9" s="99"/>
      <c r="U9" s="94"/>
      <c r="V9" s="104"/>
      <c r="W9" s="99"/>
      <c r="X9" s="94"/>
      <c r="Y9" s="104"/>
      <c r="Z9" s="99"/>
      <c r="AA9" s="94"/>
      <c r="AB9" s="104"/>
      <c r="AC9" s="99"/>
      <c r="AD9" s="94"/>
      <c r="AE9" s="104"/>
      <c r="AF9" s="99"/>
      <c r="AG9" s="94"/>
      <c r="AH9" s="104"/>
      <c r="AI9" s="99"/>
      <c r="AJ9" s="94"/>
      <c r="AK9" s="104"/>
      <c r="AL9" s="99"/>
      <c r="AM9" s="94"/>
      <c r="AN9" s="104"/>
      <c r="AO9" s="99"/>
      <c r="AP9" s="94"/>
    </row>
    <row r="10" spans="1:42">
      <c r="A10" s="104"/>
      <c r="B10" s="99"/>
      <c r="C10" s="94"/>
      <c r="D10" s="104"/>
      <c r="E10" s="99"/>
      <c r="F10" s="94"/>
      <c r="G10" s="104"/>
      <c r="H10" s="99"/>
      <c r="I10" s="94"/>
      <c r="J10" s="104"/>
      <c r="K10" s="99"/>
      <c r="L10" s="94"/>
      <c r="M10" s="104"/>
      <c r="N10" s="99"/>
      <c r="O10" s="94"/>
      <c r="P10" s="104"/>
      <c r="Q10" s="99"/>
      <c r="R10" s="94"/>
      <c r="S10" s="104"/>
      <c r="T10" s="99"/>
      <c r="U10" s="94"/>
      <c r="V10" s="104"/>
      <c r="W10" s="99"/>
      <c r="X10" s="94"/>
      <c r="Y10" s="104"/>
      <c r="Z10" s="99"/>
      <c r="AA10" s="94"/>
      <c r="AB10" s="104"/>
      <c r="AC10" s="99"/>
      <c r="AD10" s="94"/>
      <c r="AE10" s="104"/>
      <c r="AF10" s="99"/>
      <c r="AG10" s="94"/>
      <c r="AH10" s="104"/>
      <c r="AI10" s="99"/>
      <c r="AJ10" s="94"/>
      <c r="AK10" s="104"/>
      <c r="AL10" s="99"/>
      <c r="AM10" s="94"/>
      <c r="AN10" s="104"/>
      <c r="AO10" s="99"/>
      <c r="AP10" s="94"/>
    </row>
    <row r="11" spans="1:42">
      <c r="A11" s="104"/>
      <c r="B11" s="99"/>
      <c r="C11" s="94"/>
      <c r="D11" s="104"/>
      <c r="E11" s="99"/>
      <c r="F11" s="94"/>
      <c r="G11" s="104"/>
      <c r="H11" s="99"/>
      <c r="I11" s="94"/>
      <c r="J11" s="104"/>
      <c r="K11" s="99"/>
      <c r="L11" s="94"/>
      <c r="M11" s="104"/>
      <c r="N11" s="99"/>
      <c r="O11" s="94"/>
      <c r="P11" s="104"/>
      <c r="Q11" s="99"/>
      <c r="R11" s="94"/>
      <c r="S11" s="104"/>
      <c r="T11" s="99"/>
      <c r="U11" s="94"/>
      <c r="V11" s="104"/>
      <c r="W11" s="99"/>
      <c r="X11" s="94"/>
      <c r="Y11" s="104"/>
      <c r="Z11" s="99"/>
      <c r="AA11" s="94"/>
      <c r="AB11" s="104"/>
      <c r="AC11" s="99"/>
      <c r="AD11" s="94"/>
      <c r="AE11" s="104"/>
      <c r="AF11" s="99"/>
      <c r="AG11" s="94"/>
      <c r="AH11" s="104"/>
      <c r="AI11" s="99"/>
      <c r="AJ11" s="94"/>
      <c r="AK11" s="104"/>
      <c r="AL11" s="99"/>
      <c r="AM11" s="94"/>
      <c r="AN11" s="104"/>
      <c r="AO11" s="99"/>
      <c r="AP11" s="94"/>
    </row>
    <row r="12" spans="1:42">
      <c r="A12" s="104"/>
      <c r="B12" s="99"/>
      <c r="C12" s="94"/>
      <c r="D12" s="104"/>
      <c r="E12" s="99"/>
      <c r="F12" s="94"/>
      <c r="G12" s="104"/>
      <c r="H12" s="99"/>
      <c r="I12" s="94"/>
      <c r="J12" s="104"/>
      <c r="K12" s="99"/>
      <c r="L12" s="94"/>
      <c r="M12" s="104"/>
      <c r="N12" s="99"/>
      <c r="O12" s="94"/>
      <c r="P12" s="104"/>
      <c r="Q12" s="99"/>
      <c r="R12" s="94"/>
      <c r="S12" s="104"/>
      <c r="T12" s="99"/>
      <c r="U12" s="94"/>
      <c r="V12" s="104"/>
      <c r="W12" s="99"/>
      <c r="X12" s="94"/>
      <c r="Y12" s="104"/>
      <c r="Z12" s="99"/>
      <c r="AA12" s="94"/>
      <c r="AB12" s="104"/>
      <c r="AC12" s="99"/>
      <c r="AD12" s="94"/>
      <c r="AE12" s="104"/>
      <c r="AF12" s="99"/>
      <c r="AG12" s="94"/>
      <c r="AH12" s="104"/>
      <c r="AI12" s="99"/>
      <c r="AJ12" s="94"/>
      <c r="AK12" s="104"/>
      <c r="AL12" s="99"/>
      <c r="AM12" s="94"/>
      <c r="AN12" s="104"/>
      <c r="AO12" s="99"/>
      <c r="AP12" s="94"/>
    </row>
    <row r="13" spans="1:42">
      <c r="A13" s="104"/>
      <c r="B13" s="99"/>
      <c r="C13" s="94"/>
      <c r="D13" s="104"/>
      <c r="E13" s="99"/>
      <c r="F13" s="94"/>
      <c r="G13" s="104"/>
      <c r="H13" s="99"/>
      <c r="I13" s="94"/>
      <c r="J13" s="104"/>
      <c r="K13" s="99"/>
      <c r="L13" s="94"/>
      <c r="M13" s="104"/>
      <c r="N13" s="99"/>
      <c r="O13" s="94"/>
      <c r="P13" s="104"/>
      <c r="Q13" s="99"/>
      <c r="R13" s="94"/>
      <c r="S13" s="104"/>
      <c r="T13" s="99"/>
      <c r="U13" s="94"/>
      <c r="V13" s="104"/>
      <c r="W13" s="99"/>
      <c r="X13" s="94"/>
      <c r="Y13" s="104"/>
      <c r="Z13" s="99"/>
      <c r="AA13" s="94"/>
      <c r="AB13" s="104"/>
      <c r="AC13" s="99"/>
      <c r="AD13" s="94"/>
      <c r="AE13" s="104"/>
      <c r="AF13" s="99"/>
      <c r="AG13" s="94"/>
      <c r="AH13" s="104"/>
      <c r="AI13" s="99"/>
      <c r="AJ13" s="94"/>
      <c r="AK13" s="104"/>
      <c r="AL13" s="99"/>
      <c r="AM13" s="94"/>
      <c r="AN13" s="104"/>
      <c r="AO13" s="99"/>
      <c r="AP13" s="94"/>
    </row>
    <row r="14" spans="1:42">
      <c r="A14" s="104"/>
      <c r="B14" s="99"/>
      <c r="C14" s="94"/>
      <c r="D14" s="104"/>
      <c r="E14" s="99"/>
      <c r="F14" s="94"/>
      <c r="G14" s="104"/>
      <c r="H14" s="99"/>
      <c r="I14" s="94"/>
      <c r="J14" s="104"/>
      <c r="K14" s="99"/>
      <c r="L14" s="94"/>
      <c r="M14" s="104"/>
      <c r="N14" s="99"/>
      <c r="O14" s="94"/>
      <c r="P14" s="104"/>
      <c r="Q14" s="99"/>
      <c r="R14" s="94"/>
      <c r="S14" s="104"/>
      <c r="T14" s="99"/>
      <c r="U14" s="94"/>
      <c r="V14" s="104"/>
      <c r="W14" s="99"/>
      <c r="X14" s="94"/>
      <c r="Y14" s="104"/>
      <c r="Z14" s="99"/>
      <c r="AA14" s="94"/>
      <c r="AB14" s="104"/>
      <c r="AC14" s="99"/>
      <c r="AD14" s="94"/>
      <c r="AE14" s="104"/>
      <c r="AF14" s="99"/>
      <c r="AG14" s="94"/>
      <c r="AH14" s="104"/>
      <c r="AI14" s="99"/>
      <c r="AJ14" s="94"/>
      <c r="AK14" s="104"/>
      <c r="AL14" s="99"/>
      <c r="AM14" s="94"/>
      <c r="AN14" s="104"/>
      <c r="AO14" s="99"/>
      <c r="AP14" s="94"/>
    </row>
    <row r="15" spans="1:42">
      <c r="A15" s="104"/>
      <c r="B15" s="99"/>
      <c r="C15" s="94"/>
      <c r="D15" s="104"/>
      <c r="E15" s="99"/>
      <c r="F15" s="94"/>
      <c r="G15" s="104"/>
      <c r="H15" s="99"/>
      <c r="I15" s="94"/>
      <c r="J15" s="104"/>
      <c r="K15" s="99"/>
      <c r="L15" s="94"/>
      <c r="M15" s="104"/>
      <c r="N15" s="99"/>
      <c r="O15" s="94"/>
      <c r="P15" s="104"/>
      <c r="Q15" s="99"/>
      <c r="R15" s="94"/>
      <c r="S15" s="104"/>
      <c r="T15" s="99"/>
      <c r="U15" s="94"/>
      <c r="V15" s="104"/>
      <c r="W15" s="99"/>
      <c r="X15" s="94"/>
      <c r="Y15" s="104"/>
      <c r="Z15" s="99"/>
      <c r="AA15" s="94"/>
      <c r="AB15" s="104"/>
      <c r="AC15" s="99"/>
      <c r="AD15" s="94"/>
      <c r="AE15" s="104"/>
      <c r="AF15" s="99"/>
      <c r="AG15" s="94"/>
      <c r="AH15" s="104"/>
      <c r="AI15" s="99"/>
      <c r="AJ15" s="94"/>
      <c r="AK15" s="104"/>
      <c r="AL15" s="99"/>
      <c r="AM15" s="94"/>
      <c r="AN15" s="104"/>
      <c r="AO15" s="99"/>
      <c r="AP15" s="94"/>
    </row>
    <row r="16" spans="1:42">
      <c r="A16" s="104"/>
      <c r="B16" s="99"/>
      <c r="C16" s="94"/>
      <c r="D16" s="104"/>
      <c r="E16" s="99"/>
      <c r="F16" s="94"/>
      <c r="G16" s="104"/>
      <c r="H16" s="99"/>
      <c r="I16" s="94"/>
      <c r="J16" s="104"/>
      <c r="K16" s="99"/>
      <c r="L16" s="94"/>
      <c r="M16" s="104"/>
      <c r="N16" s="99"/>
      <c r="O16" s="94"/>
      <c r="P16" s="104"/>
      <c r="Q16" s="99"/>
      <c r="R16" s="94"/>
      <c r="S16" s="104"/>
      <c r="T16" s="99"/>
      <c r="U16" s="94"/>
      <c r="V16" s="104"/>
      <c r="W16" s="99"/>
      <c r="X16" s="94"/>
      <c r="Y16" s="104"/>
      <c r="Z16" s="99"/>
      <c r="AA16" s="94"/>
      <c r="AB16" s="104"/>
      <c r="AC16" s="99"/>
      <c r="AD16" s="94"/>
      <c r="AE16" s="104"/>
      <c r="AF16" s="99"/>
      <c r="AG16" s="94"/>
      <c r="AH16" s="104"/>
      <c r="AI16" s="99"/>
      <c r="AJ16" s="94"/>
      <c r="AK16" s="104"/>
      <c r="AL16" s="99"/>
      <c r="AM16" s="94"/>
      <c r="AN16" s="104"/>
      <c r="AO16" s="99"/>
      <c r="AP16" s="94"/>
    </row>
    <row r="17" spans="1:42">
      <c r="A17" s="104"/>
      <c r="B17" s="99"/>
      <c r="C17" s="94"/>
      <c r="D17" s="104"/>
      <c r="E17" s="99"/>
      <c r="F17" s="94"/>
      <c r="G17" s="104"/>
      <c r="H17" s="99"/>
      <c r="I17" s="94"/>
      <c r="J17" s="104"/>
      <c r="K17" s="99"/>
      <c r="L17" s="94"/>
      <c r="M17" s="104"/>
      <c r="N17" s="99"/>
      <c r="O17" s="94"/>
      <c r="P17" s="104"/>
      <c r="Q17" s="99"/>
      <c r="R17" s="94"/>
      <c r="S17" s="104"/>
      <c r="T17" s="99"/>
      <c r="U17" s="94"/>
      <c r="V17" s="104"/>
      <c r="W17" s="99"/>
      <c r="X17" s="94"/>
      <c r="Y17" s="104"/>
      <c r="Z17" s="99"/>
      <c r="AA17" s="94"/>
      <c r="AB17" s="104"/>
      <c r="AC17" s="99"/>
      <c r="AD17" s="94"/>
      <c r="AE17" s="104"/>
      <c r="AF17" s="99"/>
      <c r="AG17" s="94"/>
      <c r="AH17" s="104"/>
      <c r="AI17" s="99"/>
      <c r="AJ17" s="94"/>
      <c r="AK17" s="104"/>
      <c r="AL17" s="99"/>
      <c r="AM17" s="94"/>
      <c r="AN17" s="104"/>
      <c r="AO17" s="99"/>
      <c r="AP17" s="94"/>
    </row>
    <row r="18" spans="1:42">
      <c r="A18" s="104"/>
      <c r="B18" s="99"/>
      <c r="C18" s="94"/>
      <c r="D18" s="104"/>
      <c r="E18" s="99"/>
      <c r="F18" s="94"/>
      <c r="G18" s="104"/>
      <c r="H18" s="99"/>
      <c r="I18" s="94"/>
      <c r="J18" s="104"/>
      <c r="K18" s="99"/>
      <c r="L18" s="94"/>
      <c r="M18" s="104"/>
      <c r="N18" s="99"/>
      <c r="O18" s="94"/>
      <c r="P18" s="104"/>
      <c r="Q18" s="99"/>
      <c r="R18" s="94"/>
      <c r="S18" s="104"/>
      <c r="T18" s="99"/>
      <c r="U18" s="94"/>
      <c r="V18" s="104"/>
      <c r="W18" s="99"/>
      <c r="X18" s="94"/>
      <c r="Y18" s="104"/>
      <c r="Z18" s="99"/>
      <c r="AA18" s="94"/>
      <c r="AB18" s="104"/>
      <c r="AC18" s="99"/>
      <c r="AD18" s="94"/>
      <c r="AE18" s="104"/>
      <c r="AF18" s="99"/>
      <c r="AG18" s="94"/>
      <c r="AH18" s="104"/>
      <c r="AI18" s="99"/>
      <c r="AJ18" s="94"/>
      <c r="AK18" s="104"/>
      <c r="AL18" s="99"/>
      <c r="AM18" s="94"/>
      <c r="AN18" s="104"/>
      <c r="AO18" s="99"/>
      <c r="AP18" s="94"/>
    </row>
    <row r="19" spans="1:42">
      <c r="A19" s="104"/>
      <c r="B19" s="99"/>
      <c r="C19" s="94"/>
      <c r="D19" s="104"/>
      <c r="E19" s="99"/>
      <c r="F19" s="94"/>
      <c r="G19" s="104"/>
      <c r="H19" s="99"/>
      <c r="I19" s="94"/>
      <c r="J19" s="104"/>
      <c r="K19" s="99"/>
      <c r="L19" s="94"/>
      <c r="M19" s="104"/>
      <c r="N19" s="99"/>
      <c r="O19" s="94"/>
      <c r="P19" s="104"/>
      <c r="Q19" s="99"/>
      <c r="R19" s="94"/>
      <c r="S19" s="104"/>
      <c r="T19" s="99"/>
      <c r="U19" s="94"/>
      <c r="V19" s="104"/>
      <c r="W19" s="99"/>
      <c r="X19" s="94"/>
      <c r="Y19" s="104"/>
      <c r="Z19" s="99"/>
      <c r="AA19" s="94"/>
      <c r="AB19" s="104"/>
      <c r="AC19" s="99"/>
      <c r="AD19" s="94"/>
      <c r="AE19" s="104"/>
      <c r="AF19" s="99"/>
      <c r="AG19" s="94"/>
      <c r="AH19" s="104"/>
      <c r="AI19" s="99"/>
      <c r="AJ19" s="94"/>
      <c r="AK19" s="104"/>
      <c r="AL19" s="99"/>
      <c r="AM19" s="94"/>
      <c r="AN19" s="104"/>
      <c r="AO19" s="99"/>
      <c r="AP19" s="94"/>
    </row>
    <row r="20" spans="1:42">
      <c r="A20" s="104"/>
      <c r="B20" s="99"/>
      <c r="C20" s="94"/>
      <c r="D20" s="104"/>
      <c r="E20" s="99"/>
      <c r="F20" s="94"/>
      <c r="G20" s="104"/>
      <c r="H20" s="99"/>
      <c r="I20" s="94"/>
      <c r="J20" s="104"/>
      <c r="K20" s="99"/>
      <c r="L20" s="94"/>
      <c r="M20" s="104"/>
      <c r="N20" s="99"/>
      <c r="O20" s="94"/>
      <c r="P20" s="104"/>
      <c r="Q20" s="99"/>
      <c r="R20" s="94"/>
      <c r="S20" s="104"/>
      <c r="T20" s="99"/>
      <c r="U20" s="94"/>
      <c r="V20" s="104"/>
      <c r="W20" s="99"/>
      <c r="X20" s="94"/>
      <c r="Y20" s="104"/>
      <c r="Z20" s="99"/>
      <c r="AA20" s="94"/>
      <c r="AB20" s="104"/>
      <c r="AC20" s="99"/>
      <c r="AD20" s="94"/>
      <c r="AE20" s="104"/>
      <c r="AF20" s="99"/>
      <c r="AG20" s="94"/>
      <c r="AH20" s="104"/>
      <c r="AI20" s="99"/>
      <c r="AJ20" s="94"/>
      <c r="AK20" s="104"/>
      <c r="AL20" s="99"/>
      <c r="AM20" s="94"/>
      <c r="AN20" s="104"/>
      <c r="AO20" s="99"/>
      <c r="AP20" s="94"/>
    </row>
    <row r="21" spans="1:42">
      <c r="A21" s="104"/>
      <c r="B21" s="99"/>
      <c r="C21" s="94"/>
      <c r="D21" s="104"/>
      <c r="E21" s="99"/>
      <c r="F21" s="94"/>
      <c r="G21" s="104"/>
      <c r="H21" s="99"/>
      <c r="I21" s="94"/>
      <c r="J21" s="104"/>
      <c r="K21" s="99"/>
      <c r="L21" s="94"/>
      <c r="M21" s="104"/>
      <c r="N21" s="99"/>
      <c r="O21" s="94"/>
      <c r="P21" s="104"/>
      <c r="Q21" s="99"/>
      <c r="R21" s="94"/>
      <c r="S21" s="104"/>
      <c r="T21" s="99"/>
      <c r="U21" s="94"/>
      <c r="V21" s="104"/>
      <c r="W21" s="99"/>
      <c r="X21" s="94"/>
      <c r="Y21" s="104"/>
      <c r="Z21" s="99"/>
      <c r="AA21" s="94"/>
      <c r="AB21" s="104"/>
      <c r="AC21" s="99"/>
      <c r="AD21" s="94"/>
      <c r="AE21" s="104"/>
      <c r="AF21" s="99"/>
      <c r="AG21" s="94"/>
      <c r="AH21" s="104"/>
      <c r="AI21" s="99"/>
      <c r="AJ21" s="94"/>
      <c r="AK21" s="104"/>
      <c r="AL21" s="99"/>
      <c r="AM21" s="94"/>
      <c r="AN21" s="104"/>
      <c r="AO21" s="99"/>
      <c r="AP21" s="94"/>
    </row>
    <row r="22" spans="1:42">
      <c r="A22" s="104"/>
      <c r="B22" s="99"/>
      <c r="C22" s="94"/>
      <c r="D22" s="104"/>
      <c r="E22" s="99"/>
      <c r="F22" s="94"/>
      <c r="G22" s="104"/>
      <c r="H22" s="99"/>
      <c r="I22" s="94"/>
      <c r="J22" s="104"/>
      <c r="K22" s="99"/>
      <c r="L22" s="94"/>
      <c r="M22" s="104"/>
      <c r="N22" s="99"/>
      <c r="O22" s="94"/>
      <c r="P22" s="104"/>
      <c r="Q22" s="99"/>
      <c r="R22" s="94"/>
      <c r="S22" s="104"/>
      <c r="T22" s="99"/>
      <c r="U22" s="94"/>
      <c r="V22" s="104"/>
      <c r="W22" s="99"/>
      <c r="X22" s="94"/>
      <c r="Y22" s="104"/>
      <c r="Z22" s="99"/>
      <c r="AA22" s="94"/>
      <c r="AB22" s="104"/>
      <c r="AC22" s="99"/>
      <c r="AD22" s="94"/>
      <c r="AE22" s="104"/>
      <c r="AF22" s="99"/>
      <c r="AG22" s="94"/>
      <c r="AH22" s="104"/>
      <c r="AI22" s="99"/>
      <c r="AJ22" s="94"/>
      <c r="AK22" s="104"/>
      <c r="AL22" s="99"/>
      <c r="AM22" s="94"/>
      <c r="AN22" s="104"/>
      <c r="AO22" s="99"/>
      <c r="AP22" s="94"/>
    </row>
    <row r="23" spans="1:42">
      <c r="A23" s="104"/>
      <c r="B23" s="99"/>
      <c r="C23" s="94"/>
      <c r="D23" s="104"/>
      <c r="E23" s="99"/>
      <c r="F23" s="94"/>
      <c r="G23" s="104"/>
      <c r="H23" s="99"/>
      <c r="I23" s="94"/>
      <c r="J23" s="104"/>
      <c r="K23" s="99"/>
      <c r="L23" s="94"/>
      <c r="M23" s="104"/>
      <c r="N23" s="99"/>
      <c r="O23" s="94"/>
      <c r="P23" s="104"/>
      <c r="Q23" s="99"/>
      <c r="R23" s="94"/>
      <c r="S23" s="104"/>
      <c r="T23" s="99"/>
      <c r="U23" s="94"/>
      <c r="V23" s="104"/>
      <c r="W23" s="99"/>
      <c r="X23" s="94"/>
      <c r="Y23" s="104"/>
      <c r="Z23" s="99"/>
      <c r="AA23" s="94"/>
      <c r="AB23" s="104"/>
      <c r="AC23" s="99"/>
      <c r="AD23" s="94"/>
      <c r="AE23" s="104"/>
      <c r="AF23" s="99"/>
      <c r="AG23" s="94"/>
      <c r="AH23" s="104"/>
      <c r="AI23" s="99"/>
      <c r="AJ23" s="94"/>
      <c r="AK23" s="104"/>
      <c r="AL23" s="99"/>
      <c r="AM23" s="94"/>
      <c r="AN23" s="104"/>
      <c r="AO23" s="99"/>
      <c r="AP23" s="94"/>
    </row>
    <row r="24" spans="1:42">
      <c r="A24" s="104"/>
      <c r="B24" s="99"/>
      <c r="C24" s="94"/>
      <c r="D24" s="104"/>
      <c r="E24" s="99"/>
      <c r="F24" s="94"/>
      <c r="G24" s="104"/>
      <c r="H24" s="99"/>
      <c r="I24" s="94"/>
      <c r="J24" s="104"/>
      <c r="K24" s="99"/>
      <c r="L24" s="94"/>
      <c r="M24" s="104"/>
      <c r="N24" s="99"/>
      <c r="O24" s="94"/>
      <c r="P24" s="104"/>
      <c r="Q24" s="99"/>
      <c r="R24" s="94"/>
      <c r="S24" s="104"/>
      <c r="T24" s="99"/>
      <c r="U24" s="94"/>
      <c r="V24" s="104"/>
      <c r="W24" s="99"/>
      <c r="X24" s="94"/>
      <c r="Y24" s="104"/>
      <c r="Z24" s="99"/>
      <c r="AA24" s="94"/>
      <c r="AB24" s="104"/>
      <c r="AC24" s="99"/>
      <c r="AD24" s="94"/>
      <c r="AE24" s="104"/>
      <c r="AF24" s="99"/>
      <c r="AG24" s="94"/>
      <c r="AH24" s="104"/>
      <c r="AI24" s="99"/>
      <c r="AJ24" s="94"/>
      <c r="AK24" s="104"/>
      <c r="AL24" s="99"/>
      <c r="AM24" s="94"/>
      <c r="AN24" s="104"/>
      <c r="AO24" s="99"/>
      <c r="AP24" s="94"/>
    </row>
    <row r="25" spans="1:42">
      <c r="A25" s="104"/>
      <c r="B25" s="99"/>
      <c r="C25" s="94"/>
      <c r="D25" s="104"/>
      <c r="E25" s="99"/>
      <c r="F25" s="94"/>
      <c r="G25" s="104"/>
      <c r="H25" s="99"/>
      <c r="I25" s="94"/>
      <c r="J25" s="104"/>
      <c r="K25" s="99"/>
      <c r="L25" s="94"/>
      <c r="M25" s="104"/>
      <c r="N25" s="99"/>
      <c r="O25" s="94"/>
      <c r="P25" s="104"/>
      <c r="Q25" s="99"/>
      <c r="R25" s="94"/>
      <c r="S25" s="104"/>
      <c r="T25" s="99"/>
      <c r="U25" s="94"/>
      <c r="V25" s="104"/>
      <c r="W25" s="99"/>
      <c r="X25" s="94"/>
      <c r="Y25" s="104"/>
      <c r="Z25" s="99"/>
      <c r="AA25" s="94"/>
      <c r="AB25" s="104"/>
      <c r="AC25" s="99"/>
      <c r="AD25" s="94"/>
      <c r="AE25" s="104"/>
      <c r="AF25" s="99"/>
      <c r="AG25" s="94"/>
      <c r="AH25" s="104"/>
      <c r="AI25" s="99"/>
      <c r="AJ25" s="94"/>
      <c r="AK25" s="104"/>
      <c r="AL25" s="99"/>
      <c r="AM25" s="94"/>
      <c r="AN25" s="104"/>
      <c r="AO25" s="99"/>
      <c r="AP25" s="94"/>
    </row>
    <row r="26" spans="1:42">
      <c r="A26" s="104"/>
      <c r="B26" s="99"/>
      <c r="C26" s="94"/>
      <c r="D26" s="104"/>
      <c r="E26" s="99"/>
      <c r="F26" s="94"/>
      <c r="G26" s="104"/>
      <c r="H26" s="99"/>
      <c r="I26" s="94"/>
      <c r="J26" s="104"/>
      <c r="K26" s="99"/>
      <c r="L26" s="94"/>
      <c r="M26" s="104"/>
      <c r="N26" s="99"/>
      <c r="O26" s="94"/>
      <c r="P26" s="104"/>
      <c r="Q26" s="99"/>
      <c r="R26" s="94"/>
      <c r="S26" s="104"/>
      <c r="T26" s="99"/>
      <c r="U26" s="94"/>
      <c r="V26" s="104"/>
      <c r="W26" s="99"/>
      <c r="X26" s="94"/>
      <c r="Y26" s="104"/>
      <c r="Z26" s="99"/>
      <c r="AA26" s="94"/>
      <c r="AB26" s="104"/>
      <c r="AC26" s="99"/>
      <c r="AD26" s="94"/>
      <c r="AE26" s="104"/>
      <c r="AF26" s="99"/>
      <c r="AG26" s="94"/>
      <c r="AH26" s="104"/>
      <c r="AI26" s="99"/>
      <c r="AJ26" s="94"/>
      <c r="AK26" s="104"/>
      <c r="AL26" s="99"/>
      <c r="AM26" s="94"/>
      <c r="AN26" s="104"/>
      <c r="AO26" s="99"/>
      <c r="AP26" s="94"/>
    </row>
    <row r="27" spans="1:42">
      <c r="A27" s="104"/>
      <c r="B27" s="99"/>
      <c r="C27" s="94"/>
      <c r="D27" s="104"/>
      <c r="E27" s="99"/>
      <c r="F27" s="94"/>
      <c r="G27" s="104"/>
      <c r="H27" s="99"/>
      <c r="I27" s="94"/>
      <c r="J27" s="104"/>
      <c r="K27" s="99"/>
      <c r="L27" s="94"/>
      <c r="M27" s="104"/>
      <c r="N27" s="99"/>
      <c r="O27" s="94"/>
      <c r="P27" s="104"/>
      <c r="Q27" s="99"/>
      <c r="R27" s="94"/>
      <c r="S27" s="104"/>
      <c r="T27" s="99"/>
      <c r="U27" s="94"/>
      <c r="V27" s="104"/>
      <c r="W27" s="99"/>
      <c r="X27" s="94"/>
      <c r="Y27" s="104"/>
      <c r="Z27" s="99"/>
      <c r="AA27" s="94"/>
      <c r="AB27" s="104"/>
      <c r="AC27" s="99"/>
      <c r="AD27" s="94"/>
      <c r="AE27" s="104"/>
      <c r="AF27" s="99"/>
      <c r="AG27" s="94"/>
      <c r="AH27" s="104"/>
      <c r="AI27" s="99"/>
      <c r="AJ27" s="94"/>
      <c r="AK27" s="104"/>
      <c r="AL27" s="99"/>
      <c r="AM27" s="94"/>
      <c r="AN27" s="104"/>
      <c r="AO27" s="99"/>
      <c r="AP27" s="94"/>
    </row>
    <row r="28" spans="1:42">
      <c r="A28" s="104"/>
      <c r="B28" s="99"/>
      <c r="C28" s="94"/>
      <c r="D28" s="104"/>
      <c r="E28" s="99"/>
      <c r="F28" s="94"/>
      <c r="G28" s="104"/>
      <c r="H28" s="99"/>
      <c r="I28" s="94"/>
      <c r="J28" s="104"/>
      <c r="K28" s="99"/>
      <c r="L28" s="94"/>
      <c r="M28" s="104"/>
      <c r="N28" s="99"/>
      <c r="O28" s="94"/>
      <c r="P28" s="104"/>
      <c r="Q28" s="99"/>
      <c r="R28" s="94"/>
      <c r="S28" s="104"/>
      <c r="T28" s="99"/>
      <c r="U28" s="94"/>
      <c r="V28" s="104"/>
      <c r="W28" s="99"/>
      <c r="X28" s="94"/>
      <c r="Y28" s="104"/>
      <c r="Z28" s="99"/>
      <c r="AA28" s="94"/>
      <c r="AB28" s="104"/>
      <c r="AC28" s="99"/>
      <c r="AD28" s="94"/>
      <c r="AE28" s="104"/>
      <c r="AF28" s="99"/>
      <c r="AG28" s="94"/>
      <c r="AH28" s="104"/>
      <c r="AI28" s="99"/>
      <c r="AJ28" s="94"/>
      <c r="AK28" s="104"/>
      <c r="AL28" s="99"/>
      <c r="AM28" s="94"/>
      <c r="AN28" s="104"/>
      <c r="AO28" s="99"/>
      <c r="AP28" s="94"/>
    </row>
    <row r="29" spans="1:42">
      <c r="A29" s="104"/>
      <c r="B29" s="99"/>
      <c r="C29" s="94"/>
      <c r="D29" s="104"/>
      <c r="E29" s="99"/>
      <c r="F29" s="94"/>
      <c r="G29" s="104"/>
      <c r="H29" s="99"/>
      <c r="I29" s="94"/>
      <c r="J29" s="104"/>
      <c r="K29" s="99"/>
      <c r="L29" s="94"/>
      <c r="M29" s="104"/>
      <c r="N29" s="99"/>
      <c r="O29" s="94"/>
      <c r="P29" s="104"/>
      <c r="Q29" s="99"/>
      <c r="R29" s="94"/>
      <c r="S29" s="104"/>
      <c r="T29" s="99"/>
      <c r="U29" s="94"/>
      <c r="V29" s="104"/>
      <c r="W29" s="99"/>
      <c r="X29" s="94"/>
      <c r="Y29" s="104"/>
      <c r="Z29" s="99"/>
      <c r="AA29" s="94"/>
      <c r="AB29" s="104"/>
      <c r="AC29" s="99"/>
      <c r="AD29" s="94"/>
      <c r="AE29" s="104"/>
      <c r="AF29" s="99"/>
      <c r="AG29" s="94"/>
      <c r="AH29" s="104"/>
      <c r="AI29" s="99"/>
      <c r="AJ29" s="94"/>
      <c r="AK29" s="104"/>
      <c r="AL29" s="99"/>
      <c r="AM29" s="94"/>
      <c r="AN29" s="104"/>
      <c r="AO29" s="99"/>
      <c r="AP29" s="94"/>
    </row>
    <row r="30" spans="1:42">
      <c r="A30" s="106" t="s">
        <v>171</v>
      </c>
      <c r="B30" s="106"/>
      <c r="C30" s="106"/>
      <c r="D30" s="106" t="s">
        <v>171</v>
      </c>
      <c r="E30" s="106"/>
      <c r="F30" s="106"/>
      <c r="G30" s="106" t="s">
        <v>171</v>
      </c>
      <c r="H30" s="106"/>
      <c r="I30" s="106"/>
      <c r="J30" s="106" t="s">
        <v>171</v>
      </c>
      <c r="K30" s="106"/>
      <c r="L30" s="106"/>
      <c r="M30" s="106" t="s">
        <v>171</v>
      </c>
      <c r="N30" s="106"/>
      <c r="O30" s="106"/>
      <c r="P30" s="106" t="s">
        <v>171</v>
      </c>
      <c r="Q30" s="106"/>
      <c r="R30" s="106"/>
      <c r="S30" s="106" t="s">
        <v>171</v>
      </c>
      <c r="T30" s="106"/>
      <c r="U30" s="106"/>
      <c r="V30" s="106" t="s">
        <v>171</v>
      </c>
      <c r="W30" s="106"/>
      <c r="X30" s="106"/>
      <c r="Y30" s="106" t="s">
        <v>171</v>
      </c>
      <c r="Z30" s="106"/>
      <c r="AA30" s="106"/>
      <c r="AB30" s="106" t="s">
        <v>171</v>
      </c>
      <c r="AC30" s="106"/>
      <c r="AD30" s="106"/>
      <c r="AE30" s="106" t="s">
        <v>171</v>
      </c>
      <c r="AF30" s="106"/>
      <c r="AG30" s="106"/>
      <c r="AH30" s="106" t="s">
        <v>171</v>
      </c>
      <c r="AI30" s="106"/>
      <c r="AJ30" s="106"/>
      <c r="AK30" s="106" t="s">
        <v>171</v>
      </c>
      <c r="AL30" s="106"/>
      <c r="AM30" s="106"/>
      <c r="AN30" s="106" t="s">
        <v>171</v>
      </c>
      <c r="AO30" s="106"/>
      <c r="AP30" s="106"/>
    </row>
    <row r="31" spans="1:42" ht="15" thickBot="1">
      <c r="A31" s="103" t="s">
        <v>121</v>
      </c>
      <c r="B31" s="97" t="s">
        <v>122</v>
      </c>
      <c r="C31" s="95" t="s">
        <v>123</v>
      </c>
      <c r="D31" s="103" t="s">
        <v>121</v>
      </c>
      <c r="E31" s="97" t="s">
        <v>122</v>
      </c>
      <c r="F31" s="95" t="s">
        <v>123</v>
      </c>
      <c r="G31" s="103" t="s">
        <v>121</v>
      </c>
      <c r="H31" s="97" t="s">
        <v>122</v>
      </c>
      <c r="I31" s="95" t="s">
        <v>123</v>
      </c>
      <c r="J31" s="103" t="s">
        <v>121</v>
      </c>
      <c r="K31" s="97" t="s">
        <v>122</v>
      </c>
      <c r="L31" s="95" t="s">
        <v>123</v>
      </c>
      <c r="M31" s="103" t="s">
        <v>121</v>
      </c>
      <c r="N31" s="97" t="s">
        <v>122</v>
      </c>
      <c r="O31" s="95" t="s">
        <v>123</v>
      </c>
      <c r="P31" s="103" t="s">
        <v>121</v>
      </c>
      <c r="Q31" s="97" t="s">
        <v>122</v>
      </c>
      <c r="R31" s="95" t="s">
        <v>123</v>
      </c>
      <c r="S31" s="103" t="s">
        <v>121</v>
      </c>
      <c r="T31" s="97" t="s">
        <v>122</v>
      </c>
      <c r="U31" s="95" t="s">
        <v>123</v>
      </c>
      <c r="V31" s="103" t="s">
        <v>121</v>
      </c>
      <c r="W31" s="97" t="s">
        <v>122</v>
      </c>
      <c r="X31" s="95" t="s">
        <v>123</v>
      </c>
      <c r="Y31" s="103" t="s">
        <v>121</v>
      </c>
      <c r="Z31" s="97" t="s">
        <v>122</v>
      </c>
      <c r="AA31" s="95" t="s">
        <v>123</v>
      </c>
      <c r="AB31" s="103" t="s">
        <v>121</v>
      </c>
      <c r="AC31" s="97" t="s">
        <v>122</v>
      </c>
      <c r="AD31" s="95" t="s">
        <v>123</v>
      </c>
      <c r="AE31" s="103" t="s">
        <v>121</v>
      </c>
      <c r="AF31" s="97" t="s">
        <v>122</v>
      </c>
      <c r="AG31" s="95" t="s">
        <v>123</v>
      </c>
      <c r="AH31" s="103" t="s">
        <v>121</v>
      </c>
      <c r="AI31" s="97" t="s">
        <v>122</v>
      </c>
      <c r="AJ31" s="95" t="s">
        <v>123</v>
      </c>
      <c r="AK31" s="103" t="s">
        <v>121</v>
      </c>
      <c r="AL31" s="97" t="s">
        <v>122</v>
      </c>
      <c r="AM31" s="95" t="s">
        <v>123</v>
      </c>
      <c r="AN31" s="103" t="s">
        <v>121</v>
      </c>
      <c r="AO31" s="97" t="s">
        <v>122</v>
      </c>
      <c r="AP31" s="95" t="s">
        <v>123</v>
      </c>
    </row>
    <row r="32" spans="1:42">
      <c r="A32" s="104"/>
      <c r="B32" s="99"/>
      <c r="C32" s="94"/>
      <c r="D32" s="104"/>
      <c r="E32" s="99"/>
      <c r="F32" s="94"/>
      <c r="G32" s="104"/>
      <c r="H32" s="99"/>
      <c r="I32" s="94"/>
      <c r="J32" s="104"/>
      <c r="K32" s="99"/>
      <c r="L32" s="94"/>
      <c r="M32" s="104"/>
      <c r="N32" s="99"/>
      <c r="O32" s="94"/>
      <c r="P32" s="104"/>
      <c r="Q32" s="99"/>
      <c r="R32" s="94"/>
      <c r="S32" s="104"/>
      <c r="T32" s="99"/>
      <c r="U32" s="94"/>
      <c r="V32" s="104"/>
      <c r="W32" s="99"/>
      <c r="X32" s="94"/>
      <c r="Y32" s="104"/>
      <c r="Z32" s="99"/>
      <c r="AA32" s="94"/>
      <c r="AB32" s="104"/>
      <c r="AC32" s="99"/>
      <c r="AD32" s="94"/>
      <c r="AE32" s="104"/>
      <c r="AF32" s="99"/>
      <c r="AG32" s="94"/>
      <c r="AH32" s="104"/>
      <c r="AI32" s="99"/>
      <c r="AJ32" s="94"/>
      <c r="AK32" s="104"/>
      <c r="AL32" s="99"/>
      <c r="AM32" s="94"/>
      <c r="AN32" s="104"/>
      <c r="AO32" s="99"/>
      <c r="AP32" s="94"/>
    </row>
    <row r="33" spans="1:42">
      <c r="A33" s="104"/>
      <c r="B33" s="99"/>
      <c r="C33" s="94"/>
      <c r="D33" s="104"/>
      <c r="E33" s="99"/>
      <c r="F33" s="94"/>
      <c r="G33" s="104"/>
      <c r="H33" s="99"/>
      <c r="I33" s="94"/>
      <c r="J33" s="104"/>
      <c r="K33" s="99"/>
      <c r="L33" s="94"/>
      <c r="M33" s="104"/>
      <c r="N33" s="99"/>
      <c r="O33" s="94"/>
      <c r="P33" s="104"/>
      <c r="Q33" s="99"/>
      <c r="R33" s="94"/>
      <c r="S33" s="104"/>
      <c r="T33" s="99"/>
      <c r="U33" s="94"/>
      <c r="V33" s="104"/>
      <c r="W33" s="99"/>
      <c r="X33" s="94"/>
      <c r="Y33" s="104"/>
      <c r="Z33" s="99"/>
      <c r="AA33" s="94"/>
      <c r="AB33" s="104"/>
      <c r="AC33" s="99"/>
      <c r="AD33" s="94"/>
      <c r="AE33" s="104"/>
      <c r="AF33" s="99"/>
      <c r="AG33" s="94"/>
      <c r="AH33" s="104"/>
      <c r="AI33" s="99"/>
      <c r="AJ33" s="94"/>
      <c r="AK33" s="104"/>
      <c r="AL33" s="99"/>
      <c r="AM33" s="94"/>
      <c r="AN33" s="104"/>
      <c r="AO33" s="99"/>
      <c r="AP33" s="94"/>
    </row>
    <row r="34" spans="1:42">
      <c r="A34" s="104"/>
      <c r="B34" s="99"/>
      <c r="C34" s="94"/>
      <c r="D34" s="104"/>
      <c r="E34" s="99"/>
      <c r="F34" s="94"/>
      <c r="G34" s="104"/>
      <c r="H34" s="99"/>
      <c r="I34" s="94"/>
      <c r="J34" s="104"/>
      <c r="K34" s="99"/>
      <c r="L34" s="94"/>
      <c r="M34" s="104"/>
      <c r="N34" s="99"/>
      <c r="O34" s="94"/>
      <c r="P34" s="104"/>
      <c r="Q34" s="99"/>
      <c r="R34" s="94"/>
      <c r="S34" s="104"/>
      <c r="T34" s="99"/>
      <c r="U34" s="94"/>
      <c r="V34" s="104"/>
      <c r="W34" s="99"/>
      <c r="X34" s="94"/>
      <c r="Y34" s="104"/>
      <c r="Z34" s="99"/>
      <c r="AA34" s="94"/>
      <c r="AB34" s="104"/>
      <c r="AC34" s="99"/>
      <c r="AD34" s="94"/>
      <c r="AE34" s="104"/>
      <c r="AF34" s="99"/>
      <c r="AG34" s="94"/>
      <c r="AH34" s="104"/>
      <c r="AI34" s="99"/>
      <c r="AJ34" s="94"/>
      <c r="AK34" s="104"/>
      <c r="AL34" s="99"/>
      <c r="AM34" s="94"/>
      <c r="AN34" s="104"/>
      <c r="AO34" s="99"/>
      <c r="AP34" s="94"/>
    </row>
    <row r="35" spans="1:42">
      <c r="A35" s="104"/>
      <c r="B35" s="99"/>
      <c r="C35" s="94"/>
      <c r="D35" s="104"/>
      <c r="E35" s="99"/>
      <c r="F35" s="94"/>
      <c r="G35" s="104"/>
      <c r="H35" s="99"/>
      <c r="I35" s="94"/>
      <c r="J35" s="104"/>
      <c r="K35" s="99"/>
      <c r="L35" s="94"/>
      <c r="M35" s="104"/>
      <c r="N35" s="99"/>
      <c r="O35" s="94"/>
      <c r="P35" s="104"/>
      <c r="Q35" s="99"/>
      <c r="R35" s="94"/>
      <c r="S35" s="104"/>
      <c r="T35" s="99"/>
      <c r="U35" s="94"/>
      <c r="V35" s="104"/>
      <c r="W35" s="99"/>
      <c r="X35" s="94"/>
      <c r="Y35" s="104"/>
      <c r="Z35" s="99"/>
      <c r="AA35" s="94"/>
      <c r="AB35" s="104"/>
      <c r="AC35" s="99"/>
      <c r="AD35" s="94"/>
      <c r="AE35" s="104"/>
      <c r="AF35" s="99"/>
      <c r="AG35" s="94"/>
      <c r="AH35" s="104"/>
      <c r="AI35" s="99"/>
      <c r="AJ35" s="94"/>
      <c r="AK35" s="104"/>
      <c r="AL35" s="99"/>
      <c r="AM35" s="94"/>
      <c r="AN35" s="104"/>
      <c r="AO35" s="99"/>
      <c r="AP35" s="94"/>
    </row>
    <row r="36" spans="1:42">
      <c r="A36" s="104"/>
      <c r="B36" s="99"/>
      <c r="C36" s="94"/>
      <c r="D36" s="104"/>
      <c r="E36" s="99"/>
      <c r="F36" s="94"/>
      <c r="G36" s="104"/>
      <c r="H36" s="99"/>
      <c r="I36" s="94"/>
      <c r="J36" s="104"/>
      <c r="K36" s="99"/>
      <c r="L36" s="94"/>
      <c r="M36" s="104"/>
      <c r="N36" s="99"/>
      <c r="O36" s="94"/>
      <c r="P36" s="104"/>
      <c r="Q36" s="99"/>
      <c r="R36" s="94"/>
      <c r="S36" s="104"/>
      <c r="T36" s="99"/>
      <c r="U36" s="94"/>
      <c r="V36" s="104"/>
      <c r="W36" s="99"/>
      <c r="X36" s="94"/>
      <c r="Y36" s="104"/>
      <c r="Z36" s="99"/>
      <c r="AA36" s="94"/>
      <c r="AB36" s="104"/>
      <c r="AC36" s="99"/>
      <c r="AD36" s="94"/>
      <c r="AE36" s="104"/>
      <c r="AF36" s="99"/>
      <c r="AG36" s="94"/>
      <c r="AH36" s="104"/>
      <c r="AI36" s="99"/>
      <c r="AJ36" s="94"/>
      <c r="AK36" s="104"/>
      <c r="AL36" s="99"/>
      <c r="AM36" s="94"/>
      <c r="AN36" s="104"/>
      <c r="AO36" s="99"/>
      <c r="AP36" s="94"/>
    </row>
    <row r="37" spans="1:42">
      <c r="A37" s="104"/>
      <c r="B37" s="99"/>
      <c r="C37" s="94"/>
      <c r="D37" s="104"/>
      <c r="E37" s="99"/>
      <c r="F37" s="94"/>
      <c r="G37" s="104"/>
      <c r="H37" s="99"/>
      <c r="I37" s="94"/>
      <c r="J37" s="104"/>
      <c r="K37" s="99"/>
      <c r="L37" s="94"/>
      <c r="M37" s="104"/>
      <c r="N37" s="99"/>
      <c r="O37" s="94"/>
      <c r="P37" s="104"/>
      <c r="Q37" s="99"/>
      <c r="R37" s="94"/>
      <c r="S37" s="104"/>
      <c r="T37" s="99"/>
      <c r="U37" s="94"/>
      <c r="V37" s="104"/>
      <c r="W37" s="99"/>
      <c r="X37" s="94"/>
      <c r="Y37" s="104"/>
      <c r="Z37" s="99"/>
      <c r="AA37" s="94"/>
      <c r="AB37" s="104"/>
      <c r="AC37" s="99"/>
      <c r="AD37" s="94"/>
      <c r="AE37" s="104"/>
      <c r="AF37" s="99"/>
      <c r="AG37" s="94"/>
      <c r="AH37" s="104"/>
      <c r="AI37" s="99"/>
      <c r="AJ37" s="94"/>
      <c r="AK37" s="104"/>
      <c r="AL37" s="99"/>
      <c r="AM37" s="94"/>
      <c r="AN37" s="104"/>
      <c r="AO37" s="99"/>
      <c r="AP37" s="94"/>
    </row>
    <row r="38" spans="1:42">
      <c r="A38" s="104"/>
      <c r="B38" s="99"/>
      <c r="C38" s="94"/>
      <c r="D38" s="104"/>
      <c r="E38" s="99"/>
      <c r="F38" s="94"/>
      <c r="G38" s="104"/>
      <c r="H38" s="99"/>
      <c r="I38" s="94"/>
      <c r="J38" s="104"/>
      <c r="K38" s="99"/>
      <c r="L38" s="94"/>
      <c r="M38" s="104"/>
      <c r="N38" s="99"/>
      <c r="O38" s="94"/>
      <c r="P38" s="104"/>
      <c r="Q38" s="99"/>
      <c r="R38" s="94"/>
      <c r="S38" s="104"/>
      <c r="T38" s="99"/>
      <c r="U38" s="94"/>
      <c r="V38" s="104"/>
      <c r="W38" s="99"/>
      <c r="X38" s="94"/>
      <c r="Y38" s="104"/>
      <c r="Z38" s="99"/>
      <c r="AA38" s="94"/>
      <c r="AB38" s="104"/>
      <c r="AC38" s="99"/>
      <c r="AD38" s="94"/>
      <c r="AE38" s="104"/>
      <c r="AF38" s="99"/>
      <c r="AG38" s="94"/>
      <c r="AH38" s="104"/>
      <c r="AI38" s="99"/>
      <c r="AJ38" s="94"/>
      <c r="AK38" s="104"/>
      <c r="AL38" s="99"/>
      <c r="AM38" s="94"/>
      <c r="AN38" s="104"/>
      <c r="AO38" s="99"/>
      <c r="AP38" s="94"/>
    </row>
    <row r="39" spans="1:42">
      <c r="A39" s="104"/>
      <c r="B39" s="99"/>
      <c r="C39" s="94"/>
      <c r="D39" s="104"/>
      <c r="E39" s="99"/>
      <c r="F39" s="94"/>
      <c r="G39" s="104"/>
      <c r="H39" s="99"/>
      <c r="I39" s="94"/>
      <c r="J39" s="104"/>
      <c r="K39" s="99"/>
      <c r="L39" s="94"/>
      <c r="M39" s="104"/>
      <c r="N39" s="99"/>
      <c r="O39" s="94"/>
      <c r="P39" s="104"/>
      <c r="Q39" s="99"/>
      <c r="R39" s="94"/>
      <c r="S39" s="104"/>
      <c r="T39" s="99"/>
      <c r="U39" s="94"/>
      <c r="V39" s="104"/>
      <c r="W39" s="99"/>
      <c r="X39" s="94"/>
      <c r="Y39" s="104"/>
      <c r="Z39" s="99"/>
      <c r="AA39" s="94"/>
      <c r="AB39" s="104"/>
      <c r="AC39" s="99"/>
      <c r="AD39" s="94"/>
      <c r="AE39" s="104"/>
      <c r="AF39" s="99"/>
      <c r="AG39" s="94"/>
      <c r="AH39" s="104"/>
      <c r="AI39" s="99"/>
      <c r="AJ39" s="94"/>
      <c r="AK39" s="104"/>
      <c r="AL39" s="99"/>
      <c r="AM39" s="94"/>
      <c r="AN39" s="104"/>
      <c r="AO39" s="99"/>
      <c r="AP39" s="94"/>
    </row>
    <row r="40" spans="1:42">
      <c r="A40" s="104"/>
      <c r="B40" s="99"/>
      <c r="C40" s="94"/>
      <c r="D40" s="104"/>
      <c r="E40" s="99"/>
      <c r="F40" s="94"/>
      <c r="G40" s="104"/>
      <c r="H40" s="99"/>
      <c r="I40" s="94"/>
      <c r="J40" s="104"/>
      <c r="K40" s="99"/>
      <c r="L40" s="94"/>
      <c r="M40" s="104"/>
      <c r="N40" s="99"/>
      <c r="O40" s="94"/>
      <c r="P40" s="104"/>
      <c r="Q40" s="99"/>
      <c r="R40" s="94"/>
      <c r="S40" s="104"/>
      <c r="T40" s="99"/>
      <c r="U40" s="94"/>
      <c r="V40" s="104"/>
      <c r="W40" s="99"/>
      <c r="X40" s="94"/>
      <c r="Y40" s="104"/>
      <c r="Z40" s="99"/>
      <c r="AA40" s="94"/>
      <c r="AB40" s="104"/>
      <c r="AC40" s="99"/>
      <c r="AD40" s="94"/>
      <c r="AE40" s="104"/>
      <c r="AF40" s="99"/>
      <c r="AG40" s="94"/>
      <c r="AH40" s="104"/>
      <c r="AI40" s="99"/>
      <c r="AJ40" s="94"/>
      <c r="AK40" s="104"/>
      <c r="AL40" s="99"/>
      <c r="AM40" s="94"/>
      <c r="AN40" s="104"/>
      <c r="AO40" s="99"/>
      <c r="AP40" s="94"/>
    </row>
    <row r="41" spans="1:42">
      <c r="A41" s="104"/>
      <c r="B41" s="99"/>
      <c r="C41" s="94"/>
      <c r="D41" s="104"/>
      <c r="E41" s="99"/>
      <c r="F41" s="94"/>
      <c r="G41" s="104"/>
      <c r="H41" s="99"/>
      <c r="I41" s="94"/>
      <c r="J41" s="104"/>
      <c r="K41" s="99"/>
      <c r="L41" s="94"/>
      <c r="M41" s="104"/>
      <c r="N41" s="99"/>
      <c r="O41" s="94"/>
      <c r="P41" s="104"/>
      <c r="Q41" s="99"/>
      <c r="R41" s="94"/>
      <c r="S41" s="104"/>
      <c r="T41" s="99"/>
      <c r="U41" s="94"/>
      <c r="V41" s="104"/>
      <c r="W41" s="99"/>
      <c r="X41" s="94"/>
      <c r="Y41" s="104"/>
      <c r="Z41" s="99"/>
      <c r="AA41" s="94"/>
      <c r="AB41" s="104"/>
      <c r="AC41" s="99"/>
      <c r="AD41" s="94"/>
      <c r="AE41" s="104"/>
      <c r="AF41" s="99"/>
      <c r="AG41" s="94"/>
      <c r="AH41" s="104"/>
      <c r="AI41" s="99"/>
      <c r="AJ41" s="94"/>
      <c r="AK41" s="104"/>
      <c r="AL41" s="99"/>
      <c r="AM41" s="94"/>
      <c r="AN41" s="104"/>
      <c r="AO41" s="99"/>
      <c r="AP41" s="94"/>
    </row>
    <row r="42" spans="1:42">
      <c r="A42" s="104"/>
      <c r="B42" s="99"/>
      <c r="C42" s="94"/>
      <c r="D42" s="104"/>
      <c r="E42" s="99"/>
      <c r="F42" s="94"/>
      <c r="G42" s="104"/>
      <c r="H42" s="99"/>
      <c r="I42" s="94"/>
      <c r="J42" s="104"/>
      <c r="K42" s="99"/>
      <c r="L42" s="94"/>
      <c r="M42" s="104"/>
      <c r="N42" s="99"/>
      <c r="O42" s="94"/>
      <c r="P42" s="104"/>
      <c r="Q42" s="99"/>
      <c r="R42" s="94"/>
      <c r="S42" s="104"/>
      <c r="T42" s="99"/>
      <c r="U42" s="94"/>
      <c r="V42" s="104"/>
      <c r="W42" s="99"/>
      <c r="X42" s="94"/>
      <c r="Y42" s="104"/>
      <c r="Z42" s="99"/>
      <c r="AA42" s="94"/>
      <c r="AB42" s="104"/>
      <c r="AC42" s="99"/>
      <c r="AD42" s="94"/>
      <c r="AE42" s="104"/>
      <c r="AF42" s="99"/>
      <c r="AG42" s="94"/>
      <c r="AH42" s="104"/>
      <c r="AI42" s="99"/>
      <c r="AJ42" s="94"/>
      <c r="AK42" s="104"/>
      <c r="AL42" s="99"/>
      <c r="AM42" s="94"/>
      <c r="AN42" s="104"/>
      <c r="AO42" s="99"/>
      <c r="AP42" s="94"/>
    </row>
    <row r="43" spans="1:42">
      <c r="A43" s="104"/>
      <c r="B43" s="99"/>
      <c r="C43" s="94"/>
      <c r="D43" s="104"/>
      <c r="E43" s="99"/>
      <c r="F43" s="94"/>
      <c r="G43" s="104"/>
      <c r="H43" s="99"/>
      <c r="I43" s="94"/>
      <c r="J43" s="104"/>
      <c r="K43" s="99"/>
      <c r="L43" s="94"/>
      <c r="M43" s="104"/>
      <c r="N43" s="99"/>
      <c r="O43" s="94"/>
      <c r="P43" s="104"/>
      <c r="Q43" s="99"/>
      <c r="R43" s="94"/>
      <c r="S43" s="104"/>
      <c r="T43" s="99"/>
      <c r="U43" s="94"/>
      <c r="V43" s="104"/>
      <c r="W43" s="99"/>
      <c r="X43" s="94"/>
      <c r="Y43" s="104"/>
      <c r="Z43" s="99"/>
      <c r="AA43" s="94"/>
      <c r="AB43" s="104"/>
      <c r="AC43" s="99"/>
      <c r="AD43" s="94"/>
      <c r="AE43" s="104"/>
      <c r="AF43" s="99"/>
      <c r="AG43" s="94"/>
      <c r="AH43" s="104"/>
      <c r="AI43" s="99"/>
      <c r="AJ43" s="94"/>
      <c r="AK43" s="104"/>
      <c r="AL43" s="99"/>
      <c r="AM43" s="94"/>
      <c r="AN43" s="104"/>
      <c r="AO43" s="99"/>
      <c r="AP43" s="94"/>
    </row>
    <row r="44" spans="1:42">
      <c r="A44" s="104"/>
      <c r="B44" s="99"/>
      <c r="C44" s="94"/>
      <c r="D44" s="104"/>
      <c r="E44" s="99"/>
      <c r="F44" s="94"/>
      <c r="G44" s="104"/>
      <c r="H44" s="99"/>
      <c r="I44" s="94"/>
      <c r="J44" s="104"/>
      <c r="K44" s="99"/>
      <c r="L44" s="94"/>
      <c r="M44" s="104"/>
      <c r="N44" s="99"/>
      <c r="O44" s="94"/>
      <c r="P44" s="104"/>
      <c r="Q44" s="99"/>
      <c r="R44" s="94"/>
      <c r="S44" s="104"/>
      <c r="T44" s="99"/>
      <c r="U44" s="94"/>
      <c r="V44" s="104"/>
      <c r="W44" s="99"/>
      <c r="X44" s="94"/>
      <c r="Y44" s="104"/>
      <c r="Z44" s="99"/>
      <c r="AA44" s="94"/>
      <c r="AB44" s="104"/>
      <c r="AC44" s="99"/>
      <c r="AD44" s="94"/>
      <c r="AE44" s="104"/>
      <c r="AF44" s="99"/>
      <c r="AG44" s="94"/>
      <c r="AH44" s="104"/>
      <c r="AI44" s="99"/>
      <c r="AJ44" s="94"/>
      <c r="AK44" s="104"/>
      <c r="AL44" s="99"/>
      <c r="AM44" s="94"/>
      <c r="AN44" s="104"/>
      <c r="AO44" s="99"/>
      <c r="AP44" s="94"/>
    </row>
    <row r="45" spans="1:42">
      <c r="A45" s="104"/>
      <c r="B45" s="99"/>
      <c r="C45" s="94"/>
      <c r="D45" s="104"/>
      <c r="E45" s="99"/>
      <c r="F45" s="94"/>
      <c r="G45" s="104"/>
      <c r="H45" s="99"/>
      <c r="I45" s="94"/>
      <c r="J45" s="104"/>
      <c r="K45" s="99"/>
      <c r="L45" s="94"/>
      <c r="M45" s="104"/>
      <c r="N45" s="99"/>
      <c r="O45" s="94"/>
      <c r="P45" s="104"/>
      <c r="Q45" s="99"/>
      <c r="R45" s="94"/>
      <c r="S45" s="104"/>
      <c r="T45" s="99"/>
      <c r="U45" s="94"/>
      <c r="V45" s="104"/>
      <c r="W45" s="99"/>
      <c r="X45" s="94"/>
      <c r="Y45" s="104"/>
      <c r="Z45" s="99"/>
      <c r="AA45" s="94"/>
      <c r="AB45" s="104"/>
      <c r="AC45" s="99"/>
      <c r="AD45" s="94"/>
      <c r="AE45" s="104"/>
      <c r="AF45" s="99"/>
      <c r="AG45" s="94"/>
      <c r="AH45" s="104"/>
      <c r="AI45" s="99"/>
      <c r="AJ45" s="94"/>
      <c r="AK45" s="104"/>
      <c r="AL45" s="99"/>
      <c r="AM45" s="94"/>
      <c r="AN45" s="104"/>
      <c r="AO45" s="99"/>
      <c r="AP45" s="94"/>
    </row>
    <row r="46" spans="1:42">
      <c r="A46" s="104"/>
      <c r="B46" s="99"/>
      <c r="C46" s="94"/>
      <c r="D46" s="104"/>
      <c r="E46" s="99"/>
      <c r="F46" s="94"/>
      <c r="G46" s="104"/>
      <c r="H46" s="99"/>
      <c r="I46" s="94"/>
      <c r="J46" s="104"/>
      <c r="K46" s="99"/>
      <c r="L46" s="94"/>
      <c r="M46" s="104"/>
      <c r="N46" s="99"/>
      <c r="O46" s="94"/>
      <c r="P46" s="104"/>
      <c r="Q46" s="99"/>
      <c r="R46" s="94"/>
      <c r="S46" s="104"/>
      <c r="T46" s="99"/>
      <c r="U46" s="94"/>
      <c r="V46" s="104"/>
      <c r="W46" s="99"/>
      <c r="X46" s="94"/>
      <c r="Y46" s="104"/>
      <c r="Z46" s="99"/>
      <c r="AA46" s="94"/>
      <c r="AB46" s="104"/>
      <c r="AC46" s="99"/>
      <c r="AD46" s="94"/>
      <c r="AE46" s="104"/>
      <c r="AF46" s="99"/>
      <c r="AG46" s="94"/>
      <c r="AH46" s="104"/>
      <c r="AI46" s="99"/>
      <c r="AJ46" s="94"/>
      <c r="AK46" s="104"/>
      <c r="AL46" s="99"/>
      <c r="AM46" s="94"/>
      <c r="AN46" s="104"/>
      <c r="AO46" s="99"/>
      <c r="AP46" s="94"/>
    </row>
    <row r="47" spans="1:42">
      <c r="A47" s="104"/>
      <c r="B47" s="99"/>
      <c r="C47" s="94"/>
      <c r="D47" s="104"/>
      <c r="E47" s="99"/>
      <c r="F47" s="94"/>
      <c r="G47" s="104"/>
      <c r="H47" s="99"/>
      <c r="I47" s="94"/>
      <c r="J47" s="104"/>
      <c r="K47" s="99"/>
      <c r="L47" s="94"/>
      <c r="M47" s="104"/>
      <c r="N47" s="99"/>
      <c r="O47" s="94"/>
      <c r="P47" s="104"/>
      <c r="Q47" s="99"/>
      <c r="R47" s="94"/>
      <c r="S47" s="104"/>
      <c r="T47" s="99"/>
      <c r="U47" s="94"/>
      <c r="V47" s="104"/>
      <c r="W47" s="99"/>
      <c r="X47" s="94"/>
      <c r="Y47" s="104"/>
      <c r="Z47" s="99"/>
      <c r="AA47" s="94"/>
      <c r="AB47" s="104"/>
      <c r="AC47" s="99"/>
      <c r="AD47" s="94"/>
      <c r="AE47" s="104"/>
      <c r="AF47" s="99"/>
      <c r="AG47" s="94"/>
      <c r="AH47" s="104"/>
      <c r="AI47" s="99"/>
      <c r="AJ47" s="94"/>
      <c r="AK47" s="104"/>
      <c r="AL47" s="99"/>
      <c r="AM47" s="94"/>
      <c r="AN47" s="104"/>
      <c r="AO47" s="99"/>
      <c r="AP47" s="94"/>
    </row>
    <row r="48" spans="1:42">
      <c r="A48" s="104"/>
      <c r="B48" s="99"/>
      <c r="C48" s="94"/>
      <c r="D48" s="104"/>
      <c r="E48" s="99"/>
      <c r="F48" s="94"/>
      <c r="G48" s="104"/>
      <c r="H48" s="99"/>
      <c r="I48" s="94"/>
      <c r="J48" s="104"/>
      <c r="K48" s="99"/>
      <c r="L48" s="94"/>
      <c r="M48" s="104"/>
      <c r="N48" s="99"/>
      <c r="O48" s="94"/>
      <c r="P48" s="104"/>
      <c r="Q48" s="99"/>
      <c r="R48" s="94"/>
      <c r="S48" s="104"/>
      <c r="T48" s="99"/>
      <c r="U48" s="94"/>
      <c r="V48" s="104"/>
      <c r="W48" s="99"/>
      <c r="X48" s="94"/>
      <c r="Y48" s="104"/>
      <c r="Z48" s="99"/>
      <c r="AA48" s="94"/>
      <c r="AB48" s="104"/>
      <c r="AC48" s="99"/>
      <c r="AD48" s="94"/>
      <c r="AE48" s="104"/>
      <c r="AF48" s="99"/>
      <c r="AG48" s="94"/>
      <c r="AH48" s="104"/>
      <c r="AI48" s="99"/>
      <c r="AJ48" s="94"/>
      <c r="AK48" s="104"/>
      <c r="AL48" s="99"/>
      <c r="AM48" s="94"/>
      <c r="AN48" s="104"/>
      <c r="AO48" s="99"/>
      <c r="AP48" s="94"/>
    </row>
    <row r="49" spans="1:42">
      <c r="A49" s="104"/>
      <c r="B49" s="99"/>
      <c r="C49" s="94"/>
      <c r="D49" s="104"/>
      <c r="E49" s="99"/>
      <c r="F49" s="94"/>
      <c r="G49" s="104"/>
      <c r="H49" s="99"/>
      <c r="I49" s="94"/>
      <c r="J49" s="104"/>
      <c r="K49" s="99"/>
      <c r="L49" s="94"/>
      <c r="M49" s="104"/>
      <c r="N49" s="99"/>
      <c r="O49" s="94"/>
      <c r="P49" s="104"/>
      <c r="Q49" s="99"/>
      <c r="R49" s="94"/>
      <c r="S49" s="104"/>
      <c r="T49" s="99"/>
      <c r="U49" s="94"/>
      <c r="V49" s="104"/>
      <c r="W49" s="99"/>
      <c r="X49" s="94"/>
      <c r="Y49" s="104"/>
      <c r="Z49" s="99"/>
      <c r="AA49" s="94"/>
      <c r="AB49" s="104"/>
      <c r="AC49" s="99"/>
      <c r="AD49" s="94"/>
      <c r="AE49" s="104"/>
      <c r="AF49" s="99"/>
      <c r="AG49" s="94"/>
      <c r="AH49" s="104"/>
      <c r="AI49" s="99"/>
      <c r="AJ49" s="94"/>
      <c r="AK49" s="104"/>
      <c r="AL49" s="99"/>
      <c r="AM49" s="94"/>
      <c r="AN49" s="104"/>
      <c r="AO49" s="99"/>
      <c r="AP49" s="94"/>
    </row>
    <row r="50" spans="1:42">
      <c r="A50" s="104"/>
      <c r="B50" s="99"/>
      <c r="C50" s="94"/>
      <c r="D50" s="104"/>
      <c r="E50" s="99"/>
      <c r="F50" s="94"/>
      <c r="G50" s="104"/>
      <c r="H50" s="99"/>
      <c r="I50" s="94"/>
      <c r="J50" s="104"/>
      <c r="K50" s="99"/>
      <c r="L50" s="94"/>
      <c r="M50" s="104"/>
      <c r="N50" s="99"/>
      <c r="O50" s="94"/>
      <c r="P50" s="104"/>
      <c r="Q50" s="99"/>
      <c r="R50" s="94"/>
      <c r="S50" s="104"/>
      <c r="T50" s="99"/>
      <c r="U50" s="94"/>
      <c r="V50" s="104"/>
      <c r="W50" s="99"/>
      <c r="X50" s="94"/>
      <c r="Y50" s="104"/>
      <c r="Z50" s="99"/>
      <c r="AA50" s="94"/>
      <c r="AB50" s="104"/>
      <c r="AC50" s="99"/>
      <c r="AD50" s="94"/>
      <c r="AE50" s="104"/>
      <c r="AF50" s="99"/>
      <c r="AG50" s="94"/>
      <c r="AH50" s="104"/>
      <c r="AI50" s="99"/>
      <c r="AJ50" s="94"/>
      <c r="AK50" s="104"/>
      <c r="AL50" s="99"/>
      <c r="AM50" s="94"/>
      <c r="AN50" s="104"/>
      <c r="AO50" s="99"/>
      <c r="AP50" s="94"/>
    </row>
    <row r="51" spans="1:42">
      <c r="A51" s="104"/>
      <c r="B51" s="99"/>
      <c r="C51" s="94"/>
      <c r="D51" s="104"/>
      <c r="E51" s="99"/>
      <c r="F51" s="94"/>
      <c r="G51" s="104"/>
      <c r="H51" s="99"/>
      <c r="I51" s="94"/>
      <c r="J51" s="104"/>
      <c r="K51" s="99"/>
      <c r="L51" s="94"/>
      <c r="M51" s="104"/>
      <c r="N51" s="99"/>
      <c r="O51" s="94"/>
      <c r="P51" s="104"/>
      <c r="Q51" s="99"/>
      <c r="R51" s="94"/>
      <c r="S51" s="104"/>
      <c r="T51" s="99"/>
      <c r="U51" s="94"/>
      <c r="V51" s="104"/>
      <c r="W51" s="99"/>
      <c r="X51" s="94"/>
      <c r="Y51" s="104"/>
      <c r="Z51" s="99"/>
      <c r="AA51" s="94"/>
      <c r="AB51" s="104"/>
      <c r="AC51" s="99"/>
      <c r="AD51" s="94"/>
      <c r="AE51" s="104"/>
      <c r="AF51" s="99"/>
      <c r="AG51" s="94"/>
      <c r="AH51" s="104"/>
      <c r="AI51" s="99"/>
      <c r="AJ51" s="94"/>
      <c r="AK51" s="104"/>
      <c r="AL51" s="99"/>
      <c r="AM51" s="94"/>
      <c r="AN51" s="104"/>
      <c r="AO51" s="99"/>
      <c r="AP51" s="94"/>
    </row>
    <row r="52" spans="1:42">
      <c r="A52" s="104"/>
      <c r="B52" s="99"/>
      <c r="C52" s="94"/>
      <c r="D52" s="104"/>
      <c r="E52" s="99"/>
      <c r="F52" s="94"/>
      <c r="G52" s="104"/>
      <c r="H52" s="99"/>
      <c r="I52" s="94"/>
      <c r="J52" s="104"/>
      <c r="K52" s="99"/>
      <c r="L52" s="94"/>
      <c r="M52" s="104"/>
      <c r="N52" s="99"/>
      <c r="O52" s="94"/>
      <c r="P52" s="104"/>
      <c r="Q52" s="99"/>
      <c r="R52" s="94"/>
      <c r="S52" s="104"/>
      <c r="T52" s="99"/>
      <c r="U52" s="94"/>
      <c r="V52" s="104"/>
      <c r="W52" s="99"/>
      <c r="X52" s="94"/>
      <c r="Y52" s="104"/>
      <c r="Z52" s="99"/>
      <c r="AA52" s="94"/>
      <c r="AB52" s="104"/>
      <c r="AC52" s="99"/>
      <c r="AD52" s="94"/>
      <c r="AE52" s="104"/>
      <c r="AF52" s="99"/>
      <c r="AG52" s="94"/>
      <c r="AH52" s="104"/>
      <c r="AI52" s="99"/>
      <c r="AJ52" s="94"/>
      <c r="AK52" s="104"/>
      <c r="AL52" s="99"/>
      <c r="AM52" s="94"/>
      <c r="AN52" s="104"/>
      <c r="AO52" s="99"/>
      <c r="AP52" s="94"/>
    </row>
    <row r="53" spans="1:42">
      <c r="A53" s="104"/>
      <c r="B53" s="99"/>
      <c r="C53" s="94"/>
      <c r="D53" s="104"/>
      <c r="E53" s="99"/>
      <c r="F53" s="94"/>
      <c r="G53" s="104"/>
      <c r="H53" s="99"/>
      <c r="I53" s="94"/>
      <c r="J53" s="104"/>
      <c r="K53" s="99"/>
      <c r="L53" s="94"/>
      <c r="M53" s="104"/>
      <c r="N53" s="99"/>
      <c r="O53" s="94"/>
      <c r="P53" s="104"/>
      <c r="Q53" s="99"/>
      <c r="R53" s="94"/>
      <c r="S53" s="104"/>
      <c r="T53" s="99"/>
      <c r="U53" s="94"/>
      <c r="V53" s="104"/>
      <c r="W53" s="99"/>
      <c r="X53" s="94"/>
      <c r="Y53" s="104"/>
      <c r="Z53" s="99"/>
      <c r="AA53" s="94"/>
      <c r="AB53" s="104"/>
      <c r="AC53" s="99"/>
      <c r="AD53" s="94"/>
      <c r="AE53" s="104"/>
      <c r="AF53" s="99"/>
      <c r="AG53" s="94"/>
      <c r="AH53" s="104"/>
      <c r="AI53" s="99"/>
      <c r="AJ53" s="94"/>
      <c r="AK53" s="104"/>
      <c r="AL53" s="99"/>
      <c r="AM53" s="94"/>
      <c r="AN53" s="104"/>
      <c r="AO53" s="99"/>
      <c r="AP53" s="94"/>
    </row>
    <row r="54" spans="1:42">
      <c r="A54" s="104"/>
      <c r="B54" s="99"/>
      <c r="C54" s="94"/>
      <c r="D54" s="104"/>
      <c r="E54" s="99"/>
      <c r="F54" s="94"/>
      <c r="G54" s="104"/>
      <c r="H54" s="99"/>
      <c r="I54" s="94"/>
      <c r="J54" s="104"/>
      <c r="K54" s="99"/>
      <c r="L54" s="94"/>
      <c r="M54" s="104"/>
      <c r="N54" s="99"/>
      <c r="O54" s="94"/>
      <c r="P54" s="104"/>
      <c r="Q54" s="99"/>
      <c r="R54" s="94"/>
      <c r="S54" s="104"/>
      <c r="T54" s="99"/>
      <c r="U54" s="94"/>
      <c r="V54" s="104"/>
      <c r="W54" s="99"/>
      <c r="X54" s="94"/>
      <c r="Y54" s="104"/>
      <c r="Z54" s="99"/>
      <c r="AA54" s="94"/>
      <c r="AB54" s="104"/>
      <c r="AC54" s="99"/>
      <c r="AD54" s="94"/>
      <c r="AE54" s="104"/>
      <c r="AF54" s="99"/>
      <c r="AG54" s="94"/>
      <c r="AH54" s="104"/>
      <c r="AI54" s="99"/>
      <c r="AJ54" s="94"/>
      <c r="AK54" s="104"/>
      <c r="AL54" s="99"/>
      <c r="AM54" s="94"/>
      <c r="AN54" s="104"/>
      <c r="AO54" s="99"/>
      <c r="AP54" s="94"/>
    </row>
    <row r="55" spans="1:42">
      <c r="A55" s="104"/>
      <c r="B55" s="99"/>
      <c r="C55" s="94"/>
      <c r="D55" s="104"/>
      <c r="E55" s="99"/>
      <c r="F55" s="94"/>
      <c r="G55" s="104"/>
      <c r="H55" s="99"/>
      <c r="I55" s="94"/>
      <c r="J55" s="104"/>
      <c r="K55" s="99"/>
      <c r="L55" s="94"/>
      <c r="M55" s="104"/>
      <c r="N55" s="99"/>
      <c r="O55" s="94"/>
      <c r="P55" s="104"/>
      <c r="Q55" s="99"/>
      <c r="R55" s="94"/>
      <c r="S55" s="104"/>
      <c r="T55" s="99"/>
      <c r="U55" s="94"/>
      <c r="V55" s="104"/>
      <c r="W55" s="99"/>
      <c r="X55" s="94"/>
      <c r="Y55" s="104"/>
      <c r="Z55" s="99"/>
      <c r="AA55" s="94"/>
      <c r="AB55" s="104"/>
      <c r="AC55" s="99"/>
      <c r="AD55" s="94"/>
      <c r="AE55" s="104"/>
      <c r="AF55" s="99"/>
      <c r="AG55" s="94"/>
      <c r="AH55" s="104"/>
      <c r="AI55" s="99"/>
      <c r="AJ55" s="94"/>
      <c r="AK55" s="104"/>
      <c r="AL55" s="99"/>
      <c r="AM55" s="94"/>
      <c r="AN55" s="104"/>
      <c r="AO55" s="99"/>
      <c r="AP55" s="94"/>
    </row>
    <row r="56" spans="1:42">
      <c r="A56" s="104"/>
      <c r="B56" s="99"/>
      <c r="C56" s="94"/>
      <c r="D56" s="104"/>
      <c r="E56" s="99"/>
      <c r="F56" s="94"/>
      <c r="G56" s="104"/>
      <c r="H56" s="99"/>
      <c r="I56" s="94"/>
      <c r="J56" s="104"/>
      <c r="K56" s="99"/>
      <c r="L56" s="94"/>
      <c r="M56" s="104"/>
      <c r="N56" s="99"/>
      <c r="O56" s="94"/>
      <c r="P56" s="104"/>
      <c r="Q56" s="99"/>
      <c r="R56" s="94"/>
      <c r="S56" s="104"/>
      <c r="T56" s="99"/>
      <c r="U56" s="94"/>
      <c r="V56" s="104"/>
      <c r="W56" s="99"/>
      <c r="X56" s="94"/>
      <c r="Y56" s="104"/>
      <c r="Z56" s="99"/>
      <c r="AA56" s="94"/>
      <c r="AB56" s="104"/>
      <c r="AC56" s="99"/>
      <c r="AD56" s="94"/>
      <c r="AE56" s="104"/>
      <c r="AF56" s="99"/>
      <c r="AG56" s="94"/>
      <c r="AH56" s="104"/>
      <c r="AI56" s="99"/>
      <c r="AJ56" s="94"/>
      <c r="AK56" s="104"/>
      <c r="AL56" s="99"/>
      <c r="AM56" s="94"/>
      <c r="AN56" s="104"/>
      <c r="AO56" s="99"/>
      <c r="AP56" s="94"/>
    </row>
    <row r="57" spans="1:42">
      <c r="A57" s="104"/>
      <c r="B57" s="99"/>
      <c r="C57" s="94"/>
      <c r="D57" s="104"/>
      <c r="E57" s="99"/>
      <c r="F57" s="94"/>
      <c r="G57" s="104"/>
      <c r="H57" s="99"/>
      <c r="I57" s="94"/>
      <c r="J57" s="104"/>
      <c r="K57" s="99"/>
      <c r="L57" s="94"/>
      <c r="M57" s="104"/>
      <c r="N57" s="99"/>
      <c r="O57" s="94"/>
      <c r="P57" s="104"/>
      <c r="Q57" s="99"/>
      <c r="R57" s="94"/>
      <c r="S57" s="104"/>
      <c r="T57" s="99"/>
      <c r="U57" s="94"/>
      <c r="V57" s="104"/>
      <c r="W57" s="99"/>
      <c r="X57" s="94"/>
      <c r="Y57" s="104"/>
      <c r="Z57" s="99"/>
      <c r="AA57" s="94"/>
      <c r="AB57" s="104"/>
      <c r="AC57" s="99"/>
      <c r="AD57" s="94"/>
      <c r="AE57" s="104"/>
      <c r="AF57" s="99"/>
      <c r="AG57" s="94"/>
      <c r="AH57" s="104"/>
      <c r="AI57" s="99"/>
      <c r="AJ57" s="94"/>
      <c r="AK57" s="104"/>
      <c r="AL57" s="99"/>
      <c r="AM57" s="94"/>
      <c r="AN57" s="104"/>
      <c r="AO57" s="99"/>
      <c r="AP57" s="94"/>
    </row>
    <row r="58" spans="1:42">
      <c r="A58" s="106" t="s">
        <v>172</v>
      </c>
      <c r="B58" s="106"/>
      <c r="C58" s="106"/>
      <c r="D58" s="106" t="s">
        <v>172</v>
      </c>
      <c r="E58" s="106"/>
      <c r="F58" s="106"/>
      <c r="G58" s="106" t="s">
        <v>172</v>
      </c>
      <c r="H58" s="106"/>
      <c r="I58" s="106"/>
      <c r="J58" s="106" t="s">
        <v>172</v>
      </c>
      <c r="K58" s="106"/>
      <c r="L58" s="106"/>
      <c r="M58" s="106" t="s">
        <v>172</v>
      </c>
      <c r="N58" s="106"/>
      <c r="O58" s="106"/>
      <c r="P58" s="106" t="s">
        <v>172</v>
      </c>
      <c r="Q58" s="106"/>
      <c r="R58" s="106"/>
      <c r="S58" s="106" t="s">
        <v>172</v>
      </c>
      <c r="T58" s="106"/>
      <c r="U58" s="106"/>
      <c r="V58" s="106" t="s">
        <v>172</v>
      </c>
      <c r="W58" s="106"/>
      <c r="X58" s="106"/>
      <c r="Y58" s="106" t="s">
        <v>172</v>
      </c>
      <c r="Z58" s="106"/>
      <c r="AA58" s="106"/>
      <c r="AB58" s="106" t="s">
        <v>172</v>
      </c>
      <c r="AC58" s="106"/>
      <c r="AD58" s="106"/>
      <c r="AE58" s="106" t="s">
        <v>172</v>
      </c>
      <c r="AF58" s="106"/>
      <c r="AG58" s="106"/>
      <c r="AH58" s="106" t="s">
        <v>172</v>
      </c>
      <c r="AI58" s="106"/>
      <c r="AJ58" s="106"/>
      <c r="AK58" s="106" t="s">
        <v>172</v>
      </c>
      <c r="AL58" s="106"/>
      <c r="AM58" s="106"/>
      <c r="AN58" s="106" t="s">
        <v>172</v>
      </c>
      <c r="AO58" s="106"/>
      <c r="AP58" s="106"/>
    </row>
    <row r="59" spans="1:42" ht="15" thickBot="1">
      <c r="A59" s="103" t="s">
        <v>121</v>
      </c>
      <c r="B59" s="97" t="s">
        <v>122</v>
      </c>
      <c r="C59" s="95" t="s">
        <v>123</v>
      </c>
      <c r="D59" s="103" t="s">
        <v>121</v>
      </c>
      <c r="E59" s="97" t="s">
        <v>122</v>
      </c>
      <c r="F59" s="95" t="s">
        <v>123</v>
      </c>
      <c r="G59" s="103" t="s">
        <v>121</v>
      </c>
      <c r="H59" s="97" t="s">
        <v>122</v>
      </c>
      <c r="I59" s="95" t="s">
        <v>123</v>
      </c>
      <c r="J59" s="103" t="s">
        <v>121</v>
      </c>
      <c r="K59" s="97" t="s">
        <v>122</v>
      </c>
      <c r="L59" s="95" t="s">
        <v>123</v>
      </c>
      <c r="M59" s="103" t="s">
        <v>121</v>
      </c>
      <c r="N59" s="97" t="s">
        <v>122</v>
      </c>
      <c r="O59" s="95" t="s">
        <v>123</v>
      </c>
      <c r="P59" s="103" t="s">
        <v>121</v>
      </c>
      <c r="Q59" s="97" t="s">
        <v>122</v>
      </c>
      <c r="R59" s="95" t="s">
        <v>123</v>
      </c>
      <c r="S59" s="103" t="s">
        <v>121</v>
      </c>
      <c r="T59" s="97" t="s">
        <v>122</v>
      </c>
      <c r="U59" s="95" t="s">
        <v>123</v>
      </c>
      <c r="V59" s="103" t="s">
        <v>121</v>
      </c>
      <c r="W59" s="97" t="s">
        <v>122</v>
      </c>
      <c r="X59" s="95" t="s">
        <v>123</v>
      </c>
      <c r="Y59" s="103" t="s">
        <v>121</v>
      </c>
      <c r="Z59" s="97" t="s">
        <v>122</v>
      </c>
      <c r="AA59" s="95" t="s">
        <v>123</v>
      </c>
      <c r="AB59" s="103" t="s">
        <v>121</v>
      </c>
      <c r="AC59" s="97" t="s">
        <v>122</v>
      </c>
      <c r="AD59" s="95" t="s">
        <v>123</v>
      </c>
      <c r="AE59" s="103" t="s">
        <v>121</v>
      </c>
      <c r="AF59" s="97" t="s">
        <v>122</v>
      </c>
      <c r="AG59" s="95" t="s">
        <v>123</v>
      </c>
      <c r="AH59" s="103" t="s">
        <v>121</v>
      </c>
      <c r="AI59" s="97" t="s">
        <v>122</v>
      </c>
      <c r="AJ59" s="95" t="s">
        <v>123</v>
      </c>
      <c r="AK59" s="103" t="s">
        <v>121</v>
      </c>
      <c r="AL59" s="97" t="s">
        <v>122</v>
      </c>
      <c r="AM59" s="95" t="s">
        <v>123</v>
      </c>
      <c r="AN59" s="103" t="s">
        <v>121</v>
      </c>
      <c r="AO59" s="97" t="s">
        <v>122</v>
      </c>
      <c r="AP59" s="95" t="s">
        <v>123</v>
      </c>
    </row>
    <row r="60" spans="1:42">
      <c r="A60" s="104"/>
      <c r="B60" s="99"/>
      <c r="C60" s="94"/>
      <c r="D60" s="104"/>
      <c r="E60" s="99"/>
      <c r="F60" s="94"/>
      <c r="G60" s="104"/>
      <c r="H60" s="99"/>
      <c r="I60" s="94"/>
      <c r="J60" s="104"/>
      <c r="K60" s="99"/>
      <c r="L60" s="94"/>
      <c r="M60" s="104"/>
      <c r="N60" s="99"/>
      <c r="O60" s="94"/>
      <c r="P60" s="104"/>
      <c r="Q60" s="99"/>
      <c r="R60" s="94"/>
      <c r="S60" s="104"/>
      <c r="T60" s="99"/>
      <c r="U60" s="94"/>
      <c r="V60" s="104"/>
      <c r="W60" s="99"/>
      <c r="X60" s="94"/>
      <c r="Y60" s="104"/>
      <c r="Z60" s="99"/>
      <c r="AA60" s="94"/>
      <c r="AB60" s="104"/>
      <c r="AC60" s="99"/>
      <c r="AD60" s="94"/>
      <c r="AE60" s="104"/>
      <c r="AF60" s="99"/>
      <c r="AG60" s="94"/>
      <c r="AH60" s="104"/>
      <c r="AI60" s="99"/>
      <c r="AJ60" s="94"/>
      <c r="AK60" s="104"/>
      <c r="AL60" s="99"/>
      <c r="AM60" s="94"/>
      <c r="AN60" s="104"/>
      <c r="AO60" s="99"/>
      <c r="AP60" s="94"/>
    </row>
    <row r="61" spans="1:42">
      <c r="A61" s="104"/>
      <c r="B61" s="99"/>
      <c r="C61" s="94"/>
      <c r="D61" s="104"/>
      <c r="E61" s="99"/>
      <c r="F61" s="94"/>
      <c r="G61" s="104"/>
      <c r="H61" s="99"/>
      <c r="I61" s="94"/>
      <c r="J61" s="104"/>
      <c r="K61" s="99"/>
      <c r="L61" s="94"/>
      <c r="M61" s="104"/>
      <c r="N61" s="99"/>
      <c r="O61" s="94"/>
      <c r="P61" s="104"/>
      <c r="Q61" s="99"/>
      <c r="R61" s="94"/>
      <c r="S61" s="104"/>
      <c r="T61" s="99"/>
      <c r="U61" s="94"/>
      <c r="V61" s="104"/>
      <c r="W61" s="99"/>
      <c r="X61" s="94"/>
      <c r="Y61" s="104"/>
      <c r="Z61" s="99"/>
      <c r="AA61" s="94"/>
      <c r="AB61" s="104"/>
      <c r="AC61" s="99"/>
      <c r="AD61" s="94"/>
      <c r="AE61" s="104"/>
      <c r="AF61" s="99"/>
      <c r="AG61" s="94"/>
      <c r="AH61" s="104"/>
      <c r="AI61" s="99"/>
      <c r="AJ61" s="94"/>
      <c r="AK61" s="104"/>
      <c r="AL61" s="99"/>
      <c r="AM61" s="94"/>
      <c r="AN61" s="104"/>
      <c r="AO61" s="99"/>
      <c r="AP61" s="94"/>
    </row>
    <row r="62" spans="1:42">
      <c r="A62" s="104"/>
      <c r="B62" s="99"/>
      <c r="C62" s="94"/>
      <c r="D62" s="104"/>
      <c r="E62" s="99"/>
      <c r="F62" s="94"/>
      <c r="G62" s="104"/>
      <c r="H62" s="99"/>
      <c r="I62" s="94"/>
      <c r="J62" s="104"/>
      <c r="K62" s="99"/>
      <c r="L62" s="94"/>
      <c r="M62" s="104"/>
      <c r="N62" s="99"/>
      <c r="O62" s="94"/>
      <c r="P62" s="104"/>
      <c r="Q62" s="99"/>
      <c r="R62" s="94"/>
      <c r="S62" s="104"/>
      <c r="T62" s="99"/>
      <c r="U62" s="94"/>
      <c r="V62" s="104"/>
      <c r="W62" s="99"/>
      <c r="X62" s="94"/>
      <c r="Y62" s="104"/>
      <c r="Z62" s="99"/>
      <c r="AA62" s="94"/>
      <c r="AB62" s="104"/>
      <c r="AC62" s="99"/>
      <c r="AD62" s="94"/>
      <c r="AE62" s="104"/>
      <c r="AF62" s="99"/>
      <c r="AG62" s="94"/>
      <c r="AH62" s="104"/>
      <c r="AI62" s="99"/>
      <c r="AJ62" s="94"/>
      <c r="AK62" s="104"/>
      <c r="AL62" s="99"/>
      <c r="AM62" s="94"/>
      <c r="AN62" s="104"/>
      <c r="AO62" s="99"/>
      <c r="AP62" s="94"/>
    </row>
    <row r="63" spans="1:42">
      <c r="A63" s="104"/>
      <c r="B63" s="99"/>
      <c r="C63" s="94"/>
      <c r="D63" s="104"/>
      <c r="E63" s="99"/>
      <c r="F63" s="94"/>
      <c r="G63" s="104"/>
      <c r="H63" s="99"/>
      <c r="I63" s="94"/>
      <c r="J63" s="104"/>
      <c r="K63" s="99"/>
      <c r="L63" s="94"/>
      <c r="M63" s="104"/>
      <c r="N63" s="99"/>
      <c r="O63" s="94"/>
      <c r="P63" s="104"/>
      <c r="Q63" s="99"/>
      <c r="R63" s="94"/>
      <c r="S63" s="104"/>
      <c r="T63" s="99"/>
      <c r="U63" s="94"/>
      <c r="V63" s="104"/>
      <c r="W63" s="99"/>
      <c r="X63" s="94"/>
      <c r="Y63" s="104"/>
      <c r="Z63" s="99"/>
      <c r="AA63" s="94"/>
      <c r="AB63" s="104"/>
      <c r="AC63" s="99"/>
      <c r="AD63" s="94"/>
      <c r="AE63" s="104"/>
      <c r="AF63" s="99"/>
      <c r="AG63" s="94"/>
      <c r="AH63" s="104"/>
      <c r="AI63" s="99"/>
      <c r="AJ63" s="94"/>
      <c r="AK63" s="104"/>
      <c r="AL63" s="99"/>
      <c r="AM63" s="94"/>
      <c r="AN63" s="104"/>
      <c r="AO63" s="99"/>
      <c r="AP63" s="94"/>
    </row>
    <row r="64" spans="1:42">
      <c r="A64" s="104"/>
      <c r="B64" s="99"/>
      <c r="C64" s="94"/>
      <c r="D64" s="104"/>
      <c r="E64" s="99"/>
      <c r="F64" s="94"/>
      <c r="G64" s="104"/>
      <c r="H64" s="99"/>
      <c r="I64" s="94"/>
      <c r="J64" s="104"/>
      <c r="K64" s="99"/>
      <c r="L64" s="94"/>
      <c r="M64" s="104"/>
      <c r="N64" s="99"/>
      <c r="O64" s="94"/>
      <c r="P64" s="104"/>
      <c r="Q64" s="99"/>
      <c r="R64" s="94"/>
      <c r="S64" s="104"/>
      <c r="T64" s="99"/>
      <c r="U64" s="94"/>
      <c r="V64" s="104"/>
      <c r="W64" s="99"/>
      <c r="X64" s="94"/>
      <c r="Y64" s="104"/>
      <c r="Z64" s="99"/>
      <c r="AA64" s="94"/>
      <c r="AB64" s="104"/>
      <c r="AC64" s="99"/>
      <c r="AD64" s="94"/>
      <c r="AE64" s="104"/>
      <c r="AF64" s="99"/>
      <c r="AG64" s="94"/>
      <c r="AH64" s="104"/>
      <c r="AI64" s="99"/>
      <c r="AJ64" s="94"/>
      <c r="AK64" s="104"/>
      <c r="AL64" s="99"/>
      <c r="AM64" s="94"/>
      <c r="AN64" s="104"/>
      <c r="AO64" s="99"/>
      <c r="AP64" s="94"/>
    </row>
    <row r="65" spans="1:42">
      <c r="A65" s="104"/>
      <c r="B65" s="99"/>
      <c r="C65" s="94"/>
      <c r="D65" s="104"/>
      <c r="E65" s="99"/>
      <c r="F65" s="94"/>
      <c r="G65" s="104"/>
      <c r="H65" s="99"/>
      <c r="I65" s="94"/>
      <c r="J65" s="104"/>
      <c r="K65" s="99"/>
      <c r="L65" s="94"/>
      <c r="M65" s="104"/>
      <c r="N65" s="99"/>
      <c r="O65" s="94"/>
      <c r="P65" s="104"/>
      <c r="Q65" s="99"/>
      <c r="R65" s="94"/>
      <c r="S65" s="104"/>
      <c r="T65" s="99"/>
      <c r="U65" s="94"/>
      <c r="V65" s="104"/>
      <c r="W65" s="99"/>
      <c r="X65" s="94"/>
      <c r="Y65" s="104"/>
      <c r="Z65" s="99"/>
      <c r="AA65" s="94"/>
      <c r="AB65" s="104"/>
      <c r="AC65" s="99"/>
      <c r="AD65" s="94"/>
      <c r="AE65" s="104"/>
      <c r="AF65" s="99"/>
      <c r="AG65" s="94"/>
      <c r="AH65" s="104"/>
      <c r="AI65" s="99"/>
      <c r="AJ65" s="94"/>
      <c r="AK65" s="104"/>
      <c r="AL65" s="99"/>
      <c r="AM65" s="94"/>
      <c r="AN65" s="104"/>
      <c r="AO65" s="99"/>
      <c r="AP65" s="94"/>
    </row>
    <row r="66" spans="1:42">
      <c r="A66" s="104"/>
      <c r="B66" s="99"/>
      <c r="C66" s="94"/>
      <c r="D66" s="104"/>
      <c r="E66" s="99"/>
      <c r="F66" s="94"/>
      <c r="G66" s="104"/>
      <c r="H66" s="99"/>
      <c r="I66" s="94"/>
      <c r="J66" s="104"/>
      <c r="K66" s="99"/>
      <c r="L66" s="94"/>
      <c r="M66" s="104"/>
      <c r="N66" s="99"/>
      <c r="O66" s="94"/>
      <c r="P66" s="104"/>
      <c r="Q66" s="99"/>
      <c r="R66" s="94"/>
      <c r="S66" s="104"/>
      <c r="T66" s="99"/>
      <c r="U66" s="94"/>
      <c r="V66" s="104"/>
      <c r="W66" s="99"/>
      <c r="X66" s="94"/>
      <c r="Y66" s="104"/>
      <c r="Z66" s="99"/>
      <c r="AA66" s="94"/>
      <c r="AB66" s="104"/>
      <c r="AC66" s="99"/>
      <c r="AD66" s="94"/>
      <c r="AE66" s="104"/>
      <c r="AF66" s="99"/>
      <c r="AG66" s="94"/>
      <c r="AH66" s="104"/>
      <c r="AI66" s="99"/>
      <c r="AJ66" s="94"/>
      <c r="AK66" s="104"/>
      <c r="AL66" s="99"/>
      <c r="AM66" s="94"/>
      <c r="AN66" s="104"/>
      <c r="AO66" s="99"/>
      <c r="AP66" s="94"/>
    </row>
    <row r="67" spans="1:42">
      <c r="A67" s="104"/>
      <c r="B67" s="99"/>
      <c r="C67" s="94"/>
      <c r="D67" s="104"/>
      <c r="E67" s="99"/>
      <c r="F67" s="94"/>
      <c r="G67" s="104"/>
      <c r="H67" s="99"/>
      <c r="I67" s="94"/>
      <c r="J67" s="104"/>
      <c r="K67" s="99"/>
      <c r="L67" s="94"/>
      <c r="M67" s="104"/>
      <c r="N67" s="99"/>
      <c r="O67" s="94"/>
      <c r="P67" s="104"/>
      <c r="Q67" s="99"/>
      <c r="R67" s="94"/>
      <c r="S67" s="104"/>
      <c r="T67" s="99"/>
      <c r="U67" s="94"/>
      <c r="V67" s="104"/>
      <c r="W67" s="99"/>
      <c r="X67" s="94"/>
      <c r="Y67" s="104"/>
      <c r="Z67" s="99"/>
      <c r="AA67" s="94"/>
      <c r="AB67" s="104"/>
      <c r="AC67" s="99"/>
      <c r="AD67" s="94"/>
      <c r="AE67" s="104"/>
      <c r="AF67" s="99"/>
      <c r="AG67" s="94"/>
      <c r="AH67" s="104"/>
      <c r="AI67" s="99"/>
      <c r="AJ67" s="94"/>
      <c r="AK67" s="104"/>
      <c r="AL67" s="99"/>
      <c r="AM67" s="94"/>
      <c r="AN67" s="104"/>
      <c r="AO67" s="99"/>
      <c r="AP67" s="94"/>
    </row>
    <row r="68" spans="1:42">
      <c r="A68" s="104"/>
      <c r="B68" s="99"/>
      <c r="C68" s="94"/>
      <c r="D68" s="104"/>
      <c r="E68" s="99"/>
      <c r="F68" s="94"/>
      <c r="G68" s="104"/>
      <c r="H68" s="99"/>
      <c r="I68" s="94"/>
      <c r="J68" s="104"/>
      <c r="K68" s="99"/>
      <c r="L68" s="94"/>
      <c r="M68" s="104"/>
      <c r="N68" s="99"/>
      <c r="O68" s="94"/>
      <c r="P68" s="104"/>
      <c r="Q68" s="99"/>
      <c r="R68" s="94"/>
      <c r="S68" s="104"/>
      <c r="T68" s="99"/>
      <c r="U68" s="94"/>
      <c r="V68" s="104"/>
      <c r="W68" s="99"/>
      <c r="X68" s="94"/>
      <c r="Y68" s="104"/>
      <c r="Z68" s="99"/>
      <c r="AA68" s="94"/>
      <c r="AB68" s="104"/>
      <c r="AC68" s="99"/>
      <c r="AD68" s="94"/>
      <c r="AE68" s="104"/>
      <c r="AF68" s="99"/>
      <c r="AG68" s="94"/>
      <c r="AH68" s="104"/>
      <c r="AI68" s="99"/>
      <c r="AJ68" s="94"/>
      <c r="AK68" s="104"/>
      <c r="AL68" s="99"/>
      <c r="AM68" s="94"/>
      <c r="AN68" s="104"/>
      <c r="AO68" s="99"/>
      <c r="AP68" s="94"/>
    </row>
    <row r="69" spans="1:42">
      <c r="A69" s="104"/>
      <c r="B69" s="99"/>
      <c r="C69" s="94"/>
      <c r="D69" s="104"/>
      <c r="E69" s="99"/>
      <c r="F69" s="94"/>
      <c r="G69" s="104"/>
      <c r="H69" s="99"/>
      <c r="I69" s="94"/>
      <c r="J69" s="104"/>
      <c r="K69" s="99"/>
      <c r="L69" s="94"/>
      <c r="M69" s="104"/>
      <c r="N69" s="99"/>
      <c r="O69" s="94"/>
      <c r="P69" s="104"/>
      <c r="Q69" s="99"/>
      <c r="R69" s="94"/>
      <c r="S69" s="104"/>
      <c r="T69" s="99"/>
      <c r="U69" s="94"/>
      <c r="V69" s="104"/>
      <c r="W69" s="99"/>
      <c r="X69" s="94"/>
      <c r="Y69" s="104"/>
      <c r="Z69" s="99"/>
      <c r="AA69" s="94"/>
      <c r="AB69" s="104"/>
      <c r="AC69" s="99"/>
      <c r="AD69" s="94"/>
      <c r="AE69" s="104"/>
      <c r="AF69" s="99"/>
      <c r="AG69" s="94"/>
      <c r="AH69" s="104"/>
      <c r="AI69" s="99"/>
      <c r="AJ69" s="94"/>
      <c r="AK69" s="104"/>
      <c r="AL69" s="99"/>
      <c r="AM69" s="94"/>
      <c r="AN69" s="104"/>
      <c r="AO69" s="99"/>
      <c r="AP69" s="94"/>
    </row>
    <row r="70" spans="1:42">
      <c r="A70" s="104"/>
      <c r="B70" s="99"/>
      <c r="C70" s="94"/>
      <c r="D70" s="104"/>
      <c r="E70" s="99"/>
      <c r="F70" s="94"/>
      <c r="G70" s="104"/>
      <c r="H70" s="99"/>
      <c r="I70" s="94"/>
      <c r="J70" s="104"/>
      <c r="K70" s="99"/>
      <c r="L70" s="94"/>
      <c r="M70" s="104"/>
      <c r="N70" s="99"/>
      <c r="O70" s="94"/>
      <c r="P70" s="104"/>
      <c r="Q70" s="99"/>
      <c r="R70" s="94"/>
      <c r="S70" s="104"/>
      <c r="T70" s="99"/>
      <c r="U70" s="94"/>
      <c r="V70" s="104"/>
      <c r="W70" s="99"/>
      <c r="X70" s="94"/>
      <c r="Y70" s="104"/>
      <c r="Z70" s="99"/>
      <c r="AA70" s="94"/>
      <c r="AB70" s="104"/>
      <c r="AC70" s="99"/>
      <c r="AD70" s="94"/>
      <c r="AE70" s="104"/>
      <c r="AF70" s="99"/>
      <c r="AG70" s="94"/>
      <c r="AH70" s="104"/>
      <c r="AI70" s="99"/>
      <c r="AJ70" s="94"/>
      <c r="AK70" s="104"/>
      <c r="AL70" s="99"/>
      <c r="AM70" s="94"/>
      <c r="AN70" s="104"/>
      <c r="AO70" s="99"/>
      <c r="AP70" s="94"/>
    </row>
    <row r="71" spans="1:42">
      <c r="A71" s="104"/>
      <c r="B71" s="99"/>
      <c r="C71" s="94"/>
      <c r="D71" s="104"/>
      <c r="E71" s="99"/>
      <c r="F71" s="94"/>
      <c r="G71" s="104"/>
      <c r="H71" s="99"/>
      <c r="I71" s="94"/>
      <c r="J71" s="104"/>
      <c r="K71" s="99"/>
      <c r="L71" s="94"/>
      <c r="M71" s="104"/>
      <c r="N71" s="99"/>
      <c r="O71" s="94"/>
      <c r="P71" s="104"/>
      <c r="Q71" s="99"/>
      <c r="R71" s="94"/>
      <c r="S71" s="104"/>
      <c r="T71" s="99"/>
      <c r="U71" s="94"/>
      <c r="V71" s="104"/>
      <c r="W71" s="99"/>
      <c r="X71" s="94"/>
      <c r="Y71" s="104"/>
      <c r="Z71" s="99"/>
      <c r="AA71" s="94"/>
      <c r="AB71" s="104"/>
      <c r="AC71" s="99"/>
      <c r="AD71" s="94"/>
      <c r="AE71" s="104"/>
      <c r="AF71" s="99"/>
      <c r="AG71" s="94"/>
      <c r="AH71" s="104"/>
      <c r="AI71" s="99"/>
      <c r="AJ71" s="94"/>
      <c r="AK71" s="104"/>
      <c r="AL71" s="99"/>
      <c r="AM71" s="94"/>
      <c r="AN71" s="104"/>
      <c r="AO71" s="99"/>
      <c r="AP71" s="94"/>
    </row>
    <row r="72" spans="1:42">
      <c r="A72" s="104"/>
      <c r="B72" s="99"/>
      <c r="C72" s="94"/>
      <c r="D72" s="104"/>
      <c r="E72" s="99"/>
      <c r="F72" s="94"/>
      <c r="G72" s="104"/>
      <c r="H72" s="99"/>
      <c r="I72" s="94"/>
      <c r="J72" s="104"/>
      <c r="K72" s="99"/>
      <c r="L72" s="94"/>
      <c r="M72" s="104"/>
      <c r="N72" s="99"/>
      <c r="O72" s="94"/>
      <c r="P72" s="104"/>
      <c r="Q72" s="99"/>
      <c r="R72" s="94"/>
      <c r="S72" s="104"/>
      <c r="T72" s="99"/>
      <c r="U72" s="94"/>
      <c r="V72" s="104"/>
      <c r="W72" s="99"/>
      <c r="X72" s="94"/>
      <c r="Y72" s="104"/>
      <c r="Z72" s="99"/>
      <c r="AA72" s="94"/>
      <c r="AB72" s="104"/>
      <c r="AC72" s="99"/>
      <c r="AD72" s="94"/>
      <c r="AE72" s="104"/>
      <c r="AF72" s="99"/>
      <c r="AG72" s="94"/>
      <c r="AH72" s="104"/>
      <c r="AI72" s="99"/>
      <c r="AJ72" s="94"/>
      <c r="AK72" s="104"/>
      <c r="AL72" s="99"/>
      <c r="AM72" s="94"/>
      <c r="AN72" s="104"/>
      <c r="AO72" s="99"/>
      <c r="AP72" s="94"/>
    </row>
    <row r="73" spans="1:42">
      <c r="A73" s="104"/>
      <c r="B73" s="99"/>
      <c r="C73" s="94"/>
      <c r="D73" s="104"/>
      <c r="E73" s="99"/>
      <c r="F73" s="94"/>
      <c r="G73" s="104"/>
      <c r="H73" s="99"/>
      <c r="I73" s="94"/>
      <c r="J73" s="104"/>
      <c r="K73" s="99"/>
      <c r="L73" s="94"/>
      <c r="M73" s="104"/>
      <c r="N73" s="99"/>
      <c r="O73" s="94"/>
      <c r="P73" s="104"/>
      <c r="Q73" s="99"/>
      <c r="R73" s="94"/>
      <c r="S73" s="104"/>
      <c r="T73" s="99"/>
      <c r="U73" s="94"/>
      <c r="V73" s="104"/>
      <c r="W73" s="99"/>
      <c r="X73" s="94"/>
      <c r="Y73" s="104"/>
      <c r="Z73" s="99"/>
      <c r="AA73" s="94"/>
      <c r="AB73" s="104"/>
      <c r="AC73" s="99"/>
      <c r="AD73" s="94"/>
      <c r="AE73" s="104"/>
      <c r="AF73" s="99"/>
      <c r="AG73" s="94"/>
      <c r="AH73" s="104"/>
      <c r="AI73" s="99"/>
      <c r="AJ73" s="94"/>
      <c r="AK73" s="104"/>
      <c r="AL73" s="99"/>
      <c r="AM73" s="94"/>
      <c r="AN73" s="104"/>
      <c r="AO73" s="99"/>
      <c r="AP73" s="94"/>
    </row>
    <row r="74" spans="1:42">
      <c r="A74" s="104"/>
      <c r="B74" s="99"/>
      <c r="C74" s="94"/>
      <c r="D74" s="104"/>
      <c r="E74" s="99"/>
      <c r="F74" s="94"/>
      <c r="G74" s="104"/>
      <c r="H74" s="99"/>
      <c r="I74" s="94"/>
      <c r="J74" s="104"/>
      <c r="K74" s="99"/>
      <c r="L74" s="94"/>
      <c r="M74" s="104"/>
      <c r="N74" s="99"/>
      <c r="O74" s="94"/>
      <c r="P74" s="104"/>
      <c r="Q74" s="99"/>
      <c r="R74" s="94"/>
      <c r="S74" s="104"/>
      <c r="T74" s="99"/>
      <c r="U74" s="94"/>
      <c r="V74" s="104"/>
      <c r="W74" s="99"/>
      <c r="X74" s="94"/>
      <c r="Y74" s="104"/>
      <c r="Z74" s="99"/>
      <c r="AA74" s="94"/>
      <c r="AB74" s="104"/>
      <c r="AC74" s="99"/>
      <c r="AD74" s="94"/>
      <c r="AE74" s="104"/>
      <c r="AF74" s="99"/>
      <c r="AG74" s="94"/>
      <c r="AH74" s="104"/>
      <c r="AI74" s="99"/>
      <c r="AJ74" s="94"/>
      <c r="AK74" s="104"/>
      <c r="AL74" s="99"/>
      <c r="AM74" s="94"/>
      <c r="AN74" s="104"/>
      <c r="AO74" s="99"/>
      <c r="AP74" s="94"/>
    </row>
    <row r="75" spans="1:42">
      <c r="A75" s="104"/>
      <c r="B75" s="99"/>
      <c r="C75" s="94"/>
      <c r="D75" s="104"/>
      <c r="E75" s="99"/>
      <c r="F75" s="94"/>
      <c r="G75" s="104"/>
      <c r="H75" s="99"/>
      <c r="I75" s="94"/>
      <c r="J75" s="104"/>
      <c r="K75" s="99"/>
      <c r="L75" s="94"/>
      <c r="M75" s="104"/>
      <c r="N75" s="99"/>
      <c r="O75" s="94"/>
      <c r="P75" s="104"/>
      <c r="Q75" s="99"/>
      <c r="R75" s="94"/>
      <c r="S75" s="104"/>
      <c r="T75" s="99"/>
      <c r="U75" s="94"/>
      <c r="V75" s="104"/>
      <c r="W75" s="99"/>
      <c r="X75" s="94"/>
      <c r="Y75" s="104"/>
      <c r="Z75" s="99"/>
      <c r="AA75" s="94"/>
      <c r="AB75" s="104"/>
      <c r="AC75" s="99"/>
      <c r="AD75" s="94"/>
      <c r="AE75" s="104"/>
      <c r="AF75" s="99"/>
      <c r="AG75" s="94"/>
      <c r="AH75" s="104"/>
      <c r="AI75" s="99"/>
      <c r="AJ75" s="94"/>
      <c r="AK75" s="104"/>
      <c r="AL75" s="99"/>
      <c r="AM75" s="94"/>
      <c r="AN75" s="104"/>
      <c r="AO75" s="99"/>
      <c r="AP75" s="94"/>
    </row>
    <row r="76" spans="1:42">
      <c r="A76" s="104"/>
      <c r="B76" s="99"/>
      <c r="C76" s="94"/>
      <c r="D76" s="104"/>
      <c r="E76" s="99"/>
      <c r="F76" s="94"/>
      <c r="G76" s="104"/>
      <c r="H76" s="99"/>
      <c r="I76" s="94"/>
      <c r="J76" s="104"/>
      <c r="K76" s="99"/>
      <c r="L76" s="94"/>
      <c r="M76" s="104"/>
      <c r="N76" s="99"/>
      <c r="O76" s="94"/>
      <c r="P76" s="104"/>
      <c r="Q76" s="99"/>
      <c r="R76" s="94"/>
      <c r="S76" s="104"/>
      <c r="T76" s="99"/>
      <c r="U76" s="94"/>
      <c r="V76" s="104"/>
      <c r="W76" s="99"/>
      <c r="X76" s="94"/>
      <c r="Y76" s="104"/>
      <c r="Z76" s="99"/>
      <c r="AA76" s="94"/>
      <c r="AB76" s="104"/>
      <c r="AC76" s="99"/>
      <c r="AD76" s="94"/>
      <c r="AE76" s="104"/>
      <c r="AF76" s="99"/>
      <c r="AG76" s="94"/>
      <c r="AH76" s="104"/>
      <c r="AI76" s="99"/>
      <c r="AJ76" s="94"/>
      <c r="AK76" s="104"/>
      <c r="AL76" s="99"/>
      <c r="AM76" s="94"/>
      <c r="AN76" s="104"/>
      <c r="AO76" s="99"/>
      <c r="AP76" s="94"/>
    </row>
    <row r="77" spans="1:42">
      <c r="A77" s="104"/>
      <c r="B77" s="99"/>
      <c r="C77" s="94"/>
      <c r="D77" s="104"/>
      <c r="E77" s="99"/>
      <c r="F77" s="94"/>
      <c r="G77" s="104"/>
      <c r="H77" s="99"/>
      <c r="I77" s="94"/>
      <c r="J77" s="104"/>
      <c r="K77" s="99"/>
      <c r="L77" s="94"/>
      <c r="M77" s="104"/>
      <c r="N77" s="99"/>
      <c r="O77" s="94"/>
      <c r="P77" s="104"/>
      <c r="Q77" s="99"/>
      <c r="R77" s="94"/>
      <c r="S77" s="104"/>
      <c r="T77" s="99"/>
      <c r="U77" s="94"/>
      <c r="V77" s="104"/>
      <c r="W77" s="99"/>
      <c r="X77" s="94"/>
      <c r="Y77" s="104"/>
      <c r="Z77" s="99"/>
      <c r="AA77" s="94"/>
      <c r="AB77" s="104"/>
      <c r="AC77" s="99"/>
      <c r="AD77" s="94"/>
      <c r="AE77" s="104"/>
      <c r="AF77" s="99"/>
      <c r="AG77" s="94"/>
      <c r="AH77" s="104"/>
      <c r="AI77" s="99"/>
      <c r="AJ77" s="94"/>
      <c r="AK77" s="104"/>
      <c r="AL77" s="99"/>
      <c r="AM77" s="94"/>
      <c r="AN77" s="104"/>
      <c r="AO77" s="99"/>
      <c r="AP77" s="94"/>
    </row>
    <row r="78" spans="1:42">
      <c r="A78" s="104"/>
      <c r="B78" s="99"/>
      <c r="C78" s="94"/>
      <c r="D78" s="104"/>
      <c r="E78" s="99"/>
      <c r="F78" s="94"/>
      <c r="G78" s="104"/>
      <c r="H78" s="99"/>
      <c r="I78" s="94"/>
      <c r="J78" s="104"/>
      <c r="K78" s="99"/>
      <c r="L78" s="94"/>
      <c r="M78" s="104"/>
      <c r="N78" s="99"/>
      <c r="O78" s="94"/>
      <c r="P78" s="104"/>
      <c r="Q78" s="99"/>
      <c r="R78" s="94"/>
      <c r="S78" s="104"/>
      <c r="T78" s="99"/>
      <c r="U78" s="94"/>
      <c r="V78" s="104"/>
      <c r="W78" s="99"/>
      <c r="X78" s="94"/>
      <c r="Y78" s="104"/>
      <c r="Z78" s="99"/>
      <c r="AA78" s="94"/>
      <c r="AB78" s="104"/>
      <c r="AC78" s="99"/>
      <c r="AD78" s="94"/>
      <c r="AE78" s="104"/>
      <c r="AF78" s="99"/>
      <c r="AG78" s="94"/>
      <c r="AH78" s="104"/>
      <c r="AI78" s="99"/>
      <c r="AJ78" s="94"/>
      <c r="AK78" s="104"/>
      <c r="AL78" s="99"/>
      <c r="AM78" s="94"/>
      <c r="AN78" s="104"/>
      <c r="AO78" s="99"/>
      <c r="AP78" s="94"/>
    </row>
    <row r="79" spans="1:42">
      <c r="A79" s="104"/>
      <c r="B79" s="99"/>
      <c r="C79" s="94"/>
      <c r="D79" s="104"/>
      <c r="E79" s="99"/>
      <c r="F79" s="94"/>
      <c r="G79" s="104"/>
      <c r="H79" s="99"/>
      <c r="I79" s="94"/>
      <c r="J79" s="104"/>
      <c r="K79" s="99"/>
      <c r="L79" s="94"/>
      <c r="M79" s="104"/>
      <c r="N79" s="99"/>
      <c r="O79" s="94"/>
      <c r="P79" s="104"/>
      <c r="Q79" s="99"/>
      <c r="R79" s="94"/>
      <c r="S79" s="104"/>
      <c r="T79" s="99"/>
      <c r="U79" s="94"/>
      <c r="V79" s="104"/>
      <c r="W79" s="99"/>
      <c r="X79" s="94"/>
      <c r="Y79" s="104"/>
      <c r="Z79" s="99"/>
      <c r="AA79" s="94"/>
      <c r="AB79" s="104"/>
      <c r="AC79" s="99"/>
      <c r="AD79" s="94"/>
      <c r="AE79" s="104"/>
      <c r="AF79" s="99"/>
      <c r="AG79" s="94"/>
      <c r="AH79" s="104"/>
      <c r="AI79" s="99"/>
      <c r="AJ79" s="94"/>
      <c r="AK79" s="104"/>
      <c r="AL79" s="99"/>
      <c r="AM79" s="94"/>
      <c r="AN79" s="104"/>
      <c r="AO79" s="99"/>
      <c r="AP79" s="94"/>
    </row>
    <row r="80" spans="1:42">
      <c r="A80" s="104"/>
      <c r="B80" s="99"/>
      <c r="C80" s="94"/>
      <c r="D80" s="104"/>
      <c r="E80" s="99"/>
      <c r="F80" s="94"/>
      <c r="G80" s="104"/>
      <c r="H80" s="99"/>
      <c r="I80" s="94"/>
      <c r="J80" s="104"/>
      <c r="K80" s="99"/>
      <c r="L80" s="94"/>
      <c r="M80" s="104"/>
      <c r="N80" s="99"/>
      <c r="O80" s="94"/>
      <c r="P80" s="104"/>
      <c r="Q80" s="99"/>
      <c r="R80" s="94"/>
      <c r="S80" s="104"/>
      <c r="T80" s="99"/>
      <c r="U80" s="94"/>
      <c r="V80" s="104"/>
      <c r="W80" s="99"/>
      <c r="X80" s="94"/>
      <c r="Y80" s="104"/>
      <c r="Z80" s="99"/>
      <c r="AA80" s="94"/>
      <c r="AB80" s="104"/>
      <c r="AC80" s="99"/>
      <c r="AD80" s="94"/>
      <c r="AE80" s="104"/>
      <c r="AF80" s="99"/>
      <c r="AG80" s="94"/>
      <c r="AH80" s="104"/>
      <c r="AI80" s="99"/>
      <c r="AJ80" s="94"/>
      <c r="AK80" s="104"/>
      <c r="AL80" s="99"/>
      <c r="AM80" s="94"/>
      <c r="AN80" s="104"/>
      <c r="AO80" s="99"/>
      <c r="AP80" s="94"/>
    </row>
    <row r="81" spans="1:42">
      <c r="A81" s="104"/>
      <c r="B81" s="99"/>
      <c r="C81" s="94"/>
      <c r="D81" s="104"/>
      <c r="E81" s="99"/>
      <c r="F81" s="94"/>
      <c r="G81" s="104"/>
      <c r="H81" s="99"/>
      <c r="I81" s="94"/>
      <c r="J81" s="104"/>
      <c r="K81" s="99"/>
      <c r="L81" s="94"/>
      <c r="M81" s="104"/>
      <c r="N81" s="99"/>
      <c r="O81" s="94"/>
      <c r="P81" s="104"/>
      <c r="Q81" s="99"/>
      <c r="R81" s="94"/>
      <c r="S81" s="104"/>
      <c r="T81" s="99"/>
      <c r="U81" s="94"/>
      <c r="V81" s="104"/>
      <c r="W81" s="99"/>
      <c r="X81" s="94"/>
      <c r="Y81" s="104"/>
      <c r="Z81" s="99"/>
      <c r="AA81" s="94"/>
      <c r="AB81" s="104"/>
      <c r="AC81" s="99"/>
      <c r="AD81" s="94"/>
      <c r="AE81" s="104"/>
      <c r="AF81" s="99"/>
      <c r="AG81" s="94"/>
      <c r="AH81" s="104"/>
      <c r="AI81" s="99"/>
      <c r="AJ81" s="94"/>
      <c r="AK81" s="104"/>
      <c r="AL81" s="99"/>
      <c r="AM81" s="94"/>
      <c r="AN81" s="104"/>
      <c r="AO81" s="99"/>
      <c r="AP81" s="94"/>
    </row>
    <row r="82" spans="1:42">
      <c r="A82" s="104"/>
      <c r="B82" s="99"/>
      <c r="C82" s="94"/>
      <c r="D82" s="104"/>
      <c r="E82" s="99"/>
      <c r="F82" s="94"/>
      <c r="G82" s="104"/>
      <c r="H82" s="99"/>
      <c r="I82" s="94"/>
      <c r="J82" s="104"/>
      <c r="K82" s="99"/>
      <c r="L82" s="94"/>
      <c r="M82" s="104"/>
      <c r="N82" s="99"/>
      <c r="O82" s="94"/>
      <c r="P82" s="104"/>
      <c r="Q82" s="99"/>
      <c r="R82" s="94"/>
      <c r="S82" s="104"/>
      <c r="T82" s="99"/>
      <c r="U82" s="94"/>
      <c r="V82" s="104"/>
      <c r="W82" s="99"/>
      <c r="X82" s="94"/>
      <c r="Y82" s="104"/>
      <c r="Z82" s="99"/>
      <c r="AA82" s="94"/>
      <c r="AB82" s="104"/>
      <c r="AC82" s="99"/>
      <c r="AD82" s="94"/>
      <c r="AE82" s="104"/>
      <c r="AF82" s="99"/>
      <c r="AG82" s="94"/>
      <c r="AH82" s="104"/>
      <c r="AI82" s="99"/>
      <c r="AJ82" s="94"/>
      <c r="AK82" s="104"/>
      <c r="AL82" s="99"/>
      <c r="AM82" s="94"/>
      <c r="AN82" s="104"/>
      <c r="AO82" s="99"/>
      <c r="AP82" s="94"/>
    </row>
    <row r="83" spans="1:42">
      <c r="A83" s="104"/>
      <c r="B83" s="99"/>
      <c r="C83" s="94"/>
      <c r="D83" s="104"/>
      <c r="E83" s="99"/>
      <c r="F83" s="94"/>
      <c r="G83" s="104"/>
      <c r="H83" s="99"/>
      <c r="I83" s="94"/>
      <c r="J83" s="104"/>
      <c r="K83" s="99"/>
      <c r="L83" s="94"/>
      <c r="M83" s="104"/>
      <c r="N83" s="99"/>
      <c r="O83" s="94"/>
      <c r="P83" s="104"/>
      <c r="Q83" s="99"/>
      <c r="R83" s="94"/>
      <c r="S83" s="104"/>
      <c r="T83" s="99"/>
      <c r="U83" s="94"/>
      <c r="V83" s="104"/>
      <c r="W83" s="99"/>
      <c r="X83" s="94"/>
      <c r="Y83" s="104"/>
      <c r="Z83" s="99"/>
      <c r="AA83" s="94"/>
      <c r="AB83" s="104"/>
      <c r="AC83" s="99"/>
      <c r="AD83" s="94"/>
      <c r="AE83" s="104"/>
      <c r="AF83" s="99"/>
      <c r="AG83" s="94"/>
      <c r="AH83" s="104"/>
      <c r="AI83" s="99"/>
      <c r="AJ83" s="94"/>
      <c r="AK83" s="104"/>
      <c r="AL83" s="99"/>
      <c r="AM83" s="94"/>
      <c r="AN83" s="104"/>
      <c r="AO83" s="99"/>
      <c r="AP83" s="94"/>
    </row>
    <row r="84" spans="1:42">
      <c r="A84" s="104"/>
      <c r="B84" s="99"/>
      <c r="C84" s="94"/>
      <c r="D84" s="104"/>
      <c r="E84" s="99"/>
      <c r="F84" s="94"/>
      <c r="G84" s="104"/>
      <c r="H84" s="99"/>
      <c r="I84" s="94"/>
      <c r="J84" s="104"/>
      <c r="K84" s="99"/>
      <c r="L84" s="94"/>
      <c r="M84" s="104"/>
      <c r="N84" s="99"/>
      <c r="O84" s="94"/>
      <c r="P84" s="104"/>
      <c r="Q84" s="99"/>
      <c r="R84" s="94"/>
      <c r="S84" s="104"/>
      <c r="T84" s="99"/>
      <c r="U84" s="94"/>
      <c r="V84" s="104"/>
      <c r="W84" s="99"/>
      <c r="X84" s="94"/>
      <c r="Y84" s="104"/>
      <c r="Z84" s="99"/>
      <c r="AA84" s="94"/>
      <c r="AB84" s="104"/>
      <c r="AC84" s="99"/>
      <c r="AD84" s="94"/>
      <c r="AE84" s="104"/>
      <c r="AF84" s="99"/>
      <c r="AG84" s="94"/>
      <c r="AH84" s="104"/>
      <c r="AI84" s="99"/>
      <c r="AJ84" s="94"/>
      <c r="AK84" s="104"/>
      <c r="AL84" s="99"/>
      <c r="AM84" s="94"/>
      <c r="AN84" s="104"/>
      <c r="AO84" s="99"/>
      <c r="AP84" s="94"/>
    </row>
    <row r="85" spans="1:42">
      <c r="A85" s="104"/>
      <c r="B85" s="99"/>
      <c r="C85" s="94"/>
      <c r="D85" s="104"/>
      <c r="E85" s="99"/>
      <c r="F85" s="94"/>
      <c r="G85" s="104"/>
      <c r="H85" s="99"/>
      <c r="I85" s="94"/>
      <c r="J85" s="104"/>
      <c r="K85" s="99"/>
      <c r="L85" s="94"/>
      <c r="M85" s="104"/>
      <c r="N85" s="99"/>
      <c r="O85" s="94"/>
      <c r="P85" s="104"/>
      <c r="Q85" s="99"/>
      <c r="R85" s="94"/>
      <c r="S85" s="104"/>
      <c r="T85" s="99"/>
      <c r="U85" s="94"/>
      <c r="V85" s="104"/>
      <c r="W85" s="99"/>
      <c r="X85" s="94"/>
      <c r="Y85" s="104"/>
      <c r="Z85" s="99"/>
      <c r="AA85" s="94"/>
      <c r="AB85" s="104"/>
      <c r="AC85" s="99"/>
      <c r="AD85" s="94"/>
      <c r="AE85" s="104"/>
      <c r="AF85" s="99"/>
      <c r="AG85" s="94"/>
      <c r="AH85" s="104"/>
      <c r="AI85" s="99"/>
      <c r="AJ85" s="94"/>
      <c r="AK85" s="104"/>
      <c r="AL85" s="99"/>
      <c r="AM85" s="94"/>
      <c r="AN85" s="104"/>
      <c r="AO85" s="99"/>
      <c r="AP85" s="94"/>
    </row>
    <row r="86" spans="1:42">
      <c r="A86" s="106" t="s">
        <v>173</v>
      </c>
      <c r="B86" s="106"/>
      <c r="C86" s="106"/>
      <c r="D86" s="106" t="s">
        <v>173</v>
      </c>
      <c r="E86" s="106"/>
      <c r="F86" s="106"/>
      <c r="G86" s="106" t="s">
        <v>173</v>
      </c>
      <c r="H86" s="106"/>
      <c r="I86" s="106"/>
      <c r="J86" s="106" t="s">
        <v>173</v>
      </c>
      <c r="K86" s="106"/>
      <c r="L86" s="106"/>
      <c r="M86" s="106" t="s">
        <v>173</v>
      </c>
      <c r="N86" s="106"/>
      <c r="O86" s="106"/>
      <c r="P86" s="106" t="s">
        <v>173</v>
      </c>
      <c r="Q86" s="106"/>
      <c r="R86" s="106"/>
      <c r="S86" s="106" t="s">
        <v>173</v>
      </c>
      <c r="T86" s="106"/>
      <c r="U86" s="106"/>
      <c r="V86" s="106" t="s">
        <v>173</v>
      </c>
      <c r="W86" s="106"/>
      <c r="X86" s="106"/>
      <c r="Y86" s="106" t="s">
        <v>173</v>
      </c>
      <c r="Z86" s="106"/>
      <c r="AA86" s="106"/>
      <c r="AB86" s="106" t="s">
        <v>173</v>
      </c>
      <c r="AC86" s="106"/>
      <c r="AD86" s="106"/>
      <c r="AE86" s="106" t="s">
        <v>173</v>
      </c>
      <c r="AF86" s="106"/>
      <c r="AG86" s="106"/>
      <c r="AH86" s="106" t="s">
        <v>173</v>
      </c>
      <c r="AI86" s="106"/>
      <c r="AJ86" s="106"/>
      <c r="AK86" s="106" t="s">
        <v>173</v>
      </c>
      <c r="AL86" s="106"/>
      <c r="AM86" s="106"/>
      <c r="AN86" s="106" t="s">
        <v>173</v>
      </c>
      <c r="AO86" s="106"/>
      <c r="AP86" s="106"/>
    </row>
    <row r="87" spans="1:42" ht="15" thickBot="1">
      <c r="A87" s="103" t="s">
        <v>121</v>
      </c>
      <c r="B87" s="97" t="s">
        <v>122</v>
      </c>
      <c r="C87" s="95" t="s">
        <v>123</v>
      </c>
      <c r="D87" s="103" t="s">
        <v>121</v>
      </c>
      <c r="E87" s="97" t="s">
        <v>122</v>
      </c>
      <c r="F87" s="95" t="s">
        <v>123</v>
      </c>
      <c r="G87" s="103" t="s">
        <v>121</v>
      </c>
      <c r="H87" s="97" t="s">
        <v>122</v>
      </c>
      <c r="I87" s="95" t="s">
        <v>123</v>
      </c>
      <c r="J87" s="103" t="s">
        <v>121</v>
      </c>
      <c r="K87" s="97" t="s">
        <v>122</v>
      </c>
      <c r="L87" s="95" t="s">
        <v>123</v>
      </c>
      <c r="M87" s="103" t="s">
        <v>121</v>
      </c>
      <c r="N87" s="97" t="s">
        <v>122</v>
      </c>
      <c r="O87" s="95" t="s">
        <v>123</v>
      </c>
      <c r="P87" s="103" t="s">
        <v>121</v>
      </c>
      <c r="Q87" s="97" t="s">
        <v>122</v>
      </c>
      <c r="R87" s="95" t="s">
        <v>123</v>
      </c>
      <c r="S87" s="103" t="s">
        <v>121</v>
      </c>
      <c r="T87" s="97" t="s">
        <v>122</v>
      </c>
      <c r="U87" s="95" t="s">
        <v>123</v>
      </c>
      <c r="V87" s="103" t="s">
        <v>121</v>
      </c>
      <c r="W87" s="97" t="s">
        <v>122</v>
      </c>
      <c r="X87" s="95" t="s">
        <v>123</v>
      </c>
      <c r="Y87" s="103" t="s">
        <v>121</v>
      </c>
      <c r="Z87" s="97" t="s">
        <v>122</v>
      </c>
      <c r="AA87" s="95" t="s">
        <v>123</v>
      </c>
      <c r="AB87" s="103" t="s">
        <v>121</v>
      </c>
      <c r="AC87" s="97" t="s">
        <v>122</v>
      </c>
      <c r="AD87" s="95" t="s">
        <v>123</v>
      </c>
      <c r="AE87" s="103" t="s">
        <v>121</v>
      </c>
      <c r="AF87" s="97" t="s">
        <v>122</v>
      </c>
      <c r="AG87" s="95" t="s">
        <v>123</v>
      </c>
      <c r="AH87" s="103" t="s">
        <v>121</v>
      </c>
      <c r="AI87" s="97" t="s">
        <v>122</v>
      </c>
      <c r="AJ87" s="95" t="s">
        <v>123</v>
      </c>
      <c r="AK87" s="103" t="s">
        <v>121</v>
      </c>
      <c r="AL87" s="97" t="s">
        <v>122</v>
      </c>
      <c r="AM87" s="95" t="s">
        <v>123</v>
      </c>
      <c r="AN87" s="103" t="s">
        <v>121</v>
      </c>
      <c r="AO87" s="97" t="s">
        <v>122</v>
      </c>
      <c r="AP87" s="95" t="s">
        <v>123</v>
      </c>
    </row>
    <row r="88" spans="1:42">
      <c r="A88" s="104"/>
      <c r="B88" s="99"/>
      <c r="C88" s="94"/>
      <c r="D88" s="104"/>
      <c r="E88" s="99"/>
      <c r="F88" s="94"/>
      <c r="G88" s="104"/>
      <c r="H88" s="99"/>
      <c r="I88" s="94"/>
      <c r="J88" s="104"/>
      <c r="K88" s="99"/>
      <c r="L88" s="94"/>
      <c r="M88" s="104"/>
      <c r="N88" s="99"/>
      <c r="O88" s="94"/>
      <c r="P88" s="104"/>
      <c r="Q88" s="99"/>
      <c r="R88" s="94"/>
      <c r="S88" s="104"/>
      <c r="T88" s="99"/>
      <c r="U88" s="94"/>
      <c r="V88" s="104"/>
      <c r="W88" s="99"/>
      <c r="X88" s="94"/>
      <c r="Y88" s="104"/>
      <c r="Z88" s="99"/>
      <c r="AA88" s="94"/>
      <c r="AB88" s="104"/>
      <c r="AC88" s="99"/>
      <c r="AD88" s="94"/>
      <c r="AE88" s="104"/>
      <c r="AF88" s="99"/>
      <c r="AG88" s="94"/>
      <c r="AH88" s="104"/>
      <c r="AI88" s="99"/>
      <c r="AJ88" s="94"/>
      <c r="AK88" s="104"/>
      <c r="AL88" s="99"/>
      <c r="AM88" s="94"/>
      <c r="AN88" s="104"/>
      <c r="AO88" s="99"/>
      <c r="AP88" s="94"/>
    </row>
    <row r="89" spans="1:42">
      <c r="A89" s="104"/>
      <c r="B89" s="99"/>
      <c r="C89" s="94"/>
      <c r="D89" s="104"/>
      <c r="E89" s="99"/>
      <c r="F89" s="94"/>
      <c r="G89" s="104"/>
      <c r="H89" s="99"/>
      <c r="I89" s="94"/>
      <c r="J89" s="104"/>
      <c r="K89" s="99"/>
      <c r="L89" s="94"/>
      <c r="M89" s="104"/>
      <c r="N89" s="99"/>
      <c r="O89" s="94"/>
      <c r="P89" s="104"/>
      <c r="Q89" s="99"/>
      <c r="R89" s="94"/>
      <c r="S89" s="104"/>
      <c r="T89" s="99"/>
      <c r="U89" s="94"/>
      <c r="V89" s="104"/>
      <c r="W89" s="99"/>
      <c r="X89" s="94"/>
      <c r="Y89" s="104"/>
      <c r="Z89" s="99"/>
      <c r="AA89" s="94"/>
      <c r="AB89" s="104"/>
      <c r="AC89" s="99"/>
      <c r="AD89" s="94"/>
      <c r="AE89" s="104"/>
      <c r="AF89" s="99"/>
      <c r="AG89" s="94"/>
      <c r="AH89" s="104"/>
      <c r="AI89" s="99"/>
      <c r="AJ89" s="94"/>
      <c r="AK89" s="104"/>
      <c r="AL89" s="99"/>
      <c r="AM89" s="94"/>
      <c r="AN89" s="104"/>
      <c r="AO89" s="99"/>
      <c r="AP89" s="94"/>
    </row>
    <row r="90" spans="1:42">
      <c r="A90" s="104"/>
      <c r="B90" s="99"/>
      <c r="C90" s="94"/>
      <c r="D90" s="104"/>
      <c r="E90" s="99"/>
      <c r="F90" s="94"/>
      <c r="G90" s="104"/>
      <c r="H90" s="99"/>
      <c r="I90" s="94"/>
      <c r="J90" s="104"/>
      <c r="K90" s="99"/>
      <c r="L90" s="94"/>
      <c r="M90" s="104"/>
      <c r="N90" s="99"/>
      <c r="O90" s="94"/>
      <c r="P90" s="104"/>
      <c r="Q90" s="99"/>
      <c r="R90" s="94"/>
      <c r="S90" s="104"/>
      <c r="T90" s="99"/>
      <c r="U90" s="94"/>
      <c r="V90" s="104"/>
      <c r="W90" s="99"/>
      <c r="X90" s="94"/>
      <c r="Y90" s="104"/>
      <c r="Z90" s="99"/>
      <c r="AA90" s="94"/>
      <c r="AB90" s="104"/>
      <c r="AC90" s="99"/>
      <c r="AD90" s="94"/>
      <c r="AE90" s="104"/>
      <c r="AF90" s="99"/>
      <c r="AG90" s="94"/>
      <c r="AH90" s="104"/>
      <c r="AI90" s="99"/>
      <c r="AJ90" s="94"/>
      <c r="AK90" s="104"/>
      <c r="AL90" s="99"/>
      <c r="AM90" s="94"/>
      <c r="AN90" s="104"/>
      <c r="AO90" s="99"/>
      <c r="AP90" s="94"/>
    </row>
    <row r="91" spans="1:42">
      <c r="A91" s="104"/>
      <c r="B91" s="99"/>
      <c r="C91" s="94"/>
      <c r="D91" s="104"/>
      <c r="E91" s="99"/>
      <c r="F91" s="94"/>
      <c r="G91" s="104"/>
      <c r="H91" s="99"/>
      <c r="I91" s="94"/>
      <c r="J91" s="104"/>
      <c r="K91" s="99"/>
      <c r="L91" s="94"/>
      <c r="M91" s="104"/>
      <c r="N91" s="99"/>
      <c r="O91" s="94"/>
      <c r="P91" s="104"/>
      <c r="Q91" s="99"/>
      <c r="R91" s="94"/>
      <c r="S91" s="104"/>
      <c r="T91" s="99"/>
      <c r="U91" s="94"/>
      <c r="V91" s="104"/>
      <c r="W91" s="99"/>
      <c r="X91" s="94"/>
      <c r="Y91" s="104"/>
      <c r="Z91" s="99"/>
      <c r="AA91" s="94"/>
      <c r="AB91" s="104"/>
      <c r="AC91" s="99"/>
      <c r="AD91" s="94"/>
      <c r="AE91" s="104"/>
      <c r="AF91" s="99"/>
      <c r="AG91" s="94"/>
      <c r="AH91" s="104"/>
      <c r="AI91" s="99"/>
      <c r="AJ91" s="94"/>
      <c r="AK91" s="104"/>
      <c r="AL91" s="99"/>
      <c r="AM91" s="94"/>
      <c r="AN91" s="104"/>
      <c r="AO91" s="99"/>
      <c r="AP91" s="94"/>
    </row>
    <row r="92" spans="1:42">
      <c r="A92" s="104"/>
      <c r="B92" s="99"/>
      <c r="C92" s="94"/>
      <c r="D92" s="104"/>
      <c r="E92" s="99"/>
      <c r="F92" s="94"/>
      <c r="G92" s="104"/>
      <c r="H92" s="99"/>
      <c r="I92" s="94"/>
      <c r="J92" s="104"/>
      <c r="K92" s="99"/>
      <c r="L92" s="94"/>
      <c r="M92" s="104"/>
      <c r="N92" s="99"/>
      <c r="O92" s="94"/>
      <c r="P92" s="104"/>
      <c r="Q92" s="99"/>
      <c r="R92" s="94"/>
      <c r="S92" s="104"/>
      <c r="T92" s="99"/>
      <c r="U92" s="94"/>
      <c r="V92" s="104"/>
      <c r="W92" s="99"/>
      <c r="X92" s="94"/>
      <c r="Y92" s="104"/>
      <c r="Z92" s="99"/>
      <c r="AA92" s="94"/>
      <c r="AB92" s="104"/>
      <c r="AC92" s="99"/>
      <c r="AD92" s="94"/>
      <c r="AE92" s="104"/>
      <c r="AF92" s="99"/>
      <c r="AG92" s="94"/>
      <c r="AH92" s="104"/>
      <c r="AI92" s="99"/>
      <c r="AJ92" s="94"/>
      <c r="AK92" s="104"/>
      <c r="AL92" s="99"/>
      <c r="AM92" s="94"/>
      <c r="AN92" s="104"/>
      <c r="AO92" s="99"/>
      <c r="AP92" s="94"/>
    </row>
    <row r="93" spans="1:42">
      <c r="A93" s="104"/>
      <c r="B93" s="99"/>
      <c r="C93" s="94"/>
      <c r="D93" s="104"/>
      <c r="E93" s="99"/>
      <c r="F93" s="94"/>
      <c r="G93" s="104"/>
      <c r="H93" s="99"/>
      <c r="I93" s="94"/>
      <c r="J93" s="104"/>
      <c r="K93" s="99"/>
      <c r="L93" s="94"/>
      <c r="M93" s="104"/>
      <c r="N93" s="99"/>
      <c r="O93" s="94"/>
      <c r="P93" s="104"/>
      <c r="Q93" s="99"/>
      <c r="R93" s="94"/>
      <c r="S93" s="104"/>
      <c r="T93" s="99"/>
      <c r="U93" s="94"/>
      <c r="V93" s="104"/>
      <c r="W93" s="99"/>
      <c r="X93" s="94"/>
      <c r="Y93" s="104"/>
      <c r="Z93" s="99"/>
      <c r="AA93" s="94"/>
      <c r="AB93" s="104"/>
      <c r="AC93" s="99"/>
      <c r="AD93" s="94"/>
      <c r="AE93" s="104"/>
      <c r="AF93" s="99"/>
      <c r="AG93" s="94"/>
      <c r="AH93" s="104"/>
      <c r="AI93" s="99"/>
      <c r="AJ93" s="94"/>
      <c r="AK93" s="104"/>
      <c r="AL93" s="99"/>
      <c r="AM93" s="94"/>
      <c r="AN93" s="104"/>
      <c r="AO93" s="99"/>
      <c r="AP93" s="94"/>
    </row>
    <row r="94" spans="1:42">
      <c r="A94" s="104"/>
      <c r="B94" s="99"/>
      <c r="C94" s="94"/>
      <c r="D94" s="104"/>
      <c r="E94" s="99"/>
      <c r="F94" s="94"/>
      <c r="G94" s="104"/>
      <c r="H94" s="99"/>
      <c r="I94" s="94"/>
      <c r="J94" s="104"/>
      <c r="K94" s="99"/>
      <c r="L94" s="94"/>
      <c r="M94" s="104"/>
      <c r="N94" s="99"/>
      <c r="O94" s="94"/>
      <c r="P94" s="104"/>
      <c r="Q94" s="99"/>
      <c r="R94" s="94"/>
      <c r="S94" s="104"/>
      <c r="T94" s="99"/>
      <c r="U94" s="94"/>
      <c r="V94" s="104"/>
      <c r="W94" s="99"/>
      <c r="X94" s="94"/>
      <c r="Y94" s="104"/>
      <c r="Z94" s="99"/>
      <c r="AA94" s="94"/>
      <c r="AB94" s="104"/>
      <c r="AC94" s="99"/>
      <c r="AD94" s="94"/>
      <c r="AE94" s="104"/>
      <c r="AF94" s="99"/>
      <c r="AG94" s="94"/>
      <c r="AH94" s="104"/>
      <c r="AI94" s="99"/>
      <c r="AJ94" s="94"/>
      <c r="AK94" s="104"/>
      <c r="AL94" s="99"/>
      <c r="AM94" s="94"/>
      <c r="AN94" s="104"/>
      <c r="AO94" s="99"/>
      <c r="AP94" s="94"/>
    </row>
    <row r="95" spans="1:42">
      <c r="A95" s="104"/>
      <c r="B95" s="99"/>
      <c r="C95" s="94"/>
      <c r="D95" s="104"/>
      <c r="E95" s="99"/>
      <c r="F95" s="94"/>
      <c r="G95" s="104"/>
      <c r="H95" s="99"/>
      <c r="I95" s="94"/>
      <c r="J95" s="104"/>
      <c r="K95" s="99"/>
      <c r="L95" s="94"/>
      <c r="M95" s="104"/>
      <c r="N95" s="99"/>
      <c r="O95" s="94"/>
      <c r="P95" s="104"/>
      <c r="Q95" s="99"/>
      <c r="R95" s="94"/>
      <c r="S95" s="104"/>
      <c r="T95" s="99"/>
      <c r="U95" s="94"/>
      <c r="V95" s="104"/>
      <c r="W95" s="99"/>
      <c r="X95" s="94"/>
      <c r="Y95" s="104"/>
      <c r="Z95" s="99"/>
      <c r="AA95" s="94"/>
      <c r="AB95" s="104"/>
      <c r="AC95" s="99"/>
      <c r="AD95" s="94"/>
      <c r="AE95" s="104"/>
      <c r="AF95" s="99"/>
      <c r="AG95" s="94"/>
      <c r="AH95" s="104"/>
      <c r="AI95" s="99"/>
      <c r="AJ95" s="94"/>
      <c r="AK95" s="104"/>
      <c r="AL95" s="99"/>
      <c r="AM95" s="94"/>
      <c r="AN95" s="104"/>
      <c r="AO95" s="99"/>
      <c r="AP95" s="94"/>
    </row>
    <row r="96" spans="1:42">
      <c r="A96" s="104"/>
      <c r="B96" s="99"/>
      <c r="C96" s="94"/>
      <c r="D96" s="104"/>
      <c r="E96" s="99"/>
      <c r="F96" s="94"/>
      <c r="G96" s="104"/>
      <c r="H96" s="99"/>
      <c r="I96" s="94"/>
      <c r="J96" s="104"/>
      <c r="K96" s="99"/>
      <c r="L96" s="94"/>
      <c r="M96" s="104"/>
      <c r="N96" s="99"/>
      <c r="O96" s="94"/>
      <c r="P96" s="104"/>
      <c r="Q96" s="99"/>
      <c r="R96" s="94"/>
      <c r="S96" s="104"/>
      <c r="T96" s="99"/>
      <c r="U96" s="94"/>
      <c r="V96" s="104"/>
      <c r="W96" s="99"/>
      <c r="X96" s="94"/>
      <c r="Y96" s="104"/>
      <c r="Z96" s="99"/>
      <c r="AA96" s="94"/>
      <c r="AB96" s="104"/>
      <c r="AC96" s="99"/>
      <c r="AD96" s="94"/>
      <c r="AE96" s="104"/>
      <c r="AF96" s="99"/>
      <c r="AG96" s="94"/>
      <c r="AH96" s="104"/>
      <c r="AI96" s="99"/>
      <c r="AJ96" s="94"/>
      <c r="AK96" s="104"/>
      <c r="AL96" s="99"/>
      <c r="AM96" s="94"/>
      <c r="AN96" s="104"/>
      <c r="AO96" s="99"/>
      <c r="AP96" s="94"/>
    </row>
    <row r="97" spans="1:42">
      <c r="A97" s="104"/>
      <c r="B97" s="99"/>
      <c r="C97" s="94"/>
      <c r="D97" s="104"/>
      <c r="E97" s="99"/>
      <c r="F97" s="94"/>
      <c r="G97" s="104"/>
      <c r="H97" s="99"/>
      <c r="I97" s="94"/>
      <c r="J97" s="104"/>
      <c r="K97" s="99"/>
      <c r="L97" s="94"/>
      <c r="M97" s="104"/>
      <c r="N97" s="99"/>
      <c r="O97" s="94"/>
      <c r="P97" s="104"/>
      <c r="Q97" s="99"/>
      <c r="R97" s="94"/>
      <c r="S97" s="104"/>
      <c r="T97" s="99"/>
      <c r="U97" s="94"/>
      <c r="V97" s="104"/>
      <c r="W97" s="99"/>
      <c r="X97" s="94"/>
      <c r="Y97" s="104"/>
      <c r="Z97" s="99"/>
      <c r="AA97" s="94"/>
      <c r="AB97" s="104"/>
      <c r="AC97" s="99"/>
      <c r="AD97" s="94"/>
      <c r="AE97" s="104"/>
      <c r="AF97" s="99"/>
      <c r="AG97" s="94"/>
      <c r="AH97" s="104"/>
      <c r="AI97" s="99"/>
      <c r="AJ97" s="94"/>
      <c r="AK97" s="104"/>
      <c r="AL97" s="99"/>
      <c r="AM97" s="94"/>
      <c r="AN97" s="104"/>
      <c r="AO97" s="99"/>
      <c r="AP97" s="94"/>
    </row>
    <row r="98" spans="1:42">
      <c r="A98" s="104"/>
      <c r="B98" s="99"/>
      <c r="C98" s="94"/>
      <c r="D98" s="104"/>
      <c r="E98" s="99"/>
      <c r="F98" s="94"/>
      <c r="G98" s="104"/>
      <c r="H98" s="99"/>
      <c r="I98" s="94"/>
      <c r="J98" s="104"/>
      <c r="K98" s="99"/>
      <c r="L98" s="94"/>
      <c r="M98" s="104"/>
      <c r="N98" s="99"/>
      <c r="O98" s="94"/>
      <c r="P98" s="104"/>
      <c r="Q98" s="99"/>
      <c r="R98" s="94"/>
      <c r="S98" s="104"/>
      <c r="T98" s="99"/>
      <c r="U98" s="94"/>
      <c r="V98" s="104"/>
      <c r="W98" s="99"/>
      <c r="X98" s="94"/>
      <c r="Y98" s="104"/>
      <c r="Z98" s="99"/>
      <c r="AA98" s="94"/>
      <c r="AB98" s="104"/>
      <c r="AC98" s="99"/>
      <c r="AD98" s="94"/>
      <c r="AE98" s="104"/>
      <c r="AF98" s="99"/>
      <c r="AG98" s="94"/>
      <c r="AH98" s="104"/>
      <c r="AI98" s="99"/>
      <c r="AJ98" s="94"/>
      <c r="AK98" s="104"/>
      <c r="AL98" s="99"/>
      <c r="AM98" s="94"/>
      <c r="AN98" s="104"/>
      <c r="AO98" s="99"/>
      <c r="AP98" s="94"/>
    </row>
    <row r="99" spans="1:42">
      <c r="A99" s="104"/>
      <c r="B99" s="99"/>
      <c r="C99" s="94"/>
      <c r="D99" s="104"/>
      <c r="E99" s="99"/>
      <c r="F99" s="94"/>
      <c r="G99" s="104"/>
      <c r="H99" s="99"/>
      <c r="I99" s="94"/>
      <c r="J99" s="104"/>
      <c r="K99" s="99"/>
      <c r="L99" s="94"/>
      <c r="M99" s="104"/>
      <c r="N99" s="99"/>
      <c r="O99" s="94"/>
      <c r="P99" s="104"/>
      <c r="Q99" s="99"/>
      <c r="R99" s="94"/>
      <c r="S99" s="104"/>
      <c r="T99" s="99"/>
      <c r="U99" s="94"/>
      <c r="V99" s="104"/>
      <c r="W99" s="99"/>
      <c r="X99" s="94"/>
      <c r="Y99" s="104"/>
      <c r="Z99" s="99"/>
      <c r="AA99" s="94"/>
      <c r="AB99" s="104"/>
      <c r="AC99" s="99"/>
      <c r="AD99" s="94"/>
      <c r="AE99" s="104"/>
      <c r="AF99" s="99"/>
      <c r="AG99" s="94"/>
      <c r="AH99" s="104"/>
      <c r="AI99" s="99"/>
      <c r="AJ99" s="94"/>
      <c r="AK99" s="104"/>
      <c r="AL99" s="99"/>
      <c r="AM99" s="94"/>
      <c r="AN99" s="104"/>
      <c r="AO99" s="99"/>
      <c r="AP99" s="94"/>
    </row>
    <row r="100" spans="1:42">
      <c r="A100" s="104"/>
      <c r="B100" s="99"/>
      <c r="C100" s="94"/>
      <c r="D100" s="104"/>
      <c r="E100" s="99"/>
      <c r="F100" s="94"/>
      <c r="G100" s="104"/>
      <c r="H100" s="99"/>
      <c r="I100" s="94"/>
      <c r="J100" s="104"/>
      <c r="K100" s="99"/>
      <c r="L100" s="94"/>
      <c r="M100" s="104"/>
      <c r="N100" s="99"/>
      <c r="O100" s="94"/>
      <c r="P100" s="104"/>
      <c r="Q100" s="99"/>
      <c r="R100" s="94"/>
      <c r="S100" s="104"/>
      <c r="T100" s="99"/>
      <c r="U100" s="94"/>
      <c r="V100" s="104"/>
      <c r="W100" s="99"/>
      <c r="X100" s="94"/>
      <c r="Y100" s="104"/>
      <c r="Z100" s="99"/>
      <c r="AA100" s="94"/>
      <c r="AB100" s="104"/>
      <c r="AC100" s="99"/>
      <c r="AD100" s="94"/>
      <c r="AE100" s="104"/>
      <c r="AF100" s="99"/>
      <c r="AG100" s="94"/>
      <c r="AH100" s="104"/>
      <c r="AI100" s="99"/>
      <c r="AJ100" s="94"/>
      <c r="AK100" s="104"/>
      <c r="AL100" s="99"/>
      <c r="AM100" s="94"/>
      <c r="AN100" s="104"/>
      <c r="AO100" s="99"/>
      <c r="AP100" s="94"/>
    </row>
    <row r="101" spans="1:42">
      <c r="A101" s="104"/>
      <c r="B101" s="99"/>
      <c r="C101" s="94"/>
      <c r="D101" s="104"/>
      <c r="E101" s="99"/>
      <c r="F101" s="94"/>
      <c r="G101" s="104"/>
      <c r="H101" s="99"/>
      <c r="I101" s="94"/>
      <c r="J101" s="104"/>
      <c r="K101" s="99"/>
      <c r="L101" s="94"/>
      <c r="M101" s="104"/>
      <c r="N101" s="99"/>
      <c r="O101" s="94"/>
      <c r="P101" s="104"/>
      <c r="Q101" s="99"/>
      <c r="R101" s="94"/>
      <c r="S101" s="104"/>
      <c r="T101" s="99"/>
      <c r="U101" s="94"/>
      <c r="V101" s="104"/>
      <c r="W101" s="99"/>
      <c r="X101" s="94"/>
      <c r="Y101" s="104"/>
      <c r="Z101" s="99"/>
      <c r="AA101" s="94"/>
      <c r="AB101" s="104"/>
      <c r="AC101" s="99"/>
      <c r="AD101" s="94"/>
      <c r="AE101" s="104"/>
      <c r="AF101" s="99"/>
      <c r="AG101" s="94"/>
      <c r="AH101" s="104"/>
      <c r="AI101" s="99"/>
      <c r="AJ101" s="94"/>
      <c r="AK101" s="104"/>
      <c r="AL101" s="99"/>
      <c r="AM101" s="94"/>
      <c r="AN101" s="104"/>
      <c r="AO101" s="99"/>
      <c r="AP101" s="94"/>
    </row>
    <row r="102" spans="1:42">
      <c r="A102" s="104"/>
      <c r="B102" s="99"/>
      <c r="C102" s="94"/>
      <c r="D102" s="104"/>
      <c r="E102" s="99"/>
      <c r="F102" s="94"/>
      <c r="G102" s="104"/>
      <c r="H102" s="99"/>
      <c r="I102" s="94"/>
      <c r="J102" s="104"/>
      <c r="K102" s="99"/>
      <c r="L102" s="94"/>
      <c r="M102" s="104"/>
      <c r="N102" s="99"/>
      <c r="O102" s="94"/>
      <c r="P102" s="104"/>
      <c r="Q102" s="99"/>
      <c r="R102" s="94"/>
      <c r="S102" s="104"/>
      <c r="T102" s="99"/>
      <c r="U102" s="94"/>
      <c r="V102" s="104"/>
      <c r="W102" s="99"/>
      <c r="X102" s="94"/>
      <c r="Y102" s="104"/>
      <c r="Z102" s="99"/>
      <c r="AA102" s="94"/>
      <c r="AB102" s="104"/>
      <c r="AC102" s="99"/>
      <c r="AD102" s="94"/>
      <c r="AE102" s="104"/>
      <c r="AF102" s="99"/>
      <c r="AG102" s="94"/>
      <c r="AH102" s="104"/>
      <c r="AI102" s="99"/>
      <c r="AJ102" s="94"/>
      <c r="AK102" s="104"/>
      <c r="AL102" s="99"/>
      <c r="AM102" s="94"/>
      <c r="AN102" s="104"/>
      <c r="AO102" s="99"/>
      <c r="AP102" s="94"/>
    </row>
    <row r="103" spans="1:42">
      <c r="A103" s="104"/>
      <c r="B103" s="99"/>
      <c r="C103" s="94"/>
      <c r="D103" s="104"/>
      <c r="E103" s="99"/>
      <c r="F103" s="94"/>
      <c r="G103" s="104"/>
      <c r="H103" s="99"/>
      <c r="I103" s="94"/>
      <c r="J103" s="104"/>
      <c r="K103" s="99"/>
      <c r="L103" s="94"/>
      <c r="M103" s="104"/>
      <c r="N103" s="99"/>
      <c r="O103" s="94"/>
      <c r="P103" s="104"/>
      <c r="Q103" s="99"/>
      <c r="R103" s="94"/>
      <c r="S103" s="104"/>
      <c r="T103" s="99"/>
      <c r="U103" s="94"/>
      <c r="V103" s="104"/>
      <c r="W103" s="99"/>
      <c r="X103" s="94"/>
      <c r="Y103" s="104"/>
      <c r="Z103" s="99"/>
      <c r="AA103" s="94"/>
      <c r="AB103" s="104"/>
      <c r="AC103" s="99"/>
      <c r="AD103" s="94"/>
      <c r="AE103" s="104"/>
      <c r="AF103" s="99"/>
      <c r="AG103" s="94"/>
      <c r="AH103" s="104"/>
      <c r="AI103" s="99"/>
      <c r="AJ103" s="94"/>
      <c r="AK103" s="104"/>
      <c r="AL103" s="99"/>
      <c r="AM103" s="94"/>
      <c r="AN103" s="104"/>
      <c r="AO103" s="99"/>
      <c r="AP103" s="94"/>
    </row>
    <row r="104" spans="1:42">
      <c r="A104" s="104"/>
      <c r="B104" s="99"/>
      <c r="C104" s="94"/>
      <c r="D104" s="104"/>
      <c r="E104" s="99"/>
      <c r="F104" s="94"/>
      <c r="G104" s="104"/>
      <c r="H104" s="99"/>
      <c r="I104" s="94"/>
      <c r="J104" s="104"/>
      <c r="K104" s="99"/>
      <c r="L104" s="94"/>
      <c r="M104" s="104"/>
      <c r="N104" s="99"/>
      <c r="O104" s="94"/>
      <c r="P104" s="104"/>
      <c r="Q104" s="99"/>
      <c r="R104" s="94"/>
      <c r="S104" s="104"/>
      <c r="T104" s="99"/>
      <c r="U104" s="94"/>
      <c r="V104" s="104"/>
      <c r="W104" s="99"/>
      <c r="X104" s="94"/>
      <c r="Y104" s="104"/>
      <c r="Z104" s="99"/>
      <c r="AA104" s="94"/>
      <c r="AB104" s="104"/>
      <c r="AC104" s="99"/>
      <c r="AD104" s="94"/>
      <c r="AE104" s="104"/>
      <c r="AF104" s="99"/>
      <c r="AG104" s="94"/>
      <c r="AH104" s="104"/>
      <c r="AI104" s="99"/>
      <c r="AJ104" s="94"/>
      <c r="AK104" s="104"/>
      <c r="AL104" s="99"/>
      <c r="AM104" s="94"/>
      <c r="AN104" s="104"/>
      <c r="AO104" s="99"/>
      <c r="AP104" s="94"/>
    </row>
    <row r="105" spans="1:42">
      <c r="A105" s="104"/>
      <c r="B105" s="99"/>
      <c r="C105" s="94"/>
      <c r="D105" s="104"/>
      <c r="E105" s="99"/>
      <c r="F105" s="94"/>
      <c r="G105" s="104"/>
      <c r="H105" s="99"/>
      <c r="I105" s="94"/>
      <c r="J105" s="104"/>
      <c r="K105" s="99"/>
      <c r="L105" s="94"/>
      <c r="M105" s="104"/>
      <c r="N105" s="99"/>
      <c r="O105" s="94"/>
      <c r="P105" s="104"/>
      <c r="Q105" s="99"/>
      <c r="R105" s="94"/>
      <c r="S105" s="104"/>
      <c r="T105" s="99"/>
      <c r="U105" s="94"/>
      <c r="V105" s="104"/>
      <c r="W105" s="99"/>
      <c r="X105" s="94"/>
      <c r="Y105" s="104"/>
      <c r="Z105" s="99"/>
      <c r="AA105" s="94"/>
      <c r="AB105" s="104"/>
      <c r="AC105" s="99"/>
      <c r="AD105" s="94"/>
      <c r="AE105" s="104"/>
      <c r="AF105" s="99"/>
      <c r="AG105" s="94"/>
      <c r="AH105" s="104"/>
      <c r="AI105" s="99"/>
      <c r="AJ105" s="94"/>
      <c r="AK105" s="104"/>
      <c r="AL105" s="99"/>
      <c r="AM105" s="94"/>
      <c r="AN105" s="104"/>
      <c r="AO105" s="99"/>
      <c r="AP105" s="94"/>
    </row>
    <row r="106" spans="1:42">
      <c r="A106" s="104"/>
      <c r="B106" s="99"/>
      <c r="C106" s="94"/>
      <c r="D106" s="104"/>
      <c r="E106" s="99"/>
      <c r="F106" s="94"/>
      <c r="G106" s="104"/>
      <c r="H106" s="99"/>
      <c r="I106" s="94"/>
      <c r="J106" s="104"/>
      <c r="K106" s="99"/>
      <c r="L106" s="94"/>
      <c r="M106" s="104"/>
      <c r="N106" s="99"/>
      <c r="O106" s="94"/>
      <c r="P106" s="104"/>
      <c r="Q106" s="99"/>
      <c r="R106" s="94"/>
      <c r="S106" s="104"/>
      <c r="T106" s="99"/>
      <c r="U106" s="94"/>
      <c r="V106" s="104"/>
      <c r="W106" s="99"/>
      <c r="X106" s="94"/>
      <c r="Y106" s="104"/>
      <c r="Z106" s="99"/>
      <c r="AA106" s="94"/>
      <c r="AB106" s="104"/>
      <c r="AC106" s="99"/>
      <c r="AD106" s="94"/>
      <c r="AE106" s="104"/>
      <c r="AF106" s="99"/>
      <c r="AG106" s="94"/>
      <c r="AH106" s="104"/>
      <c r="AI106" s="99"/>
      <c r="AJ106" s="94"/>
      <c r="AK106" s="104"/>
      <c r="AL106" s="99"/>
      <c r="AM106" s="94"/>
      <c r="AN106" s="104"/>
      <c r="AO106" s="99"/>
      <c r="AP106" s="94"/>
    </row>
    <row r="107" spans="1:42">
      <c r="A107" s="104"/>
      <c r="B107" s="99"/>
      <c r="C107" s="94"/>
      <c r="D107" s="104"/>
      <c r="E107" s="99"/>
      <c r="F107" s="94"/>
      <c r="G107" s="104"/>
      <c r="H107" s="99"/>
      <c r="I107" s="94"/>
      <c r="J107" s="104"/>
      <c r="K107" s="99"/>
      <c r="L107" s="94"/>
      <c r="M107" s="104"/>
      <c r="N107" s="99"/>
      <c r="O107" s="94"/>
      <c r="P107" s="104"/>
      <c r="Q107" s="99"/>
      <c r="R107" s="94"/>
      <c r="S107" s="104"/>
      <c r="T107" s="99"/>
      <c r="U107" s="94"/>
      <c r="V107" s="104"/>
      <c r="W107" s="99"/>
      <c r="X107" s="94"/>
      <c r="Y107" s="104"/>
      <c r="Z107" s="99"/>
      <c r="AA107" s="94"/>
      <c r="AB107" s="104"/>
      <c r="AC107" s="99"/>
      <c r="AD107" s="94"/>
      <c r="AE107" s="104"/>
      <c r="AF107" s="99"/>
      <c r="AG107" s="94"/>
      <c r="AH107" s="104"/>
      <c r="AI107" s="99"/>
      <c r="AJ107" s="94"/>
      <c r="AK107" s="104"/>
      <c r="AL107" s="99"/>
      <c r="AM107" s="94"/>
      <c r="AN107" s="104"/>
      <c r="AO107" s="99"/>
      <c r="AP107" s="94"/>
    </row>
    <row r="108" spans="1:42">
      <c r="A108" s="104"/>
      <c r="B108" s="99"/>
      <c r="C108" s="94"/>
      <c r="D108" s="104"/>
      <c r="E108" s="99"/>
      <c r="F108" s="94"/>
      <c r="G108" s="104"/>
      <c r="H108" s="99"/>
      <c r="I108" s="94"/>
      <c r="J108" s="104"/>
      <c r="K108" s="99"/>
      <c r="L108" s="94"/>
      <c r="M108" s="104"/>
      <c r="N108" s="99"/>
      <c r="O108" s="94"/>
      <c r="P108" s="104"/>
      <c r="Q108" s="99"/>
      <c r="R108" s="94"/>
      <c r="S108" s="104"/>
      <c r="T108" s="99"/>
      <c r="U108" s="94"/>
      <c r="V108" s="104"/>
      <c r="W108" s="99"/>
      <c r="X108" s="94"/>
      <c r="Y108" s="104"/>
      <c r="Z108" s="99"/>
      <c r="AA108" s="94"/>
      <c r="AB108" s="104"/>
      <c r="AC108" s="99"/>
      <c r="AD108" s="94"/>
      <c r="AE108" s="104"/>
      <c r="AF108" s="99"/>
      <c r="AG108" s="94"/>
      <c r="AH108" s="104"/>
      <c r="AI108" s="99"/>
      <c r="AJ108" s="94"/>
      <c r="AK108" s="104"/>
      <c r="AL108" s="99"/>
      <c r="AM108" s="94"/>
      <c r="AN108" s="104"/>
      <c r="AO108" s="99"/>
      <c r="AP108" s="94"/>
    </row>
    <row r="109" spans="1:42">
      <c r="A109" s="104"/>
      <c r="B109" s="99"/>
      <c r="C109" s="94"/>
      <c r="D109" s="104"/>
      <c r="E109" s="99"/>
      <c r="F109" s="94"/>
      <c r="G109" s="104"/>
      <c r="H109" s="99"/>
      <c r="I109" s="94"/>
      <c r="J109" s="104"/>
      <c r="K109" s="99"/>
      <c r="L109" s="94"/>
      <c r="M109" s="104"/>
      <c r="N109" s="99"/>
      <c r="O109" s="94"/>
      <c r="P109" s="104"/>
      <c r="Q109" s="99"/>
      <c r="R109" s="94"/>
      <c r="S109" s="104"/>
      <c r="T109" s="99"/>
      <c r="U109" s="94"/>
      <c r="V109" s="104"/>
      <c r="W109" s="99"/>
      <c r="X109" s="94"/>
      <c r="Y109" s="104"/>
      <c r="Z109" s="99"/>
      <c r="AA109" s="94"/>
      <c r="AB109" s="104"/>
      <c r="AC109" s="99"/>
      <c r="AD109" s="94"/>
      <c r="AE109" s="104"/>
      <c r="AF109" s="99"/>
      <c r="AG109" s="94"/>
      <c r="AH109" s="104"/>
      <c r="AI109" s="99"/>
      <c r="AJ109" s="94"/>
      <c r="AK109" s="104"/>
      <c r="AL109" s="99"/>
      <c r="AM109" s="94"/>
      <c r="AN109" s="104"/>
      <c r="AO109" s="99"/>
      <c r="AP109" s="94"/>
    </row>
    <row r="110" spans="1:42">
      <c r="A110" s="104"/>
      <c r="B110" s="99"/>
      <c r="C110" s="94"/>
      <c r="D110" s="104"/>
      <c r="E110" s="99"/>
      <c r="F110" s="94"/>
      <c r="G110" s="104"/>
      <c r="H110" s="99"/>
      <c r="I110" s="94"/>
      <c r="J110" s="104"/>
      <c r="K110" s="99"/>
      <c r="L110" s="94"/>
      <c r="M110" s="104"/>
      <c r="N110" s="99"/>
      <c r="O110" s="94"/>
      <c r="P110" s="104"/>
      <c r="Q110" s="99"/>
      <c r="R110" s="94"/>
      <c r="S110" s="104"/>
      <c r="T110" s="99"/>
      <c r="U110" s="94"/>
      <c r="V110" s="104"/>
      <c r="W110" s="99"/>
      <c r="X110" s="94"/>
      <c r="Y110" s="104"/>
      <c r="Z110" s="99"/>
      <c r="AA110" s="94"/>
      <c r="AB110" s="104"/>
      <c r="AC110" s="99"/>
      <c r="AD110" s="94"/>
      <c r="AE110" s="104"/>
      <c r="AF110" s="99"/>
      <c r="AG110" s="94"/>
      <c r="AH110" s="104"/>
      <c r="AI110" s="99"/>
      <c r="AJ110" s="94"/>
      <c r="AK110" s="104"/>
      <c r="AL110" s="99"/>
      <c r="AM110" s="94"/>
      <c r="AN110" s="104"/>
      <c r="AO110" s="99"/>
      <c r="AP110" s="94"/>
    </row>
    <row r="111" spans="1:42">
      <c r="A111" s="104"/>
      <c r="B111" s="99"/>
      <c r="C111" s="94"/>
      <c r="D111" s="104"/>
      <c r="E111" s="99"/>
      <c r="F111" s="94"/>
      <c r="G111" s="104"/>
      <c r="H111" s="99"/>
      <c r="I111" s="94"/>
      <c r="J111" s="104"/>
      <c r="K111" s="99"/>
      <c r="L111" s="94"/>
      <c r="M111" s="104"/>
      <c r="N111" s="99"/>
      <c r="O111" s="94"/>
      <c r="P111" s="104"/>
      <c r="Q111" s="99"/>
      <c r="R111" s="94"/>
      <c r="S111" s="104"/>
      <c r="T111" s="99"/>
      <c r="U111" s="94"/>
      <c r="V111" s="104"/>
      <c r="W111" s="99"/>
      <c r="X111" s="94"/>
      <c r="Y111" s="104"/>
      <c r="Z111" s="99"/>
      <c r="AA111" s="94"/>
      <c r="AB111" s="104"/>
      <c r="AC111" s="99"/>
      <c r="AD111" s="94"/>
      <c r="AE111" s="104"/>
      <c r="AF111" s="99"/>
      <c r="AG111" s="94"/>
      <c r="AH111" s="104"/>
      <c r="AI111" s="99"/>
      <c r="AJ111" s="94"/>
      <c r="AK111" s="104"/>
      <c r="AL111" s="99"/>
      <c r="AM111" s="94"/>
      <c r="AN111" s="104"/>
      <c r="AO111" s="99"/>
      <c r="AP111" s="94"/>
    </row>
    <row r="112" spans="1:42">
      <c r="A112" s="104"/>
      <c r="B112" s="99"/>
      <c r="C112" s="94"/>
      <c r="D112" s="104"/>
      <c r="E112" s="99"/>
      <c r="F112" s="94"/>
      <c r="G112" s="104"/>
      <c r="H112" s="99"/>
      <c r="I112" s="94"/>
      <c r="J112" s="104"/>
      <c r="K112" s="99"/>
      <c r="L112" s="94"/>
      <c r="M112" s="104"/>
      <c r="N112" s="99"/>
      <c r="O112" s="94"/>
      <c r="P112" s="104"/>
      <c r="Q112" s="99"/>
      <c r="R112" s="94"/>
      <c r="S112" s="104"/>
      <c r="T112" s="99"/>
      <c r="U112" s="94"/>
      <c r="V112" s="104"/>
      <c r="W112" s="99"/>
      <c r="X112" s="94"/>
      <c r="Y112" s="104"/>
      <c r="Z112" s="99"/>
      <c r="AA112" s="94"/>
      <c r="AB112" s="104"/>
      <c r="AC112" s="99"/>
      <c r="AD112" s="94"/>
      <c r="AE112" s="104"/>
      <c r="AF112" s="99"/>
      <c r="AG112" s="94"/>
      <c r="AH112" s="104"/>
      <c r="AI112" s="99"/>
      <c r="AJ112" s="94"/>
      <c r="AK112" s="104"/>
      <c r="AL112" s="99"/>
      <c r="AM112" s="94"/>
      <c r="AN112" s="104"/>
      <c r="AO112" s="99"/>
      <c r="AP112" s="94"/>
    </row>
    <row r="113" spans="1:42">
      <c r="A113" s="104"/>
      <c r="B113" s="99"/>
      <c r="C113" s="94"/>
      <c r="D113" s="104"/>
      <c r="E113" s="99"/>
      <c r="F113" s="94"/>
      <c r="G113" s="104"/>
      <c r="H113" s="99"/>
      <c r="I113" s="94"/>
      <c r="J113" s="104"/>
      <c r="K113" s="99"/>
      <c r="L113" s="94"/>
      <c r="M113" s="104"/>
      <c r="N113" s="99"/>
      <c r="O113" s="94"/>
      <c r="P113" s="104"/>
      <c r="Q113" s="99"/>
      <c r="R113" s="94"/>
      <c r="S113" s="104"/>
      <c r="T113" s="99"/>
      <c r="U113" s="94"/>
      <c r="V113" s="104"/>
      <c r="W113" s="99"/>
      <c r="X113" s="94"/>
      <c r="Y113" s="104"/>
      <c r="Z113" s="99"/>
      <c r="AA113" s="94"/>
      <c r="AB113" s="104"/>
      <c r="AC113" s="99"/>
      <c r="AD113" s="94"/>
      <c r="AE113" s="104"/>
      <c r="AF113" s="99"/>
      <c r="AG113" s="94"/>
      <c r="AH113" s="104"/>
      <c r="AI113" s="99"/>
      <c r="AJ113" s="94"/>
      <c r="AK113" s="104"/>
      <c r="AL113" s="99"/>
      <c r="AM113" s="94"/>
      <c r="AN113" s="104"/>
      <c r="AO113" s="99"/>
      <c r="AP113" s="94"/>
    </row>
    <row r="114" spans="1:42">
      <c r="A114" s="106" t="s">
        <v>174</v>
      </c>
      <c r="B114" s="106"/>
      <c r="C114" s="106"/>
      <c r="D114" s="106" t="s">
        <v>174</v>
      </c>
      <c r="E114" s="106"/>
      <c r="F114" s="106"/>
      <c r="G114" s="106" t="s">
        <v>174</v>
      </c>
      <c r="H114" s="106"/>
      <c r="I114" s="106"/>
      <c r="J114" s="106" t="s">
        <v>174</v>
      </c>
      <c r="K114" s="106"/>
      <c r="L114" s="106"/>
      <c r="M114" s="106" t="s">
        <v>174</v>
      </c>
      <c r="N114" s="106"/>
      <c r="O114" s="106"/>
      <c r="P114" s="106" t="s">
        <v>174</v>
      </c>
      <c r="Q114" s="106"/>
      <c r="R114" s="106"/>
      <c r="S114" s="106" t="s">
        <v>174</v>
      </c>
      <c r="T114" s="106"/>
      <c r="U114" s="106"/>
      <c r="V114" s="106" t="s">
        <v>174</v>
      </c>
      <c r="W114" s="106"/>
      <c r="X114" s="106"/>
      <c r="Y114" s="106" t="s">
        <v>174</v>
      </c>
      <c r="Z114" s="106"/>
      <c r="AA114" s="106"/>
      <c r="AB114" s="106" t="s">
        <v>174</v>
      </c>
      <c r="AC114" s="106"/>
      <c r="AD114" s="106"/>
      <c r="AE114" s="106" t="s">
        <v>174</v>
      </c>
      <c r="AF114" s="106"/>
      <c r="AG114" s="106"/>
      <c r="AH114" s="106" t="s">
        <v>174</v>
      </c>
      <c r="AI114" s="106"/>
      <c r="AJ114" s="106"/>
      <c r="AK114" s="106" t="s">
        <v>174</v>
      </c>
      <c r="AL114" s="106"/>
      <c r="AM114" s="106"/>
      <c r="AN114" s="106" t="s">
        <v>174</v>
      </c>
      <c r="AO114" s="106"/>
      <c r="AP114" s="106"/>
    </row>
    <row r="115" spans="1:42" ht="15" thickBot="1">
      <c r="A115" s="103" t="s">
        <v>121</v>
      </c>
      <c r="B115" s="97" t="s">
        <v>122</v>
      </c>
      <c r="C115" s="95" t="s">
        <v>123</v>
      </c>
      <c r="D115" s="103" t="s">
        <v>121</v>
      </c>
      <c r="E115" s="97" t="s">
        <v>122</v>
      </c>
      <c r="F115" s="95" t="s">
        <v>123</v>
      </c>
      <c r="G115" s="103" t="s">
        <v>121</v>
      </c>
      <c r="H115" s="97" t="s">
        <v>122</v>
      </c>
      <c r="I115" s="95" t="s">
        <v>123</v>
      </c>
      <c r="J115" s="103" t="s">
        <v>121</v>
      </c>
      <c r="K115" s="97" t="s">
        <v>122</v>
      </c>
      <c r="L115" s="95" t="s">
        <v>123</v>
      </c>
      <c r="M115" s="103" t="s">
        <v>121</v>
      </c>
      <c r="N115" s="97" t="s">
        <v>122</v>
      </c>
      <c r="O115" s="95" t="s">
        <v>123</v>
      </c>
      <c r="P115" s="103" t="s">
        <v>121</v>
      </c>
      <c r="Q115" s="97" t="s">
        <v>122</v>
      </c>
      <c r="R115" s="95" t="s">
        <v>123</v>
      </c>
      <c r="S115" s="103" t="s">
        <v>121</v>
      </c>
      <c r="T115" s="97" t="s">
        <v>122</v>
      </c>
      <c r="U115" s="95" t="s">
        <v>123</v>
      </c>
      <c r="V115" s="103" t="s">
        <v>121</v>
      </c>
      <c r="W115" s="97" t="s">
        <v>122</v>
      </c>
      <c r="X115" s="95" t="s">
        <v>123</v>
      </c>
      <c r="Y115" s="103" t="s">
        <v>121</v>
      </c>
      <c r="Z115" s="97" t="s">
        <v>122</v>
      </c>
      <c r="AA115" s="95" t="s">
        <v>123</v>
      </c>
      <c r="AB115" s="103" t="s">
        <v>121</v>
      </c>
      <c r="AC115" s="97" t="s">
        <v>122</v>
      </c>
      <c r="AD115" s="95" t="s">
        <v>123</v>
      </c>
      <c r="AE115" s="103" t="s">
        <v>121</v>
      </c>
      <c r="AF115" s="97" t="s">
        <v>122</v>
      </c>
      <c r="AG115" s="95" t="s">
        <v>123</v>
      </c>
      <c r="AH115" s="103" t="s">
        <v>121</v>
      </c>
      <c r="AI115" s="97" t="s">
        <v>122</v>
      </c>
      <c r="AJ115" s="95" t="s">
        <v>123</v>
      </c>
      <c r="AK115" s="103" t="s">
        <v>121</v>
      </c>
      <c r="AL115" s="97" t="s">
        <v>122</v>
      </c>
      <c r="AM115" s="95" t="s">
        <v>123</v>
      </c>
      <c r="AN115" s="103" t="s">
        <v>121</v>
      </c>
      <c r="AO115" s="97" t="s">
        <v>122</v>
      </c>
      <c r="AP115" s="95" t="s">
        <v>123</v>
      </c>
    </row>
    <row r="116" spans="1:42">
      <c r="A116" s="104"/>
      <c r="B116" s="99"/>
      <c r="C116" s="94"/>
      <c r="D116" s="104"/>
      <c r="E116" s="99"/>
      <c r="F116" s="94"/>
      <c r="G116" s="104"/>
      <c r="H116" s="99"/>
      <c r="I116" s="94"/>
      <c r="J116" s="104"/>
      <c r="K116" s="99"/>
      <c r="L116" s="94"/>
      <c r="M116" s="104"/>
      <c r="N116" s="99"/>
      <c r="O116" s="94"/>
      <c r="P116" s="104"/>
      <c r="Q116" s="99"/>
      <c r="R116" s="94"/>
      <c r="S116" s="104"/>
      <c r="T116" s="99"/>
      <c r="U116" s="94"/>
      <c r="V116" s="104"/>
      <c r="W116" s="99"/>
      <c r="X116" s="94"/>
      <c r="Y116" s="104"/>
      <c r="Z116" s="99"/>
      <c r="AA116" s="94"/>
      <c r="AB116" s="104"/>
      <c r="AC116" s="99"/>
      <c r="AD116" s="94"/>
      <c r="AE116" s="104"/>
      <c r="AF116" s="99"/>
      <c r="AG116" s="94"/>
      <c r="AH116" s="104"/>
      <c r="AI116" s="99"/>
      <c r="AJ116" s="94"/>
      <c r="AK116" s="104"/>
      <c r="AL116" s="99"/>
      <c r="AM116" s="94"/>
      <c r="AN116" s="104"/>
      <c r="AO116" s="99"/>
      <c r="AP116" s="94"/>
    </row>
    <row r="117" spans="1:42">
      <c r="A117" s="104"/>
      <c r="B117" s="99"/>
      <c r="C117" s="94"/>
      <c r="D117" s="104"/>
      <c r="E117" s="99"/>
      <c r="F117" s="94"/>
      <c r="G117" s="104"/>
      <c r="H117" s="99"/>
      <c r="I117" s="94"/>
      <c r="J117" s="104"/>
      <c r="K117" s="99"/>
      <c r="L117" s="94"/>
      <c r="M117" s="104"/>
      <c r="N117" s="99"/>
      <c r="O117" s="94"/>
      <c r="P117" s="104"/>
      <c r="Q117" s="99"/>
      <c r="R117" s="94"/>
      <c r="S117" s="104"/>
      <c r="T117" s="99"/>
      <c r="U117" s="94"/>
      <c r="V117" s="104"/>
      <c r="W117" s="99"/>
      <c r="X117" s="94"/>
      <c r="Y117" s="104"/>
      <c r="Z117" s="99"/>
      <c r="AA117" s="94"/>
      <c r="AB117" s="104"/>
      <c r="AC117" s="99"/>
      <c r="AD117" s="94"/>
      <c r="AE117" s="104"/>
      <c r="AF117" s="99"/>
      <c r="AG117" s="94"/>
      <c r="AH117" s="104"/>
      <c r="AI117" s="99"/>
      <c r="AJ117" s="94"/>
      <c r="AK117" s="104"/>
      <c r="AL117" s="99"/>
      <c r="AM117" s="94"/>
      <c r="AN117" s="104"/>
      <c r="AO117" s="99"/>
      <c r="AP117" s="94"/>
    </row>
    <row r="118" spans="1:42">
      <c r="A118" s="104"/>
      <c r="B118" s="99"/>
      <c r="C118" s="94"/>
      <c r="D118" s="104"/>
      <c r="E118" s="99"/>
      <c r="F118" s="94"/>
      <c r="G118" s="104"/>
      <c r="H118" s="99"/>
      <c r="I118" s="94"/>
      <c r="J118" s="104"/>
      <c r="K118" s="99"/>
      <c r="L118" s="94"/>
      <c r="M118" s="104"/>
      <c r="N118" s="99"/>
      <c r="O118" s="94"/>
      <c r="P118" s="104"/>
      <c r="Q118" s="99"/>
      <c r="R118" s="94"/>
      <c r="S118" s="104"/>
      <c r="T118" s="99"/>
      <c r="U118" s="94"/>
      <c r="V118" s="104"/>
      <c r="W118" s="99"/>
      <c r="X118" s="94"/>
      <c r="Y118" s="104"/>
      <c r="Z118" s="99"/>
      <c r="AA118" s="94"/>
      <c r="AB118" s="104"/>
      <c r="AC118" s="99"/>
      <c r="AD118" s="94"/>
      <c r="AE118" s="104"/>
      <c r="AF118" s="99"/>
      <c r="AG118" s="94"/>
      <c r="AH118" s="104"/>
      <c r="AI118" s="99"/>
      <c r="AJ118" s="94"/>
      <c r="AK118" s="104"/>
      <c r="AL118" s="99"/>
      <c r="AM118" s="94"/>
      <c r="AN118" s="104"/>
      <c r="AO118" s="99"/>
      <c r="AP118" s="94"/>
    </row>
    <row r="119" spans="1:42">
      <c r="A119" s="104"/>
      <c r="B119" s="99"/>
      <c r="C119" s="94"/>
      <c r="D119" s="104"/>
      <c r="E119" s="99"/>
      <c r="F119" s="94"/>
      <c r="G119" s="104"/>
      <c r="H119" s="99"/>
      <c r="I119" s="94"/>
      <c r="J119" s="104"/>
      <c r="K119" s="99"/>
      <c r="L119" s="94"/>
      <c r="M119" s="104"/>
      <c r="N119" s="99"/>
      <c r="O119" s="94"/>
      <c r="P119" s="104"/>
      <c r="Q119" s="99"/>
      <c r="R119" s="94"/>
      <c r="S119" s="104"/>
      <c r="T119" s="99"/>
      <c r="U119" s="94"/>
      <c r="V119" s="104"/>
      <c r="W119" s="99"/>
      <c r="X119" s="94"/>
      <c r="Y119" s="104"/>
      <c r="Z119" s="99"/>
      <c r="AA119" s="94"/>
      <c r="AB119" s="104"/>
      <c r="AC119" s="99"/>
      <c r="AD119" s="94"/>
      <c r="AE119" s="104"/>
      <c r="AF119" s="99"/>
      <c r="AG119" s="94"/>
      <c r="AH119" s="104"/>
      <c r="AI119" s="99"/>
      <c r="AJ119" s="94"/>
      <c r="AK119" s="104"/>
      <c r="AL119" s="99"/>
      <c r="AM119" s="94"/>
      <c r="AN119" s="104"/>
      <c r="AO119" s="99"/>
      <c r="AP119" s="94"/>
    </row>
    <row r="120" spans="1:42">
      <c r="A120" s="104"/>
      <c r="B120" s="99"/>
      <c r="C120" s="94"/>
      <c r="D120" s="104"/>
      <c r="E120" s="99"/>
      <c r="F120" s="94"/>
      <c r="G120" s="104"/>
      <c r="H120" s="99"/>
      <c r="I120" s="94"/>
      <c r="J120" s="104"/>
      <c r="K120" s="99"/>
      <c r="L120" s="94"/>
      <c r="M120" s="104"/>
      <c r="N120" s="99"/>
      <c r="O120" s="94"/>
      <c r="P120" s="104"/>
      <c r="Q120" s="99"/>
      <c r="R120" s="94"/>
      <c r="S120" s="104"/>
      <c r="T120" s="99"/>
      <c r="U120" s="94"/>
      <c r="V120" s="104"/>
      <c r="W120" s="99"/>
      <c r="X120" s="94"/>
      <c r="Y120" s="104"/>
      <c r="Z120" s="99"/>
      <c r="AA120" s="94"/>
      <c r="AB120" s="104"/>
      <c r="AC120" s="99"/>
      <c r="AD120" s="94"/>
      <c r="AE120" s="104"/>
      <c r="AF120" s="99"/>
      <c r="AG120" s="94"/>
      <c r="AH120" s="104"/>
      <c r="AI120" s="99"/>
      <c r="AJ120" s="94"/>
      <c r="AK120" s="104"/>
      <c r="AL120" s="99"/>
      <c r="AM120" s="94"/>
      <c r="AN120" s="104"/>
      <c r="AO120" s="99"/>
      <c r="AP120" s="94"/>
    </row>
    <row r="121" spans="1:42">
      <c r="A121" s="104"/>
      <c r="B121" s="99"/>
      <c r="C121" s="94"/>
      <c r="D121" s="104"/>
      <c r="E121" s="99"/>
      <c r="F121" s="94"/>
      <c r="G121" s="104"/>
      <c r="H121" s="99"/>
      <c r="I121" s="94"/>
      <c r="J121" s="104"/>
      <c r="K121" s="99"/>
      <c r="L121" s="94"/>
      <c r="M121" s="104"/>
      <c r="N121" s="99"/>
      <c r="O121" s="94"/>
      <c r="P121" s="104"/>
      <c r="Q121" s="99"/>
      <c r="R121" s="94"/>
      <c r="S121" s="104"/>
      <c r="T121" s="99"/>
      <c r="U121" s="94"/>
      <c r="V121" s="104"/>
      <c r="W121" s="99"/>
      <c r="X121" s="94"/>
      <c r="Y121" s="104"/>
      <c r="Z121" s="99"/>
      <c r="AA121" s="94"/>
      <c r="AB121" s="104"/>
      <c r="AC121" s="99"/>
      <c r="AD121" s="94"/>
      <c r="AE121" s="104"/>
      <c r="AF121" s="99"/>
      <c r="AG121" s="94"/>
      <c r="AH121" s="104"/>
      <c r="AI121" s="99"/>
      <c r="AJ121" s="94"/>
      <c r="AK121" s="104"/>
      <c r="AL121" s="99"/>
      <c r="AM121" s="94"/>
      <c r="AN121" s="104"/>
      <c r="AO121" s="99"/>
      <c r="AP121" s="94"/>
    </row>
    <row r="122" spans="1:42">
      <c r="A122" s="104"/>
      <c r="B122" s="99"/>
      <c r="C122" s="94"/>
      <c r="D122" s="104"/>
      <c r="E122" s="99"/>
      <c r="F122" s="94"/>
      <c r="G122" s="104"/>
      <c r="H122" s="99"/>
      <c r="I122" s="94"/>
      <c r="J122" s="104"/>
      <c r="K122" s="99"/>
      <c r="L122" s="94"/>
      <c r="M122" s="104"/>
      <c r="N122" s="99"/>
      <c r="O122" s="94"/>
      <c r="P122" s="104"/>
      <c r="Q122" s="99"/>
      <c r="R122" s="94"/>
      <c r="S122" s="104"/>
      <c r="T122" s="99"/>
      <c r="U122" s="94"/>
      <c r="V122" s="104"/>
      <c r="W122" s="99"/>
      <c r="X122" s="94"/>
      <c r="Y122" s="104"/>
      <c r="Z122" s="99"/>
      <c r="AA122" s="94"/>
      <c r="AB122" s="104"/>
      <c r="AC122" s="99"/>
      <c r="AD122" s="94"/>
      <c r="AE122" s="104"/>
      <c r="AF122" s="99"/>
      <c r="AG122" s="94"/>
      <c r="AH122" s="104"/>
      <c r="AI122" s="99"/>
      <c r="AJ122" s="94"/>
      <c r="AK122" s="104"/>
      <c r="AL122" s="99"/>
      <c r="AM122" s="94"/>
      <c r="AN122" s="104"/>
      <c r="AO122" s="99"/>
      <c r="AP122" s="94"/>
    </row>
    <row r="123" spans="1:42">
      <c r="A123" s="104"/>
      <c r="B123" s="99"/>
      <c r="C123" s="94"/>
      <c r="D123" s="104"/>
      <c r="E123" s="99"/>
      <c r="F123" s="94"/>
      <c r="G123" s="104"/>
      <c r="H123" s="99"/>
      <c r="I123" s="94"/>
      <c r="J123" s="104"/>
      <c r="K123" s="99"/>
      <c r="L123" s="94"/>
      <c r="M123" s="104"/>
      <c r="N123" s="99"/>
      <c r="O123" s="94"/>
      <c r="P123" s="104"/>
      <c r="Q123" s="99"/>
      <c r="R123" s="94"/>
      <c r="S123" s="104"/>
      <c r="T123" s="99"/>
      <c r="U123" s="94"/>
      <c r="V123" s="104"/>
      <c r="W123" s="99"/>
      <c r="X123" s="94"/>
      <c r="Y123" s="104"/>
      <c r="Z123" s="99"/>
      <c r="AA123" s="94"/>
      <c r="AB123" s="104"/>
      <c r="AC123" s="99"/>
      <c r="AD123" s="94"/>
      <c r="AE123" s="104"/>
      <c r="AF123" s="99"/>
      <c r="AG123" s="94"/>
      <c r="AH123" s="104"/>
      <c r="AI123" s="99"/>
      <c r="AJ123" s="94"/>
      <c r="AK123" s="104"/>
      <c r="AL123" s="99"/>
      <c r="AM123" s="94"/>
      <c r="AN123" s="104"/>
      <c r="AO123" s="99"/>
      <c r="AP123" s="94"/>
    </row>
    <row r="124" spans="1:42">
      <c r="A124" s="104"/>
      <c r="B124" s="99"/>
      <c r="C124" s="94"/>
      <c r="D124" s="104"/>
      <c r="E124" s="99"/>
      <c r="F124" s="94"/>
      <c r="G124" s="104"/>
      <c r="H124" s="99"/>
      <c r="I124" s="94"/>
      <c r="J124" s="104"/>
      <c r="K124" s="99"/>
      <c r="L124" s="94"/>
      <c r="M124" s="104"/>
      <c r="N124" s="99"/>
      <c r="O124" s="94"/>
      <c r="P124" s="104"/>
      <c r="Q124" s="99"/>
      <c r="R124" s="94"/>
      <c r="S124" s="104"/>
      <c r="T124" s="99"/>
      <c r="U124" s="94"/>
      <c r="V124" s="104"/>
      <c r="W124" s="99"/>
      <c r="X124" s="94"/>
      <c r="Y124" s="104"/>
      <c r="Z124" s="99"/>
      <c r="AA124" s="94"/>
      <c r="AB124" s="104"/>
      <c r="AC124" s="99"/>
      <c r="AD124" s="94"/>
      <c r="AE124" s="104"/>
      <c r="AF124" s="99"/>
      <c r="AG124" s="94"/>
      <c r="AH124" s="104"/>
      <c r="AI124" s="99"/>
      <c r="AJ124" s="94"/>
      <c r="AK124" s="104"/>
      <c r="AL124" s="99"/>
      <c r="AM124" s="94"/>
      <c r="AN124" s="104"/>
      <c r="AO124" s="99"/>
      <c r="AP124" s="94"/>
    </row>
    <row r="125" spans="1:42">
      <c r="A125" s="104"/>
      <c r="B125" s="99"/>
      <c r="C125" s="94"/>
      <c r="D125" s="104"/>
      <c r="E125" s="99"/>
      <c r="F125" s="94"/>
      <c r="G125" s="104"/>
      <c r="H125" s="99"/>
      <c r="I125" s="94"/>
      <c r="J125" s="104"/>
      <c r="K125" s="99"/>
      <c r="L125" s="94"/>
      <c r="M125" s="104"/>
      <c r="N125" s="99"/>
      <c r="O125" s="94"/>
      <c r="P125" s="104"/>
      <c r="Q125" s="99"/>
      <c r="R125" s="94"/>
      <c r="S125" s="104"/>
      <c r="T125" s="99"/>
      <c r="U125" s="94"/>
      <c r="V125" s="104"/>
      <c r="W125" s="99"/>
      <c r="X125" s="94"/>
      <c r="Y125" s="104"/>
      <c r="Z125" s="99"/>
      <c r="AA125" s="94"/>
      <c r="AB125" s="104"/>
      <c r="AC125" s="99"/>
      <c r="AD125" s="94"/>
      <c r="AE125" s="104"/>
      <c r="AF125" s="99"/>
      <c r="AG125" s="94"/>
      <c r="AH125" s="104"/>
      <c r="AI125" s="99"/>
      <c r="AJ125" s="94"/>
      <c r="AK125" s="104"/>
      <c r="AL125" s="99"/>
      <c r="AM125" s="94"/>
      <c r="AN125" s="104"/>
      <c r="AO125" s="99"/>
      <c r="AP125" s="94"/>
    </row>
    <row r="126" spans="1:42">
      <c r="A126" s="104"/>
      <c r="B126" s="99"/>
      <c r="C126" s="94"/>
      <c r="D126" s="104"/>
      <c r="E126" s="99"/>
      <c r="F126" s="94"/>
      <c r="G126" s="104"/>
      <c r="H126" s="99"/>
      <c r="I126" s="94"/>
      <c r="J126" s="104"/>
      <c r="K126" s="99"/>
      <c r="L126" s="94"/>
      <c r="M126" s="104"/>
      <c r="N126" s="99"/>
      <c r="O126" s="94"/>
      <c r="P126" s="104"/>
      <c r="Q126" s="99"/>
      <c r="R126" s="94"/>
      <c r="S126" s="104"/>
      <c r="T126" s="99"/>
      <c r="U126" s="94"/>
      <c r="V126" s="104"/>
      <c r="W126" s="99"/>
      <c r="X126" s="94"/>
      <c r="Y126" s="104"/>
      <c r="Z126" s="99"/>
      <c r="AA126" s="94"/>
      <c r="AB126" s="104"/>
      <c r="AC126" s="99"/>
      <c r="AD126" s="94"/>
      <c r="AE126" s="104"/>
      <c r="AF126" s="99"/>
      <c r="AG126" s="94"/>
      <c r="AH126" s="104"/>
      <c r="AI126" s="99"/>
      <c r="AJ126" s="94"/>
      <c r="AK126" s="104"/>
      <c r="AL126" s="99"/>
      <c r="AM126" s="94"/>
      <c r="AN126" s="104"/>
      <c r="AO126" s="99"/>
      <c r="AP126" s="94"/>
    </row>
    <row r="127" spans="1:42">
      <c r="A127" s="104"/>
      <c r="B127" s="99"/>
      <c r="C127" s="94"/>
      <c r="D127" s="104"/>
      <c r="E127" s="99"/>
      <c r="F127" s="94"/>
      <c r="G127" s="104"/>
      <c r="H127" s="99"/>
      <c r="I127" s="94"/>
      <c r="J127" s="104"/>
      <c r="K127" s="99"/>
      <c r="L127" s="94"/>
      <c r="M127" s="104"/>
      <c r="N127" s="99"/>
      <c r="O127" s="94"/>
      <c r="P127" s="104"/>
      <c r="Q127" s="99"/>
      <c r="R127" s="94"/>
      <c r="S127" s="104"/>
      <c r="T127" s="99"/>
      <c r="U127" s="94"/>
      <c r="V127" s="104"/>
      <c r="W127" s="99"/>
      <c r="X127" s="94"/>
      <c r="Y127" s="104"/>
      <c r="Z127" s="99"/>
      <c r="AA127" s="94"/>
      <c r="AB127" s="104"/>
      <c r="AC127" s="99"/>
      <c r="AD127" s="94"/>
      <c r="AE127" s="104"/>
      <c r="AF127" s="99"/>
      <c r="AG127" s="94"/>
      <c r="AH127" s="104"/>
      <c r="AI127" s="99"/>
      <c r="AJ127" s="94"/>
      <c r="AK127" s="104"/>
      <c r="AL127" s="99"/>
      <c r="AM127" s="94"/>
      <c r="AN127" s="104"/>
      <c r="AO127" s="99"/>
      <c r="AP127" s="94"/>
    </row>
    <row r="128" spans="1:42">
      <c r="A128" s="104"/>
      <c r="B128" s="99"/>
      <c r="C128" s="94"/>
      <c r="D128" s="104"/>
      <c r="E128" s="99"/>
      <c r="F128" s="94"/>
      <c r="G128" s="104"/>
      <c r="H128" s="99"/>
      <c r="I128" s="94"/>
      <c r="J128" s="104"/>
      <c r="K128" s="99"/>
      <c r="L128" s="94"/>
      <c r="M128" s="104"/>
      <c r="N128" s="99"/>
      <c r="O128" s="94"/>
      <c r="P128" s="104"/>
      <c r="Q128" s="99"/>
      <c r="R128" s="94"/>
      <c r="S128" s="104"/>
      <c r="T128" s="99"/>
      <c r="U128" s="94"/>
      <c r="V128" s="104"/>
      <c r="W128" s="99"/>
      <c r="X128" s="94"/>
      <c r="Y128" s="104"/>
      <c r="Z128" s="99"/>
      <c r="AA128" s="94"/>
      <c r="AB128" s="104"/>
      <c r="AC128" s="99"/>
      <c r="AD128" s="94"/>
      <c r="AE128" s="104"/>
      <c r="AF128" s="99"/>
      <c r="AG128" s="94"/>
      <c r="AH128" s="104"/>
      <c r="AI128" s="99"/>
      <c r="AJ128" s="94"/>
      <c r="AK128" s="104"/>
      <c r="AL128" s="99"/>
      <c r="AM128" s="94"/>
      <c r="AN128" s="104"/>
      <c r="AO128" s="99"/>
      <c r="AP128" s="94"/>
    </row>
    <row r="129" spans="1:42">
      <c r="A129" s="104"/>
      <c r="B129" s="99"/>
      <c r="C129" s="94"/>
      <c r="D129" s="104"/>
      <c r="E129" s="99"/>
      <c r="F129" s="94"/>
      <c r="G129" s="104"/>
      <c r="H129" s="99"/>
      <c r="I129" s="94"/>
      <c r="J129" s="104"/>
      <c r="K129" s="99"/>
      <c r="L129" s="94"/>
      <c r="M129" s="104"/>
      <c r="N129" s="99"/>
      <c r="O129" s="94"/>
      <c r="P129" s="104"/>
      <c r="Q129" s="99"/>
      <c r="R129" s="94"/>
      <c r="S129" s="104"/>
      <c r="T129" s="99"/>
      <c r="U129" s="94"/>
      <c r="V129" s="104"/>
      <c r="W129" s="99"/>
      <c r="X129" s="94"/>
      <c r="Y129" s="104"/>
      <c r="Z129" s="99"/>
      <c r="AA129" s="94"/>
      <c r="AB129" s="104"/>
      <c r="AC129" s="99"/>
      <c r="AD129" s="94"/>
      <c r="AE129" s="104"/>
      <c r="AF129" s="99"/>
      <c r="AG129" s="94"/>
      <c r="AH129" s="104"/>
      <c r="AI129" s="99"/>
      <c r="AJ129" s="94"/>
      <c r="AK129" s="104"/>
      <c r="AL129" s="99"/>
      <c r="AM129" s="94"/>
      <c r="AN129" s="104"/>
      <c r="AO129" s="99"/>
      <c r="AP129" s="94"/>
    </row>
    <row r="130" spans="1:42">
      <c r="A130" s="104"/>
      <c r="B130" s="99"/>
      <c r="C130" s="94"/>
      <c r="D130" s="104"/>
      <c r="E130" s="99"/>
      <c r="F130" s="94"/>
      <c r="G130" s="104"/>
      <c r="H130" s="99"/>
      <c r="I130" s="94"/>
      <c r="J130" s="104"/>
      <c r="K130" s="99"/>
      <c r="L130" s="94"/>
      <c r="M130" s="104"/>
      <c r="N130" s="99"/>
      <c r="O130" s="94"/>
      <c r="P130" s="104"/>
      <c r="Q130" s="99"/>
      <c r="R130" s="94"/>
      <c r="S130" s="104"/>
      <c r="T130" s="99"/>
      <c r="U130" s="94"/>
      <c r="V130" s="104"/>
      <c r="W130" s="99"/>
      <c r="X130" s="94"/>
      <c r="Y130" s="104"/>
      <c r="Z130" s="99"/>
      <c r="AA130" s="94"/>
      <c r="AB130" s="104"/>
      <c r="AC130" s="99"/>
      <c r="AD130" s="94"/>
      <c r="AE130" s="104"/>
      <c r="AF130" s="99"/>
      <c r="AG130" s="94"/>
      <c r="AH130" s="104"/>
      <c r="AI130" s="99"/>
      <c r="AJ130" s="94"/>
      <c r="AK130" s="104"/>
      <c r="AL130" s="99"/>
      <c r="AM130" s="94"/>
      <c r="AN130" s="104"/>
      <c r="AO130" s="99"/>
      <c r="AP130" s="94"/>
    </row>
    <row r="131" spans="1:42">
      <c r="A131" s="104"/>
      <c r="B131" s="99"/>
      <c r="C131" s="94"/>
      <c r="D131" s="104"/>
      <c r="E131" s="99"/>
      <c r="F131" s="94"/>
      <c r="G131" s="104"/>
      <c r="H131" s="99"/>
      <c r="I131" s="94"/>
      <c r="J131" s="104"/>
      <c r="K131" s="99"/>
      <c r="L131" s="94"/>
      <c r="M131" s="104"/>
      <c r="N131" s="99"/>
      <c r="O131" s="94"/>
      <c r="P131" s="104"/>
      <c r="Q131" s="99"/>
      <c r="R131" s="94"/>
      <c r="S131" s="104"/>
      <c r="T131" s="99"/>
      <c r="U131" s="94"/>
      <c r="V131" s="104"/>
      <c r="W131" s="99"/>
      <c r="X131" s="94"/>
      <c r="Y131" s="104"/>
      <c r="Z131" s="99"/>
      <c r="AA131" s="94"/>
      <c r="AB131" s="104"/>
      <c r="AC131" s="99"/>
      <c r="AD131" s="94"/>
      <c r="AE131" s="104"/>
      <c r="AF131" s="99"/>
      <c r="AG131" s="94"/>
      <c r="AH131" s="104"/>
      <c r="AI131" s="99"/>
      <c r="AJ131" s="94"/>
      <c r="AK131" s="104"/>
      <c r="AL131" s="99"/>
      <c r="AM131" s="94"/>
      <c r="AN131" s="104"/>
      <c r="AO131" s="99"/>
      <c r="AP131" s="94"/>
    </row>
    <row r="132" spans="1:42">
      <c r="A132" s="104"/>
      <c r="B132" s="99"/>
      <c r="C132" s="94"/>
      <c r="D132" s="104"/>
      <c r="E132" s="99"/>
      <c r="F132" s="94"/>
      <c r="G132" s="104"/>
      <c r="H132" s="99"/>
      <c r="I132" s="94"/>
      <c r="J132" s="104"/>
      <c r="K132" s="99"/>
      <c r="L132" s="94"/>
      <c r="M132" s="104"/>
      <c r="N132" s="99"/>
      <c r="O132" s="94"/>
      <c r="P132" s="104"/>
      <c r="Q132" s="99"/>
      <c r="R132" s="94"/>
      <c r="S132" s="104"/>
      <c r="T132" s="99"/>
      <c r="U132" s="94"/>
      <c r="V132" s="104"/>
      <c r="W132" s="99"/>
      <c r="X132" s="94"/>
      <c r="Y132" s="104"/>
      <c r="Z132" s="99"/>
      <c r="AA132" s="94"/>
      <c r="AB132" s="104"/>
      <c r="AC132" s="99"/>
      <c r="AD132" s="94"/>
      <c r="AE132" s="104"/>
      <c r="AF132" s="99"/>
      <c r="AG132" s="94"/>
      <c r="AH132" s="104"/>
      <c r="AI132" s="99"/>
      <c r="AJ132" s="94"/>
      <c r="AK132" s="104"/>
      <c r="AL132" s="99"/>
      <c r="AM132" s="94"/>
      <c r="AN132" s="104"/>
      <c r="AO132" s="99"/>
      <c r="AP132" s="94"/>
    </row>
    <row r="133" spans="1:42">
      <c r="A133" s="104"/>
      <c r="B133" s="99"/>
      <c r="C133" s="94"/>
      <c r="D133" s="104"/>
      <c r="E133" s="99"/>
      <c r="F133" s="94"/>
      <c r="G133" s="104"/>
      <c r="H133" s="99"/>
      <c r="I133" s="94"/>
      <c r="J133" s="104"/>
      <c r="K133" s="99"/>
      <c r="L133" s="94"/>
      <c r="M133" s="104"/>
      <c r="N133" s="99"/>
      <c r="O133" s="94"/>
      <c r="P133" s="104"/>
      <c r="Q133" s="99"/>
      <c r="R133" s="94"/>
      <c r="S133" s="104"/>
      <c r="T133" s="99"/>
      <c r="U133" s="94"/>
      <c r="V133" s="104"/>
      <c r="W133" s="99"/>
      <c r="X133" s="94"/>
      <c r="Y133" s="104"/>
      <c r="Z133" s="99"/>
      <c r="AA133" s="94"/>
      <c r="AB133" s="104"/>
      <c r="AC133" s="99"/>
      <c r="AD133" s="94"/>
      <c r="AE133" s="104"/>
      <c r="AF133" s="99"/>
      <c r="AG133" s="94"/>
      <c r="AH133" s="104"/>
      <c r="AI133" s="99"/>
      <c r="AJ133" s="94"/>
      <c r="AK133" s="104"/>
      <c r="AL133" s="99"/>
      <c r="AM133" s="94"/>
      <c r="AN133" s="104"/>
      <c r="AO133" s="99"/>
      <c r="AP133" s="94"/>
    </row>
    <row r="134" spans="1:42">
      <c r="A134" s="104"/>
      <c r="B134" s="99"/>
      <c r="C134" s="94"/>
      <c r="D134" s="104"/>
      <c r="E134" s="99"/>
      <c r="F134" s="94"/>
      <c r="G134" s="104"/>
      <c r="H134" s="99"/>
      <c r="I134" s="94"/>
      <c r="J134" s="104"/>
      <c r="K134" s="99"/>
      <c r="L134" s="94"/>
      <c r="M134" s="104"/>
      <c r="N134" s="99"/>
      <c r="O134" s="94"/>
      <c r="P134" s="104"/>
      <c r="Q134" s="99"/>
      <c r="R134" s="94"/>
      <c r="S134" s="104"/>
      <c r="T134" s="99"/>
      <c r="U134" s="94"/>
      <c r="V134" s="104"/>
      <c r="W134" s="99"/>
      <c r="X134" s="94"/>
      <c r="Y134" s="104"/>
      <c r="Z134" s="99"/>
      <c r="AA134" s="94"/>
      <c r="AB134" s="104"/>
      <c r="AC134" s="99"/>
      <c r="AD134" s="94"/>
      <c r="AE134" s="104"/>
      <c r="AF134" s="99"/>
      <c r="AG134" s="94"/>
      <c r="AH134" s="104"/>
      <c r="AI134" s="99"/>
      <c r="AJ134" s="94"/>
      <c r="AK134" s="104"/>
      <c r="AL134" s="99"/>
      <c r="AM134" s="94"/>
      <c r="AN134" s="104"/>
      <c r="AO134" s="99"/>
      <c r="AP134" s="94"/>
    </row>
    <row r="135" spans="1:42">
      <c r="A135" s="104"/>
      <c r="B135" s="99"/>
      <c r="C135" s="94"/>
      <c r="D135" s="104"/>
      <c r="E135" s="99"/>
      <c r="F135" s="94"/>
      <c r="G135" s="104"/>
      <c r="H135" s="99"/>
      <c r="I135" s="94"/>
      <c r="J135" s="104"/>
      <c r="K135" s="99"/>
      <c r="L135" s="94"/>
      <c r="M135" s="104"/>
      <c r="N135" s="99"/>
      <c r="O135" s="94"/>
      <c r="P135" s="104"/>
      <c r="Q135" s="99"/>
      <c r="R135" s="94"/>
      <c r="S135" s="104"/>
      <c r="T135" s="99"/>
      <c r="U135" s="94"/>
      <c r="V135" s="104"/>
      <c r="W135" s="99"/>
      <c r="X135" s="94"/>
      <c r="Y135" s="104"/>
      <c r="Z135" s="99"/>
      <c r="AA135" s="94"/>
      <c r="AB135" s="104"/>
      <c r="AC135" s="99"/>
      <c r="AD135" s="94"/>
      <c r="AE135" s="104"/>
      <c r="AF135" s="99"/>
      <c r="AG135" s="94"/>
      <c r="AH135" s="104"/>
      <c r="AI135" s="99"/>
      <c r="AJ135" s="94"/>
      <c r="AK135" s="104"/>
      <c r="AL135" s="99"/>
      <c r="AM135" s="94"/>
      <c r="AN135" s="104"/>
      <c r="AO135" s="99"/>
      <c r="AP135" s="94"/>
    </row>
    <row r="136" spans="1:42">
      <c r="A136" s="104"/>
      <c r="B136" s="99"/>
      <c r="C136" s="94"/>
      <c r="D136" s="104"/>
      <c r="E136" s="99"/>
      <c r="F136" s="94"/>
      <c r="G136" s="104"/>
      <c r="H136" s="99"/>
      <c r="I136" s="94"/>
      <c r="J136" s="104"/>
      <c r="K136" s="99"/>
      <c r="L136" s="94"/>
      <c r="M136" s="104"/>
      <c r="N136" s="99"/>
      <c r="O136" s="94"/>
      <c r="P136" s="104"/>
      <c r="Q136" s="99"/>
      <c r="R136" s="94"/>
      <c r="S136" s="104"/>
      <c r="T136" s="99"/>
      <c r="U136" s="94"/>
      <c r="V136" s="104"/>
      <c r="W136" s="99"/>
      <c r="X136" s="94"/>
      <c r="Y136" s="104"/>
      <c r="Z136" s="99"/>
      <c r="AA136" s="94"/>
      <c r="AB136" s="104"/>
      <c r="AC136" s="99"/>
      <c r="AD136" s="94"/>
      <c r="AE136" s="104"/>
      <c r="AF136" s="99"/>
      <c r="AG136" s="94"/>
      <c r="AH136" s="104"/>
      <c r="AI136" s="99"/>
      <c r="AJ136" s="94"/>
      <c r="AK136" s="104"/>
      <c r="AL136" s="99"/>
      <c r="AM136" s="94"/>
      <c r="AN136" s="104"/>
      <c r="AO136" s="99"/>
      <c r="AP136" s="94"/>
    </row>
    <row r="137" spans="1:42">
      <c r="A137" s="104"/>
      <c r="B137" s="99"/>
      <c r="C137" s="94"/>
      <c r="D137" s="104"/>
      <c r="E137" s="99"/>
      <c r="F137" s="94"/>
      <c r="G137" s="104"/>
      <c r="H137" s="99"/>
      <c r="I137" s="94"/>
      <c r="J137" s="104"/>
      <c r="K137" s="99"/>
      <c r="L137" s="94"/>
      <c r="M137" s="104"/>
      <c r="N137" s="99"/>
      <c r="O137" s="94"/>
      <c r="P137" s="104"/>
      <c r="Q137" s="99"/>
      <c r="R137" s="94"/>
      <c r="S137" s="104"/>
      <c r="T137" s="99"/>
      <c r="U137" s="94"/>
      <c r="V137" s="104"/>
      <c r="W137" s="99"/>
      <c r="X137" s="94"/>
      <c r="Y137" s="104"/>
      <c r="Z137" s="99"/>
      <c r="AA137" s="94"/>
      <c r="AB137" s="104"/>
      <c r="AC137" s="99"/>
      <c r="AD137" s="94"/>
      <c r="AE137" s="104"/>
      <c r="AF137" s="99"/>
      <c r="AG137" s="94"/>
      <c r="AH137" s="104"/>
      <c r="AI137" s="99"/>
      <c r="AJ137" s="94"/>
      <c r="AK137" s="104"/>
      <c r="AL137" s="99"/>
      <c r="AM137" s="94"/>
      <c r="AN137" s="104"/>
      <c r="AO137" s="99"/>
      <c r="AP137" s="94"/>
    </row>
    <row r="138" spans="1:42">
      <c r="A138" s="104"/>
      <c r="B138" s="99"/>
      <c r="C138" s="94"/>
      <c r="D138" s="104"/>
      <c r="E138" s="99"/>
      <c r="F138" s="94"/>
      <c r="G138" s="104"/>
      <c r="H138" s="99"/>
      <c r="I138" s="94"/>
      <c r="J138" s="104"/>
      <c r="K138" s="99"/>
      <c r="L138" s="94"/>
      <c r="M138" s="104"/>
      <c r="N138" s="99"/>
      <c r="O138" s="94"/>
      <c r="P138" s="104"/>
      <c r="Q138" s="99"/>
      <c r="R138" s="94"/>
      <c r="S138" s="104"/>
      <c r="T138" s="99"/>
      <c r="U138" s="94"/>
      <c r="V138" s="104"/>
      <c r="W138" s="99"/>
      <c r="X138" s="94"/>
      <c r="Y138" s="104"/>
      <c r="Z138" s="99"/>
      <c r="AA138" s="94"/>
      <c r="AB138" s="104"/>
      <c r="AC138" s="99"/>
      <c r="AD138" s="94"/>
      <c r="AE138" s="104"/>
      <c r="AF138" s="99"/>
      <c r="AG138" s="94"/>
      <c r="AH138" s="104"/>
      <c r="AI138" s="99"/>
      <c r="AJ138" s="94"/>
      <c r="AK138" s="104"/>
      <c r="AL138" s="99"/>
      <c r="AM138" s="94"/>
      <c r="AN138" s="104"/>
      <c r="AO138" s="99"/>
      <c r="AP138" s="94"/>
    </row>
    <row r="139" spans="1:42">
      <c r="A139" s="104"/>
      <c r="B139" s="99"/>
      <c r="C139" s="94"/>
      <c r="D139" s="104"/>
      <c r="E139" s="99"/>
      <c r="F139" s="94"/>
      <c r="G139" s="104"/>
      <c r="H139" s="99"/>
      <c r="I139" s="94"/>
      <c r="J139" s="104"/>
      <c r="K139" s="99"/>
      <c r="L139" s="94"/>
      <c r="M139" s="104"/>
      <c r="N139" s="99"/>
      <c r="O139" s="94"/>
      <c r="P139" s="104"/>
      <c r="Q139" s="99"/>
      <c r="R139" s="94"/>
      <c r="S139" s="104"/>
      <c r="T139" s="99"/>
      <c r="U139" s="94"/>
      <c r="V139" s="104"/>
      <c r="W139" s="99"/>
      <c r="X139" s="94"/>
      <c r="Y139" s="104"/>
      <c r="Z139" s="99"/>
      <c r="AA139" s="94"/>
      <c r="AB139" s="104"/>
      <c r="AC139" s="99"/>
      <c r="AD139" s="94"/>
      <c r="AE139" s="104"/>
      <c r="AF139" s="99"/>
      <c r="AG139" s="94"/>
      <c r="AH139" s="104"/>
      <c r="AI139" s="99"/>
      <c r="AJ139" s="94"/>
      <c r="AK139" s="104"/>
      <c r="AL139" s="99"/>
      <c r="AM139" s="94"/>
      <c r="AN139" s="104"/>
      <c r="AO139" s="99"/>
      <c r="AP139" s="94"/>
    </row>
    <row r="140" spans="1:42">
      <c r="A140" s="104"/>
      <c r="B140" s="99"/>
      <c r="C140" s="94"/>
      <c r="D140" s="104"/>
      <c r="E140" s="99"/>
      <c r="F140" s="94"/>
      <c r="G140" s="104"/>
      <c r="H140" s="99"/>
      <c r="I140" s="94"/>
      <c r="J140" s="104"/>
      <c r="K140" s="99"/>
      <c r="L140" s="94"/>
      <c r="M140" s="104"/>
      <c r="N140" s="99"/>
      <c r="O140" s="94"/>
      <c r="P140" s="104"/>
      <c r="Q140" s="99"/>
      <c r="R140" s="94"/>
      <c r="S140" s="104"/>
      <c r="T140" s="99"/>
      <c r="U140" s="94"/>
      <c r="V140" s="104"/>
      <c r="W140" s="99"/>
      <c r="X140" s="94"/>
      <c r="Y140" s="104"/>
      <c r="Z140" s="99"/>
      <c r="AA140" s="94"/>
      <c r="AB140" s="104"/>
      <c r="AC140" s="99"/>
      <c r="AD140" s="94"/>
      <c r="AE140" s="104"/>
      <c r="AF140" s="99"/>
      <c r="AG140" s="94"/>
      <c r="AH140" s="104"/>
      <c r="AI140" s="99"/>
      <c r="AJ140" s="94"/>
      <c r="AK140" s="104"/>
      <c r="AL140" s="99"/>
      <c r="AM140" s="94"/>
      <c r="AN140" s="104"/>
      <c r="AO140" s="99"/>
      <c r="AP140" s="94"/>
    </row>
    <row r="141" spans="1:42">
      <c r="A141" s="105"/>
      <c r="B141" s="100"/>
      <c r="C141" s="96"/>
      <c r="D141" s="105"/>
      <c r="E141" s="100"/>
      <c r="F141" s="96"/>
      <c r="G141" s="105"/>
      <c r="H141" s="100"/>
      <c r="I141" s="96"/>
      <c r="J141" s="105"/>
      <c r="K141" s="100"/>
      <c r="L141" s="96"/>
      <c r="M141" s="105"/>
      <c r="N141" s="100"/>
      <c r="O141" s="96"/>
      <c r="P141" s="105"/>
      <c r="Q141" s="100"/>
      <c r="R141" s="96"/>
      <c r="S141" s="105"/>
      <c r="T141" s="100"/>
      <c r="U141" s="96"/>
      <c r="V141" s="105"/>
      <c r="W141" s="100"/>
      <c r="X141" s="96"/>
      <c r="Y141" s="105"/>
      <c r="Z141" s="100"/>
      <c r="AA141" s="96"/>
      <c r="AB141" s="105"/>
      <c r="AC141" s="100"/>
      <c r="AD141" s="96"/>
      <c r="AE141" s="105"/>
      <c r="AF141" s="100"/>
      <c r="AG141" s="96"/>
      <c r="AH141" s="105"/>
      <c r="AI141" s="100"/>
      <c r="AJ141" s="96"/>
      <c r="AK141" s="105"/>
      <c r="AL141" s="100"/>
      <c r="AM141" s="96"/>
      <c r="AN141" s="105"/>
      <c r="AO141" s="100"/>
      <c r="AP141" s="96"/>
    </row>
  </sheetData>
  <mergeCells count="28">
    <mergeCell ref="A1:C1"/>
    <mergeCell ref="A2:C2"/>
    <mergeCell ref="D1:F1"/>
    <mergeCell ref="D2:F2"/>
    <mergeCell ref="M1:O1"/>
    <mergeCell ref="M2:O2"/>
    <mergeCell ref="J1:L1"/>
    <mergeCell ref="J2:L2"/>
    <mergeCell ref="G1:I1"/>
    <mergeCell ref="G2:I2"/>
    <mergeCell ref="V1:X1"/>
    <mergeCell ref="V2:X2"/>
    <mergeCell ref="S1:U1"/>
    <mergeCell ref="S2:U2"/>
    <mergeCell ref="P1:R1"/>
    <mergeCell ref="P2:R2"/>
    <mergeCell ref="AE1:AG1"/>
    <mergeCell ref="AE2:AG2"/>
    <mergeCell ref="AB1:AD1"/>
    <mergeCell ref="AB2:AD2"/>
    <mergeCell ref="Y1:AA1"/>
    <mergeCell ref="Y2:AA2"/>
    <mergeCell ref="AN1:AP1"/>
    <mergeCell ref="AN2:AP2"/>
    <mergeCell ref="AK1:AM1"/>
    <mergeCell ref="AK2:AM2"/>
    <mergeCell ref="AH1:AJ1"/>
    <mergeCell ref="AH2:AJ2"/>
  </mergeCells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Agen </vt:lpstr>
      <vt:lpstr>Bayonne</vt:lpstr>
      <vt:lpstr>Bordeaux</vt:lpstr>
      <vt:lpstr>Brive</vt:lpstr>
      <vt:lpstr>Castres</vt:lpstr>
      <vt:lpstr>Clermont</vt:lpstr>
      <vt:lpstr>La Rochelle</vt:lpstr>
      <vt:lpstr>Lyon </vt:lpstr>
      <vt:lpstr>Montpellier</vt:lpstr>
      <vt:lpstr>Paris</vt:lpstr>
      <vt:lpstr>Pau</vt:lpstr>
      <vt:lpstr>Racing 92</vt:lpstr>
      <vt:lpstr>toulon</vt:lpstr>
      <vt:lpstr>toulouse</vt:lpstr>
      <vt:lpstr>resultat</vt:lpstr>
      <vt:lpstr>Feuil1</vt:lpstr>
      <vt:lpstr>5 ans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ben</dc:creator>
  <cp:lastModifiedBy>Guillaume Beth</cp:lastModifiedBy>
  <dcterms:created xsi:type="dcterms:W3CDTF">2020-02-26T10:44:51Z</dcterms:created>
  <dcterms:modified xsi:type="dcterms:W3CDTF">2020-11-10T17:01:32Z</dcterms:modified>
</cp:coreProperties>
</file>