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00000000-0000-0000-0000-000000000000}"/>
  <workbookPr showInkAnnotation="0" codeName="ThisWorkbook" autoCompressPictures="0"/>
  <bookViews>
    <workbookView xWindow="0" yWindow="0" windowWidth="28800" windowHeight="15940" tabRatio="907" activeTab="4"/>
  </bookViews>
  <sheets>
    <sheet name="VENTES" sheetId="18" r:id="rId1"/>
    <sheet name="RECETTES" sheetId="48" r:id="rId2"/>
    <sheet name="CLIENTS" sheetId="49" r:id="rId3"/>
    <sheet name="ACHATS" sheetId="50" r:id="rId4"/>
    <sheet name="DEPENSES" sheetId="51" r:id="rId5"/>
    <sheet name="FOURNISSEURS" sheetId="52" r:id="rId6"/>
  </sheets>
  <definedNames>
    <definedName name="_xlnm._FilterDatabase" localSheetId="3" hidden="1">ACHATS!$A$1:$I$43</definedName>
    <definedName name="_xlnm._FilterDatabase" localSheetId="4" hidden="1">DEPENSES!$A$1:$H$43</definedName>
    <definedName name="_xlnm._FilterDatabase" localSheetId="1" hidden="1">RECETTES!$C$1:$D$1</definedName>
    <definedName name="_xlnm._FilterDatabase" localSheetId="0" hidden="1">VENTES!$A$1:$L$1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50" l="1"/>
  <c r="E5" i="51"/>
  <c r="E2" i="51"/>
  <c r="E3" i="51"/>
  <c r="E4" i="51"/>
  <c r="E6" i="51"/>
  <c r="E7" i="51"/>
  <c r="E8" i="51"/>
  <c r="E9" i="51"/>
  <c r="E10" i="51"/>
  <c r="E11" i="51"/>
  <c r="E12" i="51"/>
  <c r="E13" i="51"/>
  <c r="E14" i="51"/>
  <c r="E15" i="51"/>
  <c r="E16" i="51"/>
  <c r="E17" i="51"/>
  <c r="E18" i="51"/>
  <c r="E19" i="51"/>
  <c r="E20" i="51"/>
  <c r="E21" i="51"/>
  <c r="E22" i="51"/>
  <c r="E23" i="51"/>
  <c r="E24" i="51"/>
  <c r="E25" i="51"/>
  <c r="E26" i="51"/>
  <c r="E27" i="51"/>
  <c r="E28" i="51"/>
  <c r="E29" i="51"/>
  <c r="E30" i="51"/>
  <c r="E31" i="51"/>
  <c r="E32" i="51"/>
  <c r="E33" i="51"/>
  <c r="E34" i="51"/>
  <c r="E35" i="51"/>
  <c r="E36" i="51"/>
  <c r="E37" i="51"/>
  <c r="E38" i="51"/>
  <c r="E39" i="51"/>
  <c r="E40" i="51"/>
  <c r="E41" i="51"/>
  <c r="E42" i="51"/>
  <c r="E43" i="51"/>
  <c r="F2" i="51"/>
  <c r="G2" i="51"/>
  <c r="H2" i="51"/>
  <c r="F3" i="51"/>
  <c r="F4" i="51"/>
  <c r="F5" i="51"/>
  <c r="F6" i="51"/>
  <c r="F7" i="51"/>
  <c r="F8" i="51"/>
  <c r="F9" i="51"/>
  <c r="F10" i="51"/>
  <c r="F11" i="51"/>
  <c r="F12" i="51"/>
  <c r="F13" i="51"/>
  <c r="F14" i="51"/>
  <c r="F15" i="51"/>
  <c r="F16" i="51"/>
  <c r="F17" i="51"/>
  <c r="F18" i="51"/>
  <c r="F19" i="51"/>
  <c r="F20" i="51"/>
  <c r="F21" i="51"/>
  <c r="F22" i="51"/>
  <c r="F23" i="51"/>
  <c r="F24" i="51"/>
  <c r="F25" i="51"/>
  <c r="F26" i="51"/>
  <c r="F27" i="51"/>
  <c r="F28" i="51"/>
  <c r="F29" i="51"/>
  <c r="F30" i="51"/>
  <c r="F31" i="51"/>
  <c r="F32" i="51"/>
  <c r="F33" i="51"/>
  <c r="F34" i="51"/>
  <c r="F35" i="51"/>
  <c r="F36" i="51"/>
  <c r="F37" i="51"/>
  <c r="F38" i="51"/>
  <c r="F39" i="51"/>
  <c r="F40" i="51"/>
  <c r="F41" i="51"/>
  <c r="F42" i="51"/>
  <c r="F43" i="51"/>
  <c r="G3" i="51"/>
  <c r="H3" i="51"/>
  <c r="G4" i="51"/>
  <c r="H4" i="51"/>
  <c r="G5" i="51"/>
  <c r="H5" i="51"/>
  <c r="G6" i="51"/>
  <c r="H6" i="51"/>
  <c r="G7" i="51"/>
  <c r="H7" i="51"/>
  <c r="G8" i="51"/>
  <c r="H8" i="51"/>
  <c r="G9" i="51"/>
  <c r="H9" i="51"/>
  <c r="G10" i="51"/>
  <c r="H10" i="51"/>
  <c r="G11" i="51"/>
  <c r="H11" i="51"/>
  <c r="G12" i="51"/>
  <c r="H12" i="51"/>
  <c r="G13" i="51"/>
  <c r="H13" i="51"/>
  <c r="G14" i="51"/>
  <c r="H14" i="51"/>
  <c r="G15" i="51"/>
  <c r="H15" i="51"/>
  <c r="G16" i="51"/>
  <c r="H16" i="51"/>
  <c r="G17" i="51"/>
  <c r="H17" i="51"/>
  <c r="G18" i="51"/>
  <c r="H18" i="51"/>
  <c r="G19" i="51"/>
  <c r="H19" i="51"/>
  <c r="G20" i="51"/>
  <c r="H20" i="51"/>
  <c r="G21" i="51"/>
  <c r="H21" i="51"/>
  <c r="G22" i="51"/>
  <c r="H22" i="51"/>
  <c r="G23" i="51"/>
  <c r="H23" i="51"/>
  <c r="G24" i="51"/>
  <c r="H24" i="51"/>
  <c r="G25" i="51"/>
  <c r="H25" i="51"/>
  <c r="G26" i="51"/>
  <c r="H26" i="51"/>
  <c r="G27" i="51"/>
  <c r="H27" i="51"/>
  <c r="G28" i="51"/>
  <c r="H28" i="51"/>
  <c r="G29" i="51"/>
  <c r="H29" i="51"/>
  <c r="G30" i="51"/>
  <c r="H30" i="51"/>
  <c r="G31" i="51"/>
  <c r="H31" i="51"/>
  <c r="G32" i="51"/>
  <c r="H32" i="51"/>
  <c r="G33" i="51"/>
  <c r="H33" i="51"/>
  <c r="G34" i="51"/>
  <c r="H34" i="51"/>
  <c r="G35" i="51"/>
  <c r="H35" i="51"/>
  <c r="G36" i="51"/>
  <c r="H36" i="51"/>
  <c r="G37" i="51"/>
  <c r="H37" i="51"/>
  <c r="G38" i="51"/>
  <c r="H38" i="51"/>
  <c r="G39" i="51"/>
  <c r="H39" i="51"/>
  <c r="G40" i="51"/>
  <c r="H40" i="51"/>
  <c r="G41" i="51"/>
  <c r="H41" i="51"/>
  <c r="G42" i="51"/>
  <c r="H42" i="51"/>
  <c r="G43" i="51"/>
  <c r="H43" i="51"/>
  <c r="E2" i="52"/>
  <c r="F2" i="52"/>
  <c r="G2" i="52"/>
  <c r="E3" i="52"/>
  <c r="F3" i="52"/>
  <c r="G3" i="52"/>
  <c r="E4" i="52"/>
  <c r="F4" i="52"/>
  <c r="G4" i="52"/>
  <c r="E5" i="52"/>
  <c r="F5" i="52"/>
  <c r="G5" i="52"/>
  <c r="E6" i="52"/>
  <c r="F6" i="52"/>
  <c r="G6" i="52"/>
  <c r="E7" i="52"/>
  <c r="F7" i="52"/>
  <c r="G7" i="52"/>
  <c r="E8" i="52"/>
  <c r="F8" i="52"/>
  <c r="G8" i="52"/>
  <c r="E9" i="52"/>
  <c r="F9" i="52"/>
  <c r="G9" i="52"/>
  <c r="E10" i="52"/>
  <c r="F10" i="52"/>
  <c r="G10" i="52"/>
  <c r="E11" i="52"/>
  <c r="F11" i="52"/>
  <c r="G11" i="52"/>
  <c r="E12" i="52"/>
  <c r="F12" i="52"/>
  <c r="G12" i="52"/>
  <c r="E13" i="52"/>
  <c r="F13" i="52"/>
  <c r="G13" i="52"/>
  <c r="E14" i="52"/>
  <c r="F14" i="52"/>
  <c r="G14" i="52"/>
  <c r="E15" i="52"/>
  <c r="F15" i="52"/>
  <c r="G15" i="52"/>
  <c r="E16" i="52"/>
  <c r="F16" i="52"/>
  <c r="G16" i="52"/>
  <c r="E17" i="52"/>
  <c r="F17" i="52"/>
  <c r="G17" i="52"/>
  <c r="E18" i="52"/>
  <c r="F18" i="52"/>
  <c r="G18" i="52"/>
  <c r="E19" i="52"/>
  <c r="F19" i="52"/>
  <c r="G19" i="52"/>
  <c r="E20" i="52"/>
  <c r="F20" i="52"/>
  <c r="G20" i="52"/>
  <c r="E21" i="52"/>
  <c r="F21" i="52"/>
  <c r="G21" i="52"/>
  <c r="E22" i="52"/>
  <c r="F22" i="52"/>
  <c r="G22" i="52"/>
  <c r="E23" i="52"/>
  <c r="F23" i="52"/>
  <c r="G23" i="52"/>
  <c r="E24" i="52"/>
  <c r="F24" i="52"/>
  <c r="G24" i="52"/>
  <c r="E25" i="52"/>
  <c r="F25" i="52"/>
  <c r="G25" i="52"/>
  <c r="E26" i="52"/>
  <c r="F26" i="52"/>
  <c r="G26" i="52"/>
  <c r="E27" i="52"/>
  <c r="F27" i="52"/>
  <c r="G27" i="52"/>
  <c r="E28" i="52"/>
  <c r="F28" i="52"/>
  <c r="G28" i="52"/>
  <c r="E29" i="52"/>
  <c r="F29" i="52"/>
  <c r="G29" i="52"/>
  <c r="E30" i="52"/>
  <c r="F30" i="52"/>
  <c r="G30" i="52"/>
  <c r="E31" i="52"/>
  <c r="F31" i="52"/>
  <c r="G31" i="52"/>
  <c r="E32" i="52"/>
  <c r="F32" i="52"/>
  <c r="G32" i="52"/>
  <c r="E33" i="52"/>
  <c r="F33" i="52"/>
  <c r="G33" i="52"/>
  <c r="E34" i="52"/>
  <c r="F34" i="52"/>
  <c r="G34" i="52"/>
  <c r="E35" i="52"/>
  <c r="F35" i="52"/>
  <c r="G35" i="52"/>
  <c r="E36" i="52"/>
  <c r="F36" i="52"/>
  <c r="G36" i="52"/>
  <c r="E37" i="52"/>
  <c r="F37" i="52"/>
  <c r="G37" i="52"/>
  <c r="E38" i="52"/>
  <c r="F38" i="52"/>
  <c r="G38" i="52"/>
  <c r="E39" i="52"/>
  <c r="F39" i="52"/>
  <c r="G39" i="52"/>
  <c r="E40" i="52"/>
  <c r="F40" i="52"/>
  <c r="G40" i="52"/>
  <c r="E41" i="52"/>
  <c r="F41" i="52"/>
  <c r="G41" i="52"/>
  <c r="E42" i="52"/>
  <c r="F42" i="52"/>
  <c r="G42" i="52"/>
  <c r="E43" i="52"/>
  <c r="F43" i="52"/>
  <c r="G43" i="52"/>
  <c r="F2" i="50"/>
  <c r="I2" i="50"/>
  <c r="F3" i="50"/>
  <c r="I3" i="50"/>
  <c r="F4" i="50"/>
  <c r="I4" i="50"/>
  <c r="I5" i="50"/>
  <c r="F6" i="50"/>
  <c r="I6" i="50"/>
  <c r="F7" i="50"/>
  <c r="I7" i="50"/>
  <c r="F8" i="50"/>
  <c r="I8" i="50"/>
  <c r="F9" i="50"/>
  <c r="I9" i="50"/>
  <c r="F10" i="50"/>
  <c r="I10" i="50"/>
  <c r="F11" i="50"/>
  <c r="I11" i="50"/>
  <c r="F12" i="50"/>
  <c r="I12" i="50"/>
  <c r="F13" i="50"/>
  <c r="I13" i="50"/>
  <c r="F14" i="50"/>
  <c r="I14" i="50"/>
  <c r="F15" i="50"/>
  <c r="I15" i="50"/>
  <c r="F16" i="50"/>
  <c r="I16" i="50"/>
  <c r="F17" i="50"/>
  <c r="I17" i="50"/>
  <c r="F18" i="50"/>
  <c r="I18" i="50"/>
  <c r="F19" i="50"/>
  <c r="I19" i="50"/>
  <c r="F20" i="50"/>
  <c r="I20" i="50"/>
  <c r="F21" i="50"/>
  <c r="I21" i="50"/>
  <c r="F22" i="50"/>
  <c r="I22" i="50"/>
  <c r="F23" i="50"/>
  <c r="I23" i="50"/>
  <c r="F24" i="50"/>
  <c r="I24" i="50"/>
  <c r="F25" i="50"/>
  <c r="I25" i="50"/>
  <c r="F26" i="50"/>
  <c r="I26" i="50"/>
  <c r="F27" i="50"/>
  <c r="I27" i="50"/>
  <c r="F28" i="50"/>
  <c r="I28" i="50"/>
  <c r="F29" i="50"/>
  <c r="I29" i="50"/>
  <c r="F30" i="50"/>
  <c r="I30" i="50"/>
  <c r="F31" i="50"/>
  <c r="I31" i="50"/>
  <c r="F32" i="50"/>
  <c r="I32" i="50"/>
  <c r="F33" i="50"/>
  <c r="I33" i="50"/>
  <c r="F34" i="50"/>
  <c r="I34" i="50"/>
  <c r="F35" i="50"/>
  <c r="I35" i="50"/>
  <c r="F36" i="50"/>
  <c r="I36" i="50"/>
  <c r="F37" i="50"/>
  <c r="I37" i="50"/>
  <c r="F38" i="50"/>
  <c r="I38" i="50"/>
  <c r="F39" i="50"/>
  <c r="I39" i="50"/>
  <c r="F40" i="50"/>
  <c r="I40" i="50"/>
  <c r="F41" i="50"/>
  <c r="I41" i="50"/>
  <c r="F42" i="50"/>
  <c r="I42" i="50"/>
  <c r="F43" i="50"/>
  <c r="I43" i="50"/>
  <c r="I2" i="48"/>
  <c r="I3" i="48"/>
  <c r="I4" i="48"/>
  <c r="I5" i="48"/>
  <c r="I6" i="48"/>
  <c r="I7" i="48"/>
  <c r="I8" i="48"/>
  <c r="I9" i="48"/>
  <c r="I10" i="48"/>
  <c r="I11" i="48"/>
  <c r="I12" i="48"/>
  <c r="I13" i="48"/>
  <c r="I14" i="48"/>
  <c r="I15" i="48"/>
  <c r="I16" i="48"/>
  <c r="I17" i="48"/>
  <c r="I18" i="48"/>
  <c r="I19" i="48"/>
  <c r="I20" i="48"/>
  <c r="I21" i="48"/>
  <c r="I22" i="48"/>
  <c r="I23" i="48"/>
  <c r="I24" i="48"/>
  <c r="I25" i="48"/>
  <c r="I26" i="48"/>
  <c r="I27" i="48"/>
  <c r="I28" i="48"/>
  <c r="I2" i="18"/>
  <c r="J2" i="18"/>
  <c r="L2" i="18"/>
  <c r="P2" i="18"/>
  <c r="I3" i="18"/>
  <c r="J3" i="18"/>
  <c r="L3" i="18"/>
  <c r="P3" i="18"/>
  <c r="I4" i="18"/>
  <c r="J4" i="18"/>
  <c r="L4" i="18"/>
  <c r="P4" i="18"/>
  <c r="I5" i="18"/>
  <c r="J5" i="18"/>
  <c r="L5" i="18"/>
  <c r="P5" i="18"/>
  <c r="I6" i="18"/>
  <c r="J6" i="18"/>
  <c r="L6" i="18"/>
  <c r="P6" i="18"/>
  <c r="I7" i="18"/>
  <c r="J7" i="18"/>
  <c r="L7" i="18"/>
  <c r="P7" i="18"/>
  <c r="I8" i="18"/>
  <c r="J8" i="18"/>
  <c r="L8" i="18"/>
  <c r="P8" i="18"/>
  <c r="I9" i="18"/>
  <c r="J9" i="18"/>
  <c r="L9" i="18"/>
  <c r="P9" i="18"/>
  <c r="I10" i="18"/>
  <c r="J10" i="18"/>
  <c r="L10" i="18"/>
  <c r="P10" i="18"/>
  <c r="I11" i="18"/>
  <c r="J11" i="18"/>
  <c r="L11" i="18"/>
  <c r="P11" i="18"/>
  <c r="I12" i="18"/>
  <c r="J12" i="18"/>
  <c r="L12" i="18"/>
  <c r="P12" i="18"/>
  <c r="I13" i="18"/>
  <c r="J13" i="18"/>
  <c r="L13" i="18"/>
  <c r="P13" i="18"/>
  <c r="I14" i="18"/>
  <c r="J14" i="18"/>
  <c r="L14" i="18"/>
  <c r="P14" i="18"/>
  <c r="I15" i="18"/>
  <c r="J15" i="18"/>
  <c r="L15" i="18"/>
  <c r="P15" i="18"/>
  <c r="I16" i="18"/>
  <c r="J16" i="18"/>
  <c r="L16" i="18"/>
  <c r="P16" i="18"/>
  <c r="I17" i="18"/>
  <c r="J17" i="18"/>
  <c r="L17" i="18"/>
  <c r="P17" i="18"/>
  <c r="I18" i="18"/>
  <c r="J18" i="18"/>
  <c r="L18" i="18"/>
  <c r="P18" i="18"/>
  <c r="I19" i="18"/>
  <c r="J19" i="18"/>
  <c r="L19" i="18"/>
  <c r="P19" i="18"/>
  <c r="I20" i="18"/>
  <c r="J20" i="18"/>
  <c r="L20" i="18"/>
  <c r="P20" i="18"/>
  <c r="I21" i="18"/>
  <c r="J21" i="18"/>
  <c r="L21" i="18"/>
  <c r="P21" i="18"/>
  <c r="I22" i="18"/>
  <c r="J22" i="18"/>
  <c r="L22" i="18"/>
  <c r="P22" i="18"/>
  <c r="I23" i="18"/>
  <c r="J23" i="18"/>
  <c r="L23" i="18"/>
  <c r="P23" i="18"/>
  <c r="I24" i="18"/>
  <c r="J24" i="18"/>
  <c r="L24" i="18"/>
  <c r="P24" i="18"/>
  <c r="I25" i="18"/>
  <c r="J25" i="18"/>
  <c r="L25" i="18"/>
  <c r="P25" i="18"/>
  <c r="I26" i="18"/>
  <c r="J26" i="18"/>
  <c r="L26" i="18"/>
  <c r="P26" i="18"/>
  <c r="I27" i="18"/>
  <c r="J27" i="18"/>
  <c r="L27" i="18"/>
  <c r="P27" i="18"/>
  <c r="I28" i="18"/>
  <c r="L28" i="18"/>
  <c r="P28" i="18"/>
  <c r="O2" i="18"/>
  <c r="O3" i="18"/>
  <c r="O4" i="18"/>
  <c r="O5" i="18"/>
  <c r="O6" i="18"/>
  <c r="O7" i="1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24" i="18"/>
  <c r="O25" i="18"/>
  <c r="O26" i="18"/>
  <c r="O27" i="18"/>
  <c r="O28" i="18"/>
  <c r="N2" i="18"/>
  <c r="N3" i="18"/>
  <c r="N4" i="18"/>
  <c r="N5" i="18"/>
  <c r="N6" i="18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J28" i="18"/>
  <c r="K28" i="18"/>
  <c r="J2" i="49"/>
  <c r="J3" i="49"/>
  <c r="J4" i="49"/>
  <c r="J5" i="49"/>
  <c r="J6" i="49"/>
  <c r="J7" i="49"/>
  <c r="J8" i="49"/>
  <c r="J9" i="49"/>
  <c r="J10" i="49"/>
  <c r="J11" i="49"/>
  <c r="J12" i="49"/>
  <c r="J13" i="49"/>
  <c r="J14" i="49"/>
  <c r="J15" i="49"/>
  <c r="J16" i="49"/>
  <c r="J17" i="49"/>
  <c r="J18" i="49"/>
  <c r="J19" i="49"/>
  <c r="J20" i="49"/>
  <c r="J21" i="49"/>
  <c r="J22" i="49"/>
  <c r="J23" i="49"/>
  <c r="J24" i="49"/>
  <c r="J25" i="49"/>
  <c r="J26" i="49"/>
  <c r="J27" i="49"/>
  <c r="K2" i="18"/>
  <c r="I2" i="49"/>
  <c r="K2" i="49"/>
  <c r="K3" i="18"/>
  <c r="I3" i="49"/>
  <c r="K3" i="49"/>
  <c r="K4" i="18"/>
  <c r="I4" i="49"/>
  <c r="K4" i="49"/>
  <c r="K5" i="18"/>
  <c r="I5" i="49"/>
  <c r="K5" i="49"/>
  <c r="K6" i="18"/>
  <c r="I6" i="49"/>
  <c r="K6" i="49"/>
  <c r="K7" i="18"/>
  <c r="I7" i="49"/>
  <c r="K7" i="49"/>
  <c r="K8" i="18"/>
  <c r="I8" i="49"/>
  <c r="K8" i="49"/>
  <c r="K9" i="18"/>
  <c r="I9" i="49"/>
  <c r="K9" i="49"/>
  <c r="K10" i="18"/>
  <c r="I10" i="49"/>
  <c r="K10" i="49"/>
  <c r="K11" i="18"/>
  <c r="I11" i="49"/>
  <c r="K11" i="49"/>
  <c r="K12" i="18"/>
  <c r="I12" i="49"/>
  <c r="K12" i="49"/>
  <c r="K13" i="18"/>
  <c r="I13" i="49"/>
  <c r="K13" i="49"/>
  <c r="K14" i="18"/>
  <c r="I14" i="49"/>
  <c r="K14" i="49"/>
  <c r="K15" i="18"/>
  <c r="I15" i="49"/>
  <c r="K15" i="49"/>
  <c r="K16" i="18"/>
  <c r="I16" i="49"/>
  <c r="K16" i="49"/>
  <c r="K17" i="18"/>
  <c r="I17" i="49"/>
  <c r="K17" i="49"/>
  <c r="K18" i="18"/>
  <c r="I18" i="49"/>
  <c r="K18" i="49"/>
  <c r="K19" i="18"/>
  <c r="I19" i="49"/>
  <c r="K19" i="49"/>
  <c r="K20" i="18"/>
  <c r="I20" i="49"/>
  <c r="K20" i="49"/>
  <c r="K21" i="18"/>
  <c r="I21" i="49"/>
  <c r="K21" i="49"/>
  <c r="K22" i="18"/>
  <c r="I22" i="49"/>
  <c r="K22" i="49"/>
  <c r="K23" i="18"/>
  <c r="I23" i="49"/>
  <c r="K23" i="49"/>
  <c r="K24" i="18"/>
  <c r="I24" i="49"/>
  <c r="K24" i="49"/>
  <c r="K25" i="18"/>
  <c r="I25" i="49"/>
  <c r="K25" i="49"/>
  <c r="K26" i="18"/>
  <c r="I26" i="49"/>
  <c r="K26" i="49"/>
  <c r="K27" i="18"/>
  <c r="I27" i="49"/>
  <c r="K27" i="49"/>
  <c r="G2" i="48"/>
  <c r="G3" i="48"/>
  <c r="G4" i="48"/>
  <c r="G5" i="48"/>
  <c r="G6" i="48"/>
  <c r="G7" i="48"/>
  <c r="G8" i="48"/>
  <c r="G9" i="48"/>
  <c r="G10" i="48"/>
  <c r="G11" i="48"/>
  <c r="G12" i="48"/>
  <c r="G13" i="48"/>
  <c r="G14" i="48"/>
  <c r="G15" i="48"/>
  <c r="G16" i="48"/>
  <c r="G17" i="48"/>
  <c r="G18" i="48"/>
  <c r="G19" i="48"/>
  <c r="G20" i="48"/>
  <c r="G21" i="48"/>
  <c r="G22" i="48"/>
  <c r="G23" i="48"/>
  <c r="G24" i="48"/>
  <c r="G25" i="48"/>
  <c r="G26" i="48"/>
  <c r="G27" i="48"/>
  <c r="G28" i="48"/>
  <c r="F2" i="48"/>
  <c r="F3" i="48"/>
  <c r="F4" i="48"/>
  <c r="F5" i="48"/>
  <c r="F6" i="48"/>
  <c r="F7" i="48"/>
  <c r="F8" i="48"/>
  <c r="F9" i="48"/>
  <c r="F10" i="48"/>
  <c r="F11" i="48"/>
  <c r="F12" i="48"/>
  <c r="F13" i="48"/>
  <c r="F14" i="48"/>
  <c r="F15" i="48"/>
  <c r="F16" i="48"/>
  <c r="F17" i="48"/>
  <c r="F18" i="48"/>
  <c r="F19" i="48"/>
  <c r="F20" i="48"/>
  <c r="F21" i="48"/>
  <c r="F22" i="48"/>
  <c r="F23" i="48"/>
  <c r="F24" i="48"/>
  <c r="F25" i="48"/>
  <c r="F26" i="48"/>
  <c r="F27" i="48"/>
  <c r="F28" i="48"/>
  <c r="E2" i="48"/>
  <c r="E3" i="48"/>
  <c r="E4" i="48"/>
  <c r="E5" i="48"/>
  <c r="E6" i="48"/>
  <c r="E7" i="48"/>
  <c r="E8" i="48"/>
  <c r="E9" i="48"/>
  <c r="E10" i="48"/>
  <c r="E11" i="48"/>
  <c r="E12" i="48"/>
  <c r="E13" i="48"/>
  <c r="E14" i="48"/>
  <c r="E15" i="48"/>
  <c r="E16" i="48"/>
  <c r="E17" i="48"/>
  <c r="E18" i="48"/>
  <c r="E19" i="48"/>
  <c r="E20" i="48"/>
  <c r="E21" i="48"/>
  <c r="E22" i="48"/>
  <c r="E23" i="48"/>
  <c r="E24" i="48"/>
  <c r="E25" i="48"/>
  <c r="E26" i="48"/>
  <c r="E27" i="48"/>
  <c r="E28" i="48"/>
  <c r="H28" i="48"/>
  <c r="H2" i="48"/>
  <c r="H3" i="48"/>
  <c r="H4" i="48"/>
  <c r="H5" i="48"/>
  <c r="H6" i="48"/>
  <c r="H7" i="48"/>
  <c r="H8" i="48"/>
  <c r="H9" i="48"/>
  <c r="H10" i="48"/>
  <c r="H11" i="48"/>
  <c r="H12" i="48"/>
  <c r="H13" i="48"/>
  <c r="H14" i="48"/>
  <c r="H15" i="48"/>
  <c r="H16" i="48"/>
  <c r="H17" i="48"/>
  <c r="H18" i="48"/>
  <c r="H19" i="48"/>
  <c r="H20" i="48"/>
  <c r="H21" i="48"/>
  <c r="H22" i="48"/>
  <c r="H23" i="48"/>
  <c r="H24" i="48"/>
  <c r="H25" i="48"/>
  <c r="H26" i="48"/>
  <c r="H27" i="48"/>
</calcChain>
</file>

<file path=xl/sharedStrings.xml><?xml version="1.0" encoding="utf-8"?>
<sst xmlns="http://schemas.openxmlformats.org/spreadsheetml/2006/main" count="333" uniqueCount="126">
  <si>
    <t>CLIENT</t>
  </si>
  <si>
    <t>HT</t>
  </si>
  <si>
    <t>RG</t>
  </si>
  <si>
    <t>SOLDE</t>
  </si>
  <si>
    <t>VENTES</t>
  </si>
  <si>
    <t>DIVERS</t>
  </si>
  <si>
    <t>DATE</t>
  </si>
  <si>
    <t>OBJET</t>
  </si>
  <si>
    <t>TTC</t>
  </si>
  <si>
    <t>Residence de l' ARCHE</t>
  </si>
  <si>
    <t>Clinique CHOISY</t>
  </si>
  <si>
    <t>LIEU</t>
  </si>
  <si>
    <t>DEPANNAGE</t>
  </si>
  <si>
    <t>CONFECTION METALLIQUE</t>
  </si>
  <si>
    <t>TRAVAUX ELECTRICITE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</si>
  <si>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</si>
  <si>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</si>
  <si>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</si>
  <si>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</si>
  <si>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</si>
  <si>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</si>
  <si>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</si>
  <si>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</si>
  <si>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</si>
  <si>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</si>
  <si>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</si>
  <si>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</si>
  <si>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</si>
  <si>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</si>
  <si>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</si>
  <si>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</si>
  <si>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</si>
  <si>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</si>
  <si>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</si>
  <si>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</si>
  <si>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</si>
  <si>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</si>
  <si>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</si>
  <si>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</si>
  <si>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</si>
  <si>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axelle</t>
  </si>
  <si>
    <t>Numero</t>
  </si>
  <si>
    <t>HT_8,5%</t>
  </si>
  <si>
    <t>HT_2,1%</t>
  </si>
  <si>
    <t>HT_0%</t>
  </si>
  <si>
    <t>TVA_8,5%</t>
  </si>
  <si>
    <t>TVA_2,1%</t>
  </si>
  <si>
    <t>QP_8,5%</t>
  </si>
  <si>
    <t>QP_2,1%</t>
  </si>
  <si>
    <t>QP_0%</t>
  </si>
  <si>
    <t>DENOMINATION</t>
  </si>
  <si>
    <t>ADRESSE</t>
  </si>
  <si>
    <t>CP</t>
  </si>
  <si>
    <t>VILLE</t>
  </si>
  <si>
    <t>MAIL</t>
  </si>
  <si>
    <t>TEL</t>
  </si>
  <si>
    <t>FORME</t>
  </si>
  <si>
    <t>RGLTS</t>
  </si>
  <si>
    <t>SOLDE PREC</t>
  </si>
  <si>
    <t>CLICLI</t>
  </si>
  <si>
    <t>EXIGIBILITE</t>
  </si>
  <si>
    <t>FOURNISSEUR 42</t>
  </si>
  <si>
    <t>FOURNISSEUR 41</t>
  </si>
  <si>
    <t>FOURNISSEUR 40</t>
  </si>
  <si>
    <t>FOURNISSEUR 39</t>
  </si>
  <si>
    <t>FOURNISSEUR PAUL</t>
  </si>
  <si>
    <t>FOURNISSEUR 34</t>
  </si>
  <si>
    <t>FOURNISSEUR 33</t>
  </si>
  <si>
    <t>FOURNISSEUR 32</t>
  </si>
  <si>
    <t>FOURNISSEUR 31</t>
  </si>
  <si>
    <t>FOURNISSEUR 30</t>
  </si>
  <si>
    <t>FOURNISSEUR 29</t>
  </si>
  <si>
    <t>FOURNISSEUR 28</t>
  </si>
  <si>
    <t>FOURNISSEUR 27</t>
  </si>
  <si>
    <t>FOURNISSEUR 26</t>
  </si>
  <si>
    <t>FOURNISSEUR 25</t>
  </si>
  <si>
    <t>FOURNISSEUR 24</t>
  </si>
  <si>
    <t>FOURNISSEUR 23</t>
  </si>
  <si>
    <t>FOURNISSEUR 22</t>
  </si>
  <si>
    <t>FOURNISSEUR 21</t>
  </si>
  <si>
    <t>FOURNISSEUR 20</t>
  </si>
  <si>
    <t>FOURNISSEUR 10</t>
  </si>
  <si>
    <t>kqsbd</t>
  </si>
  <si>
    <t>FOURNISSEUR 9</t>
  </si>
  <si>
    <t>dskjfs</t>
  </si>
  <si>
    <t>FOURNISSEUR 8</t>
  </si>
  <si>
    <t>djkqsbdk</t>
  </si>
  <si>
    <t>FOURNISSEUR 7</t>
  </si>
  <si>
    <t>nkjqsd</t>
  </si>
  <si>
    <t>FOURNISSEUR 6</t>
  </si>
  <si>
    <t>dnkqsnd</t>
  </si>
  <si>
    <t>FOURNISSEUR 5</t>
  </si>
  <si>
    <t>sdnklqsnd</t>
  </si>
  <si>
    <t>FOURNISSEUR 4</t>
  </si>
  <si>
    <t>kjqsbdk</t>
  </si>
  <si>
    <t>FOURNISSEUR 3</t>
  </si>
  <si>
    <t>ksqdnkqsn</t>
  </si>
  <si>
    <t>FOURNISSEUR 2</t>
  </si>
  <si>
    <t>dhqohdo</t>
  </si>
  <si>
    <t>FOURNISSEUR 1</t>
  </si>
  <si>
    <t>CATEGORIE</t>
  </si>
  <si>
    <t>ECHEANCE</t>
  </si>
  <si>
    <t>TVA</t>
  </si>
  <si>
    <t>NUMERO</t>
  </si>
  <si>
    <t>FOURNISSEUR</t>
  </si>
  <si>
    <t>PEINTURE</t>
  </si>
  <si>
    <t>SERRURERIE</t>
  </si>
  <si>
    <t>LB TECHNOLOGIE</t>
  </si>
  <si>
    <t>EQUINOX/ ZIG ZAG</t>
  </si>
  <si>
    <t>OUTICOUP</t>
  </si>
  <si>
    <t>ETS POMMEZ/Qllerie st JEAN</t>
  </si>
  <si>
    <t>CHANTIERS AUDEBERT</t>
  </si>
  <si>
    <t>SASERQ</t>
  </si>
  <si>
    <t>SOPIMAT</t>
  </si>
  <si>
    <t>ALAMELOU</t>
  </si>
  <si>
    <t>PPG  GUADELOUPE</t>
  </si>
  <si>
    <t>PEINTURE GAUTHIER</t>
  </si>
  <si>
    <t>SIAPOC</t>
  </si>
  <si>
    <t>CODIMA</t>
  </si>
  <si>
    <t>PAIEMENTS</t>
  </si>
  <si>
    <t>ACHATS</t>
  </si>
  <si>
    <t>TYPE</t>
  </si>
  <si>
    <t>TTC_8,5%</t>
  </si>
  <si>
    <t>TTC_2,1%</t>
  </si>
  <si>
    <t>TTC_0%</t>
  </si>
  <si>
    <t>Immos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</si>
</sst>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_-"/>
    <numFmt numFmtId="165" formatCode="#,##0.00\ &quot;€&quot;;\-#,##0.00\ &quot;€&quot;;\-\ \ \ \ &quot;€&quot;"/>
    <numFmt numFmtId="166" formatCode="#,##0.00\ &quot;€&quot;;[Green]\-\ #,##0.00\ &quot;€&quot;;[Green]\-\ \ \ \ \ &quot;€&quot;"/>
    <numFmt numFmtId="167" formatCode="dd/mm/yyyy;;"/>
    <numFmt numFmtId="168" formatCode="#,##0.00\ &quot;€&quot;;[Magenta]\-\ #,##0.00\ &quot;€&quot;;\-\ \ \ \ \ &quot;€&quot;"/>
    <numFmt numFmtId="169" formatCode="#,##0.00\ &quot;€&quot;;[Red]\-\ #,##0.00\ &quot;€&quot;;\-\ \ \ \ \ &quot;€&quot;"/>
    <numFmt numFmtId="170" formatCode="#,##0.00\ &quot;€&quot;;\-\ #,##0.00\ &quot;€&quot;;\-\ \ \ \ \ &quot;€&quot;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52">
    <xf numFmtId="0" fontId="0" fillId="0" borderId="0"/>
    <xf numFmtId="9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/>
    <xf numFmtId="165" fontId="0" fillId="0" borderId="0" xfId="0" applyNumberFormat="1"/>
    <xf numFmtId="0" fontId="8" fillId="0" borderId="0" xfId="0" applyFont="1" applyFill="1" applyBorder="1" applyAlignment="1">
      <alignment horizontal="center" vertical="center" wrapText="1"/>
    </xf>
    <xf numFmtId="10" fontId="8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left" wrapText="1"/>
    </xf>
    <xf numFmtId="49" fontId="6" fillId="0" borderId="0" xfId="0" applyNumberFormat="1" applyFont="1" applyFill="1" applyBorder="1" applyAlignment="1">
      <alignment horizontal="left" wrapText="1"/>
    </xf>
    <xf numFmtId="164" fontId="6" fillId="0" borderId="0" xfId="0" applyNumberFormat="1" applyFont="1" applyFill="1" applyBorder="1" applyAlignment="1">
      <alignment horizontal="center" vertical="center"/>
    </xf>
    <xf numFmtId="10" fontId="1" fillId="0" borderId="0" xfId="1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1" fontId="7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wrapText="1"/>
    </xf>
    <xf numFmtId="164" fontId="1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center"/>
    </xf>
    <xf numFmtId="10" fontId="1" fillId="0" borderId="0" xfId="1" applyNumberFormat="1" applyFont="1" applyBorder="1" applyAlignment="1">
      <alignment horizontal="center" vertical="center"/>
    </xf>
    <xf numFmtId="164" fontId="6" fillId="0" borderId="0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164" fontId="1" fillId="0" borderId="0" xfId="1" applyNumberFormat="1" applyFont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7" fontId="0" fillId="0" borderId="0" xfId="0" applyNumberFormat="1" applyFill="1" applyBorder="1"/>
    <xf numFmtId="0" fontId="1" fillId="0" borderId="0" xfId="26" applyBorder="1"/>
    <xf numFmtId="0" fontId="1" fillId="0" borderId="0" xfId="26"/>
    <xf numFmtId="0" fontId="1" fillId="0" borderId="0" xfId="26" applyFill="1" applyBorder="1"/>
    <xf numFmtId="164" fontId="11" fillId="0" borderId="0" xfId="27" applyFont="1" applyFill="1" applyBorder="1" applyAlignment="1">
      <alignment horizontal="center"/>
    </xf>
    <xf numFmtId="164" fontId="11" fillId="0" borderId="0" xfId="27" applyFont="1" applyFill="1" applyBorder="1" applyAlignment="1">
      <alignment horizontal="center" vertical="center"/>
    </xf>
    <xf numFmtId="168" fontId="11" fillId="0" borderId="0" xfId="26" applyNumberFormat="1" applyFont="1" applyFill="1" applyBorder="1" applyAlignment="1">
      <alignment vertical="center"/>
    </xf>
    <xf numFmtId="168" fontId="11" fillId="0" borderId="0" xfId="26" applyNumberFormat="1" applyFont="1" applyFill="1" applyBorder="1" applyAlignment="1"/>
    <xf numFmtId="168" fontId="11" fillId="0" borderId="0" xfId="27" applyNumberFormat="1" applyFont="1" applyFill="1" applyBorder="1" applyAlignment="1"/>
    <xf numFmtId="14" fontId="11" fillId="0" borderId="0" xfId="26" applyNumberFormat="1" applyFont="1" applyFill="1" applyBorder="1"/>
    <xf numFmtId="0" fontId="11" fillId="0" borderId="0" xfId="26" applyFont="1" applyFill="1" applyBorder="1" applyAlignment="1">
      <alignment horizontal="center" vertical="center"/>
    </xf>
    <xf numFmtId="14" fontId="11" fillId="0" borderId="0" xfId="26" applyNumberFormat="1" applyFont="1" applyFill="1" applyBorder="1" applyAlignment="1">
      <alignment horizontal="center" vertical="center"/>
    </xf>
    <xf numFmtId="164" fontId="11" fillId="2" borderId="0" xfId="27" applyFont="1" applyFill="1" applyBorder="1" applyAlignment="1">
      <alignment horizontal="center"/>
    </xf>
    <xf numFmtId="164" fontId="11" fillId="2" borderId="0" xfId="27" applyFont="1" applyFill="1" applyBorder="1" applyAlignment="1">
      <alignment horizontal="center" vertical="center"/>
    </xf>
    <xf numFmtId="168" fontId="11" fillId="0" borderId="0" xfId="27" applyNumberFormat="1" applyFont="1" applyFill="1" applyBorder="1" applyAlignment="1">
      <alignment vertical="center"/>
    </xf>
    <xf numFmtId="164" fontId="11" fillId="0" borderId="0" xfId="26" applyNumberFormat="1" applyFont="1" applyFill="1" applyBorder="1" applyAlignment="1">
      <alignment horizontal="center" vertical="center"/>
    </xf>
    <xf numFmtId="14" fontId="11" fillId="2" borderId="0" xfId="27" applyNumberFormat="1" applyFont="1" applyFill="1" applyBorder="1" applyAlignment="1">
      <alignment horizontal="center"/>
    </xf>
    <xf numFmtId="14" fontId="11" fillId="2" borderId="0" xfId="27" applyNumberFormat="1" applyFont="1" applyFill="1" applyBorder="1" applyAlignment="1">
      <alignment horizontal="center" vertical="center"/>
    </xf>
    <xf numFmtId="164" fontId="11" fillId="2" borderId="0" xfId="26" applyNumberFormat="1" applyFont="1" applyFill="1" applyBorder="1" applyAlignment="1">
      <alignment horizontal="center" vertical="center"/>
    </xf>
    <xf numFmtId="0" fontId="11" fillId="2" borderId="0" xfId="26" applyFont="1" applyFill="1" applyBorder="1" applyAlignment="1">
      <alignment horizontal="center" vertical="center"/>
    </xf>
    <xf numFmtId="14" fontId="11" fillId="2" borderId="0" xfId="26" applyNumberFormat="1" applyFont="1" applyFill="1" applyBorder="1" applyAlignment="1">
      <alignment horizontal="center" vertical="center"/>
    </xf>
    <xf numFmtId="0" fontId="1" fillId="0" borderId="0" xfId="26" applyBorder="1" applyAlignment="1">
      <alignment wrapText="1"/>
    </xf>
    <xf numFmtId="0" fontId="8" fillId="2" borderId="0" xfId="26" applyFont="1" applyFill="1" applyBorder="1" applyAlignment="1">
      <alignment horizontal="center" vertical="center" wrapText="1"/>
    </xf>
    <xf numFmtId="0" fontId="4" fillId="0" borderId="0" xfId="26" applyFont="1" applyFill="1" applyBorder="1" applyAlignment="1">
      <alignment horizontal="center" vertical="center" wrapText="1"/>
    </xf>
    <xf numFmtId="169" fontId="11" fillId="0" borderId="0" xfId="26" applyNumberFormat="1" applyFont="1" applyFill="1" applyBorder="1" applyAlignment="1">
      <alignment vertical="center"/>
    </xf>
    <xf numFmtId="170" fontId="11" fillId="0" borderId="0" xfId="26" applyNumberFormat="1" applyFont="1" applyFill="1" applyBorder="1" applyAlignment="1">
      <alignment vertical="center"/>
    </xf>
    <xf numFmtId="169" fontId="1" fillId="0" borderId="0" xfId="26" applyNumberFormat="1" applyAlignment="1">
      <alignment horizontal="right" vertical="center"/>
    </xf>
    <xf numFmtId="170" fontId="1" fillId="0" borderId="0" xfId="26" applyNumberFormat="1" applyAlignment="1">
      <alignment horizontal="right" vertical="center"/>
    </xf>
    <xf numFmtId="0" fontId="1" fillId="0" borderId="0" xfId="26" applyAlignment="1">
      <alignment horizontal="center" vertical="center"/>
    </xf>
    <xf numFmtId="0" fontId="11" fillId="0" borderId="0" xfId="26" applyFont="1" applyFill="1" applyAlignment="1">
      <alignment horizontal="center" vertical="center"/>
    </xf>
    <xf numFmtId="0" fontId="11" fillId="0" borderId="0" xfId="26" applyFont="1" applyFill="1" applyBorder="1" applyAlignment="1">
      <alignment horizontal="left" vertical="center"/>
    </xf>
    <xf numFmtId="0" fontId="11" fillId="0" borderId="0" xfId="26" applyFont="1" applyFill="1" applyAlignment="1">
      <alignment horizontal="left" vertical="center"/>
    </xf>
    <xf numFmtId="0" fontId="11" fillId="0" borderId="0" xfId="26" applyFont="1" applyFill="1" applyBorder="1" applyAlignment="1">
      <alignment horizontal="left" vertical="center" wrapText="1"/>
    </xf>
    <xf numFmtId="0" fontId="11" fillId="0" borderId="0" xfId="26" applyFont="1" applyFill="1" applyAlignment="1">
      <alignment horizontal="center"/>
    </xf>
    <xf numFmtId="0" fontId="11" fillId="0" borderId="0" xfId="26" applyFont="1" applyFill="1" applyBorder="1" applyAlignment="1">
      <alignment horizontal="center"/>
    </xf>
    <xf numFmtId="167" fontId="11" fillId="0" borderId="0" xfId="27" applyNumberFormat="1" applyFont="1" applyFill="1" applyBorder="1" applyAlignment="1">
      <alignment horizontal="center" vertical="center"/>
    </xf>
    <xf numFmtId="167" fontId="11" fillId="0" borderId="0" xfId="26" applyNumberFormat="1" applyFont="1" applyFill="1" applyBorder="1" applyAlignment="1">
      <alignment horizontal="center" vertical="center"/>
    </xf>
    <xf numFmtId="167" fontId="11" fillId="0" borderId="0" xfId="27" applyNumberFormat="1" applyFont="1" applyFill="1" applyBorder="1" applyAlignment="1">
      <alignment horizontal="center"/>
    </xf>
    <xf numFmtId="170" fontId="11" fillId="0" borderId="0" xfId="27" applyNumberFormat="1" applyFont="1" applyFill="1" applyBorder="1" applyAlignment="1">
      <alignment vertical="center"/>
    </xf>
    <xf numFmtId="170" fontId="11" fillId="0" borderId="0" xfId="27" applyNumberFormat="1" applyFont="1" applyFill="1" applyBorder="1" applyAlignment="1"/>
  </cellXfs>
  <cellStyles count="5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Monétaire 2" xfId="27"/>
    <cellStyle name="Normal" xfId="0" builtinId="0"/>
    <cellStyle name="Normal 2" xfId="26"/>
    <cellStyle name="Pourcentage" xfId="1" builtinId="5"/>
  </cellStyles>
  <dxfs count="66">
    <dxf>
      <font>
        <b/>
        <i val="0"/>
        <color rgb="FFC00000"/>
      </font>
    </dxf>
    <dxf>
      <font>
        <b/>
        <i val="0"/>
        <color rgb="FFC00000"/>
      </font>
    </dxf>
    <dxf>
      <numFmt numFmtId="169" formatCode="#,##0.00\ &quot;€&quot;;[Red]\-\ #,##0.00\ &quot;€&quot;;\-\ \ \ \ \ &quot;€&quot;"/>
      <alignment horizontal="right" vertical="center" textRotation="0" wrapText="0" indent="0" justifyLastLine="0" shrinkToFit="0"/>
    </dxf>
    <dxf>
      <numFmt numFmtId="170" formatCode="#,##0.00\ &quot;€&quot;;\-\ #,##0.00\ &quot;€&quot;;\-\ \ \ \ \ &quot;€&quot;"/>
      <alignment horizontal="right" vertical="center" textRotation="0" wrapText="0" indent="0" justifyLastLine="0" shrinkToFit="0"/>
    </dxf>
    <dxf>
      <numFmt numFmtId="170" formatCode="#,##0.00\ &quot;€&quot;;\-\ #,##0.00\ &quot;€&quot;;\-\ \ \ \ \ &quot;€&quot;"/>
      <alignment horizontal="right" vertical="center" textRotation="0" wrapText="0" indent="0" justifyLastLine="0" shrinkToFit="0"/>
    </dxf>
    <dxf>
      <alignment horizontal="center" vertical="center" textRotation="0" indent="0" justifyLastLine="0" shrinkToFit="0"/>
    </dxf>
    <dxf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yy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#,##0.00\ &quot;€&quot;;[Red]\-\ #,##0.00\ &quot;€&quot;;\-\ \ \ \ 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yy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#,##0.00\ &quot;€&quot;;\-\ #,##0.00\ &quot;€&quot;;\-\ \ \ \ 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#,##0.00\ &quot;€&quot;;\-\ #,##0.00\ &quot;€&quot;;\-\ \ \ \ 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yy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.00\ &quot;€&quot;;[Magenta]\-\ #,##0.00\ &quot;€&quot;;\-\ \ \ \ 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.00\ &quot;€&quot;;[Magenta]\-\ #,##0.00\ &quot;€&quot;;\-\ \ \ \ 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.00\ &quot;€&quot;;[Magenta]\-\ #,##0.00\ &quot;€&quot;;\-\ \ \ \ 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.00\ &quot;€&quot;;[Magenta]\-\ #,##0.00\ &quot;€&quot;;\-\ \ \ \ 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6" formatCode="#,##0.00\ &quot;€&quot;;[Green]\-\ #,##0.00\ &quot;€&quot;;[Green]\-\ \ \ \ \ &quot;€&quot;"/>
    </dxf>
    <dxf>
      <numFmt numFmtId="165" formatCode="#,##0.00\ &quot;€&quot;;\-#,##0.00\ &quot;€&quot;;\-\ \ \ \ &quot;€&quot;"/>
    </dxf>
    <dxf>
      <numFmt numFmtId="166" formatCode="#,##0.00\ &quot;€&quot;;[Green]\-\ #,##0.00\ &quot;€&quot;;[Green]\-\ \ \ \ \ &quot;€&quot;"/>
    </dxf>
    <dxf>
      <numFmt numFmtId="166" formatCode="#,##0.00\ &quot;€&quot;;[Green]\-\ #,##0.00\ &quot;€&quot;;[Green]\-\ \ \ \ \ &quot;€&quot;"/>
    </dxf>
    <dxf>
      <alignment horizontal="center" vertical="center" textRotation="0" wrapText="0" indent="0" justifyLastLine="0" shrinkToFit="0"/>
    </dxf>
    <dxf>
      <numFmt numFmtId="167" formatCode="dd/mm/yyyy;;"/>
      <fill>
        <patternFill patternType="none">
          <fgColor rgb="FF000000"/>
          <bgColor auto="1"/>
        </patternFill>
      </fill>
    </dxf>
    <dxf>
      <font>
        <sz val="11"/>
        <color theme="1"/>
        <name val="Calibri"/>
        <scheme val="minor"/>
      </font>
      <numFmt numFmtId="166" formatCode="#,##0.00\ &quot;€&quot;;[Green]\-\ #,##0.00\ &quot;€&quot;;[Green]\-\ \ \ \ 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ill>
        <patternFill patternType="none">
          <fgColor rgb="FF000000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VENTES" displayName="VENTES" ref="A1:P28" totalsRowShown="0" headerRowDxfId="65" dataDxfId="64" tableBorderDxfId="63">
  <autoFilter ref="A1:P28"/>
  <tableColumns count="16">
    <tableColumn id="1" name="Numero" dataDxfId="62"/>
    <tableColumn id="2" name="DATE" dataDxfId="61"/>
    <tableColumn id="3" name="CLIENT" dataDxfId="60"/>
    <tableColumn id="4" name="LIEU" dataDxfId="59"/>
    <tableColumn id="5" name="OBJET" dataDxfId="58"/>
    <tableColumn id="6" name="HT_8,5%" dataDxfId="57"/>
    <tableColumn id="7" name="HT_2,1%" dataDxfId="56"/>
    <tableColumn id="8" name="HT_0%" dataDxfId="55"/>
    <tableColumn id="9" name="HT" dataDxfId="54">
      <calculatedColumnFormula>SUM(VENTES[[#This Row],[HT_8,5%]:[HT_0%]])</calculatedColumnFormula>
    </tableColumn>
    <tableColumn id="10" name="TVA_8,5%" dataDxfId="53">
      <calculatedColumnFormula>ROUND(VENTES[[#This Row],[HT_8,5%]]*8.5%,2)</calculatedColumnFormula>
    </tableColumn>
    <tableColumn id="11" name="TVA_2,1%" dataDxfId="52">
      <calculatedColumnFormula>ROUND(VENTES[[#This Row],[HT_2,1%]]*2.1%,2)</calculatedColumnFormula>
    </tableColumn>
    <tableColumn id="12" name="TTC" dataDxfId="51">
      <calculatedColumnFormula>SUM(VENTES[[#This Row],[HT]:[TVA_2,1%]])</calculatedColumnFormula>
    </tableColumn>
    <tableColumn id="16" name="RG" dataDxfId="50"/>
    <tableColumn id="13" name="QP_8,5%" dataDxfId="49">
      <calculatedColumnFormula>IFERROR(ROUND((VENTES[[#This Row],[HT_8,5%]]+VENTES[[#This Row],[TVA_8,5%]])/VENTES[[#This Row],[TTC]],4),0)</calculatedColumnFormula>
    </tableColumn>
    <tableColumn id="14" name="QP_2,1%" dataDxfId="48" dataCellStyle="Pourcentage">
      <calculatedColumnFormula>IFERROR(ROUND((VENTES[[#This Row],[HT_2,1%]]+VENTES[[#This Row],[TVA_2,1%]])/VENTES[[#This Row],[TTC]],4),0)</calculatedColumnFormula>
    </tableColumn>
    <tableColumn id="15" name="QP_0%" dataDxfId="47" dataCellStyle="Pourcentage">
      <calculatedColumnFormula>IFERROR(ROUND(VENTES[[#This Row],[HT_0%]]/VENTES[[#This Row],[TTC]],4),0)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GLTS" displayName="RGLTS" ref="A1:I28" totalsRowShown="0" headerRowDxfId="46" dataDxfId="45" tableBorderDxfId="44">
  <autoFilter ref="A1:I28"/>
  <tableColumns count="9">
    <tableColumn id="2" name="DATE" dataDxfId="43"/>
    <tableColumn id="3" name="CLIENT" dataDxfId="42"/>
    <tableColumn id="1" name="Numero" dataDxfId="41"/>
    <tableColumn id="12" name="TTC" dataDxfId="40"/>
    <tableColumn id="13" name="TTC_8,5%" dataDxfId="39">
      <calculatedColumnFormula>IFERROR(ROUND(INDEX(VENTES[QP_8,5%],MATCH(RGLTS[[#This Row],[Numero]],VENTES[Numero],0))*RGLTS[[#This Row],[TTC]],2),0)</calculatedColumnFormula>
    </tableColumn>
    <tableColumn id="14" name="TTC_2,1%" dataDxfId="38" dataCellStyle="Pourcentage">
      <calculatedColumnFormula>IFERROR(ROUND(INDEX(VENTES[QP_2,1%],MATCH(RGLTS[[#This Row],[Numero]],VENTES[Numero],0))*RGLTS[[#This Row],[TTC]],2),0)</calculatedColumnFormula>
    </tableColumn>
    <tableColumn id="15" name="TTC_0%" dataDxfId="37" dataCellStyle="Pourcentage">
      <calculatedColumnFormula>IFERROR(ROUND(INDEX(VENTES[QP_0%],MATCH(RGLTS[[#This Row],[Numero]],VENTES[Numero],0))*RGLTS[[#This Row],[TTC]],2),0)</calculatedColumnFormula>
    </tableColumn>
    <tableColumn id="4" name="SOLDE" dataDxfId="36">
      <calculatedColumnFormula>SUMIF(VENTES[Numero],RGLTS[[#This Row],[Numero]],VENTES[TTC])-SUMIF(RGLTS[Numero],RGLTS[[#This Row],[Numero]],RGLTS[TTC])</calculatedColumnFormula>
    </tableColumn>
    <tableColumn id="5" name="EXIGIBILITE" dataDxfId="35">
      <calculatedColumnFormula>IF(RGLTS[[#This Row],[SOLDE]]=0,0,IF(INDEX(VENTES[DATE],MATCH(RGLTS[[#This Row],[Numero]],VENTES[Numero],0))+30&lt;TODAY(),INDEX(VENTES[DATE],MATCH(RGLTS[[#This Row],[Numero]],VENTES[Numero],0))+30,0))</calculatedColumn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CLIENTS" displayName="CLIENTS" ref="A1:K27" totalsRowShown="0" headerRowDxfId="34">
  <autoFilter ref="A1:K27"/>
  <tableColumns count="11">
    <tableColumn id="1" name="DENOMINATION"/>
    <tableColumn id="10" name="FORME"/>
    <tableColumn id="2" name="ADRESSE"/>
    <tableColumn id="3" name="CP"/>
    <tableColumn id="4" name="VILLE"/>
    <tableColumn id="5" name="MAIL"/>
    <tableColumn id="6" name="TEL"/>
    <tableColumn id="11" name="SOLDE PREC" dataDxfId="33"/>
    <tableColumn id="7" name="VENTES" dataDxfId="32">
      <calculatedColumnFormula>SUMIF(VENTES[CLIENT],CLIENTS[[#This Row],[DENOMINATION]],VENTES[TTC])</calculatedColumnFormula>
    </tableColumn>
    <tableColumn id="8" name="RGLTS" dataDxfId="31">
      <calculatedColumnFormula>SUMIF(RGLTS[CLIENT],CLIENTS[[#This Row],[DENOMINATION]],RGLTS[TTC])</calculatedColumnFormula>
    </tableColumn>
    <tableColumn id="9" name="SOLDE" dataDxfId="30">
      <calculatedColumnFormula>CLIENTS[[#This Row],[SOLDE PREC]]+CLIENTS[[#This Row],[VENTES]]-CLIENTS[[#This Row],[RGLTS]]</calculatedColumnFormula>
    </tableColumn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ACHATS" displayName="ACHATS" ref="A1:I43" totalsRowShown="0" headerRowDxfId="29">
  <autoFilter ref="A1:I43"/>
  <tableColumns count="9">
    <tableColumn id="1" name="DATE" dataDxfId="28"/>
    <tableColumn id="2" name="FOURNISSEUR" dataDxfId="27"/>
    <tableColumn id="3" name="NUMERO" dataDxfId="26"/>
    <tableColumn id="4" name="HT" dataDxfId="25"/>
    <tableColumn id="5" name="TVA" dataDxfId="24"/>
    <tableColumn id="6" name="TTC" dataDxfId="23">
      <calculatedColumnFormula>D2+E2</calculatedColumnFormula>
    </tableColumn>
    <tableColumn id="9" name="TYPE" dataDxfId="22" dataCellStyle="Normal 2"/>
    <tableColumn id="8" name="ECHEANCE" dataDxfId="21"/>
    <tableColumn id="7" name="CATEGORIE" dataDxfId="20">
      <calculatedColumnFormula>INDEX(FOURNISSEURS[CATEGORIE],MATCH(ACHATS[[#This Row],[FOURNISSEUR]],FOURNISSEURS[DENOMINATION],0))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DEPENSES" displayName="DEPENSES" ref="A1:H43" totalsRowShown="0" headerRowDxfId="19">
  <autoFilter ref="A1:H43"/>
  <tableColumns count="8">
    <tableColumn id="1" name="DATE" dataDxfId="18"/>
    <tableColumn id="2" name="FOURNISSEUR" dataDxfId="17"/>
    <tableColumn id="3" name="NUMERO" dataDxfId="16"/>
    <tableColumn id="6" name="TTC" dataDxfId="15">
      <calculatedColumnFormula>#REF!+#REF!</calculatedColumnFormula>
    </tableColumn>
    <tableColumn id="11" name="TVA" dataDxfId="14" dataCellStyle="Monétaire 2">
      <calculatedColumnFormula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calculatedColumnFormula>
    </tableColumn>
    <tableColumn id="10" name="TYPE" dataDxfId="13" dataCellStyle="Monétaire 2">
      <calculatedColumnFormula>INDEX(ACHATS[TYPE],SUMPRODUCT(MATCH(1,(ACHATS[FOURNISSEUR]=DEPENSES[[#This Row],[FOURNISSEUR]])*(ACHATS[NUMERO]=DEPENSES[[#This Row],[NUMERO]]),0)))</calculatedColumnFormula>
    </tableColumn>
    <tableColumn id="9" name="SOLDE" dataDxfId="12">
      <calculatedColumnFormula>SUMIFS(ACHATS[TTC],ACHATS[FOURNISSEUR],DEPENSES[[#This Row],[FOURNISSEUR]],ACHATS[NUMERO],DEPENSES[[#This Row],[NUMERO]])-SUMIFS(DEPENSES[TTC],DEPENSES[FOURNISSEUR],DEPENSES[[#This Row],[FOURNISSEUR]],DEPENSES[NUMERO],DEPENSES[[#This Row],[NUMERO]])</calculatedColumnFormula>
    </tableColumn>
    <tableColumn id="8" name="ECHEANCE" dataDxfId="11">
      <calculatedColumnFormula>IF(DEPENSES[[#This Row],[SOLDE]]&lt;=0,0,INDEX(ACHATS[ECHEANCE],SUMPRODUCT(MATCH(1,(ACHATS[FOURNISSEUR]=DEPENSES[[#This Row],[FOURNISSEUR]])*(ACHATS[NUMERO]=DEPENSES[[#This Row],[NUMERO]]),0))))</calculatedColumnFormula>
    </tableColumn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6" name="FOURNISSEURS" displayName="FOURNISSEURS" ref="A1:G43" totalsRowShown="0" headerRowDxfId="10" dataDxfId="9">
  <autoFilter ref="A1:G43"/>
  <tableColumns count="7">
    <tableColumn id="1" name="DENOMINATION" dataDxfId="8"/>
    <tableColumn id="2" name="CATEGORIE" dataDxfId="7"/>
    <tableColumn id="3" name="MAIL" dataDxfId="6"/>
    <tableColumn id="4" name="TEL" dataDxfId="5"/>
    <tableColumn id="5" name="ACHATS" dataDxfId="4">
      <calculatedColumnFormula>SUMIF(ACHATS[FOURNISSEUR],FOURNISSEURS[[#This Row],[DENOMINATION]],ACHATS[TTC])</calculatedColumnFormula>
    </tableColumn>
    <tableColumn id="6" name="PAIEMENTS" dataDxfId="3">
      <calculatedColumnFormula>SUMIF(DEPENSES[FOURNISSEUR],FOURNISSEURS[[#This Row],[DENOMINATION]],DEPENSES[TTC])</calculatedColumnFormula>
    </tableColumn>
    <tableColumn id="7" name="SOLDE" dataDxfId="2">
      <calculatedColumnFormula>FOURNISSEURS[[#This Row],[ACHATS]]-FOURNISSEURS[[#This Row],[PAIEMENTS]]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6" tint="0.39997558519241921"/>
  </sheetPr>
  <dimension ref="A1:P31"/>
  <sheetViews>
    <sheetView showGridLines="0" workbookViewId="0">
      <selection activeCell="E10" sqref="E10"/>
    </sheetView>
  </sheetViews>
  <sheetFormatPr baseColWidth="10" defaultRowHeight="12" x14ac:dyDescent="0"/>
  <cols>
    <col min="1" max="2" width="13" bestFit="1" customWidth="1"/>
    <col min="3" max="3" width="14.83203125" bestFit="1" customWidth="1"/>
    <col min="4" max="4" width="18.1640625" bestFit="1" customWidth="1"/>
    <col min="5" max="5" width="21.6640625" bestFit="1" customWidth="1"/>
    <col min="6" max="8" width="14.33203125" customWidth="1"/>
    <col min="10" max="14" width="14.33203125" customWidth="1"/>
    <col min="15" max="17" width="10" bestFit="1" customWidth="1"/>
  </cols>
  <sheetData>
    <row r="1" spans="1:16" s="1" customFormat="1" ht="37.5" customHeight="1">
      <c r="A1" s="5" t="s">
        <v>41</v>
      </c>
      <c r="B1" s="5" t="s">
        <v>6</v>
      </c>
      <c r="C1" s="5" t="s">
        <v>0</v>
      </c>
      <c r="D1" s="5" t="s">
        <v>11</v>
      </c>
      <c r="E1" s="5" t="s">
        <v>7</v>
      </c>
      <c r="F1" s="6" t="s">
        <v>42</v>
      </c>
      <c r="G1" s="6" t="s">
        <v>43</v>
      </c>
      <c r="H1" s="5" t="s">
        <v>44</v>
      </c>
      <c r="I1" s="5" t="s">
        <v>1</v>
      </c>
      <c r="J1" s="6" t="s">
        <v>45</v>
      </c>
      <c r="K1" s="6" t="s">
        <v>46</v>
      </c>
      <c r="L1" s="7" t="s">
        <v>8</v>
      </c>
      <c r="M1" s="5" t="s">
        <v>2</v>
      </c>
      <c r="N1" s="8" t="s">
        <v>47</v>
      </c>
      <c r="O1" s="8" t="s">
        <v>48</v>
      </c>
      <c r="P1" s="8" t="s">
        <v>49</v>
      </c>
    </row>
    <row r="2" spans="1:16" ht="14">
      <c r="A2" s="9">
        <v>22001001</v>
      </c>
      <c r="B2" s="10">
        <v>43836</v>
      </c>
      <c r="C2" s="11" t="s">
        <v>40</v>
      </c>
      <c r="D2" s="12"/>
      <c r="E2" s="12"/>
      <c r="F2" s="13"/>
      <c r="G2" s="13"/>
      <c r="H2" s="13">
        <v>50</v>
      </c>
      <c r="I2" s="13">
        <f>SUM(VENTES[[#This Row],[HT_8,5%]:[HT_0%]])</f>
        <v>50</v>
      </c>
      <c r="J2" s="13">
        <f>ROUND(VENTES[[#This Row],[HT_8,5%]]*8.5%,2)</f>
        <v>0</v>
      </c>
      <c r="K2" s="13">
        <f>ROUND(VENTES[[#This Row],[HT_2,1%]]*2.1%,2)</f>
        <v>0</v>
      </c>
      <c r="L2" s="13">
        <f>SUM(VENTES[[#This Row],[HT]:[TVA_2,1%]])</f>
        <v>50</v>
      </c>
      <c r="M2" s="13"/>
      <c r="N2" s="14">
        <f>IFERROR(ROUND((VENTES[[#This Row],[HT_8,5%]]+VENTES[[#This Row],[TVA_8,5%]])/VENTES[[#This Row],[TTC]],4),0)</f>
        <v>0</v>
      </c>
      <c r="O2" s="14">
        <f>IFERROR(ROUND((VENTES[[#This Row],[HT_2,1%]]+VENTES[[#This Row],[TVA_2,1%]])/VENTES[[#This Row],[TTC]],4),0)</f>
        <v>0</v>
      </c>
      <c r="P2" s="14">
        <f>IFERROR(ROUND(VENTES[[#This Row],[HT_0%]]/VENTES[[#This Row],[TTC]],4),0)</f>
        <v>1</v>
      </c>
    </row>
    <row r="3" spans="1:16" ht="14">
      <c r="A3" s="15">
        <v>22001002</v>
      </c>
      <c r="B3" s="10">
        <v>43837</v>
      </c>
      <c r="C3" s="12" t="s">
        <v>15</v>
      </c>
      <c r="D3" s="12"/>
      <c r="E3" s="12"/>
      <c r="F3" s="13"/>
      <c r="G3" s="13"/>
      <c r="H3" s="13">
        <v>102</v>
      </c>
      <c r="I3" s="13">
        <f>SUM(VENTES[[#This Row],[HT_8,5%]:[HT_0%]])</f>
        <v>102</v>
      </c>
      <c r="J3" s="13">
        <f>ROUND(VENTES[[#This Row],[HT_8,5%]]*8.5%,2)</f>
        <v>0</v>
      </c>
      <c r="K3" s="13">
        <f>ROUND(VENTES[[#This Row],[HT_2,1%]]*2.1%,2)</f>
        <v>0</v>
      </c>
      <c r="L3" s="13">
        <f>SUM(VENTES[[#This Row],[HT]:[TVA_2,1%]])</f>
        <v>102</v>
      </c>
      <c r="M3" s="13"/>
      <c r="N3" s="14">
        <f>IFERROR(ROUND((VENTES[[#This Row],[HT_8,5%]]+VENTES[[#This Row],[TVA_8,5%]])/VENTES[[#This Row],[TTC]],4),0)</f>
        <v>0</v>
      </c>
      <c r="O3" s="14">
        <f>IFERROR(ROUND((VENTES[[#This Row],[HT_2,1%]]+VENTES[[#This Row],[TVA_2,1%]])/VENTES[[#This Row],[TTC]],4),0)</f>
        <v>0</v>
      </c>
      <c r="P3" s="14">
        <f>IFERROR(ROUND(VENTES[[#This Row],[HT_0%]]/VENTES[[#This Row],[TTC]],4),0)</f>
        <v>1</v>
      </c>
    </row>
    <row r="4" spans="1:16" ht="14">
      <c r="A4" s="15">
        <v>22001003</v>
      </c>
      <c r="B4" s="10">
        <v>43837</v>
      </c>
      <c r="C4" s="12" t="s">
        <v>16</v>
      </c>
      <c r="D4" s="12"/>
      <c r="E4" s="12"/>
      <c r="F4" s="13"/>
      <c r="G4" s="13"/>
      <c r="H4" s="13">
        <v>318</v>
      </c>
      <c r="I4" s="13">
        <f>SUM(VENTES[[#This Row],[HT_8,5%]:[HT_0%]])</f>
        <v>318</v>
      </c>
      <c r="J4" s="13">
        <f>ROUND(VENTES[[#This Row],[HT_8,5%]]*8.5%,2)</f>
        <v>0</v>
      </c>
      <c r="K4" s="13">
        <f>ROUND(VENTES[[#This Row],[HT_2,1%]]*2.1%,2)</f>
        <v>0</v>
      </c>
      <c r="L4" s="13">
        <f>SUM(VENTES[[#This Row],[HT]:[TVA_2,1%]])</f>
        <v>318</v>
      </c>
      <c r="M4" s="13"/>
      <c r="N4" s="14">
        <f>IFERROR(ROUND((VENTES[[#This Row],[HT_8,5%]]+VENTES[[#This Row],[TVA_8,5%]])/VENTES[[#This Row],[TTC]],4),0)</f>
        <v>0</v>
      </c>
      <c r="O4" s="14">
        <f>IFERROR(ROUND((VENTES[[#This Row],[HT_2,1%]]+VENTES[[#This Row],[TVA_2,1%]])/VENTES[[#This Row],[TTC]],4),0)</f>
        <v>0</v>
      </c>
      <c r="P4" s="14">
        <f>IFERROR(ROUND(VENTES[[#This Row],[HT_0%]]/VENTES[[#This Row],[TTC]],4),0)</f>
        <v>1</v>
      </c>
    </row>
    <row r="5" spans="1:16" ht="14">
      <c r="A5" s="15">
        <v>22001004</v>
      </c>
      <c r="B5" s="10">
        <v>43839</v>
      </c>
      <c r="C5" s="12" t="s">
        <v>17</v>
      </c>
      <c r="D5" s="12"/>
      <c r="E5" s="12"/>
      <c r="F5" s="13"/>
      <c r="G5" s="13"/>
      <c r="H5" s="13">
        <v>1188</v>
      </c>
      <c r="I5" s="13">
        <f>SUM(VENTES[[#This Row],[HT_8,5%]:[HT_0%]])</f>
        <v>1188</v>
      </c>
      <c r="J5" s="13">
        <f>ROUND(VENTES[[#This Row],[HT_8,5%]]*8.5%,2)</f>
        <v>0</v>
      </c>
      <c r="K5" s="13">
        <f>ROUND(VENTES[[#This Row],[HT_2,1%]]*2.1%,2)</f>
        <v>0</v>
      </c>
      <c r="L5" s="13">
        <f>SUM(VENTES[[#This Row],[HT]:[TVA_2,1%]])</f>
        <v>1188</v>
      </c>
      <c r="M5" s="13"/>
      <c r="N5" s="14">
        <f>IFERROR(ROUND((VENTES[[#This Row],[HT_8,5%]]+VENTES[[#This Row],[TVA_8,5%]])/VENTES[[#This Row],[TTC]],4),0)</f>
        <v>0</v>
      </c>
      <c r="O5" s="14">
        <f>IFERROR(ROUND((VENTES[[#This Row],[HT_2,1%]]+VENTES[[#This Row],[TVA_2,1%]])/VENTES[[#This Row],[TTC]],4),0)</f>
        <v>0</v>
      </c>
      <c r="P5" s="14">
        <f>IFERROR(ROUND(VENTES[[#This Row],[HT_0%]]/VENTES[[#This Row],[TTC]],4),0)</f>
        <v>1</v>
      </c>
    </row>
    <row r="6" spans="1:16" ht="14">
      <c r="A6" s="15">
        <v>22001005</v>
      </c>
      <c r="B6" s="10">
        <v>43840</v>
      </c>
      <c r="C6" s="12" t="s">
        <v>18</v>
      </c>
      <c r="D6" s="12"/>
      <c r="E6" s="12"/>
      <c r="F6" s="13"/>
      <c r="G6" s="13"/>
      <c r="H6" s="13">
        <v>9</v>
      </c>
      <c r="I6" s="13">
        <f>SUM(VENTES[[#This Row],[HT_8,5%]:[HT_0%]])</f>
        <v>9</v>
      </c>
      <c r="J6" s="13">
        <f>ROUND(VENTES[[#This Row],[HT_8,5%]]*8.5%,2)</f>
        <v>0</v>
      </c>
      <c r="K6" s="13">
        <f>ROUND(VENTES[[#This Row],[HT_2,1%]]*2.1%,2)</f>
        <v>0</v>
      </c>
      <c r="L6" s="13">
        <f>SUM(VENTES[[#This Row],[HT]:[TVA_2,1%]])</f>
        <v>9</v>
      </c>
      <c r="M6" s="13"/>
      <c r="N6" s="14">
        <f>IFERROR(ROUND((VENTES[[#This Row],[HT_8,5%]]+VENTES[[#This Row],[TVA_8,5%]])/VENTES[[#This Row],[TTC]],4),0)</f>
        <v>0</v>
      </c>
      <c r="O6" s="14">
        <f>IFERROR(ROUND((VENTES[[#This Row],[HT_2,1%]]+VENTES[[#This Row],[TVA_2,1%]])/VENTES[[#This Row],[TTC]],4),0)</f>
        <v>0</v>
      </c>
      <c r="P6" s="14">
        <f>IFERROR(ROUND(VENTES[[#This Row],[HT_0%]]/VENTES[[#This Row],[TTC]],4),0)</f>
        <v>1</v>
      </c>
    </row>
    <row r="7" spans="1:16" ht="14">
      <c r="A7" s="15">
        <v>22001006</v>
      </c>
      <c r="B7" s="10">
        <v>43840</v>
      </c>
      <c r="C7" s="12" t="s">
        <v>19</v>
      </c>
      <c r="D7" s="12"/>
      <c r="E7" s="12"/>
      <c r="F7" s="13"/>
      <c r="G7" s="13"/>
      <c r="H7" s="13">
        <v>445</v>
      </c>
      <c r="I7" s="13">
        <f>SUM(VENTES[[#This Row],[HT_8,5%]:[HT_0%]])</f>
        <v>445</v>
      </c>
      <c r="J7" s="13">
        <f>ROUND(VENTES[[#This Row],[HT_8,5%]]*8.5%,2)</f>
        <v>0</v>
      </c>
      <c r="K7" s="13">
        <f>ROUND(VENTES[[#This Row],[HT_2,1%]]*2.1%,2)</f>
        <v>0</v>
      </c>
      <c r="L7" s="13">
        <f>SUM(VENTES[[#This Row],[HT]:[TVA_2,1%]])</f>
        <v>445</v>
      </c>
      <c r="M7" s="13"/>
      <c r="N7" s="14">
        <f>IFERROR(ROUND((VENTES[[#This Row],[HT_8,5%]]+VENTES[[#This Row],[TVA_8,5%]])/VENTES[[#This Row],[TTC]],4),0)</f>
        <v>0</v>
      </c>
      <c r="O7" s="14">
        <f>IFERROR(ROUND((VENTES[[#This Row],[HT_2,1%]]+VENTES[[#This Row],[TVA_2,1%]])/VENTES[[#This Row],[TTC]],4),0)</f>
        <v>0</v>
      </c>
      <c r="P7" s="14">
        <f>IFERROR(ROUND(VENTES[[#This Row],[HT_0%]]/VENTES[[#This Row],[TTC]],4),0)</f>
        <v>1</v>
      </c>
    </row>
    <row r="8" spans="1:16" ht="14">
      <c r="A8" s="15">
        <v>22001007</v>
      </c>
      <c r="B8" s="10">
        <v>43844</v>
      </c>
      <c r="C8" s="12" t="s">
        <v>20</v>
      </c>
      <c r="D8" s="12"/>
      <c r="E8" s="12"/>
      <c r="F8" s="13"/>
      <c r="G8" s="13"/>
      <c r="H8" s="13">
        <v>433.28</v>
      </c>
      <c r="I8" s="13">
        <f>SUM(VENTES[[#This Row],[HT_8,5%]:[HT_0%]])</f>
        <v>433.28</v>
      </c>
      <c r="J8" s="13">
        <f>ROUND(VENTES[[#This Row],[HT_8,5%]]*8.5%,2)</f>
        <v>0</v>
      </c>
      <c r="K8" s="13">
        <f>ROUND(VENTES[[#This Row],[HT_2,1%]]*2.1%,2)</f>
        <v>0</v>
      </c>
      <c r="L8" s="13">
        <f>SUM(VENTES[[#This Row],[HT]:[TVA_2,1%]])</f>
        <v>433.28</v>
      </c>
      <c r="M8" s="13"/>
      <c r="N8" s="14">
        <f>IFERROR(ROUND((VENTES[[#This Row],[HT_8,5%]]+VENTES[[#This Row],[TVA_8,5%]])/VENTES[[#This Row],[TTC]],4),0)</f>
        <v>0</v>
      </c>
      <c r="O8" s="14">
        <f>IFERROR(ROUND((VENTES[[#This Row],[HT_2,1%]]+VENTES[[#This Row],[TVA_2,1%]])/VENTES[[#This Row],[TTC]],4),0)</f>
        <v>0</v>
      </c>
      <c r="P8" s="14">
        <f>IFERROR(ROUND(VENTES[[#This Row],[HT_0%]]/VENTES[[#This Row],[TTC]],4),0)</f>
        <v>1</v>
      </c>
    </row>
    <row r="9" spans="1:16" ht="14">
      <c r="A9" s="15">
        <v>22001008</v>
      </c>
      <c r="B9" s="10">
        <v>43844</v>
      </c>
      <c r="C9" s="12" t="s">
        <v>21</v>
      </c>
      <c r="D9" s="12"/>
      <c r="E9" s="12"/>
      <c r="F9" s="13"/>
      <c r="G9" s="13"/>
      <c r="H9" s="13">
        <v>779</v>
      </c>
      <c r="I9" s="13">
        <f>SUM(VENTES[[#This Row],[HT_8,5%]:[HT_0%]])</f>
        <v>779</v>
      </c>
      <c r="J9" s="13">
        <f>ROUND(VENTES[[#This Row],[HT_8,5%]]*8.5%,2)</f>
        <v>0</v>
      </c>
      <c r="K9" s="13">
        <f>ROUND(VENTES[[#This Row],[HT_2,1%]]*2.1%,2)</f>
        <v>0</v>
      </c>
      <c r="L9" s="13">
        <f>SUM(VENTES[[#This Row],[HT]:[TVA_2,1%]])</f>
        <v>779</v>
      </c>
      <c r="M9" s="13"/>
      <c r="N9" s="14">
        <f>IFERROR(ROUND((VENTES[[#This Row],[HT_8,5%]]+VENTES[[#This Row],[TVA_8,5%]])/VENTES[[#This Row],[TTC]],4),0)</f>
        <v>0</v>
      </c>
      <c r="O9" s="14">
        <f>IFERROR(ROUND((VENTES[[#This Row],[HT_2,1%]]+VENTES[[#This Row],[TVA_2,1%]])/VENTES[[#This Row],[TTC]],4),0)</f>
        <v>0</v>
      </c>
      <c r="P9" s="14">
        <f>IFERROR(ROUND(VENTES[[#This Row],[HT_0%]]/VENTES[[#This Row],[TTC]],4),0)</f>
        <v>1</v>
      </c>
    </row>
    <row r="10" spans="1:16" ht="14">
      <c r="A10" s="15">
        <v>22001009</v>
      </c>
      <c r="B10" s="10">
        <v>43845</v>
      </c>
      <c r="C10" s="12" t="s">
        <v>22</v>
      </c>
      <c r="D10" s="12"/>
      <c r="E10" s="12"/>
      <c r="F10" s="13"/>
      <c r="G10" s="13"/>
      <c r="H10" s="13">
        <v>105</v>
      </c>
      <c r="I10" s="13">
        <f>SUM(VENTES[[#This Row],[HT_8,5%]:[HT_0%]])</f>
        <v>105</v>
      </c>
      <c r="J10" s="13">
        <f>ROUND(VENTES[[#This Row],[HT_8,5%]]*8.5%,2)</f>
        <v>0</v>
      </c>
      <c r="K10" s="13">
        <f>ROUND(VENTES[[#This Row],[HT_2,1%]]*2.1%,2)</f>
        <v>0</v>
      </c>
      <c r="L10" s="13">
        <f>SUM(VENTES[[#This Row],[HT]:[TVA_2,1%]])</f>
        <v>105</v>
      </c>
      <c r="M10" s="13"/>
      <c r="N10" s="14">
        <f>IFERROR(ROUND((VENTES[[#This Row],[HT_8,5%]]+VENTES[[#This Row],[TVA_8,5%]])/VENTES[[#This Row],[TTC]],4),0)</f>
        <v>0</v>
      </c>
      <c r="O10" s="14">
        <f>IFERROR(ROUND((VENTES[[#This Row],[HT_2,1%]]+VENTES[[#This Row],[TVA_2,1%]])/VENTES[[#This Row],[TTC]],4),0)</f>
        <v>0</v>
      </c>
      <c r="P10" s="14">
        <f>IFERROR(ROUND(VENTES[[#This Row],[HT_0%]]/VENTES[[#This Row],[TTC]],4),0)</f>
        <v>1</v>
      </c>
    </row>
    <row r="11" spans="1:16" ht="14">
      <c r="A11" s="15">
        <v>22001010</v>
      </c>
      <c r="B11" s="10">
        <v>43845</v>
      </c>
      <c r="C11" s="12" t="s">
        <v>23</v>
      </c>
      <c r="D11" s="12"/>
      <c r="E11" s="12"/>
      <c r="F11" s="13"/>
      <c r="G11" s="13"/>
      <c r="H11" s="13">
        <v>126</v>
      </c>
      <c r="I11" s="13">
        <f>SUM(VENTES[[#This Row],[HT_8,5%]:[HT_0%]])</f>
        <v>126</v>
      </c>
      <c r="J11" s="13">
        <f>ROUND(VENTES[[#This Row],[HT_8,5%]]*8.5%,2)</f>
        <v>0</v>
      </c>
      <c r="K11" s="13">
        <f>ROUND(VENTES[[#This Row],[HT_2,1%]]*2.1%,2)</f>
        <v>0</v>
      </c>
      <c r="L11" s="13">
        <f>SUM(VENTES[[#This Row],[HT]:[TVA_2,1%]])</f>
        <v>126</v>
      </c>
      <c r="M11" s="13"/>
      <c r="N11" s="14">
        <f>IFERROR(ROUND((VENTES[[#This Row],[HT_8,5%]]+VENTES[[#This Row],[TVA_8,5%]])/VENTES[[#This Row],[TTC]],4),0)</f>
        <v>0</v>
      </c>
      <c r="O11" s="14">
        <f>IFERROR(ROUND((VENTES[[#This Row],[HT_2,1%]]+VENTES[[#This Row],[TVA_2,1%]])/VENTES[[#This Row],[TTC]],4),0)</f>
        <v>0</v>
      </c>
      <c r="P11" s="14">
        <f>IFERROR(ROUND(VENTES[[#This Row],[HT_0%]]/VENTES[[#This Row],[TTC]],4),0)</f>
        <v>1</v>
      </c>
    </row>
    <row r="12" spans="1:16" ht="14">
      <c r="A12" s="16">
        <v>22001011</v>
      </c>
      <c r="B12" s="17">
        <v>43847</v>
      </c>
      <c r="C12" s="12" t="s">
        <v>24</v>
      </c>
      <c r="D12" s="18"/>
      <c r="E12" s="18"/>
      <c r="F12" s="13"/>
      <c r="G12" s="13"/>
      <c r="H12" s="13">
        <v>157</v>
      </c>
      <c r="I12" s="13">
        <f>SUM(VENTES[[#This Row],[HT_8,5%]:[HT_0%]])</f>
        <v>157</v>
      </c>
      <c r="J12" s="13">
        <f>ROUND(VENTES[[#This Row],[HT_8,5%]]*8.5%,2)</f>
        <v>0</v>
      </c>
      <c r="K12" s="13">
        <f>ROUND(VENTES[[#This Row],[HT_2,1%]]*2.1%,2)</f>
        <v>0</v>
      </c>
      <c r="L12" s="13">
        <f>SUM(VENTES[[#This Row],[HT]:[TVA_2,1%]])</f>
        <v>157</v>
      </c>
      <c r="M12" s="13"/>
      <c r="N12" s="14">
        <f>IFERROR(ROUND((VENTES[[#This Row],[HT_8,5%]]+VENTES[[#This Row],[TVA_8,5%]])/VENTES[[#This Row],[TTC]],4),0)</f>
        <v>0</v>
      </c>
      <c r="O12" s="14">
        <f>IFERROR(ROUND((VENTES[[#This Row],[HT_2,1%]]+VENTES[[#This Row],[TVA_2,1%]])/VENTES[[#This Row],[TTC]],4),0)</f>
        <v>0</v>
      </c>
      <c r="P12" s="14">
        <f>IFERROR(ROUND(VENTES[[#This Row],[HT_0%]]/VENTES[[#This Row],[TTC]],4),0)</f>
        <v>1</v>
      </c>
    </row>
    <row r="13" spans="1:16" ht="14">
      <c r="A13" s="15">
        <v>22001012</v>
      </c>
      <c r="B13" s="10">
        <v>43847</v>
      </c>
      <c r="C13" s="12" t="s">
        <v>25</v>
      </c>
      <c r="D13" s="12"/>
      <c r="E13" s="12"/>
      <c r="F13" s="13"/>
      <c r="G13" s="13"/>
      <c r="H13" s="13">
        <v>1640</v>
      </c>
      <c r="I13" s="13">
        <f>SUM(VENTES[[#This Row],[HT_8,5%]:[HT_0%]])</f>
        <v>1640</v>
      </c>
      <c r="J13" s="13">
        <f>ROUND(VENTES[[#This Row],[HT_8,5%]]*8.5%,2)</f>
        <v>0</v>
      </c>
      <c r="K13" s="13">
        <f>ROUND(VENTES[[#This Row],[HT_2,1%]]*2.1%,2)</f>
        <v>0</v>
      </c>
      <c r="L13" s="13">
        <f>SUM(VENTES[[#This Row],[HT]:[TVA_2,1%]])</f>
        <v>1640</v>
      </c>
      <c r="M13" s="13"/>
      <c r="N13" s="14">
        <f>IFERROR(ROUND((VENTES[[#This Row],[HT_8,5%]]+VENTES[[#This Row],[TVA_8,5%]])/VENTES[[#This Row],[TTC]],4),0)</f>
        <v>0</v>
      </c>
      <c r="O13" s="14">
        <f>IFERROR(ROUND((VENTES[[#This Row],[HT_2,1%]]+VENTES[[#This Row],[TVA_2,1%]])/VENTES[[#This Row],[TTC]],4),0)</f>
        <v>0</v>
      </c>
      <c r="P13" s="14">
        <f>IFERROR(ROUND(VENTES[[#This Row],[HT_0%]]/VENTES[[#This Row],[TTC]],4),0)</f>
        <v>1</v>
      </c>
    </row>
    <row r="14" spans="1:16" ht="14">
      <c r="A14" s="15">
        <v>22001013</v>
      </c>
      <c r="B14" s="10">
        <v>43847</v>
      </c>
      <c r="C14" s="12" t="s">
        <v>26</v>
      </c>
      <c r="D14" s="12"/>
      <c r="E14" s="12"/>
      <c r="F14" s="13"/>
      <c r="G14" s="13"/>
      <c r="H14" s="13">
        <v>100</v>
      </c>
      <c r="I14" s="13">
        <f>SUM(VENTES[[#This Row],[HT_8,5%]:[HT_0%]])</f>
        <v>100</v>
      </c>
      <c r="J14" s="13">
        <f>ROUND(VENTES[[#This Row],[HT_8,5%]]*8.5%,2)</f>
        <v>0</v>
      </c>
      <c r="K14" s="13">
        <f>ROUND(VENTES[[#This Row],[HT_2,1%]]*2.1%,2)</f>
        <v>0</v>
      </c>
      <c r="L14" s="13">
        <f>SUM(VENTES[[#This Row],[HT]:[TVA_2,1%]])</f>
        <v>100</v>
      </c>
      <c r="M14" s="13"/>
      <c r="N14" s="14">
        <f>IFERROR(ROUND((VENTES[[#This Row],[HT_8,5%]]+VENTES[[#This Row],[TVA_8,5%]])/VENTES[[#This Row],[TTC]],4),0)</f>
        <v>0</v>
      </c>
      <c r="O14" s="14">
        <f>IFERROR(ROUND((VENTES[[#This Row],[HT_2,1%]]+VENTES[[#This Row],[TVA_2,1%]])/VENTES[[#This Row],[TTC]],4),0)</f>
        <v>0</v>
      </c>
      <c r="P14" s="14">
        <f>IFERROR(ROUND(VENTES[[#This Row],[HT_0%]]/VENTES[[#This Row],[TTC]],4),0)</f>
        <v>1</v>
      </c>
    </row>
    <row r="15" spans="1:16" ht="14">
      <c r="A15" s="15">
        <v>22001014</v>
      </c>
      <c r="B15" s="10">
        <v>43847</v>
      </c>
      <c r="C15" s="12" t="s">
        <v>27</v>
      </c>
      <c r="D15" s="12"/>
      <c r="E15" s="12"/>
      <c r="F15" s="13"/>
      <c r="G15" s="13"/>
      <c r="H15" s="13">
        <v>6080</v>
      </c>
      <c r="I15" s="13">
        <f>SUM(VENTES[[#This Row],[HT_8,5%]:[HT_0%]])</f>
        <v>6080</v>
      </c>
      <c r="J15" s="13">
        <f>ROUND(VENTES[[#This Row],[HT_8,5%]]*8.5%,2)</f>
        <v>0</v>
      </c>
      <c r="K15" s="13">
        <f>ROUND(VENTES[[#This Row],[HT_2,1%]]*2.1%,2)</f>
        <v>0</v>
      </c>
      <c r="L15" s="13">
        <f>SUM(VENTES[[#This Row],[HT]:[TVA_2,1%]])</f>
        <v>6080</v>
      </c>
      <c r="M15" s="13"/>
      <c r="N15" s="14">
        <f>IFERROR(ROUND((VENTES[[#This Row],[HT_8,5%]]+VENTES[[#This Row],[TVA_8,5%]])/VENTES[[#This Row],[TTC]],4),0)</f>
        <v>0</v>
      </c>
      <c r="O15" s="14">
        <f>IFERROR(ROUND((VENTES[[#This Row],[HT_2,1%]]+VENTES[[#This Row],[TVA_2,1%]])/VENTES[[#This Row],[TTC]],4),0)</f>
        <v>0</v>
      </c>
      <c r="P15" s="14">
        <f>IFERROR(ROUND(VENTES[[#This Row],[HT_0%]]/VENTES[[#This Row],[TTC]],4),0)</f>
        <v>1</v>
      </c>
    </row>
    <row r="16" spans="1:16" ht="14">
      <c r="A16" s="19">
        <v>22001015</v>
      </c>
      <c r="B16" s="17">
        <v>43850</v>
      </c>
      <c r="C16" s="12" t="s">
        <v>28</v>
      </c>
      <c r="D16" s="18"/>
      <c r="E16" s="18"/>
      <c r="F16" s="13"/>
      <c r="G16" s="13"/>
      <c r="H16" s="13">
        <v>3390</v>
      </c>
      <c r="I16" s="13">
        <f>SUM(VENTES[[#This Row],[HT_8,5%]:[HT_0%]])</f>
        <v>3390</v>
      </c>
      <c r="J16" s="13">
        <f>ROUND(VENTES[[#This Row],[HT_8,5%]]*8.5%,2)</f>
        <v>0</v>
      </c>
      <c r="K16" s="13">
        <f>ROUND(VENTES[[#This Row],[HT_2,1%]]*2.1%,2)</f>
        <v>0</v>
      </c>
      <c r="L16" s="13">
        <f>SUM(VENTES[[#This Row],[HT]:[TVA_2,1%]])</f>
        <v>3390</v>
      </c>
      <c r="M16" s="13"/>
      <c r="N16" s="14">
        <f>IFERROR(ROUND((VENTES[[#This Row],[HT_8,5%]]+VENTES[[#This Row],[TVA_8,5%]])/VENTES[[#This Row],[TTC]],4),0)</f>
        <v>0</v>
      </c>
      <c r="O16" s="14">
        <f>IFERROR(ROUND((VENTES[[#This Row],[HT_2,1%]]+VENTES[[#This Row],[TVA_2,1%]])/VENTES[[#This Row],[TTC]],4),0)</f>
        <v>0</v>
      </c>
      <c r="P16" s="14">
        <f>IFERROR(ROUND(VENTES[[#This Row],[HT_0%]]/VENTES[[#This Row],[TTC]],4),0)</f>
        <v>1</v>
      </c>
    </row>
    <row r="17" spans="1:16" ht="14">
      <c r="A17" s="15">
        <v>22001016</v>
      </c>
      <c r="B17" s="10">
        <v>43854</v>
      </c>
      <c r="C17" s="12" t="s">
        <v>29</v>
      </c>
      <c r="D17" s="12"/>
      <c r="E17" s="12"/>
      <c r="F17" s="13"/>
      <c r="G17" s="13"/>
      <c r="H17" s="13">
        <v>6895</v>
      </c>
      <c r="I17" s="13">
        <f>SUM(VENTES[[#This Row],[HT_8,5%]:[HT_0%]])</f>
        <v>6895</v>
      </c>
      <c r="J17" s="13">
        <f>ROUND(VENTES[[#This Row],[HT_8,5%]]*8.5%,2)</f>
        <v>0</v>
      </c>
      <c r="K17" s="13">
        <f>ROUND(VENTES[[#This Row],[HT_2,1%]]*2.1%,2)</f>
        <v>0</v>
      </c>
      <c r="L17" s="13">
        <f>SUM(VENTES[[#This Row],[HT]:[TVA_2,1%]])</f>
        <v>6895</v>
      </c>
      <c r="M17" s="13"/>
      <c r="N17" s="14">
        <f>IFERROR(ROUND((VENTES[[#This Row],[HT_8,5%]]+VENTES[[#This Row],[TVA_8,5%]])/VENTES[[#This Row],[TTC]],4),0)</f>
        <v>0</v>
      </c>
      <c r="O17" s="14">
        <f>IFERROR(ROUND((VENTES[[#This Row],[HT_2,1%]]+VENTES[[#This Row],[TVA_2,1%]])/VENTES[[#This Row],[TTC]],4),0)</f>
        <v>0</v>
      </c>
      <c r="P17" s="14">
        <f>IFERROR(ROUND(VENTES[[#This Row],[HT_0%]]/VENTES[[#This Row],[TTC]],4),0)</f>
        <v>1</v>
      </c>
    </row>
    <row r="18" spans="1:16" ht="14">
      <c r="A18" s="15">
        <v>22001017</v>
      </c>
      <c r="B18" s="10">
        <v>43857</v>
      </c>
      <c r="C18" s="12" t="s">
        <v>30</v>
      </c>
      <c r="D18" s="12"/>
      <c r="E18" s="12"/>
      <c r="F18" s="13"/>
      <c r="G18" s="13"/>
      <c r="H18" s="13">
        <v>350</v>
      </c>
      <c r="I18" s="13">
        <f>SUM(VENTES[[#This Row],[HT_8,5%]:[HT_0%]])</f>
        <v>350</v>
      </c>
      <c r="J18" s="13">
        <f>ROUND(VENTES[[#This Row],[HT_8,5%]]*8.5%,2)</f>
        <v>0</v>
      </c>
      <c r="K18" s="13">
        <f>ROUND(VENTES[[#This Row],[HT_2,1%]]*2.1%,2)</f>
        <v>0</v>
      </c>
      <c r="L18" s="13">
        <f>SUM(VENTES[[#This Row],[HT]:[TVA_2,1%]])</f>
        <v>350</v>
      </c>
      <c r="M18" s="13"/>
      <c r="N18" s="14">
        <f>IFERROR(ROUND((VENTES[[#This Row],[HT_8,5%]]+VENTES[[#This Row],[TVA_8,5%]])/VENTES[[#This Row],[TTC]],4),0)</f>
        <v>0</v>
      </c>
      <c r="O18" s="14">
        <f>IFERROR(ROUND((VENTES[[#This Row],[HT_2,1%]]+VENTES[[#This Row],[TVA_2,1%]])/VENTES[[#This Row],[TTC]],4),0)</f>
        <v>0</v>
      </c>
      <c r="P18" s="14">
        <f>IFERROR(ROUND(VENTES[[#This Row],[HT_0%]]/VENTES[[#This Row],[TTC]],4),0)</f>
        <v>1</v>
      </c>
    </row>
    <row r="19" spans="1:16" ht="14">
      <c r="A19" s="15">
        <v>22001018</v>
      </c>
      <c r="B19" s="10">
        <v>43857</v>
      </c>
      <c r="C19" s="12" t="s">
        <v>31</v>
      </c>
      <c r="D19" s="12"/>
      <c r="E19" s="12"/>
      <c r="F19" s="13"/>
      <c r="G19" s="13"/>
      <c r="H19" s="13">
        <v>793</v>
      </c>
      <c r="I19" s="13">
        <f>SUM(VENTES[[#This Row],[HT_8,5%]:[HT_0%]])</f>
        <v>793</v>
      </c>
      <c r="J19" s="13">
        <f>ROUND(VENTES[[#This Row],[HT_8,5%]]*8.5%,2)</f>
        <v>0</v>
      </c>
      <c r="K19" s="13">
        <f>ROUND(VENTES[[#This Row],[HT_2,1%]]*2.1%,2)</f>
        <v>0</v>
      </c>
      <c r="L19" s="13">
        <f>SUM(VENTES[[#This Row],[HT]:[TVA_2,1%]])</f>
        <v>793</v>
      </c>
      <c r="M19" s="13"/>
      <c r="N19" s="14">
        <f>IFERROR(ROUND((VENTES[[#This Row],[HT_8,5%]]+VENTES[[#This Row],[TVA_8,5%]])/VENTES[[#This Row],[TTC]],4),0)</f>
        <v>0</v>
      </c>
      <c r="O19" s="14">
        <f>IFERROR(ROUND((VENTES[[#This Row],[HT_2,1%]]+VENTES[[#This Row],[TVA_2,1%]])/VENTES[[#This Row],[TTC]],4),0)</f>
        <v>0</v>
      </c>
      <c r="P19" s="14">
        <f>IFERROR(ROUND(VENTES[[#This Row],[HT_0%]]/VENTES[[#This Row],[TTC]],4),0)</f>
        <v>1</v>
      </c>
    </row>
    <row r="20" spans="1:16" ht="14">
      <c r="A20" s="15">
        <v>22001019</v>
      </c>
      <c r="B20" s="10">
        <v>43857</v>
      </c>
      <c r="C20" s="12" t="s">
        <v>32</v>
      </c>
      <c r="D20" s="12"/>
      <c r="E20" s="12"/>
      <c r="F20" s="13"/>
      <c r="G20" s="13"/>
      <c r="H20" s="13">
        <v>936</v>
      </c>
      <c r="I20" s="13">
        <f>SUM(VENTES[[#This Row],[HT_8,5%]:[HT_0%]])</f>
        <v>936</v>
      </c>
      <c r="J20" s="13">
        <f>ROUND(VENTES[[#This Row],[HT_8,5%]]*8.5%,2)</f>
        <v>0</v>
      </c>
      <c r="K20" s="13">
        <f>ROUND(VENTES[[#This Row],[HT_2,1%]]*2.1%,2)</f>
        <v>0</v>
      </c>
      <c r="L20" s="13">
        <f>SUM(VENTES[[#This Row],[HT]:[TVA_2,1%]])</f>
        <v>936</v>
      </c>
      <c r="M20" s="13"/>
      <c r="N20" s="14">
        <f>IFERROR(ROUND((VENTES[[#This Row],[HT_8,5%]]+VENTES[[#This Row],[TVA_8,5%]])/VENTES[[#This Row],[TTC]],4),0)</f>
        <v>0</v>
      </c>
      <c r="O20" s="14">
        <f>IFERROR(ROUND((VENTES[[#This Row],[HT_2,1%]]+VENTES[[#This Row],[TVA_2,1%]])/VENTES[[#This Row],[TTC]],4),0)</f>
        <v>0</v>
      </c>
      <c r="P20" s="14">
        <f>IFERROR(ROUND(VENTES[[#This Row],[HT_0%]]/VENTES[[#This Row],[TTC]],4),0)</f>
        <v>1</v>
      </c>
    </row>
    <row r="21" spans="1:16" ht="14">
      <c r="A21" s="9">
        <v>22001020</v>
      </c>
      <c r="B21" s="10">
        <v>43857</v>
      </c>
      <c r="C21" s="12" t="s">
        <v>33</v>
      </c>
      <c r="D21" s="12"/>
      <c r="E21" s="12"/>
      <c r="F21" s="13"/>
      <c r="G21" s="13"/>
      <c r="H21" s="13">
        <v>90</v>
      </c>
      <c r="I21" s="13">
        <f>SUM(VENTES[[#This Row],[HT_8,5%]:[HT_0%]])</f>
        <v>90</v>
      </c>
      <c r="J21" s="13">
        <f>ROUND(VENTES[[#This Row],[HT_8,5%]]*8.5%,2)</f>
        <v>0</v>
      </c>
      <c r="K21" s="13">
        <f>ROUND(VENTES[[#This Row],[HT_2,1%]]*2.1%,2)</f>
        <v>0</v>
      </c>
      <c r="L21" s="13">
        <f>SUM(VENTES[[#This Row],[HT]:[TVA_2,1%]])</f>
        <v>90</v>
      </c>
      <c r="M21" s="13"/>
      <c r="N21" s="14">
        <f>IFERROR(ROUND((VENTES[[#This Row],[HT_8,5%]]+VENTES[[#This Row],[TVA_8,5%]])/VENTES[[#This Row],[TTC]],4),0)</f>
        <v>0</v>
      </c>
      <c r="O21" s="14">
        <f>IFERROR(ROUND((VENTES[[#This Row],[HT_2,1%]]+VENTES[[#This Row],[TVA_2,1%]])/VENTES[[#This Row],[TTC]],4),0)</f>
        <v>0</v>
      </c>
      <c r="P21" s="14">
        <f>IFERROR(ROUND(VENTES[[#This Row],[HT_0%]]/VENTES[[#This Row],[TTC]],4),0)</f>
        <v>1</v>
      </c>
    </row>
    <row r="22" spans="1:16" ht="14">
      <c r="A22" s="15">
        <v>22001021</v>
      </c>
      <c r="B22" s="10">
        <v>43857</v>
      </c>
      <c r="C22" s="12" t="s">
        <v>34</v>
      </c>
      <c r="D22" s="12"/>
      <c r="E22" s="12"/>
      <c r="F22" s="13"/>
      <c r="G22" s="13"/>
      <c r="H22" s="13">
        <v>140</v>
      </c>
      <c r="I22" s="13">
        <f>SUM(VENTES[[#This Row],[HT_8,5%]:[HT_0%]])</f>
        <v>140</v>
      </c>
      <c r="J22" s="13">
        <f>ROUND(VENTES[[#This Row],[HT_8,5%]]*8.5%,2)</f>
        <v>0</v>
      </c>
      <c r="K22" s="13">
        <f>ROUND(VENTES[[#This Row],[HT_2,1%]]*2.1%,2)</f>
        <v>0</v>
      </c>
      <c r="L22" s="13">
        <f>SUM(VENTES[[#This Row],[HT]:[TVA_2,1%]])</f>
        <v>140</v>
      </c>
      <c r="M22" s="13"/>
      <c r="N22" s="14">
        <f>IFERROR(ROUND((VENTES[[#This Row],[HT_8,5%]]+VENTES[[#This Row],[TVA_8,5%]])/VENTES[[#This Row],[TTC]],4),0)</f>
        <v>0</v>
      </c>
      <c r="O22" s="14">
        <f>IFERROR(ROUND((VENTES[[#This Row],[HT_2,1%]]+VENTES[[#This Row],[TVA_2,1%]])/VENTES[[#This Row],[TTC]],4),0)</f>
        <v>0</v>
      </c>
      <c r="P22" s="14">
        <f>IFERROR(ROUND(VENTES[[#This Row],[HT_0%]]/VENTES[[#This Row],[TTC]],4),0)</f>
        <v>1</v>
      </c>
    </row>
    <row r="23" spans="1:16" ht="14">
      <c r="A23" s="9">
        <v>22001022</v>
      </c>
      <c r="B23" s="10">
        <v>43859</v>
      </c>
      <c r="C23" s="12" t="s">
        <v>35</v>
      </c>
      <c r="D23" s="12"/>
      <c r="E23" s="12"/>
      <c r="F23" s="13"/>
      <c r="G23" s="13"/>
      <c r="H23" s="13">
        <v>3445</v>
      </c>
      <c r="I23" s="13">
        <f>SUM(VENTES[[#This Row],[HT_8,5%]:[HT_0%]])</f>
        <v>3445</v>
      </c>
      <c r="J23" s="13">
        <f>ROUND(VENTES[[#This Row],[HT_8,5%]]*8.5%,2)</f>
        <v>0</v>
      </c>
      <c r="K23" s="13">
        <f>ROUND(VENTES[[#This Row],[HT_2,1%]]*2.1%,2)</f>
        <v>0</v>
      </c>
      <c r="L23" s="13">
        <f>SUM(VENTES[[#This Row],[HT]:[TVA_2,1%]])</f>
        <v>3445</v>
      </c>
      <c r="M23" s="13"/>
      <c r="N23" s="14">
        <f>IFERROR(ROUND((VENTES[[#This Row],[HT_8,5%]]+VENTES[[#This Row],[TVA_8,5%]])/VENTES[[#This Row],[TTC]],4),0)</f>
        <v>0</v>
      </c>
      <c r="O23" s="14">
        <f>IFERROR(ROUND((VENTES[[#This Row],[HT_2,1%]]+VENTES[[#This Row],[TVA_2,1%]])/VENTES[[#This Row],[TTC]],4),0)</f>
        <v>0</v>
      </c>
      <c r="P23" s="14">
        <f>IFERROR(ROUND(VENTES[[#This Row],[HT_0%]]/VENTES[[#This Row],[TTC]],4),0)</f>
        <v>1</v>
      </c>
    </row>
    <row r="24" spans="1:16" ht="14">
      <c r="A24" s="9">
        <v>22001023</v>
      </c>
      <c r="B24" s="10">
        <v>43860</v>
      </c>
      <c r="C24" s="12" t="s">
        <v>36</v>
      </c>
      <c r="D24" s="12"/>
      <c r="E24" s="12" t="s">
        <v>5</v>
      </c>
      <c r="F24" s="13"/>
      <c r="G24" s="13">
        <v>2655</v>
      </c>
      <c r="H24" s="13">
        <v>3445</v>
      </c>
      <c r="I24" s="13">
        <f>SUM(VENTES[[#This Row],[HT_8,5%]:[HT_0%]])</f>
        <v>6100</v>
      </c>
      <c r="J24" s="13">
        <f>ROUND(VENTES[[#This Row],[HT_8,5%]]*8.5%,2)</f>
        <v>0</v>
      </c>
      <c r="K24" s="13">
        <f>ROUND(VENTES[[#This Row],[HT_2,1%]]*2.1%,2)</f>
        <v>55.76</v>
      </c>
      <c r="L24" s="13">
        <f>SUM(VENTES[[#This Row],[HT]:[TVA_2,1%]])</f>
        <v>6155.76</v>
      </c>
      <c r="M24" s="13"/>
      <c r="N24" s="14">
        <f>IFERROR(ROUND((VENTES[[#This Row],[HT_8,5%]]+VENTES[[#This Row],[TVA_8,5%]])/VENTES[[#This Row],[TTC]],4),0)</f>
        <v>0</v>
      </c>
      <c r="O24" s="14">
        <f>IFERROR(ROUND((VENTES[[#This Row],[HT_2,1%]]+VENTES[[#This Row],[TVA_2,1%]])/VENTES[[#This Row],[TTC]],4),0)</f>
        <v>0.44040000000000001</v>
      </c>
      <c r="P24" s="14">
        <f>IFERROR(ROUND(VENTES[[#This Row],[HT_0%]]/VENTES[[#This Row],[TTC]],4),0)</f>
        <v>0.55959999999999999</v>
      </c>
    </row>
    <row r="25" spans="1:16" ht="14">
      <c r="A25" s="15">
        <v>22001024</v>
      </c>
      <c r="B25" s="10">
        <v>43860</v>
      </c>
      <c r="C25" s="12" t="s">
        <v>37</v>
      </c>
      <c r="D25" s="12"/>
      <c r="E25" s="12" t="s">
        <v>12</v>
      </c>
      <c r="F25" s="13"/>
      <c r="G25" s="13">
        <v>87</v>
      </c>
      <c r="H25" s="13">
        <v>186.5</v>
      </c>
      <c r="I25" s="13">
        <f>SUM(VENTES[[#This Row],[HT_8,5%]:[HT_0%]])</f>
        <v>273.5</v>
      </c>
      <c r="J25" s="13">
        <f>ROUND(VENTES[[#This Row],[HT_8,5%]]*8.5%,2)</f>
        <v>0</v>
      </c>
      <c r="K25" s="13">
        <f>ROUND(VENTES[[#This Row],[HT_2,1%]]*2.1%,2)</f>
        <v>1.83</v>
      </c>
      <c r="L25" s="13">
        <f>SUM(VENTES[[#This Row],[HT]:[TVA_2,1%]])</f>
        <v>275.33</v>
      </c>
      <c r="M25" s="13"/>
      <c r="N25" s="14">
        <f>IFERROR(ROUND((VENTES[[#This Row],[HT_8,5%]]+VENTES[[#This Row],[TVA_8,5%]])/VENTES[[#This Row],[TTC]],4),0)</f>
        <v>0</v>
      </c>
      <c r="O25" s="14">
        <f>IFERROR(ROUND((VENTES[[#This Row],[HT_2,1%]]+VENTES[[#This Row],[TVA_2,1%]])/VENTES[[#This Row],[TTC]],4),0)</f>
        <v>0.3226</v>
      </c>
      <c r="P25" s="14">
        <f>IFERROR(ROUND(VENTES[[#This Row],[HT_0%]]/VENTES[[#This Row],[TTC]],4),0)</f>
        <v>0.6774</v>
      </c>
    </row>
    <row r="26" spans="1:16" ht="14">
      <c r="A26" s="15">
        <v>22001025</v>
      </c>
      <c r="B26" s="10">
        <v>43860</v>
      </c>
      <c r="C26" s="12" t="s">
        <v>38</v>
      </c>
      <c r="D26" s="12" t="s">
        <v>10</v>
      </c>
      <c r="E26" s="12" t="s">
        <v>13</v>
      </c>
      <c r="F26" s="13"/>
      <c r="G26" s="13"/>
      <c r="H26" s="13">
        <v>10838</v>
      </c>
      <c r="I26" s="13">
        <f>SUM(VENTES[[#This Row],[HT_8,5%]:[HT_0%]])</f>
        <v>10838</v>
      </c>
      <c r="J26" s="13">
        <f>ROUND(VENTES[[#This Row],[HT_8,5%]]*8.5%,2)</f>
        <v>0</v>
      </c>
      <c r="K26" s="13">
        <f>ROUND(VENTES[[#This Row],[HT_2,1%]]*2.1%,2)</f>
        <v>0</v>
      </c>
      <c r="L26" s="13">
        <f>SUM(VENTES[[#This Row],[HT]:[TVA_2,1%]])</f>
        <v>10838</v>
      </c>
      <c r="M26" s="13"/>
      <c r="N26" s="14">
        <f>IFERROR(ROUND((VENTES[[#This Row],[HT_8,5%]]+VENTES[[#This Row],[TVA_8,5%]])/VENTES[[#This Row],[TTC]],4),0)</f>
        <v>0</v>
      </c>
      <c r="O26" s="14">
        <f>IFERROR(ROUND((VENTES[[#This Row],[HT_2,1%]]+VENTES[[#This Row],[TVA_2,1%]])/VENTES[[#This Row],[TTC]],4),0)</f>
        <v>0</v>
      </c>
      <c r="P26" s="14">
        <f>IFERROR(ROUND(VENTES[[#This Row],[HT_0%]]/VENTES[[#This Row],[TTC]],4),0)</f>
        <v>1</v>
      </c>
    </row>
    <row r="27" spans="1:16" ht="14">
      <c r="A27" s="15">
        <v>22001026</v>
      </c>
      <c r="B27" s="10">
        <v>43860</v>
      </c>
      <c r="C27" s="12" t="s">
        <v>39</v>
      </c>
      <c r="D27" s="12" t="s">
        <v>9</v>
      </c>
      <c r="E27" s="12" t="s">
        <v>14</v>
      </c>
      <c r="F27" s="13"/>
      <c r="G27" s="13">
        <v>1587</v>
      </c>
      <c r="H27" s="13">
        <v>1587</v>
      </c>
      <c r="I27" s="13">
        <f>SUM(VENTES[[#This Row],[HT_8,5%]:[HT_0%]])</f>
        <v>3174</v>
      </c>
      <c r="J27" s="13">
        <f>ROUND(VENTES[[#This Row],[HT_8,5%]]*8.5%,2)</f>
        <v>0</v>
      </c>
      <c r="K27" s="13">
        <f>ROUND(VENTES[[#This Row],[HT_2,1%]]*2.1%,2)</f>
        <v>33.33</v>
      </c>
      <c r="L27" s="13">
        <f>SUM(VENTES[[#This Row],[HT]:[TVA_2,1%]])</f>
        <v>3207.33</v>
      </c>
      <c r="M27" s="13"/>
      <c r="N27" s="14">
        <f>IFERROR(ROUND((VENTES[[#This Row],[HT_8,5%]]+VENTES[[#This Row],[TVA_8,5%]])/VENTES[[#This Row],[TTC]],4),0)</f>
        <v>0</v>
      </c>
      <c r="O27" s="14">
        <f>IFERROR(ROUND((VENTES[[#This Row],[HT_2,1%]]+VENTES[[#This Row],[TVA_2,1%]])/VENTES[[#This Row],[TTC]],4),0)</f>
        <v>0.50519999999999998</v>
      </c>
      <c r="P27" s="14">
        <f>IFERROR(ROUND(VENTES[[#This Row],[HT_0%]]/VENTES[[#This Row],[TTC]],4),0)</f>
        <v>0.49480000000000002</v>
      </c>
    </row>
    <row r="28" spans="1:16" ht="14">
      <c r="A28" s="15">
        <v>22001026</v>
      </c>
      <c r="B28" s="10">
        <v>43862</v>
      </c>
      <c r="C28" s="20" t="s">
        <v>59</v>
      </c>
      <c r="D28" s="20"/>
      <c r="E28" s="20"/>
      <c r="F28" s="21"/>
      <c r="G28" s="22"/>
      <c r="H28" s="21"/>
      <c r="I28" s="21">
        <f>SUM(VENTES[[#This Row],[HT_8,5%]:[HT_0%]])</f>
        <v>0</v>
      </c>
      <c r="J28" s="22">
        <f>ROUND(VENTES[[#This Row],[HT_8,5%]]*8.5%,2)</f>
        <v>0</v>
      </c>
      <c r="K28" s="22">
        <f>ROUND(VENTES[[#This Row],[HT_2,1%]]*2.1%,2)</f>
        <v>0</v>
      </c>
      <c r="L28" s="21">
        <f>SUM(VENTES[[#This Row],[HT]:[TVA_2,1%]])</f>
        <v>0</v>
      </c>
      <c r="M28" s="21"/>
      <c r="N28" s="23">
        <f>IFERROR(ROUND((VENTES[[#This Row],[HT_8,5%]]+VENTES[[#This Row],[TVA_8,5%]])/VENTES[[#This Row],[TTC]],4),0)</f>
        <v>0</v>
      </c>
      <c r="O28" s="24">
        <f>IFERROR(ROUND((VENTES[[#This Row],[HT_2,1%]]+VENTES[[#This Row],[TVA_2,1%]])/VENTES[[#This Row],[TTC]],4),0)</f>
        <v>0</v>
      </c>
      <c r="P28" s="24">
        <f>IFERROR(ROUND(VENTES[[#This Row],[HT_0%]]/VENTES[[#This Row],[TTC]],4),0)</f>
        <v>0</v>
      </c>
    </row>
    <row r="31" spans="1:16" ht="19.5" customHeight="1"/>
  </sheetData>
  <phoneticPr fontId="5" type="noConversion"/>
  <pageMargins left="0.7" right="0.7" top="0.75" bottom="0.75" header="0.3" footer="0.3"/>
  <pageSetup paperSize="9" orientation="landscape"/>
  <ignoredErrors>
    <ignoredError sqref="I2:L27" emptyCellReference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6" tint="0.39997558519241921"/>
  </sheetPr>
  <dimension ref="A1:I31"/>
  <sheetViews>
    <sheetView showGridLines="0" workbookViewId="0">
      <selection activeCell="E32" sqref="E32"/>
    </sheetView>
  </sheetViews>
  <sheetFormatPr baseColWidth="10" defaultRowHeight="12" x14ac:dyDescent="0"/>
  <cols>
    <col min="1" max="1" width="13" bestFit="1" customWidth="1"/>
    <col min="2" max="2" width="14.83203125" bestFit="1" customWidth="1"/>
    <col min="3" max="3" width="13" bestFit="1" customWidth="1"/>
    <col min="4" max="6" width="14.33203125" customWidth="1"/>
    <col min="7" max="7" width="14.33203125" bestFit="1" customWidth="1"/>
    <col min="8" max="8" width="12.33203125" bestFit="1" customWidth="1"/>
    <col min="9" max="9" width="13.5" customWidth="1"/>
  </cols>
  <sheetData>
    <row r="1" spans="1:9" s="1" customFormat="1" ht="37.5" customHeight="1">
      <c r="A1" s="5" t="s">
        <v>6</v>
      </c>
      <c r="B1" s="5" t="s">
        <v>0</v>
      </c>
      <c r="C1" s="5" t="s">
        <v>41</v>
      </c>
      <c r="D1" s="7" t="s">
        <v>8</v>
      </c>
      <c r="E1" s="8" t="s">
        <v>122</v>
      </c>
      <c r="F1" s="8" t="s">
        <v>123</v>
      </c>
      <c r="G1" s="8" t="s">
        <v>124</v>
      </c>
      <c r="H1" s="8" t="s">
        <v>3</v>
      </c>
      <c r="I1" s="8" t="s">
        <v>60</v>
      </c>
    </row>
    <row r="2" spans="1:9" ht="14">
      <c r="A2" s="10">
        <v>43836</v>
      </c>
      <c r="B2" s="11" t="s">
        <v>40</v>
      </c>
      <c r="C2" s="9">
        <v>22001001</v>
      </c>
      <c r="D2" s="25">
        <v>25</v>
      </c>
      <c r="E2" s="25">
        <f>IFERROR(ROUND(INDEX(VENTES[QP_8,5%],MATCH(RGLTS[[#This Row],[Numero]],VENTES[Numero],0))*RGLTS[[#This Row],[TTC]],2),0)</f>
        <v>0</v>
      </c>
      <c r="F2" s="25">
        <f>IFERROR(ROUND(INDEX(VENTES[QP_2,1%],MATCH(RGLTS[[#This Row],[Numero]],VENTES[Numero],0))*RGLTS[[#This Row],[TTC]],2),0)</f>
        <v>0</v>
      </c>
      <c r="G2" s="25">
        <f>IFERROR(ROUND(INDEX(VENTES[QP_0%],MATCH(RGLTS[[#This Row],[Numero]],VENTES[Numero],0))*RGLTS[[#This Row],[TTC]],2),0)</f>
        <v>25</v>
      </c>
      <c r="H2" s="26">
        <f>SUMIF(VENTES[Numero],RGLTS[[#This Row],[Numero]],VENTES[TTC])-SUMIF(RGLTS[Numero],RGLTS[[#This Row],[Numero]],RGLTS[TTC])</f>
        <v>0</v>
      </c>
      <c r="I2" s="30">
        <f ca="1">IF(RGLTS[[#This Row],[SOLDE]]=0,0,IF(INDEX(VENTES[DATE],MATCH(RGLTS[[#This Row],[Numero]],VENTES[Numero],0))+30&lt;TODAY(),INDEX(VENTES[DATE],MATCH(RGLTS[[#This Row],[Numero]],VENTES[Numero],0))+30,0))</f>
        <v>0</v>
      </c>
    </row>
    <row r="3" spans="1:9" ht="14">
      <c r="A3" s="10">
        <v>43837</v>
      </c>
      <c r="B3" s="12" t="s">
        <v>15</v>
      </c>
      <c r="C3" s="15">
        <v>22001002</v>
      </c>
      <c r="D3" s="25">
        <v>102</v>
      </c>
      <c r="E3" s="25">
        <f>IFERROR(ROUND(INDEX(VENTES[QP_8,5%],MATCH(RGLTS[[#This Row],[Numero]],VENTES[Numero],0))*RGLTS[[#This Row],[TTC]],2),0)</f>
        <v>0</v>
      </c>
      <c r="F3" s="25">
        <f>IFERROR(ROUND(INDEX(VENTES[QP_2,1%],MATCH(RGLTS[[#This Row],[Numero]],VENTES[Numero],0))*RGLTS[[#This Row],[TTC]],2),0)</f>
        <v>0</v>
      </c>
      <c r="G3" s="25">
        <f>IFERROR(ROUND(INDEX(VENTES[QP_0%],MATCH(RGLTS[[#This Row],[Numero]],VENTES[Numero],0))*RGLTS[[#This Row],[TTC]],2),0)</f>
        <v>102</v>
      </c>
      <c r="H3" s="26">
        <f>SUMIF(VENTES[Numero],RGLTS[[#This Row],[Numero]],VENTES[TTC])-SUMIF(RGLTS[Numero],RGLTS[[#This Row],[Numero]],RGLTS[TTC])</f>
        <v>0</v>
      </c>
      <c r="I3" s="30">
        <f ca="1">IF(RGLTS[[#This Row],[SOLDE]]=0,0,IF(INDEX(VENTES[DATE],MATCH(RGLTS[[#This Row],[Numero]],VENTES[Numero],0))+30&lt;TODAY(),INDEX(VENTES[DATE],MATCH(RGLTS[[#This Row],[Numero]],VENTES[Numero],0))+30,0))</f>
        <v>0</v>
      </c>
    </row>
    <row r="4" spans="1:9" ht="14">
      <c r="A4" s="10">
        <v>43837</v>
      </c>
      <c r="B4" s="12" t="s">
        <v>16</v>
      </c>
      <c r="C4" s="15">
        <v>22001003</v>
      </c>
      <c r="D4" s="25"/>
      <c r="E4" s="25">
        <f>IFERROR(ROUND(INDEX(VENTES[QP_8,5%],MATCH(RGLTS[[#This Row],[Numero]],VENTES[Numero],0))*RGLTS[[#This Row],[TTC]],2),0)</f>
        <v>0</v>
      </c>
      <c r="F4" s="25">
        <f>IFERROR(ROUND(INDEX(VENTES[QP_2,1%],MATCH(RGLTS[[#This Row],[Numero]],VENTES[Numero],0))*RGLTS[[#This Row],[TTC]],2),0)</f>
        <v>0</v>
      </c>
      <c r="G4" s="25">
        <f>IFERROR(ROUND(INDEX(VENTES[QP_0%],MATCH(RGLTS[[#This Row],[Numero]],VENTES[Numero],0))*RGLTS[[#This Row],[TTC]],2),0)</f>
        <v>0</v>
      </c>
      <c r="H4" s="26">
        <f>SUMIF(VENTES[Numero],RGLTS[[#This Row],[Numero]],VENTES[TTC])-SUMIF(RGLTS[Numero],RGLTS[[#This Row],[Numero]],RGLTS[TTC])</f>
        <v>318</v>
      </c>
      <c r="I4" s="30">
        <f ca="1">IF(RGLTS[[#This Row],[SOLDE]]=0,0,IF(INDEX(VENTES[DATE],MATCH(RGLTS[[#This Row],[Numero]],VENTES[Numero],0))+30&lt;TODAY(),INDEX(VENTES[DATE],MATCH(RGLTS[[#This Row],[Numero]],VENTES[Numero],0))+30,0))</f>
        <v>43867</v>
      </c>
    </row>
    <row r="5" spans="1:9" ht="14">
      <c r="A5" s="10">
        <v>43839</v>
      </c>
      <c r="B5" s="12" t="s">
        <v>17</v>
      </c>
      <c r="C5" s="15">
        <v>22001004</v>
      </c>
      <c r="D5" s="25"/>
      <c r="E5" s="25">
        <f>IFERROR(ROUND(INDEX(VENTES[QP_8,5%],MATCH(RGLTS[[#This Row],[Numero]],VENTES[Numero],0))*RGLTS[[#This Row],[TTC]],2),0)</f>
        <v>0</v>
      </c>
      <c r="F5" s="25">
        <f>IFERROR(ROUND(INDEX(VENTES[QP_2,1%],MATCH(RGLTS[[#This Row],[Numero]],VENTES[Numero],0))*RGLTS[[#This Row],[TTC]],2),0)</f>
        <v>0</v>
      </c>
      <c r="G5" s="25">
        <f>IFERROR(ROUND(INDEX(VENTES[QP_0%],MATCH(RGLTS[[#This Row],[Numero]],VENTES[Numero],0))*RGLTS[[#This Row],[TTC]],2),0)</f>
        <v>0</v>
      </c>
      <c r="H5" s="26">
        <f>SUMIF(VENTES[Numero],RGLTS[[#This Row],[Numero]],VENTES[TTC])-SUMIF(RGLTS[Numero],RGLTS[[#This Row],[Numero]],RGLTS[TTC])</f>
        <v>1188</v>
      </c>
      <c r="I5" s="30">
        <f ca="1">IF(RGLTS[[#This Row],[SOLDE]]=0,0,IF(INDEX(VENTES[DATE],MATCH(RGLTS[[#This Row],[Numero]],VENTES[Numero],0))+30&lt;TODAY(),INDEX(VENTES[DATE],MATCH(RGLTS[[#This Row],[Numero]],VENTES[Numero],0))+30,0))</f>
        <v>43869</v>
      </c>
    </row>
    <row r="6" spans="1:9" ht="14">
      <c r="A6" s="10">
        <v>43840</v>
      </c>
      <c r="B6" s="12" t="s">
        <v>18</v>
      </c>
      <c r="C6" s="15">
        <v>22001005</v>
      </c>
      <c r="D6" s="25"/>
      <c r="E6" s="25">
        <f>IFERROR(ROUND(INDEX(VENTES[QP_8,5%],MATCH(RGLTS[[#This Row],[Numero]],VENTES[Numero],0))*RGLTS[[#This Row],[TTC]],2),0)</f>
        <v>0</v>
      </c>
      <c r="F6" s="25">
        <f>IFERROR(ROUND(INDEX(VENTES[QP_2,1%],MATCH(RGLTS[[#This Row],[Numero]],VENTES[Numero],0))*RGLTS[[#This Row],[TTC]],2),0)</f>
        <v>0</v>
      </c>
      <c r="G6" s="25">
        <f>IFERROR(ROUND(INDEX(VENTES[QP_0%],MATCH(RGLTS[[#This Row],[Numero]],VENTES[Numero],0))*RGLTS[[#This Row],[TTC]],2),0)</f>
        <v>0</v>
      </c>
      <c r="H6" s="26">
        <f>SUMIF(VENTES[Numero],RGLTS[[#This Row],[Numero]],VENTES[TTC])-SUMIF(RGLTS[Numero],RGLTS[[#This Row],[Numero]],RGLTS[TTC])</f>
        <v>9</v>
      </c>
      <c r="I6" s="30">
        <f ca="1">IF(RGLTS[[#This Row],[SOLDE]]=0,0,IF(INDEX(VENTES[DATE],MATCH(RGLTS[[#This Row],[Numero]],VENTES[Numero],0))+30&lt;TODAY(),INDEX(VENTES[DATE],MATCH(RGLTS[[#This Row],[Numero]],VENTES[Numero],0))+30,0))</f>
        <v>43870</v>
      </c>
    </row>
    <row r="7" spans="1:9" ht="14">
      <c r="A7" s="10">
        <v>43840</v>
      </c>
      <c r="B7" s="12" t="s">
        <v>19</v>
      </c>
      <c r="C7" s="15">
        <v>22001006</v>
      </c>
      <c r="D7" s="25"/>
      <c r="E7" s="25">
        <f>IFERROR(ROUND(INDEX(VENTES[QP_8,5%],MATCH(RGLTS[[#This Row],[Numero]],VENTES[Numero],0))*RGLTS[[#This Row],[TTC]],2),0)</f>
        <v>0</v>
      </c>
      <c r="F7" s="25">
        <f>IFERROR(ROUND(INDEX(VENTES[QP_2,1%],MATCH(RGLTS[[#This Row],[Numero]],VENTES[Numero],0))*RGLTS[[#This Row],[TTC]],2),0)</f>
        <v>0</v>
      </c>
      <c r="G7" s="25">
        <f>IFERROR(ROUND(INDEX(VENTES[QP_0%],MATCH(RGLTS[[#This Row],[Numero]],VENTES[Numero],0))*RGLTS[[#This Row],[TTC]],2),0)</f>
        <v>0</v>
      </c>
      <c r="H7" s="26">
        <f>SUMIF(VENTES[Numero],RGLTS[[#This Row],[Numero]],VENTES[TTC])-SUMIF(RGLTS[Numero],RGLTS[[#This Row],[Numero]],RGLTS[TTC])</f>
        <v>445</v>
      </c>
      <c r="I7" s="30">
        <f ca="1">IF(RGLTS[[#This Row],[SOLDE]]=0,0,IF(INDEX(VENTES[DATE],MATCH(RGLTS[[#This Row],[Numero]],VENTES[Numero],0))+30&lt;TODAY(),INDEX(VENTES[DATE],MATCH(RGLTS[[#This Row],[Numero]],VENTES[Numero],0))+30,0))</f>
        <v>43870</v>
      </c>
    </row>
    <row r="8" spans="1:9" ht="14">
      <c r="A8" s="10">
        <v>43844</v>
      </c>
      <c r="B8" s="12" t="s">
        <v>20</v>
      </c>
      <c r="C8" s="15">
        <v>22001007</v>
      </c>
      <c r="D8" s="25"/>
      <c r="E8" s="25">
        <f>IFERROR(ROUND(INDEX(VENTES[QP_8,5%],MATCH(RGLTS[[#This Row],[Numero]],VENTES[Numero],0))*RGLTS[[#This Row],[TTC]],2),0)</f>
        <v>0</v>
      </c>
      <c r="F8" s="25">
        <f>IFERROR(ROUND(INDEX(VENTES[QP_2,1%],MATCH(RGLTS[[#This Row],[Numero]],VENTES[Numero],0))*RGLTS[[#This Row],[TTC]],2),0)</f>
        <v>0</v>
      </c>
      <c r="G8" s="25">
        <f>IFERROR(ROUND(INDEX(VENTES[QP_0%],MATCH(RGLTS[[#This Row],[Numero]],VENTES[Numero],0))*RGLTS[[#This Row],[TTC]],2),0)</f>
        <v>0</v>
      </c>
      <c r="H8" s="26">
        <f>SUMIF(VENTES[Numero],RGLTS[[#This Row],[Numero]],VENTES[TTC])-SUMIF(RGLTS[Numero],RGLTS[[#This Row],[Numero]],RGLTS[TTC])</f>
        <v>433.28</v>
      </c>
      <c r="I8" s="30">
        <f ca="1">IF(RGLTS[[#This Row],[SOLDE]]=0,0,IF(INDEX(VENTES[DATE],MATCH(RGLTS[[#This Row],[Numero]],VENTES[Numero],0))+30&lt;TODAY(),INDEX(VENTES[DATE],MATCH(RGLTS[[#This Row],[Numero]],VENTES[Numero],0))+30,0))</f>
        <v>43874</v>
      </c>
    </row>
    <row r="9" spans="1:9" ht="14">
      <c r="A9" s="10">
        <v>43844</v>
      </c>
      <c r="B9" s="12" t="s">
        <v>21</v>
      </c>
      <c r="C9" s="15">
        <v>22001008</v>
      </c>
      <c r="D9" s="25"/>
      <c r="E9" s="25">
        <f>IFERROR(ROUND(INDEX(VENTES[QP_8,5%],MATCH(RGLTS[[#This Row],[Numero]],VENTES[Numero],0))*RGLTS[[#This Row],[TTC]],2),0)</f>
        <v>0</v>
      </c>
      <c r="F9" s="25">
        <f>IFERROR(ROUND(INDEX(VENTES[QP_2,1%],MATCH(RGLTS[[#This Row],[Numero]],VENTES[Numero],0))*RGLTS[[#This Row],[TTC]],2),0)</f>
        <v>0</v>
      </c>
      <c r="G9" s="25">
        <f>IFERROR(ROUND(INDEX(VENTES[QP_0%],MATCH(RGLTS[[#This Row],[Numero]],VENTES[Numero],0))*RGLTS[[#This Row],[TTC]],2),0)</f>
        <v>0</v>
      </c>
      <c r="H9" s="26">
        <f>SUMIF(VENTES[Numero],RGLTS[[#This Row],[Numero]],VENTES[TTC])-SUMIF(RGLTS[Numero],RGLTS[[#This Row],[Numero]],RGLTS[TTC])</f>
        <v>779</v>
      </c>
      <c r="I9" s="30">
        <f ca="1">IF(RGLTS[[#This Row],[SOLDE]]=0,0,IF(INDEX(VENTES[DATE],MATCH(RGLTS[[#This Row],[Numero]],VENTES[Numero],0))+30&lt;TODAY(),INDEX(VENTES[DATE],MATCH(RGLTS[[#This Row],[Numero]],VENTES[Numero],0))+30,0))</f>
        <v>43874</v>
      </c>
    </row>
    <row r="10" spans="1:9" ht="14">
      <c r="A10" s="10">
        <v>43845</v>
      </c>
      <c r="B10" s="12" t="s">
        <v>22</v>
      </c>
      <c r="C10" s="15">
        <v>22001009</v>
      </c>
      <c r="D10" s="25"/>
      <c r="E10" s="25">
        <f>IFERROR(ROUND(INDEX(VENTES[QP_8,5%],MATCH(RGLTS[[#This Row],[Numero]],VENTES[Numero],0))*RGLTS[[#This Row],[TTC]],2),0)</f>
        <v>0</v>
      </c>
      <c r="F10" s="25">
        <f>IFERROR(ROUND(INDEX(VENTES[QP_2,1%],MATCH(RGLTS[[#This Row],[Numero]],VENTES[Numero],0))*RGLTS[[#This Row],[TTC]],2),0)</f>
        <v>0</v>
      </c>
      <c r="G10" s="25">
        <f>IFERROR(ROUND(INDEX(VENTES[QP_0%],MATCH(RGLTS[[#This Row],[Numero]],VENTES[Numero],0))*RGLTS[[#This Row],[TTC]],2),0)</f>
        <v>0</v>
      </c>
      <c r="H10" s="26">
        <f>SUMIF(VENTES[Numero],RGLTS[[#This Row],[Numero]],VENTES[TTC])-SUMIF(RGLTS[Numero],RGLTS[[#This Row],[Numero]],RGLTS[TTC])</f>
        <v>105</v>
      </c>
      <c r="I10" s="30">
        <f ca="1">IF(RGLTS[[#This Row],[SOLDE]]=0,0,IF(INDEX(VENTES[DATE],MATCH(RGLTS[[#This Row],[Numero]],VENTES[Numero],0))+30&lt;TODAY(),INDEX(VENTES[DATE],MATCH(RGLTS[[#This Row],[Numero]],VENTES[Numero],0))+30,0))</f>
        <v>43875</v>
      </c>
    </row>
    <row r="11" spans="1:9" ht="14">
      <c r="A11" s="10">
        <v>43845</v>
      </c>
      <c r="B11" s="12" t="s">
        <v>23</v>
      </c>
      <c r="C11" s="15">
        <v>22001010</v>
      </c>
      <c r="D11" s="25"/>
      <c r="E11" s="25">
        <f>IFERROR(ROUND(INDEX(VENTES[QP_8,5%],MATCH(RGLTS[[#This Row],[Numero]],VENTES[Numero],0))*RGLTS[[#This Row],[TTC]],2),0)</f>
        <v>0</v>
      </c>
      <c r="F11" s="25">
        <f>IFERROR(ROUND(INDEX(VENTES[QP_2,1%],MATCH(RGLTS[[#This Row],[Numero]],VENTES[Numero],0))*RGLTS[[#This Row],[TTC]],2),0)</f>
        <v>0</v>
      </c>
      <c r="G11" s="25">
        <f>IFERROR(ROUND(INDEX(VENTES[QP_0%],MATCH(RGLTS[[#This Row],[Numero]],VENTES[Numero],0))*RGLTS[[#This Row],[TTC]],2),0)</f>
        <v>0</v>
      </c>
      <c r="H11" s="26">
        <f>SUMIF(VENTES[Numero],RGLTS[[#This Row],[Numero]],VENTES[TTC])-SUMIF(RGLTS[Numero],RGLTS[[#This Row],[Numero]],RGLTS[TTC])</f>
        <v>126</v>
      </c>
      <c r="I11" s="30">
        <f ca="1">IF(RGLTS[[#This Row],[SOLDE]]=0,0,IF(INDEX(VENTES[DATE],MATCH(RGLTS[[#This Row],[Numero]],VENTES[Numero],0))+30&lt;TODAY(),INDEX(VENTES[DATE],MATCH(RGLTS[[#This Row],[Numero]],VENTES[Numero],0))+30,0))</f>
        <v>43875</v>
      </c>
    </row>
    <row r="12" spans="1:9" ht="14">
      <c r="A12" s="17">
        <v>43847</v>
      </c>
      <c r="B12" s="12" t="s">
        <v>24</v>
      </c>
      <c r="C12" s="16">
        <v>22001011</v>
      </c>
      <c r="D12" s="25"/>
      <c r="E12" s="25">
        <f>IFERROR(ROUND(INDEX(VENTES[QP_8,5%],MATCH(RGLTS[[#This Row],[Numero]],VENTES[Numero],0))*RGLTS[[#This Row],[TTC]],2),0)</f>
        <v>0</v>
      </c>
      <c r="F12" s="25">
        <f>IFERROR(ROUND(INDEX(VENTES[QP_2,1%],MATCH(RGLTS[[#This Row],[Numero]],VENTES[Numero],0))*RGLTS[[#This Row],[TTC]],2),0)</f>
        <v>0</v>
      </c>
      <c r="G12" s="25">
        <f>IFERROR(ROUND(INDEX(VENTES[QP_0%],MATCH(RGLTS[[#This Row],[Numero]],VENTES[Numero],0))*RGLTS[[#This Row],[TTC]],2),0)</f>
        <v>0</v>
      </c>
      <c r="H12" s="26">
        <f>SUMIF(VENTES[Numero],RGLTS[[#This Row],[Numero]],VENTES[TTC])-SUMIF(RGLTS[Numero],RGLTS[[#This Row],[Numero]],RGLTS[TTC])</f>
        <v>157</v>
      </c>
      <c r="I12" s="30">
        <f ca="1">IF(RGLTS[[#This Row],[SOLDE]]=0,0,IF(INDEX(VENTES[DATE],MATCH(RGLTS[[#This Row],[Numero]],VENTES[Numero],0))+30&lt;TODAY(),INDEX(VENTES[DATE],MATCH(RGLTS[[#This Row],[Numero]],VENTES[Numero],0))+30,0))</f>
        <v>43877</v>
      </c>
    </row>
    <row r="13" spans="1:9" ht="14">
      <c r="A13" s="10">
        <v>43847</v>
      </c>
      <c r="B13" s="12" t="s">
        <v>25</v>
      </c>
      <c r="C13" s="15">
        <v>22001012</v>
      </c>
      <c r="D13" s="25"/>
      <c r="E13" s="25">
        <f>IFERROR(ROUND(INDEX(VENTES[QP_8,5%],MATCH(RGLTS[[#This Row],[Numero]],VENTES[Numero],0))*RGLTS[[#This Row],[TTC]],2),0)</f>
        <v>0</v>
      </c>
      <c r="F13" s="25">
        <f>IFERROR(ROUND(INDEX(VENTES[QP_2,1%],MATCH(RGLTS[[#This Row],[Numero]],VENTES[Numero],0))*RGLTS[[#This Row],[TTC]],2),0)</f>
        <v>0</v>
      </c>
      <c r="G13" s="25">
        <f>IFERROR(ROUND(INDEX(VENTES[QP_0%],MATCH(RGLTS[[#This Row],[Numero]],VENTES[Numero],0))*RGLTS[[#This Row],[TTC]],2),0)</f>
        <v>0</v>
      </c>
      <c r="H13" s="26">
        <f>SUMIF(VENTES[Numero],RGLTS[[#This Row],[Numero]],VENTES[TTC])-SUMIF(RGLTS[Numero],RGLTS[[#This Row],[Numero]],RGLTS[TTC])</f>
        <v>1640</v>
      </c>
      <c r="I13" s="30">
        <f ca="1">IF(RGLTS[[#This Row],[SOLDE]]=0,0,IF(INDEX(VENTES[DATE],MATCH(RGLTS[[#This Row],[Numero]],VENTES[Numero],0))+30&lt;TODAY(),INDEX(VENTES[DATE],MATCH(RGLTS[[#This Row],[Numero]],VENTES[Numero],0))+30,0))</f>
        <v>43877</v>
      </c>
    </row>
    <row r="14" spans="1:9" ht="14">
      <c r="A14" s="10">
        <v>43847</v>
      </c>
      <c r="B14" s="12" t="s">
        <v>26</v>
      </c>
      <c r="C14" s="15">
        <v>22001013</v>
      </c>
      <c r="D14" s="25"/>
      <c r="E14" s="25">
        <f>IFERROR(ROUND(INDEX(VENTES[QP_8,5%],MATCH(RGLTS[[#This Row],[Numero]],VENTES[Numero],0))*RGLTS[[#This Row],[TTC]],2),0)</f>
        <v>0</v>
      </c>
      <c r="F14" s="25">
        <f>IFERROR(ROUND(INDEX(VENTES[QP_2,1%],MATCH(RGLTS[[#This Row],[Numero]],VENTES[Numero],0))*RGLTS[[#This Row],[TTC]],2),0)</f>
        <v>0</v>
      </c>
      <c r="G14" s="25">
        <f>IFERROR(ROUND(INDEX(VENTES[QP_0%],MATCH(RGLTS[[#This Row],[Numero]],VENTES[Numero],0))*RGLTS[[#This Row],[TTC]],2),0)</f>
        <v>0</v>
      </c>
      <c r="H14" s="26">
        <f>SUMIF(VENTES[Numero],RGLTS[[#This Row],[Numero]],VENTES[TTC])-SUMIF(RGLTS[Numero],RGLTS[[#This Row],[Numero]],RGLTS[TTC])</f>
        <v>100</v>
      </c>
      <c r="I14" s="30">
        <f ca="1">IF(RGLTS[[#This Row],[SOLDE]]=0,0,IF(INDEX(VENTES[DATE],MATCH(RGLTS[[#This Row],[Numero]],VENTES[Numero],0))+30&lt;TODAY(),INDEX(VENTES[DATE],MATCH(RGLTS[[#This Row],[Numero]],VENTES[Numero],0))+30,0))</f>
        <v>43877</v>
      </c>
    </row>
    <row r="15" spans="1:9" ht="14">
      <c r="A15" s="10">
        <v>43847</v>
      </c>
      <c r="B15" s="12" t="s">
        <v>27</v>
      </c>
      <c r="C15" s="15">
        <v>22001014</v>
      </c>
      <c r="D15" s="25"/>
      <c r="E15" s="25">
        <f>IFERROR(ROUND(INDEX(VENTES[QP_8,5%],MATCH(RGLTS[[#This Row],[Numero]],VENTES[Numero],0))*RGLTS[[#This Row],[TTC]],2),0)</f>
        <v>0</v>
      </c>
      <c r="F15" s="25">
        <f>IFERROR(ROUND(INDEX(VENTES[QP_2,1%],MATCH(RGLTS[[#This Row],[Numero]],VENTES[Numero],0))*RGLTS[[#This Row],[TTC]],2),0)</f>
        <v>0</v>
      </c>
      <c r="G15" s="25">
        <f>IFERROR(ROUND(INDEX(VENTES[QP_0%],MATCH(RGLTS[[#This Row],[Numero]],VENTES[Numero],0))*RGLTS[[#This Row],[TTC]],2),0)</f>
        <v>0</v>
      </c>
      <c r="H15" s="26">
        <f>SUMIF(VENTES[Numero],RGLTS[[#This Row],[Numero]],VENTES[TTC])-SUMIF(RGLTS[Numero],RGLTS[[#This Row],[Numero]],RGLTS[TTC])</f>
        <v>6080</v>
      </c>
      <c r="I15" s="30">
        <f ca="1">IF(RGLTS[[#This Row],[SOLDE]]=0,0,IF(INDEX(VENTES[DATE],MATCH(RGLTS[[#This Row],[Numero]],VENTES[Numero],0))+30&lt;TODAY(),INDEX(VENTES[DATE],MATCH(RGLTS[[#This Row],[Numero]],VENTES[Numero],0))+30,0))</f>
        <v>43877</v>
      </c>
    </row>
    <row r="16" spans="1:9" ht="14">
      <c r="A16" s="17">
        <v>43850</v>
      </c>
      <c r="B16" s="12" t="s">
        <v>28</v>
      </c>
      <c r="C16" s="19">
        <v>22001015</v>
      </c>
      <c r="D16" s="25"/>
      <c r="E16" s="25">
        <f>IFERROR(ROUND(INDEX(VENTES[QP_8,5%],MATCH(RGLTS[[#This Row],[Numero]],VENTES[Numero],0))*RGLTS[[#This Row],[TTC]],2),0)</f>
        <v>0</v>
      </c>
      <c r="F16" s="25">
        <f>IFERROR(ROUND(INDEX(VENTES[QP_2,1%],MATCH(RGLTS[[#This Row],[Numero]],VENTES[Numero],0))*RGLTS[[#This Row],[TTC]],2),0)</f>
        <v>0</v>
      </c>
      <c r="G16" s="25">
        <f>IFERROR(ROUND(INDEX(VENTES[QP_0%],MATCH(RGLTS[[#This Row],[Numero]],VENTES[Numero],0))*RGLTS[[#This Row],[TTC]],2),0)</f>
        <v>0</v>
      </c>
      <c r="H16" s="26">
        <f>SUMIF(VENTES[Numero],RGLTS[[#This Row],[Numero]],VENTES[TTC])-SUMIF(RGLTS[Numero],RGLTS[[#This Row],[Numero]],RGLTS[TTC])</f>
        <v>3390</v>
      </c>
      <c r="I16" s="30">
        <f ca="1">IF(RGLTS[[#This Row],[SOLDE]]=0,0,IF(INDEX(VENTES[DATE],MATCH(RGLTS[[#This Row],[Numero]],VENTES[Numero],0))+30&lt;TODAY(),INDEX(VENTES[DATE],MATCH(RGLTS[[#This Row],[Numero]],VENTES[Numero],0))+30,0))</f>
        <v>43880</v>
      </c>
    </row>
    <row r="17" spans="1:9" ht="14">
      <c r="A17" s="10">
        <v>43854</v>
      </c>
      <c r="B17" s="12" t="s">
        <v>29</v>
      </c>
      <c r="C17" s="15">
        <v>22001016</v>
      </c>
      <c r="D17" s="25"/>
      <c r="E17" s="25">
        <f>IFERROR(ROUND(INDEX(VENTES[QP_8,5%],MATCH(RGLTS[[#This Row],[Numero]],VENTES[Numero],0))*RGLTS[[#This Row],[TTC]],2),0)</f>
        <v>0</v>
      </c>
      <c r="F17" s="25">
        <f>IFERROR(ROUND(INDEX(VENTES[QP_2,1%],MATCH(RGLTS[[#This Row],[Numero]],VENTES[Numero],0))*RGLTS[[#This Row],[TTC]],2),0)</f>
        <v>0</v>
      </c>
      <c r="G17" s="25">
        <f>IFERROR(ROUND(INDEX(VENTES[QP_0%],MATCH(RGLTS[[#This Row],[Numero]],VENTES[Numero],0))*RGLTS[[#This Row],[TTC]],2),0)</f>
        <v>0</v>
      </c>
      <c r="H17" s="26">
        <f>SUMIF(VENTES[Numero],RGLTS[[#This Row],[Numero]],VENTES[TTC])-SUMIF(RGLTS[Numero],RGLTS[[#This Row],[Numero]],RGLTS[TTC])</f>
        <v>6895</v>
      </c>
      <c r="I17" s="30">
        <f ca="1">IF(RGLTS[[#This Row],[SOLDE]]=0,0,IF(INDEX(VENTES[DATE],MATCH(RGLTS[[#This Row],[Numero]],VENTES[Numero],0))+30&lt;TODAY(),INDEX(VENTES[DATE],MATCH(RGLTS[[#This Row],[Numero]],VENTES[Numero],0))+30,0))</f>
        <v>43884</v>
      </c>
    </row>
    <row r="18" spans="1:9" ht="14">
      <c r="A18" s="10">
        <v>43857</v>
      </c>
      <c r="B18" s="12" t="s">
        <v>30</v>
      </c>
      <c r="C18" s="15">
        <v>22001017</v>
      </c>
      <c r="D18" s="25"/>
      <c r="E18" s="25">
        <f>IFERROR(ROUND(INDEX(VENTES[QP_8,5%],MATCH(RGLTS[[#This Row],[Numero]],VENTES[Numero],0))*RGLTS[[#This Row],[TTC]],2),0)</f>
        <v>0</v>
      </c>
      <c r="F18" s="25">
        <f>IFERROR(ROUND(INDEX(VENTES[QP_2,1%],MATCH(RGLTS[[#This Row],[Numero]],VENTES[Numero],0))*RGLTS[[#This Row],[TTC]],2),0)</f>
        <v>0</v>
      </c>
      <c r="G18" s="25">
        <f>IFERROR(ROUND(INDEX(VENTES[QP_0%],MATCH(RGLTS[[#This Row],[Numero]],VENTES[Numero],0))*RGLTS[[#This Row],[TTC]],2),0)</f>
        <v>0</v>
      </c>
      <c r="H18" s="26">
        <f>SUMIF(VENTES[Numero],RGLTS[[#This Row],[Numero]],VENTES[TTC])-SUMIF(RGLTS[Numero],RGLTS[[#This Row],[Numero]],RGLTS[TTC])</f>
        <v>350</v>
      </c>
      <c r="I18" s="30">
        <f ca="1">IF(RGLTS[[#This Row],[SOLDE]]=0,0,IF(INDEX(VENTES[DATE],MATCH(RGLTS[[#This Row],[Numero]],VENTES[Numero],0))+30&lt;TODAY(),INDEX(VENTES[DATE],MATCH(RGLTS[[#This Row],[Numero]],VENTES[Numero],0))+30,0))</f>
        <v>43887</v>
      </c>
    </row>
    <row r="19" spans="1:9" ht="14">
      <c r="A19" s="10">
        <v>43857</v>
      </c>
      <c r="B19" s="12" t="s">
        <v>31</v>
      </c>
      <c r="C19" s="15">
        <v>22001018</v>
      </c>
      <c r="D19" s="25"/>
      <c r="E19" s="25">
        <f>IFERROR(ROUND(INDEX(VENTES[QP_8,5%],MATCH(RGLTS[[#This Row],[Numero]],VENTES[Numero],0))*RGLTS[[#This Row],[TTC]],2),0)</f>
        <v>0</v>
      </c>
      <c r="F19" s="25">
        <f>IFERROR(ROUND(INDEX(VENTES[QP_2,1%],MATCH(RGLTS[[#This Row],[Numero]],VENTES[Numero],0))*RGLTS[[#This Row],[TTC]],2),0)</f>
        <v>0</v>
      </c>
      <c r="G19" s="25">
        <f>IFERROR(ROUND(INDEX(VENTES[QP_0%],MATCH(RGLTS[[#This Row],[Numero]],VENTES[Numero],0))*RGLTS[[#This Row],[TTC]],2),0)</f>
        <v>0</v>
      </c>
      <c r="H19" s="26">
        <f>SUMIF(VENTES[Numero],RGLTS[[#This Row],[Numero]],VENTES[TTC])-SUMIF(RGLTS[Numero],RGLTS[[#This Row],[Numero]],RGLTS[TTC])</f>
        <v>793</v>
      </c>
      <c r="I19" s="30">
        <f ca="1">IF(RGLTS[[#This Row],[SOLDE]]=0,0,IF(INDEX(VENTES[DATE],MATCH(RGLTS[[#This Row],[Numero]],VENTES[Numero],0))+30&lt;TODAY(),INDEX(VENTES[DATE],MATCH(RGLTS[[#This Row],[Numero]],VENTES[Numero],0))+30,0))</f>
        <v>43887</v>
      </c>
    </row>
    <row r="20" spans="1:9" ht="14">
      <c r="A20" s="10">
        <v>43857</v>
      </c>
      <c r="B20" s="12" t="s">
        <v>32</v>
      </c>
      <c r="C20" s="15">
        <v>22001019</v>
      </c>
      <c r="D20" s="25"/>
      <c r="E20" s="25">
        <f>IFERROR(ROUND(INDEX(VENTES[QP_8,5%],MATCH(RGLTS[[#This Row],[Numero]],VENTES[Numero],0))*RGLTS[[#This Row],[TTC]],2),0)</f>
        <v>0</v>
      </c>
      <c r="F20" s="25">
        <f>IFERROR(ROUND(INDEX(VENTES[QP_2,1%],MATCH(RGLTS[[#This Row],[Numero]],VENTES[Numero],0))*RGLTS[[#This Row],[TTC]],2),0)</f>
        <v>0</v>
      </c>
      <c r="G20" s="25">
        <f>IFERROR(ROUND(INDEX(VENTES[QP_0%],MATCH(RGLTS[[#This Row],[Numero]],VENTES[Numero],0))*RGLTS[[#This Row],[TTC]],2),0)</f>
        <v>0</v>
      </c>
      <c r="H20" s="26">
        <f>SUMIF(VENTES[Numero],RGLTS[[#This Row],[Numero]],VENTES[TTC])-SUMIF(RGLTS[Numero],RGLTS[[#This Row],[Numero]],RGLTS[TTC])</f>
        <v>936</v>
      </c>
      <c r="I20" s="30">
        <f ca="1">IF(RGLTS[[#This Row],[SOLDE]]=0,0,IF(INDEX(VENTES[DATE],MATCH(RGLTS[[#This Row],[Numero]],VENTES[Numero],0))+30&lt;TODAY(),INDEX(VENTES[DATE],MATCH(RGLTS[[#This Row],[Numero]],VENTES[Numero],0))+30,0))</f>
        <v>43887</v>
      </c>
    </row>
    <row r="21" spans="1:9" ht="14">
      <c r="A21" s="10">
        <v>43857</v>
      </c>
      <c r="B21" s="12" t="s">
        <v>33</v>
      </c>
      <c r="C21" s="9">
        <v>22001020</v>
      </c>
      <c r="D21" s="25"/>
      <c r="E21" s="25">
        <f>IFERROR(ROUND(INDEX(VENTES[QP_8,5%],MATCH(RGLTS[[#This Row],[Numero]],VENTES[Numero],0))*RGLTS[[#This Row],[TTC]],2),0)</f>
        <v>0</v>
      </c>
      <c r="F21" s="25">
        <f>IFERROR(ROUND(INDEX(VENTES[QP_2,1%],MATCH(RGLTS[[#This Row],[Numero]],VENTES[Numero],0))*RGLTS[[#This Row],[TTC]],2),0)</f>
        <v>0</v>
      </c>
      <c r="G21" s="25">
        <f>IFERROR(ROUND(INDEX(VENTES[QP_0%],MATCH(RGLTS[[#This Row],[Numero]],VENTES[Numero],0))*RGLTS[[#This Row],[TTC]],2),0)</f>
        <v>0</v>
      </c>
      <c r="H21" s="26">
        <f>SUMIF(VENTES[Numero],RGLTS[[#This Row],[Numero]],VENTES[TTC])-SUMIF(RGLTS[Numero],RGLTS[[#This Row],[Numero]],RGLTS[TTC])</f>
        <v>90</v>
      </c>
      <c r="I21" s="30">
        <f ca="1">IF(RGLTS[[#This Row],[SOLDE]]=0,0,IF(INDEX(VENTES[DATE],MATCH(RGLTS[[#This Row],[Numero]],VENTES[Numero],0))+30&lt;TODAY(),INDEX(VENTES[DATE],MATCH(RGLTS[[#This Row],[Numero]],VENTES[Numero],0))+30,0))</f>
        <v>43887</v>
      </c>
    </row>
    <row r="22" spans="1:9" ht="14">
      <c r="A22" s="10">
        <v>43857</v>
      </c>
      <c r="B22" s="12" t="s">
        <v>34</v>
      </c>
      <c r="C22" s="15">
        <v>22001021</v>
      </c>
      <c r="D22" s="25"/>
      <c r="E22" s="25">
        <f>IFERROR(ROUND(INDEX(VENTES[QP_8,5%],MATCH(RGLTS[[#This Row],[Numero]],VENTES[Numero],0))*RGLTS[[#This Row],[TTC]],2),0)</f>
        <v>0</v>
      </c>
      <c r="F22" s="25">
        <f>IFERROR(ROUND(INDEX(VENTES[QP_2,1%],MATCH(RGLTS[[#This Row],[Numero]],VENTES[Numero],0))*RGLTS[[#This Row],[TTC]],2),0)</f>
        <v>0</v>
      </c>
      <c r="G22" s="25">
        <f>IFERROR(ROUND(INDEX(VENTES[QP_0%],MATCH(RGLTS[[#This Row],[Numero]],VENTES[Numero],0))*RGLTS[[#This Row],[TTC]],2),0)</f>
        <v>0</v>
      </c>
      <c r="H22" s="26">
        <f>SUMIF(VENTES[Numero],RGLTS[[#This Row],[Numero]],VENTES[TTC])-SUMIF(RGLTS[Numero],RGLTS[[#This Row],[Numero]],RGLTS[TTC])</f>
        <v>140</v>
      </c>
      <c r="I22" s="30">
        <f ca="1">IF(RGLTS[[#This Row],[SOLDE]]=0,0,IF(INDEX(VENTES[DATE],MATCH(RGLTS[[#This Row],[Numero]],VENTES[Numero],0))+30&lt;TODAY(),INDEX(VENTES[DATE],MATCH(RGLTS[[#This Row],[Numero]],VENTES[Numero],0))+30,0))</f>
        <v>43887</v>
      </c>
    </row>
    <row r="23" spans="1:9" ht="14">
      <c r="A23" s="10">
        <v>43859</v>
      </c>
      <c r="B23" s="12" t="s">
        <v>35</v>
      </c>
      <c r="C23" s="9">
        <v>22001022</v>
      </c>
      <c r="D23" s="25"/>
      <c r="E23" s="25">
        <f>IFERROR(ROUND(INDEX(VENTES[QP_8,5%],MATCH(RGLTS[[#This Row],[Numero]],VENTES[Numero],0))*RGLTS[[#This Row],[TTC]],2),0)</f>
        <v>0</v>
      </c>
      <c r="F23" s="25">
        <f>IFERROR(ROUND(INDEX(VENTES[QP_2,1%],MATCH(RGLTS[[#This Row],[Numero]],VENTES[Numero],0))*RGLTS[[#This Row],[TTC]],2),0)</f>
        <v>0</v>
      </c>
      <c r="G23" s="25">
        <f>IFERROR(ROUND(INDEX(VENTES[QP_0%],MATCH(RGLTS[[#This Row],[Numero]],VENTES[Numero],0))*RGLTS[[#This Row],[TTC]],2),0)</f>
        <v>0</v>
      </c>
      <c r="H23" s="26">
        <f>SUMIF(VENTES[Numero],RGLTS[[#This Row],[Numero]],VENTES[TTC])-SUMIF(RGLTS[Numero],RGLTS[[#This Row],[Numero]],RGLTS[TTC])</f>
        <v>3445</v>
      </c>
      <c r="I23" s="30">
        <f ca="1">IF(RGLTS[[#This Row],[SOLDE]]=0,0,IF(INDEX(VENTES[DATE],MATCH(RGLTS[[#This Row],[Numero]],VENTES[Numero],0))+30&lt;TODAY(),INDEX(VENTES[DATE],MATCH(RGLTS[[#This Row],[Numero]],VENTES[Numero],0))+30,0))</f>
        <v>43889</v>
      </c>
    </row>
    <row r="24" spans="1:9" ht="14">
      <c r="A24" s="10">
        <v>43860</v>
      </c>
      <c r="B24" s="12" t="s">
        <v>36</v>
      </c>
      <c r="C24" s="9">
        <v>22001023</v>
      </c>
      <c r="D24" s="25">
        <v>3000</v>
      </c>
      <c r="E24" s="25">
        <f>IFERROR(ROUND(INDEX(VENTES[QP_8,5%],MATCH(RGLTS[[#This Row],[Numero]],VENTES[Numero],0))*RGLTS[[#This Row],[TTC]],2),0)</f>
        <v>0</v>
      </c>
      <c r="F24" s="25">
        <f>IFERROR(ROUND(INDEX(VENTES[QP_2,1%],MATCH(RGLTS[[#This Row],[Numero]],VENTES[Numero],0))*RGLTS[[#This Row],[TTC]],2),0)</f>
        <v>1321.2</v>
      </c>
      <c r="G24" s="25">
        <f>IFERROR(ROUND(INDEX(VENTES[QP_0%],MATCH(RGLTS[[#This Row],[Numero]],VENTES[Numero],0))*RGLTS[[#This Row],[TTC]],2),0)</f>
        <v>1678.8</v>
      </c>
      <c r="H24" s="26">
        <f>SUMIF(VENTES[Numero],RGLTS[[#This Row],[Numero]],VENTES[TTC])-SUMIF(RGLTS[Numero],RGLTS[[#This Row],[Numero]],RGLTS[TTC])</f>
        <v>3155.76</v>
      </c>
      <c r="I24" s="30">
        <f ca="1">IF(RGLTS[[#This Row],[SOLDE]]=0,0,IF(INDEX(VENTES[DATE],MATCH(RGLTS[[#This Row],[Numero]],VENTES[Numero],0))+30&lt;TODAY(),INDEX(VENTES[DATE],MATCH(RGLTS[[#This Row],[Numero]],VENTES[Numero],0))+30,0))</f>
        <v>43890</v>
      </c>
    </row>
    <row r="25" spans="1:9" ht="14">
      <c r="A25" s="10">
        <v>43860</v>
      </c>
      <c r="B25" s="12" t="s">
        <v>37</v>
      </c>
      <c r="C25" s="15">
        <v>22001024</v>
      </c>
      <c r="D25" s="25"/>
      <c r="E25" s="25">
        <f>IFERROR(ROUND(INDEX(VENTES[QP_8,5%],MATCH(RGLTS[[#This Row],[Numero]],VENTES[Numero],0))*RGLTS[[#This Row],[TTC]],2),0)</f>
        <v>0</v>
      </c>
      <c r="F25" s="25">
        <f>IFERROR(ROUND(INDEX(VENTES[QP_2,1%],MATCH(RGLTS[[#This Row],[Numero]],VENTES[Numero],0))*RGLTS[[#This Row],[TTC]],2),0)</f>
        <v>0</v>
      </c>
      <c r="G25" s="25">
        <f>IFERROR(ROUND(INDEX(VENTES[QP_0%],MATCH(RGLTS[[#This Row],[Numero]],VENTES[Numero],0))*RGLTS[[#This Row],[TTC]],2),0)</f>
        <v>0</v>
      </c>
      <c r="H25" s="26">
        <f>SUMIF(VENTES[Numero],RGLTS[[#This Row],[Numero]],VENTES[TTC])-SUMIF(RGLTS[Numero],RGLTS[[#This Row],[Numero]],RGLTS[TTC])</f>
        <v>275.33</v>
      </c>
      <c r="I25" s="30">
        <f ca="1">IF(RGLTS[[#This Row],[SOLDE]]=0,0,IF(INDEX(VENTES[DATE],MATCH(RGLTS[[#This Row],[Numero]],VENTES[Numero],0))+30&lt;TODAY(),INDEX(VENTES[DATE],MATCH(RGLTS[[#This Row],[Numero]],VENTES[Numero],0))+30,0))</f>
        <v>43890</v>
      </c>
    </row>
    <row r="26" spans="1:9" ht="14">
      <c r="A26" s="10">
        <v>43860</v>
      </c>
      <c r="B26" s="12" t="s">
        <v>38</v>
      </c>
      <c r="C26" s="15">
        <v>22001025</v>
      </c>
      <c r="D26" s="25"/>
      <c r="E26" s="25">
        <f>IFERROR(ROUND(INDEX(VENTES[QP_8,5%],MATCH(RGLTS[[#This Row],[Numero]],VENTES[Numero],0))*RGLTS[[#This Row],[TTC]],2),0)</f>
        <v>0</v>
      </c>
      <c r="F26" s="25">
        <f>IFERROR(ROUND(INDEX(VENTES[QP_2,1%],MATCH(RGLTS[[#This Row],[Numero]],VENTES[Numero],0))*RGLTS[[#This Row],[TTC]],2),0)</f>
        <v>0</v>
      </c>
      <c r="G26" s="25">
        <f>IFERROR(ROUND(INDEX(VENTES[QP_0%],MATCH(RGLTS[[#This Row],[Numero]],VENTES[Numero],0))*RGLTS[[#This Row],[TTC]],2),0)</f>
        <v>0</v>
      </c>
      <c r="H26" s="26">
        <f>SUMIF(VENTES[Numero],RGLTS[[#This Row],[Numero]],VENTES[TTC])-SUMIF(RGLTS[Numero],RGLTS[[#This Row],[Numero]],RGLTS[TTC])</f>
        <v>10838</v>
      </c>
      <c r="I26" s="30">
        <f ca="1">IF(RGLTS[[#This Row],[SOLDE]]=0,0,IF(INDEX(VENTES[DATE],MATCH(RGLTS[[#This Row],[Numero]],VENTES[Numero],0))+30&lt;TODAY(),INDEX(VENTES[DATE],MATCH(RGLTS[[#This Row],[Numero]],VENTES[Numero],0))+30,0))</f>
        <v>43890</v>
      </c>
    </row>
    <row r="27" spans="1:9" ht="14">
      <c r="A27" s="10">
        <v>43860</v>
      </c>
      <c r="B27" s="12" t="s">
        <v>39</v>
      </c>
      <c r="C27" s="15">
        <v>22001026</v>
      </c>
      <c r="D27" s="25"/>
      <c r="E27" s="25">
        <f>IFERROR(ROUND(INDEX(VENTES[QP_8,5%],MATCH(RGLTS[[#This Row],[Numero]],VENTES[Numero],0))*RGLTS[[#This Row],[TTC]],2),0)</f>
        <v>0</v>
      </c>
      <c r="F27" s="25">
        <f>IFERROR(ROUND(INDEX(VENTES[QP_2,1%],MATCH(RGLTS[[#This Row],[Numero]],VENTES[Numero],0))*RGLTS[[#This Row],[TTC]],2),0)</f>
        <v>0</v>
      </c>
      <c r="G27" s="25">
        <f>IFERROR(ROUND(INDEX(VENTES[QP_0%],MATCH(RGLTS[[#This Row],[Numero]],VENTES[Numero],0))*RGLTS[[#This Row],[TTC]],2),0)</f>
        <v>0</v>
      </c>
      <c r="H27" s="26">
        <f>SUMIF(VENTES[Numero],RGLTS[[#This Row],[Numero]],VENTES[TTC])-SUMIF(RGLTS[Numero],RGLTS[[#This Row],[Numero]],RGLTS[TTC])</f>
        <v>3207.33</v>
      </c>
      <c r="I27" s="30">
        <f ca="1">IF(RGLTS[[#This Row],[SOLDE]]=0,0,IF(INDEX(VENTES[DATE],MATCH(RGLTS[[#This Row],[Numero]],VENTES[Numero],0))+30&lt;TODAY(),INDEX(VENTES[DATE],MATCH(RGLTS[[#This Row],[Numero]],VENTES[Numero],0))+30,0))</f>
        <v>43890</v>
      </c>
    </row>
    <row r="28" spans="1:9" ht="14">
      <c r="A28" s="10">
        <v>43862</v>
      </c>
      <c r="B28" s="20" t="s">
        <v>40</v>
      </c>
      <c r="C28" s="15">
        <v>22001001</v>
      </c>
      <c r="D28" s="27">
        <v>25</v>
      </c>
      <c r="E28" s="27">
        <f>IFERROR(ROUND(INDEX(VENTES[QP_8,5%],MATCH(RGLTS[[#This Row],[Numero]],VENTES[Numero],0))*RGLTS[[#This Row],[TTC]],2),0)</f>
        <v>0</v>
      </c>
      <c r="F28" s="28">
        <f>IFERROR(ROUND(INDEX(VENTES[QP_2,1%],MATCH(RGLTS[[#This Row],[Numero]],VENTES[Numero],0))*RGLTS[[#This Row],[TTC]],2),0)</f>
        <v>0</v>
      </c>
      <c r="G28" s="28">
        <f>IFERROR(ROUND(INDEX(VENTES[QP_0%],MATCH(RGLTS[[#This Row],[Numero]],VENTES[Numero],0))*RGLTS[[#This Row],[TTC]],2),0)</f>
        <v>25</v>
      </c>
      <c r="H28" s="29">
        <f>SUMIF(VENTES[Numero],RGLTS[[#This Row],[Numero]],VENTES[TTC])-SUMIF(RGLTS[Numero],RGLTS[[#This Row],[Numero]],RGLTS[TTC])</f>
        <v>0</v>
      </c>
      <c r="I28" s="30">
        <f ca="1">IF(RGLTS[[#This Row],[SOLDE]]=0,0,IF(INDEX(VENTES[DATE],MATCH(RGLTS[[#This Row],[Numero]],VENTES[Numero],0))+30&lt;TODAY(),INDEX(VENTES[DATE],MATCH(RGLTS[[#This Row],[Numero]],VENTES[Numero],0))+30,0))</f>
        <v>0</v>
      </c>
    </row>
    <row r="31" spans="1:9" ht="19.5" customHeight="1"/>
  </sheetData>
  <pageMargins left="0.7" right="0.7" top="0.75" bottom="0.75" header="0.3" footer="0.3"/>
  <pageSetup paperSize="9" orientation="landscape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6"/>
  </sheetPr>
  <dimension ref="A1:K27"/>
  <sheetViews>
    <sheetView workbookViewId="0">
      <selection activeCell="D36" sqref="D36"/>
    </sheetView>
  </sheetViews>
  <sheetFormatPr baseColWidth="10" defaultRowHeight="12" x14ac:dyDescent="0"/>
  <cols>
    <col min="1" max="1" width="16.6640625" customWidth="1"/>
    <col min="2" max="2" width="11" customWidth="1"/>
    <col min="3" max="3" width="23" customWidth="1"/>
    <col min="4" max="4" width="8.83203125" bestFit="1" customWidth="1"/>
    <col min="6" max="6" width="15.33203125" customWidth="1"/>
    <col min="8" max="8" width="11.6640625" customWidth="1"/>
    <col min="9" max="9" width="12.6640625" customWidth="1"/>
    <col min="10" max="10" width="13.33203125" customWidth="1"/>
    <col min="11" max="11" width="11.6640625" customWidth="1"/>
  </cols>
  <sheetData>
    <row r="1" spans="1:11" s="1" customFormat="1" ht="26" customHeight="1">
      <c r="A1" s="1" t="s">
        <v>50</v>
      </c>
      <c r="B1" s="1" t="s">
        <v>56</v>
      </c>
      <c r="C1" s="1" t="s">
        <v>51</v>
      </c>
      <c r="D1" s="1" t="s">
        <v>52</v>
      </c>
      <c r="E1" s="1" t="s">
        <v>53</v>
      </c>
      <c r="F1" s="1" t="s">
        <v>54</v>
      </c>
      <c r="G1" s="1" t="s">
        <v>55</v>
      </c>
      <c r="H1" s="2" t="s">
        <v>58</v>
      </c>
      <c r="I1" s="1" t="s">
        <v>4</v>
      </c>
      <c r="J1" s="1" t="s">
        <v>57</v>
      </c>
      <c r="K1" s="1" t="s">
        <v>3</v>
      </c>
    </row>
    <row r="2" spans="1:11">
      <c r="A2" t="s">
        <v>40</v>
      </c>
      <c r="H2" s="3">
        <v>0</v>
      </c>
      <c r="I2" s="3">
        <f>SUMIF(VENTES[CLIENT],CLIENTS[[#This Row],[DENOMINATION]],VENTES[TTC])</f>
        <v>50</v>
      </c>
      <c r="J2" s="4">
        <f>SUMIF(RGLTS[CLIENT],CLIENTS[[#This Row],[DENOMINATION]],RGLTS[TTC])</f>
        <v>50</v>
      </c>
      <c r="K2" s="3">
        <f>CLIENTS[[#This Row],[SOLDE PREC]]+CLIENTS[[#This Row],[VENTES]]-CLIENTS[[#This Row],[RGLTS]]</f>
        <v>0</v>
      </c>
    </row>
    <row r="3" spans="1:11">
      <c r="A3" t="s">
        <v>15</v>
      </c>
      <c r="H3" s="3">
        <v>0</v>
      </c>
      <c r="I3" s="3">
        <f>SUMIF(VENTES[CLIENT],CLIENTS[[#This Row],[DENOMINATION]],VENTES[TTC])</f>
        <v>102</v>
      </c>
      <c r="J3" s="4">
        <f>SUMIF(RGLTS[CLIENT],CLIENTS[[#This Row],[DENOMINATION]],RGLTS[TTC])</f>
        <v>102</v>
      </c>
      <c r="K3" s="3">
        <f>CLIENTS[[#This Row],[SOLDE PREC]]+CLIENTS[[#This Row],[VENTES]]-CLIENTS[[#This Row],[RGLTS]]</f>
        <v>0</v>
      </c>
    </row>
    <row r="4" spans="1:11">
      <c r="A4" t="s">
        <v>16</v>
      </c>
      <c r="H4" s="3">
        <v>0</v>
      </c>
      <c r="I4" s="3">
        <f>SUMIF(VENTES[CLIENT],CLIENTS[[#This Row],[DENOMINATION]],VENTES[TTC])</f>
        <v>318</v>
      </c>
      <c r="J4" s="4">
        <f>SUMIF(RGLTS[CLIENT],CLIENTS[[#This Row],[DENOMINATION]],RGLTS[TTC])</f>
        <v>0</v>
      </c>
      <c r="K4" s="3">
        <f>CLIENTS[[#This Row],[SOLDE PREC]]+CLIENTS[[#This Row],[VENTES]]-CLIENTS[[#This Row],[RGLTS]]</f>
        <v>318</v>
      </c>
    </row>
    <row r="5" spans="1:11">
      <c r="A5" t="s">
        <v>17</v>
      </c>
      <c r="H5" s="3">
        <v>0</v>
      </c>
      <c r="I5" s="3">
        <f>SUMIF(VENTES[CLIENT],CLIENTS[[#This Row],[DENOMINATION]],VENTES[TTC])</f>
        <v>1188</v>
      </c>
      <c r="J5" s="4">
        <f>SUMIF(RGLTS[CLIENT],CLIENTS[[#This Row],[DENOMINATION]],RGLTS[TTC])</f>
        <v>0</v>
      </c>
      <c r="K5" s="3">
        <f>CLIENTS[[#This Row],[SOLDE PREC]]+CLIENTS[[#This Row],[VENTES]]-CLIENTS[[#This Row],[RGLTS]]</f>
        <v>1188</v>
      </c>
    </row>
    <row r="6" spans="1:11">
      <c r="A6" t="s">
        <v>18</v>
      </c>
      <c r="H6" s="3">
        <v>0</v>
      </c>
      <c r="I6" s="3">
        <f>SUMIF(VENTES[CLIENT],CLIENTS[[#This Row],[DENOMINATION]],VENTES[TTC])</f>
        <v>9</v>
      </c>
      <c r="J6" s="4">
        <f>SUMIF(RGLTS[CLIENT],CLIENTS[[#This Row],[DENOMINATION]],RGLTS[TTC])</f>
        <v>0</v>
      </c>
      <c r="K6" s="3">
        <f>CLIENTS[[#This Row],[SOLDE PREC]]+CLIENTS[[#This Row],[VENTES]]-CLIENTS[[#This Row],[RGLTS]]</f>
        <v>9</v>
      </c>
    </row>
    <row r="7" spans="1:11">
      <c r="A7" t="s">
        <v>19</v>
      </c>
      <c r="H7" s="3">
        <v>0</v>
      </c>
      <c r="I7" s="3">
        <f>SUMIF(VENTES[CLIENT],CLIENTS[[#This Row],[DENOMINATION]],VENTES[TTC])</f>
        <v>445</v>
      </c>
      <c r="J7" s="4">
        <f>SUMIF(RGLTS[CLIENT],CLIENTS[[#This Row],[DENOMINATION]],RGLTS[TTC])</f>
        <v>0</v>
      </c>
      <c r="K7" s="3">
        <f>CLIENTS[[#This Row],[SOLDE PREC]]+CLIENTS[[#This Row],[VENTES]]-CLIENTS[[#This Row],[RGLTS]]</f>
        <v>445</v>
      </c>
    </row>
    <row r="8" spans="1:11">
      <c r="A8" t="s">
        <v>20</v>
      </c>
      <c r="H8" s="3">
        <v>0</v>
      </c>
      <c r="I8" s="3">
        <f>SUMIF(VENTES[CLIENT],CLIENTS[[#This Row],[DENOMINATION]],VENTES[TTC])</f>
        <v>433.28</v>
      </c>
      <c r="J8" s="4">
        <f>SUMIF(RGLTS[CLIENT],CLIENTS[[#This Row],[DENOMINATION]],RGLTS[TTC])</f>
        <v>0</v>
      </c>
      <c r="K8" s="3">
        <f>CLIENTS[[#This Row],[SOLDE PREC]]+CLIENTS[[#This Row],[VENTES]]-CLIENTS[[#This Row],[RGLTS]]</f>
        <v>433.28</v>
      </c>
    </row>
    <row r="9" spans="1:11">
      <c r="A9" t="s">
        <v>21</v>
      </c>
      <c r="H9" s="3">
        <v>0</v>
      </c>
      <c r="I9" s="3">
        <f>SUMIF(VENTES[CLIENT],CLIENTS[[#This Row],[DENOMINATION]],VENTES[TTC])</f>
        <v>779</v>
      </c>
      <c r="J9" s="4">
        <f>SUMIF(RGLTS[CLIENT],CLIENTS[[#This Row],[DENOMINATION]],RGLTS[TTC])</f>
        <v>0</v>
      </c>
      <c r="K9" s="3">
        <f>CLIENTS[[#This Row],[SOLDE PREC]]+CLIENTS[[#This Row],[VENTES]]-CLIENTS[[#This Row],[RGLTS]]</f>
        <v>779</v>
      </c>
    </row>
    <row r="10" spans="1:11">
      <c r="A10" t="s">
        <v>22</v>
      </c>
      <c r="H10" s="3">
        <v>0</v>
      </c>
      <c r="I10" s="3">
        <f>SUMIF(VENTES[CLIENT],CLIENTS[[#This Row],[DENOMINATION]],VENTES[TTC])</f>
        <v>105</v>
      </c>
      <c r="J10" s="4">
        <f>SUMIF(RGLTS[CLIENT],CLIENTS[[#This Row],[DENOMINATION]],RGLTS[TTC])</f>
        <v>0</v>
      </c>
      <c r="K10" s="3">
        <f>CLIENTS[[#This Row],[SOLDE PREC]]+CLIENTS[[#This Row],[VENTES]]-CLIENTS[[#This Row],[RGLTS]]</f>
        <v>105</v>
      </c>
    </row>
    <row r="11" spans="1:11">
      <c r="A11" t="s">
        <v>23</v>
      </c>
      <c r="H11" s="3">
        <v>0</v>
      </c>
      <c r="I11" s="3">
        <f>SUMIF(VENTES[CLIENT],CLIENTS[[#This Row],[DENOMINATION]],VENTES[TTC])</f>
        <v>126</v>
      </c>
      <c r="J11" s="4">
        <f>SUMIF(RGLTS[CLIENT],CLIENTS[[#This Row],[DENOMINATION]],RGLTS[TTC])</f>
        <v>0</v>
      </c>
      <c r="K11" s="3">
        <f>CLIENTS[[#This Row],[SOLDE PREC]]+CLIENTS[[#This Row],[VENTES]]-CLIENTS[[#This Row],[RGLTS]]</f>
        <v>126</v>
      </c>
    </row>
    <row r="12" spans="1:11">
      <c r="A12" t="s">
        <v>24</v>
      </c>
      <c r="H12" s="3">
        <v>0</v>
      </c>
      <c r="I12" s="3">
        <f>SUMIF(VENTES[CLIENT],CLIENTS[[#This Row],[DENOMINATION]],VENTES[TTC])</f>
        <v>157</v>
      </c>
      <c r="J12" s="4">
        <f>SUMIF(RGLTS[CLIENT],CLIENTS[[#This Row],[DENOMINATION]],RGLTS[TTC])</f>
        <v>0</v>
      </c>
      <c r="K12" s="3">
        <f>CLIENTS[[#This Row],[SOLDE PREC]]+CLIENTS[[#This Row],[VENTES]]-CLIENTS[[#This Row],[RGLTS]]</f>
        <v>157</v>
      </c>
    </row>
    <row r="13" spans="1:11">
      <c r="A13" t="s">
        <v>25</v>
      </c>
      <c r="H13" s="3">
        <v>0</v>
      </c>
      <c r="I13" s="3">
        <f>SUMIF(VENTES[CLIENT],CLIENTS[[#This Row],[DENOMINATION]],VENTES[TTC])</f>
        <v>1640</v>
      </c>
      <c r="J13" s="4">
        <f>SUMIF(RGLTS[CLIENT],CLIENTS[[#This Row],[DENOMINATION]],RGLTS[TTC])</f>
        <v>0</v>
      </c>
      <c r="K13" s="3">
        <f>CLIENTS[[#This Row],[SOLDE PREC]]+CLIENTS[[#This Row],[VENTES]]-CLIENTS[[#This Row],[RGLTS]]</f>
        <v>1640</v>
      </c>
    </row>
    <row r="14" spans="1:11">
      <c r="A14" t="s">
        <v>26</v>
      </c>
      <c r="H14" s="3">
        <v>0</v>
      </c>
      <c r="I14" s="3">
        <f>SUMIF(VENTES[CLIENT],CLIENTS[[#This Row],[DENOMINATION]],VENTES[TTC])</f>
        <v>100</v>
      </c>
      <c r="J14" s="4">
        <f>SUMIF(RGLTS[CLIENT],CLIENTS[[#This Row],[DENOMINATION]],RGLTS[TTC])</f>
        <v>0</v>
      </c>
      <c r="K14" s="3">
        <f>CLIENTS[[#This Row],[SOLDE PREC]]+CLIENTS[[#This Row],[VENTES]]-CLIENTS[[#This Row],[RGLTS]]</f>
        <v>100</v>
      </c>
    </row>
    <row r="15" spans="1:11">
      <c r="A15" t="s">
        <v>27</v>
      </c>
      <c r="H15" s="3">
        <v>0</v>
      </c>
      <c r="I15" s="3">
        <f>SUMIF(VENTES[CLIENT],CLIENTS[[#This Row],[DENOMINATION]],VENTES[TTC])</f>
        <v>6080</v>
      </c>
      <c r="J15" s="4">
        <f>SUMIF(RGLTS[CLIENT],CLIENTS[[#This Row],[DENOMINATION]],RGLTS[TTC])</f>
        <v>0</v>
      </c>
      <c r="K15" s="3">
        <f>CLIENTS[[#This Row],[SOLDE PREC]]+CLIENTS[[#This Row],[VENTES]]-CLIENTS[[#This Row],[RGLTS]]</f>
        <v>6080</v>
      </c>
    </row>
    <row r="16" spans="1:11">
      <c r="A16" t="s">
        <v>28</v>
      </c>
      <c r="H16" s="3">
        <v>0</v>
      </c>
      <c r="I16" s="3">
        <f>SUMIF(VENTES[CLIENT],CLIENTS[[#This Row],[DENOMINATION]],VENTES[TTC])</f>
        <v>3390</v>
      </c>
      <c r="J16" s="4">
        <f>SUMIF(RGLTS[CLIENT],CLIENTS[[#This Row],[DENOMINATION]],RGLTS[TTC])</f>
        <v>0</v>
      </c>
      <c r="K16" s="3">
        <f>CLIENTS[[#This Row],[SOLDE PREC]]+CLIENTS[[#This Row],[VENTES]]-CLIENTS[[#This Row],[RGLTS]]</f>
        <v>3390</v>
      </c>
    </row>
    <row r="17" spans="1:11">
      <c r="A17" t="s">
        <v>29</v>
      </c>
      <c r="H17" s="3">
        <v>0</v>
      </c>
      <c r="I17" s="3">
        <f>SUMIF(VENTES[CLIENT],CLIENTS[[#This Row],[DENOMINATION]],VENTES[TTC])</f>
        <v>6895</v>
      </c>
      <c r="J17" s="4">
        <f>SUMIF(RGLTS[CLIENT],CLIENTS[[#This Row],[DENOMINATION]],RGLTS[TTC])</f>
        <v>0</v>
      </c>
      <c r="K17" s="3">
        <f>CLIENTS[[#This Row],[SOLDE PREC]]+CLIENTS[[#This Row],[VENTES]]-CLIENTS[[#This Row],[RGLTS]]</f>
        <v>6895</v>
      </c>
    </row>
    <row r="18" spans="1:11">
      <c r="A18" t="s">
        <v>30</v>
      </c>
      <c r="H18" s="3">
        <v>0</v>
      </c>
      <c r="I18" s="3">
        <f>SUMIF(VENTES[CLIENT],CLIENTS[[#This Row],[DENOMINATION]],VENTES[TTC])</f>
        <v>350</v>
      </c>
      <c r="J18" s="4">
        <f>SUMIF(RGLTS[CLIENT],CLIENTS[[#This Row],[DENOMINATION]],RGLTS[TTC])</f>
        <v>0</v>
      </c>
      <c r="K18" s="3">
        <f>CLIENTS[[#This Row],[SOLDE PREC]]+CLIENTS[[#This Row],[VENTES]]-CLIENTS[[#This Row],[RGLTS]]</f>
        <v>350</v>
      </c>
    </row>
    <row r="19" spans="1:11">
      <c r="A19" t="s">
        <v>31</v>
      </c>
      <c r="H19" s="3">
        <v>0</v>
      </c>
      <c r="I19" s="3">
        <f>SUMIF(VENTES[CLIENT],CLIENTS[[#This Row],[DENOMINATION]],VENTES[TTC])</f>
        <v>793</v>
      </c>
      <c r="J19" s="4">
        <f>SUMIF(RGLTS[CLIENT],CLIENTS[[#This Row],[DENOMINATION]],RGLTS[TTC])</f>
        <v>0</v>
      </c>
      <c r="K19" s="3">
        <f>CLIENTS[[#This Row],[SOLDE PREC]]+CLIENTS[[#This Row],[VENTES]]-CLIENTS[[#This Row],[RGLTS]]</f>
        <v>793</v>
      </c>
    </row>
    <row r="20" spans="1:11">
      <c r="A20" t="s">
        <v>32</v>
      </c>
      <c r="H20" s="3">
        <v>0</v>
      </c>
      <c r="I20" s="3">
        <f>SUMIF(VENTES[CLIENT],CLIENTS[[#This Row],[DENOMINATION]],VENTES[TTC])</f>
        <v>936</v>
      </c>
      <c r="J20" s="4">
        <f>SUMIF(RGLTS[CLIENT],CLIENTS[[#This Row],[DENOMINATION]],RGLTS[TTC])</f>
        <v>0</v>
      </c>
      <c r="K20" s="3">
        <f>CLIENTS[[#This Row],[SOLDE PREC]]+CLIENTS[[#This Row],[VENTES]]-CLIENTS[[#This Row],[RGLTS]]</f>
        <v>936</v>
      </c>
    </row>
    <row r="21" spans="1:11">
      <c r="A21" t="s">
        <v>33</v>
      </c>
      <c r="H21" s="3">
        <v>100</v>
      </c>
      <c r="I21" s="3">
        <f>SUMIF(VENTES[CLIENT],CLIENTS[[#This Row],[DENOMINATION]],VENTES[TTC])</f>
        <v>90</v>
      </c>
      <c r="J21" s="4">
        <f>SUMIF(RGLTS[CLIENT],CLIENTS[[#This Row],[DENOMINATION]],RGLTS[TTC])</f>
        <v>0</v>
      </c>
      <c r="K21" s="3">
        <f>CLIENTS[[#This Row],[SOLDE PREC]]+CLIENTS[[#This Row],[VENTES]]-CLIENTS[[#This Row],[RGLTS]]</f>
        <v>190</v>
      </c>
    </row>
    <row r="22" spans="1:11">
      <c r="A22" t="s">
        <v>34</v>
      </c>
      <c r="H22" s="3">
        <v>0</v>
      </c>
      <c r="I22" s="3">
        <f>SUMIF(VENTES[CLIENT],CLIENTS[[#This Row],[DENOMINATION]],VENTES[TTC])</f>
        <v>140</v>
      </c>
      <c r="J22" s="4">
        <f>SUMIF(RGLTS[CLIENT],CLIENTS[[#This Row],[DENOMINATION]],RGLTS[TTC])</f>
        <v>0</v>
      </c>
      <c r="K22" s="3">
        <f>CLIENTS[[#This Row],[SOLDE PREC]]+CLIENTS[[#This Row],[VENTES]]-CLIENTS[[#This Row],[RGLTS]]</f>
        <v>140</v>
      </c>
    </row>
    <row r="23" spans="1:11">
      <c r="A23" t="s">
        <v>35</v>
      </c>
      <c r="H23" s="3">
        <v>0</v>
      </c>
      <c r="I23" s="3">
        <f>SUMIF(VENTES[CLIENT],CLIENTS[[#This Row],[DENOMINATION]],VENTES[TTC])</f>
        <v>3445</v>
      </c>
      <c r="J23" s="4">
        <f>SUMIF(RGLTS[CLIENT],CLIENTS[[#This Row],[DENOMINATION]],RGLTS[TTC])</f>
        <v>0</v>
      </c>
      <c r="K23" s="3">
        <f>CLIENTS[[#This Row],[SOLDE PREC]]+CLIENTS[[#This Row],[VENTES]]-CLIENTS[[#This Row],[RGLTS]]</f>
        <v>3445</v>
      </c>
    </row>
    <row r="24" spans="1:11">
      <c r="A24" t="s">
        <v>36</v>
      </c>
      <c r="H24" s="3">
        <v>0</v>
      </c>
      <c r="I24" s="3">
        <f>SUMIF(VENTES[CLIENT],CLIENTS[[#This Row],[DENOMINATION]],VENTES[TTC])</f>
        <v>6155.76</v>
      </c>
      <c r="J24" s="4">
        <f>SUMIF(RGLTS[CLIENT],CLIENTS[[#This Row],[DENOMINATION]],RGLTS[TTC])</f>
        <v>3000</v>
      </c>
      <c r="K24" s="3">
        <f>CLIENTS[[#This Row],[SOLDE PREC]]+CLIENTS[[#This Row],[VENTES]]-CLIENTS[[#This Row],[RGLTS]]</f>
        <v>3155.76</v>
      </c>
    </row>
    <row r="25" spans="1:11">
      <c r="A25" t="s">
        <v>37</v>
      </c>
      <c r="H25" s="3">
        <v>0</v>
      </c>
      <c r="I25" s="3">
        <f>SUMIF(VENTES[CLIENT],CLIENTS[[#This Row],[DENOMINATION]],VENTES[TTC])</f>
        <v>275.33</v>
      </c>
      <c r="J25" s="4">
        <f>SUMIF(RGLTS[CLIENT],CLIENTS[[#This Row],[DENOMINATION]],RGLTS[TTC])</f>
        <v>0</v>
      </c>
      <c r="K25" s="3">
        <f>CLIENTS[[#This Row],[SOLDE PREC]]+CLIENTS[[#This Row],[VENTES]]-CLIENTS[[#This Row],[RGLTS]]</f>
        <v>275.33</v>
      </c>
    </row>
    <row r="26" spans="1:11">
      <c r="A26" t="s">
        <v>38</v>
      </c>
      <c r="H26" s="3">
        <v>0</v>
      </c>
      <c r="I26" s="3">
        <f>SUMIF(VENTES[CLIENT],CLIENTS[[#This Row],[DENOMINATION]],VENTES[TTC])</f>
        <v>10838</v>
      </c>
      <c r="J26" s="4">
        <f>SUMIF(RGLTS[CLIENT],CLIENTS[[#This Row],[DENOMINATION]],RGLTS[TTC])</f>
        <v>0</v>
      </c>
      <c r="K26" s="3">
        <f>CLIENTS[[#This Row],[SOLDE PREC]]+CLIENTS[[#This Row],[VENTES]]-CLIENTS[[#This Row],[RGLTS]]</f>
        <v>10838</v>
      </c>
    </row>
    <row r="27" spans="1:11">
      <c r="A27" t="s">
        <v>39</v>
      </c>
      <c r="H27" s="3">
        <v>0</v>
      </c>
      <c r="I27" s="3">
        <f>SUMIF(VENTES[CLIENT],CLIENTS[[#This Row],[DENOMINATION]],VENTES[TTC])</f>
        <v>3207.33</v>
      </c>
      <c r="J27" s="4">
        <f>SUMIF(RGLTS[CLIENT],CLIENTS[[#This Row],[DENOMINATION]],RGLTS[TTC])</f>
        <v>0</v>
      </c>
      <c r="K27" s="3">
        <f>CLIENTS[[#This Row],[SOLDE PREC]]+CLIENTS[[#This Row],[VENTES]]-CLIENTS[[#This Row],[RGLTS]]</f>
        <v>3207.33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 enableFormatConditionsCalculation="0">
    <tabColor theme="5" tint="0.39997558519241921"/>
  </sheetPr>
  <dimension ref="A1:K43"/>
  <sheetViews>
    <sheetView showGridLines="0" workbookViewId="0">
      <selection activeCell="C19" sqref="C19"/>
    </sheetView>
  </sheetViews>
  <sheetFormatPr baseColWidth="10" defaultColWidth="10.83203125" defaultRowHeight="14" x14ac:dyDescent="0"/>
  <cols>
    <col min="1" max="1" width="11" style="32" bestFit="1" customWidth="1"/>
    <col min="2" max="2" width="18.83203125" style="32" bestFit="1" customWidth="1"/>
    <col min="3" max="3" width="14" style="32" bestFit="1" customWidth="1"/>
    <col min="4" max="7" width="13.33203125" style="32" customWidth="1"/>
    <col min="8" max="8" width="16" style="32" bestFit="1" customWidth="1"/>
    <col min="9" max="9" width="16.5" style="32" bestFit="1" customWidth="1"/>
    <col min="10" max="10" width="10.83203125" style="32"/>
    <col min="11" max="16384" width="10.83203125" style="31"/>
  </cols>
  <sheetData>
    <row r="1" spans="1:11" s="51" customFormat="1" ht="21" customHeight="1">
      <c r="A1" s="53" t="s">
        <v>6</v>
      </c>
      <c r="B1" s="53" t="s">
        <v>104</v>
      </c>
      <c r="C1" s="53" t="s">
        <v>103</v>
      </c>
      <c r="D1" s="53" t="s">
        <v>1</v>
      </c>
      <c r="E1" s="53" t="s">
        <v>102</v>
      </c>
      <c r="F1" s="53" t="s">
        <v>8</v>
      </c>
      <c r="G1" s="53" t="s">
        <v>121</v>
      </c>
      <c r="H1" s="53" t="s">
        <v>101</v>
      </c>
      <c r="I1" s="53" t="s">
        <v>100</v>
      </c>
      <c r="J1" s="52"/>
      <c r="K1" s="52"/>
    </row>
    <row r="2" spans="1:11" ht="18.75" customHeight="1">
      <c r="A2" s="41">
        <v>43850</v>
      </c>
      <c r="B2" s="40" t="s">
        <v>99</v>
      </c>
      <c r="C2" s="41" t="s">
        <v>98</v>
      </c>
      <c r="D2" s="44">
        <v>631.65</v>
      </c>
      <c r="E2" s="44">
        <v>1.44</v>
      </c>
      <c r="F2" s="36">
        <f t="shared" ref="F2:F43" si="0">D2+E2</f>
        <v>633.09</v>
      </c>
      <c r="G2" s="36"/>
      <c r="H2" s="65">
        <v>43955</v>
      </c>
      <c r="I2" s="35" t="str">
        <f>INDEX(FOURNISSEURS[CATEGORIE],MATCH(ACHATS[[#This Row],[FOURNISSEUR]],FOURNISSEURS[DENOMINATION],0))</f>
        <v>PEINTURE</v>
      </c>
      <c r="J2" s="49"/>
      <c r="K2" s="50"/>
    </row>
    <row r="3" spans="1:11" ht="18.75" customHeight="1">
      <c r="A3" s="41">
        <v>43850</v>
      </c>
      <c r="B3" s="40" t="s">
        <v>97</v>
      </c>
      <c r="C3" s="41" t="s">
        <v>96</v>
      </c>
      <c r="D3" s="44">
        <v>152.71</v>
      </c>
      <c r="E3" s="44"/>
      <c r="F3" s="36">
        <f t="shared" si="0"/>
        <v>152.71</v>
      </c>
      <c r="G3" s="36"/>
      <c r="H3" s="65">
        <v>43924</v>
      </c>
      <c r="I3" s="35" t="str">
        <f>INDEX(FOURNISSEURS[CATEGORIE],MATCH(ACHATS[[#This Row],[FOURNISSEUR]],FOURNISSEURS[DENOMINATION],0))</f>
        <v>PEINTURE</v>
      </c>
      <c r="J3" s="49"/>
      <c r="K3" s="50"/>
    </row>
    <row r="4" spans="1:11" ht="18.75" customHeight="1">
      <c r="A4" s="41">
        <v>43858</v>
      </c>
      <c r="B4" s="40" t="s">
        <v>95</v>
      </c>
      <c r="C4" s="41" t="s">
        <v>94</v>
      </c>
      <c r="D4" s="44">
        <v>76.39</v>
      </c>
      <c r="E4" s="44"/>
      <c r="F4" s="36">
        <f t="shared" si="0"/>
        <v>76.39</v>
      </c>
      <c r="G4" s="36"/>
      <c r="H4" s="65">
        <v>43892</v>
      </c>
      <c r="I4" s="35" t="str">
        <f>INDEX(FOURNISSEURS[CATEGORIE],MATCH(ACHATS[[#This Row],[FOURNISSEUR]],FOURNISSEURS[DENOMINATION],0))</f>
        <v>PEINTURE</v>
      </c>
      <c r="J4" s="49"/>
      <c r="K4" s="50"/>
    </row>
    <row r="5" spans="1:11" ht="18.75" customHeight="1">
      <c r="A5" s="41">
        <v>43861</v>
      </c>
      <c r="B5" s="40" t="s">
        <v>93</v>
      </c>
      <c r="C5" s="41" t="s">
        <v>92</v>
      </c>
      <c r="D5" s="44">
        <v>1319.8</v>
      </c>
      <c r="E5" s="44">
        <v>200</v>
      </c>
      <c r="F5" s="36">
        <f t="shared" si="0"/>
        <v>1519.8</v>
      </c>
      <c r="G5" s="36" t="s">
        <v>125</v>
      </c>
      <c r="H5" s="65">
        <v>43924</v>
      </c>
      <c r="I5" s="35" t="str">
        <f>INDEX(FOURNISSEURS[CATEGORIE],MATCH(ACHATS[[#This Row],[FOURNISSEUR]],FOURNISSEURS[DENOMINATION],0))</f>
        <v>PEINTURE</v>
      </c>
      <c r="J5" s="49"/>
      <c r="K5" s="49"/>
    </row>
    <row r="6" spans="1:11" ht="18.75" customHeight="1">
      <c r="A6" s="41">
        <v>43861</v>
      </c>
      <c r="B6" s="40" t="s">
        <v>91</v>
      </c>
      <c r="C6" s="41" t="s">
        <v>90</v>
      </c>
      <c r="D6" s="36">
        <v>145.21</v>
      </c>
      <c r="E6" s="44">
        <v>12.34</v>
      </c>
      <c r="F6" s="36">
        <f t="shared" si="0"/>
        <v>157.55000000000001</v>
      </c>
      <c r="G6" s="36"/>
      <c r="H6" s="65">
        <v>43891</v>
      </c>
      <c r="I6" s="35" t="str">
        <f>INDEX(FOURNISSEURS[CATEGORIE],MATCH(ACHATS[[#This Row],[FOURNISSEUR]],FOURNISSEURS[DENOMINATION],0))</f>
        <v>PEINTURE</v>
      </c>
      <c r="J6" s="49"/>
      <c r="K6" s="49"/>
    </row>
    <row r="7" spans="1:11" ht="15" customHeight="1">
      <c r="A7" s="41">
        <v>43865</v>
      </c>
      <c r="B7" s="40" t="s">
        <v>89</v>
      </c>
      <c r="C7" s="41" t="s">
        <v>88</v>
      </c>
      <c r="D7" s="36">
        <v>46.05</v>
      </c>
      <c r="E7" s="36">
        <v>3.91</v>
      </c>
      <c r="F7" s="36">
        <f t="shared" si="0"/>
        <v>49.959999999999994</v>
      </c>
      <c r="G7" s="36"/>
      <c r="H7" s="66">
        <v>43894</v>
      </c>
      <c r="I7" s="45" t="str">
        <f>INDEX(FOURNISSEURS[CATEGORIE],MATCH(ACHATS[[#This Row],[FOURNISSEUR]],FOURNISSEURS[DENOMINATION],0))</f>
        <v>PEINTURE</v>
      </c>
      <c r="J7" s="48"/>
      <c r="K7" s="48"/>
    </row>
    <row r="8" spans="1:11" ht="15" customHeight="1">
      <c r="A8" s="41">
        <v>43865</v>
      </c>
      <c r="B8" s="40" t="s">
        <v>87</v>
      </c>
      <c r="C8" s="41" t="s">
        <v>86</v>
      </c>
      <c r="D8" s="44">
        <v>89.89</v>
      </c>
      <c r="E8" s="44"/>
      <c r="F8" s="36">
        <f t="shared" si="0"/>
        <v>89.89</v>
      </c>
      <c r="G8" s="36"/>
      <c r="H8" s="66">
        <v>43894</v>
      </c>
      <c r="I8" s="45" t="str">
        <f>INDEX(FOURNISSEURS[CATEGORIE],MATCH(ACHATS[[#This Row],[FOURNISSEUR]],FOURNISSEURS[DENOMINATION],0))</f>
        <v>PEINTURE</v>
      </c>
      <c r="J8" s="43"/>
      <c r="K8" s="47"/>
    </row>
    <row r="9" spans="1:11" ht="18.75" customHeight="1">
      <c r="A9" s="41">
        <v>43878</v>
      </c>
      <c r="B9" s="40" t="s">
        <v>85</v>
      </c>
      <c r="C9" s="41" t="s">
        <v>84</v>
      </c>
      <c r="D9" s="44">
        <v>-289.44</v>
      </c>
      <c r="E9" s="44"/>
      <c r="F9" s="36">
        <f t="shared" si="0"/>
        <v>-289.44</v>
      </c>
      <c r="G9" s="36"/>
      <c r="H9" s="66">
        <v>44114</v>
      </c>
      <c r="I9" s="45" t="str">
        <f>INDEX(FOURNISSEURS[CATEGORIE],MATCH(ACHATS[[#This Row],[FOURNISSEUR]],FOURNISSEURS[DENOMINATION],0))</f>
        <v>PEINTURE</v>
      </c>
      <c r="J9" s="46"/>
      <c r="K9" s="42"/>
    </row>
    <row r="10" spans="1:11" ht="18.75" customHeight="1">
      <c r="A10" s="41">
        <v>43889</v>
      </c>
      <c r="B10" s="40" t="s">
        <v>83</v>
      </c>
      <c r="C10" s="41" t="s">
        <v>82</v>
      </c>
      <c r="D10" s="44">
        <v>325.27</v>
      </c>
      <c r="E10" s="44"/>
      <c r="F10" s="36">
        <f t="shared" si="0"/>
        <v>325.27</v>
      </c>
      <c r="G10" s="36"/>
      <c r="H10" s="66">
        <v>43922</v>
      </c>
      <c r="I10" s="45" t="str">
        <f>INDEX(FOURNISSEURS[CATEGORIE],MATCH(ACHATS[[#This Row],[FOURNISSEUR]],FOURNISSEURS[DENOMINATION],0))</f>
        <v>PEINTURE</v>
      </c>
      <c r="J10" s="43"/>
      <c r="K10" s="42"/>
    </row>
    <row r="11" spans="1:11" ht="18.75" customHeight="1">
      <c r="A11" s="41">
        <v>43902</v>
      </c>
      <c r="B11" s="40" t="s">
        <v>81</v>
      </c>
      <c r="C11" s="41"/>
      <c r="D11" s="36">
        <v>20.05</v>
      </c>
      <c r="E11" s="36">
        <v>1.7</v>
      </c>
      <c r="F11" s="36">
        <f t="shared" si="0"/>
        <v>21.75</v>
      </c>
      <c r="G11" s="36"/>
      <c r="H11" s="66">
        <v>43922</v>
      </c>
      <c r="I11" s="45" t="str">
        <f>INDEX(FOURNISSEURS[CATEGORIE],MATCH(ACHATS[[#This Row],[FOURNISSEUR]],FOURNISSEURS[DENOMINATION],0))</f>
        <v>PEINTURE</v>
      </c>
      <c r="J11" s="43"/>
      <c r="K11" s="42"/>
    </row>
    <row r="12" spans="1:11" ht="18.75" customHeight="1">
      <c r="A12" s="41">
        <v>43902</v>
      </c>
      <c r="B12" s="40" t="s">
        <v>65</v>
      </c>
      <c r="C12" s="41"/>
      <c r="D12" s="44">
        <v>646.65</v>
      </c>
      <c r="E12" s="44"/>
      <c r="F12" s="36">
        <f t="shared" si="0"/>
        <v>646.65</v>
      </c>
      <c r="G12" s="36"/>
      <c r="H12" s="65"/>
      <c r="I12" s="35" t="str">
        <f>INDEX(FOURNISSEURS[CATEGORIE],MATCH(ACHATS[[#This Row],[FOURNISSEUR]],FOURNISSEURS[DENOMINATION],0))</f>
        <v>PEINTURE</v>
      </c>
      <c r="J12" s="43"/>
      <c r="K12" s="42"/>
    </row>
    <row r="13" spans="1:11" ht="15" customHeight="1">
      <c r="A13" s="41">
        <v>43956</v>
      </c>
      <c r="B13" s="40" t="s">
        <v>65</v>
      </c>
      <c r="C13" s="41"/>
      <c r="D13" s="36">
        <v>201.22</v>
      </c>
      <c r="E13" s="36">
        <v>17.100000000000001</v>
      </c>
      <c r="F13" s="36">
        <f t="shared" si="0"/>
        <v>218.32</v>
      </c>
      <c r="G13" s="36"/>
      <c r="H13" s="66"/>
      <c r="I13" s="45" t="str">
        <f>INDEX(FOURNISSEURS[CATEGORIE],MATCH(ACHATS[[#This Row],[FOURNISSEUR]],FOURNISSEURS[DENOMINATION],0))</f>
        <v>PEINTURE</v>
      </c>
      <c r="J13" s="43"/>
      <c r="K13" s="42"/>
    </row>
    <row r="14" spans="1:11" ht="15.75" customHeight="1">
      <c r="A14" s="41">
        <v>43962</v>
      </c>
      <c r="B14" s="40" t="s">
        <v>65</v>
      </c>
      <c r="C14" s="41"/>
      <c r="D14" s="36">
        <v>24.78</v>
      </c>
      <c r="E14" s="36"/>
      <c r="F14" s="36">
        <f t="shared" si="0"/>
        <v>24.78</v>
      </c>
      <c r="G14" s="36"/>
      <c r="H14" s="66"/>
      <c r="I14" s="45" t="str">
        <f>INDEX(FOURNISSEURS[CATEGORIE],MATCH(ACHATS[[#This Row],[FOURNISSEUR]],FOURNISSEURS[DENOMINATION],0))</f>
        <v>PEINTURE</v>
      </c>
      <c r="J14" s="43"/>
      <c r="K14" s="42"/>
    </row>
    <row r="15" spans="1:11" ht="15" customHeight="1">
      <c r="A15" s="41">
        <v>43965</v>
      </c>
      <c r="B15" s="40" t="s">
        <v>65</v>
      </c>
      <c r="C15" s="41"/>
      <c r="D15" s="36">
        <v>179.78</v>
      </c>
      <c r="E15" s="36"/>
      <c r="F15" s="36">
        <f t="shared" si="0"/>
        <v>179.78</v>
      </c>
      <c r="G15" s="36"/>
      <c r="H15" s="66"/>
      <c r="I15" s="45" t="str">
        <f>INDEX(FOURNISSEURS[CATEGORIE],MATCH(ACHATS[[#This Row],[FOURNISSEUR]],FOURNISSEURS[DENOMINATION],0))</f>
        <v>PEINTURE</v>
      </c>
      <c r="J15" s="43"/>
      <c r="K15" s="42"/>
    </row>
    <row r="16" spans="1:11" ht="15" customHeight="1">
      <c r="A16" s="41">
        <v>43980</v>
      </c>
      <c r="B16" s="40" t="s">
        <v>65</v>
      </c>
      <c r="C16" s="41"/>
      <c r="D16" s="36">
        <v>0</v>
      </c>
      <c r="E16" s="36"/>
      <c r="F16" s="36">
        <f t="shared" si="0"/>
        <v>0</v>
      </c>
      <c r="G16" s="36"/>
      <c r="H16" s="66"/>
      <c r="I16" s="45" t="str">
        <f>INDEX(FOURNISSEURS[CATEGORIE],MATCH(ACHATS[[#This Row],[FOURNISSEUR]],FOURNISSEURS[DENOMINATION],0))</f>
        <v>PEINTURE</v>
      </c>
      <c r="J16" s="43"/>
      <c r="K16" s="42"/>
    </row>
    <row r="17" spans="1:11" ht="15" customHeight="1">
      <c r="A17" s="41">
        <v>43980</v>
      </c>
      <c r="B17" s="40" t="s">
        <v>65</v>
      </c>
      <c r="C17" s="41"/>
      <c r="D17" s="36">
        <v>67.319999999999993</v>
      </c>
      <c r="E17" s="36"/>
      <c r="F17" s="36">
        <f t="shared" si="0"/>
        <v>67.319999999999993</v>
      </c>
      <c r="G17" s="36"/>
      <c r="H17" s="66"/>
      <c r="I17" s="45" t="str">
        <f>INDEX(FOURNISSEURS[CATEGORIE],MATCH(ACHATS[[#This Row],[FOURNISSEUR]],FOURNISSEURS[DENOMINATION],0))</f>
        <v>PEINTURE</v>
      </c>
      <c r="J17" s="43"/>
      <c r="K17" s="42"/>
    </row>
    <row r="18" spans="1:11" ht="15.75" customHeight="1">
      <c r="A18" s="41">
        <v>43981</v>
      </c>
      <c r="B18" s="40" t="s">
        <v>65</v>
      </c>
      <c r="C18" s="41"/>
      <c r="D18" s="36">
        <v>531.15</v>
      </c>
      <c r="E18" s="36"/>
      <c r="F18" s="36">
        <f t="shared" si="0"/>
        <v>531.15</v>
      </c>
      <c r="G18" s="36"/>
      <c r="H18" s="66"/>
      <c r="I18" s="45" t="str">
        <f>INDEX(FOURNISSEURS[CATEGORIE],MATCH(ACHATS[[#This Row],[FOURNISSEUR]],FOURNISSEURS[DENOMINATION],0))</f>
        <v>PEINTURE</v>
      </c>
      <c r="J18" s="43"/>
      <c r="K18" s="42"/>
    </row>
    <row r="19" spans="1:11" ht="15" customHeight="1">
      <c r="A19" s="41">
        <v>43991</v>
      </c>
      <c r="B19" s="40" t="s">
        <v>65</v>
      </c>
      <c r="C19" s="41"/>
      <c r="D19" s="36">
        <v>2807.25</v>
      </c>
      <c r="E19" s="36"/>
      <c r="F19" s="36">
        <f t="shared" si="0"/>
        <v>2807.25</v>
      </c>
      <c r="G19" s="36"/>
      <c r="H19" s="66"/>
      <c r="I19" s="45" t="str">
        <f>INDEX(FOURNISSEURS[CATEGORIE],MATCH(ACHATS[[#This Row],[FOURNISSEUR]],FOURNISSEURS[DENOMINATION],0))</f>
        <v>PEINTURE</v>
      </c>
      <c r="J19" s="43"/>
      <c r="K19" s="42"/>
    </row>
    <row r="20" spans="1:11" ht="15" customHeight="1">
      <c r="A20" s="41">
        <v>43998</v>
      </c>
      <c r="B20" s="40" t="s">
        <v>65</v>
      </c>
      <c r="C20" s="41"/>
      <c r="D20" s="36">
        <v>728.55</v>
      </c>
      <c r="E20" s="36"/>
      <c r="F20" s="36">
        <f t="shared" si="0"/>
        <v>728.55</v>
      </c>
      <c r="G20" s="36"/>
      <c r="H20" s="66"/>
      <c r="I20" s="45" t="str">
        <f>INDEX(FOURNISSEURS[CATEGORIE],MATCH(ACHATS[[#This Row],[FOURNISSEUR]],FOURNISSEURS[DENOMINATION],0))</f>
        <v>PEINTURE</v>
      </c>
      <c r="J20" s="43"/>
      <c r="K20" s="42"/>
    </row>
    <row r="21" spans="1:11" ht="15" customHeight="1">
      <c r="A21" s="41">
        <v>43998</v>
      </c>
      <c r="B21" s="40" t="s">
        <v>80</v>
      </c>
      <c r="C21" s="41"/>
      <c r="D21" s="44">
        <v>364.27</v>
      </c>
      <c r="E21" s="44"/>
      <c r="F21" s="36">
        <f t="shared" si="0"/>
        <v>364.27</v>
      </c>
      <c r="G21" s="36"/>
      <c r="H21" s="65"/>
      <c r="I21" s="35" t="str">
        <f>INDEX(FOURNISSEURS[CATEGORIE],MATCH(ACHATS[[#This Row],[FOURNISSEUR]],FOURNISSEURS[DENOMINATION],0))</f>
        <v>PEINTURE</v>
      </c>
      <c r="J21" s="43"/>
      <c r="K21" s="42"/>
    </row>
    <row r="22" spans="1:11" ht="15" customHeight="1">
      <c r="A22" s="41">
        <v>43998</v>
      </c>
      <c r="B22" s="40" t="s">
        <v>79</v>
      </c>
      <c r="C22" s="41"/>
      <c r="D22" s="38">
        <v>153.81</v>
      </c>
      <c r="E22" s="38">
        <v>13.07</v>
      </c>
      <c r="F22" s="36">
        <f t="shared" si="0"/>
        <v>166.88</v>
      </c>
      <c r="G22" s="36"/>
      <c r="H22" s="67"/>
      <c r="I22" s="34" t="str">
        <f>INDEX(FOURNISSEURS[CATEGORIE],MATCH(ACHATS[[#This Row],[FOURNISSEUR]],FOURNISSEURS[DENOMINATION],0))</f>
        <v>PEINTURE</v>
      </c>
      <c r="J22" s="43"/>
      <c r="K22" s="42"/>
    </row>
    <row r="23" spans="1:11" ht="15" customHeight="1">
      <c r="A23" s="41">
        <v>43998</v>
      </c>
      <c r="B23" s="40" t="s">
        <v>78</v>
      </c>
      <c r="C23" s="41"/>
      <c r="D23" s="36">
        <v>46.05</v>
      </c>
      <c r="E23" s="44">
        <v>3.91</v>
      </c>
      <c r="F23" s="36">
        <f t="shared" si="0"/>
        <v>49.959999999999994</v>
      </c>
      <c r="G23" s="36"/>
      <c r="H23" s="65"/>
      <c r="I23" s="35" t="str">
        <f>INDEX(FOURNISSEURS[CATEGORIE],MATCH(ACHATS[[#This Row],[FOURNISSEUR]],FOURNISSEURS[DENOMINATION],0))</f>
        <v>PEINTURE</v>
      </c>
      <c r="J23" s="43"/>
      <c r="K23" s="42"/>
    </row>
    <row r="24" spans="1:11" ht="15" customHeight="1">
      <c r="A24" s="41">
        <v>43998</v>
      </c>
      <c r="B24" s="40" t="s">
        <v>77</v>
      </c>
      <c r="C24" s="41"/>
      <c r="D24" s="38">
        <v>47.1</v>
      </c>
      <c r="E24" s="38"/>
      <c r="F24" s="36">
        <f t="shared" si="0"/>
        <v>47.1</v>
      </c>
      <c r="G24" s="36"/>
      <c r="H24" s="67"/>
      <c r="I24" s="34" t="str">
        <f>INDEX(FOURNISSEURS[CATEGORIE],MATCH(ACHATS[[#This Row],[FOURNISSEUR]],FOURNISSEURS[DENOMINATION],0))</f>
        <v>PEINTURE</v>
      </c>
      <c r="J24" s="43"/>
      <c r="K24" s="42"/>
    </row>
    <row r="25" spans="1:11" ht="15" customHeight="1">
      <c r="A25" s="41">
        <v>44000</v>
      </c>
      <c r="B25" s="40" t="s">
        <v>76</v>
      </c>
      <c r="C25" s="41"/>
      <c r="D25" s="44">
        <v>1285.44</v>
      </c>
      <c r="E25" s="44"/>
      <c r="F25" s="36">
        <f t="shared" si="0"/>
        <v>1285.44</v>
      </c>
      <c r="G25" s="36"/>
      <c r="H25" s="65"/>
      <c r="I25" s="35" t="str">
        <f>INDEX(FOURNISSEURS[CATEGORIE],MATCH(ACHATS[[#This Row],[FOURNISSEUR]],FOURNISSEURS[DENOMINATION],0))</f>
        <v>PEINTURE</v>
      </c>
      <c r="J25" s="43"/>
      <c r="K25" s="42"/>
    </row>
    <row r="26" spans="1:11" ht="15" customHeight="1">
      <c r="A26" s="41">
        <v>44020</v>
      </c>
      <c r="B26" s="40" t="s">
        <v>75</v>
      </c>
      <c r="C26" s="41"/>
      <c r="D26" s="36">
        <v>1044.5999999999999</v>
      </c>
      <c r="E26" s="44"/>
      <c r="F26" s="36">
        <f t="shared" si="0"/>
        <v>1044.5999999999999</v>
      </c>
      <c r="G26" s="36"/>
      <c r="H26" s="65"/>
      <c r="I26" s="35" t="str">
        <f>INDEX(FOURNISSEURS[CATEGORIE],MATCH(ACHATS[[#This Row],[FOURNISSEUR]],FOURNISSEURS[DENOMINATION],0))</f>
        <v>PEINTURE</v>
      </c>
      <c r="J26" s="43"/>
      <c r="K26" s="42"/>
    </row>
    <row r="27" spans="1:11" ht="15" customHeight="1">
      <c r="A27" s="41">
        <v>44039</v>
      </c>
      <c r="B27" s="40" t="s">
        <v>74</v>
      </c>
      <c r="C27" s="41"/>
      <c r="D27" s="44">
        <v>474.59</v>
      </c>
      <c r="E27" s="44"/>
      <c r="F27" s="36">
        <f t="shared" si="0"/>
        <v>474.59</v>
      </c>
      <c r="G27" s="36"/>
      <c r="H27" s="65"/>
      <c r="I27" s="35" t="str">
        <f>INDEX(FOURNISSEURS[CATEGORIE],MATCH(ACHATS[[#This Row],[FOURNISSEUR]],FOURNISSEURS[DENOMINATION],0))</f>
        <v>PEINTURE</v>
      </c>
      <c r="J27" s="43"/>
      <c r="K27" s="42"/>
    </row>
    <row r="28" spans="1:11" ht="15" customHeight="1">
      <c r="A28" s="41">
        <v>44041</v>
      </c>
      <c r="B28" s="40" t="s">
        <v>73</v>
      </c>
      <c r="C28" s="41"/>
      <c r="D28" s="38">
        <v>179.78</v>
      </c>
      <c r="E28" s="38"/>
      <c r="F28" s="36">
        <f t="shared" si="0"/>
        <v>179.78</v>
      </c>
      <c r="G28" s="36"/>
      <c r="H28" s="67"/>
      <c r="I28" s="34" t="str">
        <f>INDEX(FOURNISSEURS[CATEGORIE],MATCH(ACHATS[[#This Row],[FOURNISSEUR]],FOURNISSEURS[DENOMINATION],0))</f>
        <v>PEINTURE</v>
      </c>
      <c r="J28" s="43"/>
      <c r="K28" s="42"/>
    </row>
    <row r="29" spans="1:11" ht="15" customHeight="1">
      <c r="A29" s="41">
        <v>44043</v>
      </c>
      <c r="B29" s="40" t="s">
        <v>72</v>
      </c>
      <c r="C29" s="41"/>
      <c r="D29" s="38">
        <v>108.43</v>
      </c>
      <c r="E29" s="38"/>
      <c r="F29" s="36">
        <f t="shared" si="0"/>
        <v>108.43</v>
      </c>
      <c r="G29" s="36"/>
      <c r="H29" s="67"/>
      <c r="I29" s="34" t="str">
        <f>INDEX(FOURNISSEURS[CATEGORIE],MATCH(ACHATS[[#This Row],[FOURNISSEUR]],FOURNISSEURS[DENOMINATION],0))</f>
        <v>PEINTURE</v>
      </c>
      <c r="J29" s="43"/>
      <c r="K29" s="42"/>
    </row>
    <row r="30" spans="1:11" ht="15" customHeight="1">
      <c r="A30" s="41">
        <v>44047</v>
      </c>
      <c r="B30" s="40" t="s">
        <v>71</v>
      </c>
      <c r="C30" s="41"/>
      <c r="D30" s="38">
        <v>115.06</v>
      </c>
      <c r="E30" s="38"/>
      <c r="F30" s="36">
        <f t="shared" si="0"/>
        <v>115.06</v>
      </c>
      <c r="G30" s="36"/>
      <c r="H30" s="67"/>
      <c r="I30" s="34" t="str">
        <f>INDEX(FOURNISSEURS[CATEGORIE],MATCH(ACHATS[[#This Row],[FOURNISSEUR]],FOURNISSEURS[DENOMINATION],0))</f>
        <v>PEINTURE</v>
      </c>
      <c r="J30" s="43"/>
      <c r="K30" s="42"/>
    </row>
    <row r="31" spans="1:11">
      <c r="A31" s="41">
        <v>44054</v>
      </c>
      <c r="B31" s="40" t="s">
        <v>70</v>
      </c>
      <c r="C31" s="41"/>
      <c r="D31" s="38">
        <v>1515.45</v>
      </c>
      <c r="E31" s="38"/>
      <c r="F31" s="36">
        <f t="shared" si="0"/>
        <v>1515.45</v>
      </c>
      <c r="G31" s="36"/>
      <c r="H31" s="67"/>
      <c r="I31" s="34" t="str">
        <f>INDEX(FOURNISSEURS[CATEGORIE],MATCH(ACHATS[[#This Row],[FOURNISSEUR]],FOURNISSEURS[DENOMINATION],0))</f>
        <v>PEINTURE</v>
      </c>
      <c r="J31" s="43"/>
      <c r="K31" s="42"/>
    </row>
    <row r="32" spans="1:11" ht="15" customHeight="1">
      <c r="A32" s="41">
        <v>44064</v>
      </c>
      <c r="B32" s="40" t="s">
        <v>69</v>
      </c>
      <c r="C32" s="41"/>
      <c r="D32" s="38">
        <v>383.18</v>
      </c>
      <c r="E32" s="38"/>
      <c r="F32" s="36">
        <f t="shared" si="0"/>
        <v>383.18</v>
      </c>
      <c r="G32" s="36"/>
      <c r="H32" s="67"/>
      <c r="I32" s="34" t="str">
        <f>INDEX(FOURNISSEURS[CATEGORIE],MATCH(ACHATS[[#This Row],[FOURNISSEUR]],FOURNISSEURS[DENOMINATION],0))</f>
        <v>PEINTURE</v>
      </c>
      <c r="J32" s="43"/>
      <c r="K32" s="42"/>
    </row>
    <row r="33" spans="1:11" ht="15" customHeight="1">
      <c r="A33" s="41">
        <v>44073</v>
      </c>
      <c r="B33" s="40" t="s">
        <v>68</v>
      </c>
      <c r="C33" s="41"/>
      <c r="D33" s="38">
        <v>28.71</v>
      </c>
      <c r="E33" s="38"/>
      <c r="F33" s="36">
        <f t="shared" si="0"/>
        <v>28.71</v>
      </c>
      <c r="G33" s="36"/>
      <c r="H33" s="67"/>
      <c r="I33" s="34" t="str">
        <f>INDEX(FOURNISSEURS[CATEGORIE],MATCH(ACHATS[[#This Row],[FOURNISSEUR]],FOURNISSEURS[DENOMINATION],0))</f>
        <v>PEINTURE</v>
      </c>
      <c r="J33" s="43"/>
      <c r="K33" s="42"/>
    </row>
    <row r="34" spans="1:11" ht="15" customHeight="1">
      <c r="A34" s="41">
        <v>44074</v>
      </c>
      <c r="B34" s="40" t="s">
        <v>67</v>
      </c>
      <c r="C34" s="41"/>
      <c r="D34" s="38">
        <v>237.15</v>
      </c>
      <c r="E34" s="38"/>
      <c r="F34" s="36">
        <f t="shared" si="0"/>
        <v>237.15</v>
      </c>
      <c r="G34" s="36"/>
      <c r="H34" s="67"/>
      <c r="I34" s="34" t="str">
        <f>INDEX(FOURNISSEURS[CATEGORIE],MATCH(ACHATS[[#This Row],[FOURNISSEUR]],FOURNISSEURS[DENOMINATION],0))</f>
        <v>PEINTURE</v>
      </c>
      <c r="J34" s="43"/>
      <c r="K34" s="42"/>
    </row>
    <row r="35" spans="1:11" ht="14.25" customHeight="1">
      <c r="A35" s="41">
        <v>44077</v>
      </c>
      <c r="B35" s="40" t="s">
        <v>66</v>
      </c>
      <c r="C35" s="41"/>
      <c r="D35" s="38">
        <v>21.7</v>
      </c>
      <c r="E35" s="38">
        <v>1.84</v>
      </c>
      <c r="F35" s="36">
        <f t="shared" si="0"/>
        <v>23.54</v>
      </c>
      <c r="G35" s="36"/>
      <c r="H35" s="67"/>
      <c r="I35" s="34" t="str">
        <f>INDEX(FOURNISSEURS[CATEGORIE],MATCH(ACHATS[[#This Row],[FOURNISSEUR]],FOURNISSEURS[DENOMINATION],0))</f>
        <v>PEINTURE</v>
      </c>
      <c r="J35" s="43"/>
      <c r="K35" s="42"/>
    </row>
    <row r="36" spans="1:11" ht="14.25" customHeight="1">
      <c r="A36" s="41">
        <v>44076</v>
      </c>
      <c r="B36" s="40" t="s">
        <v>65</v>
      </c>
      <c r="C36" s="41"/>
      <c r="D36" s="38">
        <v>157.93</v>
      </c>
      <c r="E36" s="38"/>
      <c r="F36" s="36">
        <f t="shared" si="0"/>
        <v>157.93</v>
      </c>
      <c r="G36" s="36"/>
      <c r="H36" s="67"/>
      <c r="I36" s="34" t="str">
        <f>INDEX(FOURNISSEURS[CATEGORIE],MATCH(ACHATS[[#This Row],[FOURNISSEUR]],FOURNISSEURS[DENOMINATION],0))</f>
        <v>PEINTURE</v>
      </c>
      <c r="J36" s="43"/>
      <c r="K36" s="42"/>
    </row>
    <row r="37" spans="1:11" ht="14.25" customHeight="1">
      <c r="A37" s="41">
        <v>44085</v>
      </c>
      <c r="B37" s="40" t="s">
        <v>65</v>
      </c>
      <c r="C37" s="41"/>
      <c r="D37" s="38">
        <v>1725</v>
      </c>
      <c r="E37" s="38"/>
      <c r="F37" s="36">
        <f t="shared" si="0"/>
        <v>1725</v>
      </c>
      <c r="G37" s="36"/>
      <c r="H37" s="67"/>
      <c r="I37" s="34" t="str">
        <f>INDEX(FOURNISSEURS[CATEGORIE],MATCH(ACHATS[[#This Row],[FOURNISSEUR]],FOURNISSEURS[DENOMINATION],0))</f>
        <v>PEINTURE</v>
      </c>
      <c r="J37" s="43"/>
      <c r="K37" s="42"/>
    </row>
    <row r="38" spans="1:11" ht="14.25" customHeight="1">
      <c r="A38" s="41">
        <v>44093</v>
      </c>
      <c r="B38" s="40" t="s">
        <v>65</v>
      </c>
      <c r="C38" s="41"/>
      <c r="D38" s="38">
        <v>659.28</v>
      </c>
      <c r="E38" s="38">
        <v>1.45</v>
      </c>
      <c r="F38" s="36">
        <f t="shared" si="0"/>
        <v>660.73</v>
      </c>
      <c r="G38" s="36"/>
      <c r="H38" s="67"/>
      <c r="I38" s="34" t="str">
        <f>INDEX(FOURNISSEURS[CATEGORIE],MATCH(ACHATS[[#This Row],[FOURNISSEUR]],FOURNISSEURS[DENOMINATION],0))</f>
        <v>PEINTURE</v>
      </c>
      <c r="J38" s="43"/>
      <c r="K38" s="42"/>
    </row>
    <row r="39" spans="1:11" s="33" customFormat="1" ht="14.25" customHeight="1">
      <c r="A39" s="41">
        <v>44097</v>
      </c>
      <c r="B39" s="40" t="s">
        <v>65</v>
      </c>
      <c r="C39" s="41"/>
      <c r="D39" s="38">
        <v>90.22</v>
      </c>
      <c r="E39" s="38"/>
      <c r="F39" s="36">
        <f t="shared" si="0"/>
        <v>90.22</v>
      </c>
      <c r="G39" s="36"/>
      <c r="H39" s="67"/>
      <c r="I39" s="34" t="str">
        <f>INDEX(FOURNISSEURS[CATEGORIE],MATCH(ACHATS[[#This Row],[FOURNISSEUR]],FOURNISSEURS[DENOMINATION],0))</f>
        <v>PEINTURE</v>
      </c>
      <c r="J39" s="35"/>
      <c r="K39" s="34"/>
    </row>
    <row r="40" spans="1:11" s="33" customFormat="1" ht="14.25" customHeight="1">
      <c r="A40" s="41">
        <v>44096</v>
      </c>
      <c r="B40" s="40" t="s">
        <v>64</v>
      </c>
      <c r="C40" s="41"/>
      <c r="D40" s="38">
        <v>22.19</v>
      </c>
      <c r="E40" s="38">
        <v>1.89</v>
      </c>
      <c r="F40" s="36">
        <f t="shared" si="0"/>
        <v>24.080000000000002</v>
      </c>
      <c r="G40" s="36"/>
      <c r="H40" s="67"/>
      <c r="I40" s="34" t="str">
        <f>INDEX(FOURNISSEURS[CATEGORIE],MATCH(ACHATS[[#This Row],[FOURNISSEUR]],FOURNISSEURS[DENOMINATION],0))</f>
        <v>PEINTURE</v>
      </c>
      <c r="J40" s="35"/>
      <c r="K40" s="34"/>
    </row>
    <row r="41" spans="1:11" s="33" customFormat="1" ht="14.25" customHeight="1">
      <c r="A41" s="41">
        <v>44096</v>
      </c>
      <c r="B41" s="40" t="s">
        <v>63</v>
      </c>
      <c r="C41" s="41"/>
      <c r="D41" s="38">
        <v>94.56</v>
      </c>
      <c r="E41" s="38"/>
      <c r="F41" s="36">
        <f t="shared" si="0"/>
        <v>94.56</v>
      </c>
      <c r="G41" s="36"/>
      <c r="H41" s="67"/>
      <c r="I41" s="34" t="str">
        <f>INDEX(FOURNISSEURS[CATEGORIE],MATCH(ACHATS[[#This Row],[FOURNISSEUR]],FOURNISSEURS[DENOMINATION],0))</f>
        <v>PEINTURE</v>
      </c>
      <c r="J41" s="35"/>
      <c r="K41" s="34"/>
    </row>
    <row r="42" spans="1:11" s="33" customFormat="1" ht="14.25" customHeight="1">
      <c r="A42" s="41">
        <v>44111</v>
      </c>
      <c r="B42" s="40" t="s">
        <v>62</v>
      </c>
      <c r="C42" s="41"/>
      <c r="D42" s="38">
        <v>51.01</v>
      </c>
      <c r="E42" s="38">
        <v>1.7</v>
      </c>
      <c r="F42" s="36">
        <f t="shared" si="0"/>
        <v>52.71</v>
      </c>
      <c r="G42" s="36"/>
      <c r="H42" s="67"/>
      <c r="I42" s="34" t="str">
        <f>INDEX(FOURNISSEURS[CATEGORIE],MATCH(ACHATS[[#This Row],[FOURNISSEUR]],FOURNISSEURS[DENOMINATION],0))</f>
        <v>PEINTURE</v>
      </c>
      <c r="J42" s="35"/>
      <c r="K42" s="34"/>
    </row>
    <row r="43" spans="1:11" s="33" customFormat="1" ht="14.25" customHeight="1">
      <c r="A43" s="39">
        <v>44111</v>
      </c>
      <c r="B43" s="40" t="s">
        <v>61</v>
      </c>
      <c r="C43" s="39"/>
      <c r="D43" s="38">
        <v>339.95</v>
      </c>
      <c r="E43" s="37"/>
      <c r="F43" s="36">
        <f t="shared" si="0"/>
        <v>339.95</v>
      </c>
      <c r="G43" s="36"/>
      <c r="H43" s="67"/>
      <c r="I43" s="34" t="str">
        <f>INDEX(FOURNISSEURS[CATEGORIE],MATCH(ACHATS[[#This Row],[FOURNISSEUR]],FOURNISSEURS[DENOMINATION],0))</f>
        <v>PEINTURE</v>
      </c>
      <c r="J43" s="35"/>
      <c r="K43" s="34"/>
    </row>
  </sheetData>
  <conditionalFormatting sqref="A2:I43">
    <cfRule type="expression" dxfId="1" priority="1">
      <formula>#REF!=""</formula>
    </cfRule>
  </conditionalFormatting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 enableFormatConditionsCalculation="0">
    <tabColor theme="5" tint="0.39997558519241921"/>
  </sheetPr>
  <dimension ref="A1:J43"/>
  <sheetViews>
    <sheetView showGridLines="0" tabSelected="1" workbookViewId="0">
      <selection activeCell="K17" sqref="K17"/>
    </sheetView>
  </sheetViews>
  <sheetFormatPr baseColWidth="10" defaultColWidth="10.83203125" defaultRowHeight="14" x14ac:dyDescent="0"/>
  <cols>
    <col min="1" max="1" width="11" style="32" bestFit="1" customWidth="1"/>
    <col min="2" max="2" width="18.83203125" style="32" bestFit="1" customWidth="1"/>
    <col min="3" max="3" width="14" style="32" bestFit="1" customWidth="1"/>
    <col min="4" max="4" width="13.33203125" style="32" customWidth="1"/>
    <col min="5" max="5" width="10.83203125" style="32"/>
    <col min="6" max="6" width="16" style="32" customWidth="1"/>
    <col min="7" max="7" width="13.33203125" style="32" customWidth="1"/>
    <col min="8" max="8" width="16" style="32" bestFit="1" customWidth="1"/>
    <col min="11" max="16384" width="10.83203125" style="31"/>
  </cols>
  <sheetData>
    <row r="1" spans="1:10" s="51" customFormat="1" ht="21" customHeight="1">
      <c r="A1" s="53" t="s">
        <v>6</v>
      </c>
      <c r="B1" s="53" t="s">
        <v>104</v>
      </c>
      <c r="C1" s="53" t="s">
        <v>103</v>
      </c>
      <c r="D1" s="53" t="s">
        <v>8</v>
      </c>
      <c r="E1" s="53" t="s">
        <v>102</v>
      </c>
      <c r="F1" s="53" t="s">
        <v>121</v>
      </c>
      <c r="G1" s="53" t="s">
        <v>3</v>
      </c>
      <c r="H1" s="53" t="s">
        <v>101</v>
      </c>
      <c r="I1" s="52"/>
    </row>
    <row r="2" spans="1:10" ht="18.75" customHeight="1">
      <c r="A2" s="41">
        <v>43850</v>
      </c>
      <c r="B2" s="40" t="s">
        <v>99</v>
      </c>
      <c r="C2" s="41" t="s">
        <v>98</v>
      </c>
      <c r="D2" s="55">
        <v>100</v>
      </c>
      <c r="E2" s="55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0.23</v>
      </c>
      <c r="F2" s="65">
        <f>INDEX(ACHATS[TYPE],SUMPRODUCT(MATCH(1,(ACHATS[FOURNISSEUR]=DEPENSES[[#This Row],[FOURNISSEUR]])*(ACHATS[NUMERO]=DEPENSES[[#This Row],[NUMERO]]),0)))</f>
        <v>0</v>
      </c>
      <c r="G2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533.09</v>
      </c>
      <c r="H2" s="65">
        <f>IF(DEPENSES[[#This Row],[SOLDE]]&lt;=0,0,INDEX(ACHATS[ECHEANCE],SUMPRODUCT(MATCH(1,(ACHATS[FOURNISSEUR]=DEPENSES[[#This Row],[FOURNISSEUR]])*(ACHATS[NUMERO]=DEPENSES[[#This Row],[NUMERO]]),0))))</f>
        <v>43955</v>
      </c>
      <c r="I2" s="50"/>
      <c r="J2" s="31"/>
    </row>
    <row r="3" spans="1:10" ht="18.75" customHeight="1">
      <c r="A3" s="41">
        <v>43850</v>
      </c>
      <c r="B3" s="40" t="s">
        <v>97</v>
      </c>
      <c r="C3" s="41" t="s">
        <v>96</v>
      </c>
      <c r="D3" s="55">
        <v>120</v>
      </c>
      <c r="E3" s="55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" s="65">
        <f>INDEX(ACHATS[TYPE],SUMPRODUCT(MATCH(1,(ACHATS[FOURNISSEUR]=DEPENSES[[#This Row],[FOURNISSEUR]])*(ACHATS[NUMERO]=DEPENSES[[#This Row],[NUMERO]]),0)))</f>
        <v>0</v>
      </c>
      <c r="G3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32.710000000000008</v>
      </c>
      <c r="H3" s="65">
        <f>IF(DEPENSES[[#This Row],[SOLDE]]&lt;=0,0,INDEX(ACHATS[ECHEANCE],SUMPRODUCT(MATCH(1,(ACHATS[FOURNISSEUR]=DEPENSES[[#This Row],[FOURNISSEUR]])*(ACHATS[NUMERO]=DEPENSES[[#This Row],[NUMERO]]),0))))</f>
        <v>43924</v>
      </c>
      <c r="I3" s="50"/>
      <c r="J3" s="31"/>
    </row>
    <row r="4" spans="1:10" ht="18.75" customHeight="1">
      <c r="A4" s="41">
        <v>43858</v>
      </c>
      <c r="B4" s="40" t="s">
        <v>95</v>
      </c>
      <c r="C4" s="41" t="s">
        <v>94</v>
      </c>
      <c r="D4" s="55">
        <v>76.39</v>
      </c>
      <c r="E4" s="55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4" s="65">
        <f>INDEX(ACHATS[TYPE],SUMPRODUCT(MATCH(1,(ACHATS[FOURNISSEUR]=DEPENSES[[#This Row],[FOURNISSEUR]])*(ACHATS[NUMERO]=DEPENSES[[#This Row],[NUMERO]]),0)))</f>
        <v>0</v>
      </c>
      <c r="G4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4" s="65">
        <f>IF(DEPENSES[[#This Row],[SOLDE]]&lt;=0,0,INDEX(ACHATS[ECHEANCE],SUMPRODUCT(MATCH(1,(ACHATS[FOURNISSEUR]=DEPENSES[[#This Row],[FOURNISSEUR]])*(ACHATS[NUMERO]=DEPENSES[[#This Row],[NUMERO]]),0))))</f>
        <v>0</v>
      </c>
      <c r="I4" s="50"/>
      <c r="J4" s="31"/>
    </row>
    <row r="5" spans="1:10" ht="18.75" customHeight="1">
      <c r="A5" s="41">
        <v>43861</v>
      </c>
      <c r="B5" s="40" t="s">
        <v>93</v>
      </c>
      <c r="C5" s="41" t="s">
        <v>92</v>
      </c>
      <c r="D5" s="55">
        <v>1519.8</v>
      </c>
      <c r="E5" s="55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200</v>
      </c>
      <c r="F5" s="65" t="str">
        <f>INDEX(ACHATS[TYPE],SUMPRODUCT(MATCH(1,(ACHATS[FOURNISSEUR]=DEPENSES[[#This Row],[FOURNISSEUR]])*(ACHATS[NUMERO]=DEPENSES[[#This Row],[NUMERO]]),0)))</f>
        <v>Immos</v>
      </c>
      <c r="G5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5" s="65">
        <f>IF(DEPENSES[[#This Row],[SOLDE]]&lt;=0,0,INDEX(ACHATS[ECHEANCE],SUMPRODUCT(MATCH(1,(ACHATS[FOURNISSEUR]=DEPENSES[[#This Row],[FOURNISSEUR]])*(ACHATS[NUMERO]=DEPENSES[[#This Row],[NUMERO]]),0))))</f>
        <v>0</v>
      </c>
      <c r="I5" s="49"/>
      <c r="J5" s="31"/>
    </row>
    <row r="6" spans="1:10" ht="18.75" customHeight="1">
      <c r="A6" s="41">
        <v>43861</v>
      </c>
      <c r="B6" s="40" t="s">
        <v>91</v>
      </c>
      <c r="C6" s="41" t="s">
        <v>90</v>
      </c>
      <c r="D6" s="55">
        <v>160</v>
      </c>
      <c r="E6" s="55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12.53</v>
      </c>
      <c r="F6" s="65">
        <f>INDEX(ACHATS[TYPE],SUMPRODUCT(MATCH(1,(ACHATS[FOURNISSEUR]=DEPENSES[[#This Row],[FOURNISSEUR]])*(ACHATS[NUMERO]=DEPENSES[[#This Row],[NUMERO]]),0)))</f>
        <v>0</v>
      </c>
      <c r="G6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-2.4499999999999886</v>
      </c>
      <c r="H6" s="65">
        <f>IF(DEPENSES[[#This Row],[SOLDE]]&lt;=0,0,INDEX(ACHATS[ECHEANCE],SUMPRODUCT(MATCH(1,(ACHATS[FOURNISSEUR]=DEPENSES[[#This Row],[FOURNISSEUR]])*(ACHATS[NUMERO]=DEPENSES[[#This Row],[NUMERO]]),0))))</f>
        <v>0</v>
      </c>
      <c r="I6" s="49"/>
      <c r="J6" s="31"/>
    </row>
    <row r="7" spans="1:10" ht="15" customHeight="1">
      <c r="A7" s="41">
        <v>43865</v>
      </c>
      <c r="B7" s="40" t="s">
        <v>89</v>
      </c>
      <c r="C7" s="41" t="s">
        <v>88</v>
      </c>
      <c r="D7" s="55">
        <v>49.96</v>
      </c>
      <c r="E7" s="55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3.91</v>
      </c>
      <c r="F7" s="66">
        <f>INDEX(ACHATS[TYPE],SUMPRODUCT(MATCH(1,(ACHATS[FOURNISSEUR]=DEPENSES[[#This Row],[FOURNISSEUR]])*(ACHATS[NUMERO]=DEPENSES[[#This Row],[NUMERO]]),0)))</f>
        <v>0</v>
      </c>
      <c r="G7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7" s="66">
        <f>IF(DEPENSES[[#This Row],[SOLDE]]&lt;=0,0,INDEX(ACHATS[ECHEANCE],SUMPRODUCT(MATCH(1,(ACHATS[FOURNISSEUR]=DEPENSES[[#This Row],[FOURNISSEUR]])*(ACHATS[NUMERO]=DEPENSES[[#This Row],[NUMERO]]),0))))</f>
        <v>0</v>
      </c>
      <c r="I7" s="48"/>
      <c r="J7" s="31"/>
    </row>
    <row r="8" spans="1:10" ht="15" customHeight="1">
      <c r="A8" s="41">
        <v>43865</v>
      </c>
      <c r="B8" s="40" t="s">
        <v>87</v>
      </c>
      <c r="C8" s="41" t="s">
        <v>86</v>
      </c>
      <c r="D8" s="55">
        <v>89.89</v>
      </c>
      <c r="E8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8" s="66">
        <f>INDEX(ACHATS[TYPE],SUMPRODUCT(MATCH(1,(ACHATS[FOURNISSEUR]=DEPENSES[[#This Row],[FOURNISSEUR]])*(ACHATS[NUMERO]=DEPENSES[[#This Row],[NUMERO]]),0)))</f>
        <v>0</v>
      </c>
      <c r="G8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8" s="66">
        <f>IF(DEPENSES[[#This Row],[SOLDE]]&lt;=0,0,INDEX(ACHATS[ECHEANCE],SUMPRODUCT(MATCH(1,(ACHATS[FOURNISSEUR]=DEPENSES[[#This Row],[FOURNISSEUR]])*(ACHATS[NUMERO]=DEPENSES[[#This Row],[NUMERO]]),0))))</f>
        <v>0</v>
      </c>
      <c r="I8" s="47"/>
      <c r="J8" s="31"/>
    </row>
    <row r="9" spans="1:10" ht="18.75" customHeight="1">
      <c r="A9" s="41">
        <v>43878</v>
      </c>
      <c r="B9" s="40" t="s">
        <v>85</v>
      </c>
      <c r="C9" s="41" t="s">
        <v>84</v>
      </c>
      <c r="D9" s="55">
        <v>289.44</v>
      </c>
      <c r="E9" s="69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9" s="66">
        <f>INDEX(ACHATS[TYPE],SUMPRODUCT(MATCH(1,(ACHATS[FOURNISSEUR]=DEPENSES[[#This Row],[FOURNISSEUR]])*(ACHATS[NUMERO]=DEPENSES[[#This Row],[NUMERO]]),0)))</f>
        <v>0</v>
      </c>
      <c r="G9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-578.88</v>
      </c>
      <c r="H9" s="66">
        <f>IF(DEPENSES[[#This Row],[SOLDE]]&lt;=0,0,INDEX(ACHATS[ECHEANCE],SUMPRODUCT(MATCH(1,(ACHATS[FOURNISSEUR]=DEPENSES[[#This Row],[FOURNISSEUR]])*(ACHATS[NUMERO]=DEPENSES[[#This Row],[NUMERO]]),0))))</f>
        <v>0</v>
      </c>
      <c r="I9" s="42"/>
      <c r="J9" s="31"/>
    </row>
    <row r="10" spans="1:10" ht="18.75" customHeight="1">
      <c r="A10" s="41">
        <v>43889</v>
      </c>
      <c r="B10" s="40" t="s">
        <v>83</v>
      </c>
      <c r="C10" s="41" t="s">
        <v>82</v>
      </c>
      <c r="D10" s="55">
        <v>325.27</v>
      </c>
      <c r="E10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0" s="66">
        <f>INDEX(ACHATS[TYPE],SUMPRODUCT(MATCH(1,(ACHATS[FOURNISSEUR]=DEPENSES[[#This Row],[FOURNISSEUR]])*(ACHATS[NUMERO]=DEPENSES[[#This Row],[NUMERO]]),0)))</f>
        <v>0</v>
      </c>
      <c r="G10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0" s="66">
        <f>IF(DEPENSES[[#This Row],[SOLDE]]&lt;=0,0,INDEX(ACHATS[ECHEANCE],SUMPRODUCT(MATCH(1,(ACHATS[FOURNISSEUR]=DEPENSES[[#This Row],[FOURNISSEUR]])*(ACHATS[NUMERO]=DEPENSES[[#This Row],[NUMERO]]),0))))</f>
        <v>0</v>
      </c>
      <c r="I10" s="42"/>
      <c r="J10" s="31"/>
    </row>
    <row r="11" spans="1:10" ht="18.75" customHeight="1">
      <c r="A11" s="41">
        <v>43902</v>
      </c>
      <c r="B11" s="40" t="s">
        <v>81</v>
      </c>
      <c r="C11" s="41"/>
      <c r="D11" s="55"/>
      <c r="E11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1" s="66">
        <f>INDEX(ACHATS[TYPE],SUMPRODUCT(MATCH(1,(ACHATS[FOURNISSEUR]=DEPENSES[[#This Row],[FOURNISSEUR]])*(ACHATS[NUMERO]=DEPENSES[[#This Row],[NUMERO]]),0)))</f>
        <v>0</v>
      </c>
      <c r="G11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1" s="66">
        <f>IF(DEPENSES[[#This Row],[SOLDE]]&lt;=0,0,INDEX(ACHATS[ECHEANCE],SUMPRODUCT(MATCH(1,(ACHATS[FOURNISSEUR]=DEPENSES[[#This Row],[FOURNISSEUR]])*(ACHATS[NUMERO]=DEPENSES[[#This Row],[NUMERO]]),0))))</f>
        <v>0</v>
      </c>
      <c r="I11" s="42"/>
      <c r="J11" s="31"/>
    </row>
    <row r="12" spans="1:10" ht="18.75" customHeight="1">
      <c r="A12" s="41">
        <v>43902</v>
      </c>
      <c r="B12" s="40" t="s">
        <v>65</v>
      </c>
      <c r="C12" s="41"/>
      <c r="D12" s="55"/>
      <c r="E12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2" s="65">
        <f>INDEX(ACHATS[TYPE],SUMPRODUCT(MATCH(1,(ACHATS[FOURNISSEUR]=DEPENSES[[#This Row],[FOURNISSEUR]])*(ACHATS[NUMERO]=DEPENSES[[#This Row],[NUMERO]]),0)))</f>
        <v>0</v>
      </c>
      <c r="G12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2" s="65">
        <f>IF(DEPENSES[[#This Row],[SOLDE]]&lt;=0,0,INDEX(ACHATS[ECHEANCE],SUMPRODUCT(MATCH(1,(ACHATS[FOURNISSEUR]=DEPENSES[[#This Row],[FOURNISSEUR]])*(ACHATS[NUMERO]=DEPENSES[[#This Row],[NUMERO]]),0))))</f>
        <v>0</v>
      </c>
      <c r="I12" s="42"/>
      <c r="J12" s="31"/>
    </row>
    <row r="13" spans="1:10" ht="15" customHeight="1">
      <c r="A13" s="41">
        <v>43956</v>
      </c>
      <c r="B13" s="40" t="s">
        <v>65</v>
      </c>
      <c r="C13" s="41"/>
      <c r="D13" s="55"/>
      <c r="E13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3" s="66">
        <f>INDEX(ACHATS[TYPE],SUMPRODUCT(MATCH(1,(ACHATS[FOURNISSEUR]=DEPENSES[[#This Row],[FOURNISSEUR]])*(ACHATS[NUMERO]=DEPENSES[[#This Row],[NUMERO]]),0)))</f>
        <v>0</v>
      </c>
      <c r="G13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3" s="66">
        <f>IF(DEPENSES[[#This Row],[SOLDE]]&lt;=0,0,INDEX(ACHATS[ECHEANCE],SUMPRODUCT(MATCH(1,(ACHATS[FOURNISSEUR]=DEPENSES[[#This Row],[FOURNISSEUR]])*(ACHATS[NUMERO]=DEPENSES[[#This Row],[NUMERO]]),0))))</f>
        <v>0</v>
      </c>
      <c r="I13" s="42"/>
      <c r="J13" s="31"/>
    </row>
    <row r="14" spans="1:10" ht="15.75" customHeight="1">
      <c r="A14" s="41">
        <v>43962</v>
      </c>
      <c r="B14" s="40" t="s">
        <v>65</v>
      </c>
      <c r="C14" s="41"/>
      <c r="D14" s="55"/>
      <c r="E14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4" s="66">
        <f>INDEX(ACHATS[TYPE],SUMPRODUCT(MATCH(1,(ACHATS[FOURNISSEUR]=DEPENSES[[#This Row],[FOURNISSEUR]])*(ACHATS[NUMERO]=DEPENSES[[#This Row],[NUMERO]]),0)))</f>
        <v>0</v>
      </c>
      <c r="G14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4" s="66">
        <f>IF(DEPENSES[[#This Row],[SOLDE]]&lt;=0,0,INDEX(ACHATS[ECHEANCE],SUMPRODUCT(MATCH(1,(ACHATS[FOURNISSEUR]=DEPENSES[[#This Row],[FOURNISSEUR]])*(ACHATS[NUMERO]=DEPENSES[[#This Row],[NUMERO]]),0))))</f>
        <v>0</v>
      </c>
      <c r="I14" s="42"/>
      <c r="J14" s="31"/>
    </row>
    <row r="15" spans="1:10" ht="15" customHeight="1">
      <c r="A15" s="41">
        <v>43965</v>
      </c>
      <c r="B15" s="40" t="s">
        <v>65</v>
      </c>
      <c r="C15" s="41"/>
      <c r="D15" s="55"/>
      <c r="E15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5" s="66">
        <f>INDEX(ACHATS[TYPE],SUMPRODUCT(MATCH(1,(ACHATS[FOURNISSEUR]=DEPENSES[[#This Row],[FOURNISSEUR]])*(ACHATS[NUMERO]=DEPENSES[[#This Row],[NUMERO]]),0)))</f>
        <v>0</v>
      </c>
      <c r="G15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5" s="66">
        <f>IF(DEPENSES[[#This Row],[SOLDE]]&lt;=0,0,INDEX(ACHATS[ECHEANCE],SUMPRODUCT(MATCH(1,(ACHATS[FOURNISSEUR]=DEPENSES[[#This Row],[FOURNISSEUR]])*(ACHATS[NUMERO]=DEPENSES[[#This Row],[NUMERO]]),0))))</f>
        <v>0</v>
      </c>
      <c r="I15" s="42"/>
      <c r="J15" s="31"/>
    </row>
    <row r="16" spans="1:10" ht="15" customHeight="1">
      <c r="A16" s="41">
        <v>43980</v>
      </c>
      <c r="B16" s="40" t="s">
        <v>65</v>
      </c>
      <c r="C16" s="41"/>
      <c r="D16" s="55"/>
      <c r="E16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6" s="66">
        <f>INDEX(ACHATS[TYPE],SUMPRODUCT(MATCH(1,(ACHATS[FOURNISSEUR]=DEPENSES[[#This Row],[FOURNISSEUR]])*(ACHATS[NUMERO]=DEPENSES[[#This Row],[NUMERO]]),0)))</f>
        <v>0</v>
      </c>
      <c r="G16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6" s="66">
        <f>IF(DEPENSES[[#This Row],[SOLDE]]&lt;=0,0,INDEX(ACHATS[ECHEANCE],SUMPRODUCT(MATCH(1,(ACHATS[FOURNISSEUR]=DEPENSES[[#This Row],[FOURNISSEUR]])*(ACHATS[NUMERO]=DEPENSES[[#This Row],[NUMERO]]),0))))</f>
        <v>0</v>
      </c>
      <c r="I16" s="42"/>
      <c r="J16" s="31"/>
    </row>
    <row r="17" spans="1:10" ht="15" customHeight="1">
      <c r="A17" s="41">
        <v>43980</v>
      </c>
      <c r="B17" s="40" t="s">
        <v>65</v>
      </c>
      <c r="C17" s="41"/>
      <c r="D17" s="55"/>
      <c r="E17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7" s="66">
        <f>INDEX(ACHATS[TYPE],SUMPRODUCT(MATCH(1,(ACHATS[FOURNISSEUR]=DEPENSES[[#This Row],[FOURNISSEUR]])*(ACHATS[NUMERO]=DEPENSES[[#This Row],[NUMERO]]),0)))</f>
        <v>0</v>
      </c>
      <c r="G17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7" s="66">
        <f>IF(DEPENSES[[#This Row],[SOLDE]]&lt;=0,0,INDEX(ACHATS[ECHEANCE],SUMPRODUCT(MATCH(1,(ACHATS[FOURNISSEUR]=DEPENSES[[#This Row],[FOURNISSEUR]])*(ACHATS[NUMERO]=DEPENSES[[#This Row],[NUMERO]]),0))))</f>
        <v>0</v>
      </c>
      <c r="I17" s="42"/>
      <c r="J17" s="31"/>
    </row>
    <row r="18" spans="1:10" ht="15.75" customHeight="1">
      <c r="A18" s="41">
        <v>43981</v>
      </c>
      <c r="B18" s="40" t="s">
        <v>65</v>
      </c>
      <c r="C18" s="41"/>
      <c r="D18" s="55"/>
      <c r="E18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8" s="66">
        <f>INDEX(ACHATS[TYPE],SUMPRODUCT(MATCH(1,(ACHATS[FOURNISSEUR]=DEPENSES[[#This Row],[FOURNISSEUR]])*(ACHATS[NUMERO]=DEPENSES[[#This Row],[NUMERO]]),0)))</f>
        <v>0</v>
      </c>
      <c r="G18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8" s="66">
        <f>IF(DEPENSES[[#This Row],[SOLDE]]&lt;=0,0,INDEX(ACHATS[ECHEANCE],SUMPRODUCT(MATCH(1,(ACHATS[FOURNISSEUR]=DEPENSES[[#This Row],[FOURNISSEUR]])*(ACHATS[NUMERO]=DEPENSES[[#This Row],[NUMERO]]),0))))</f>
        <v>0</v>
      </c>
      <c r="I18" s="42"/>
      <c r="J18" s="31"/>
    </row>
    <row r="19" spans="1:10" ht="15" customHeight="1">
      <c r="A19" s="41">
        <v>43991</v>
      </c>
      <c r="B19" s="40" t="s">
        <v>65</v>
      </c>
      <c r="C19" s="41"/>
      <c r="D19" s="55"/>
      <c r="E19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19" s="66">
        <f>INDEX(ACHATS[TYPE],SUMPRODUCT(MATCH(1,(ACHATS[FOURNISSEUR]=DEPENSES[[#This Row],[FOURNISSEUR]])*(ACHATS[NUMERO]=DEPENSES[[#This Row],[NUMERO]]),0)))</f>
        <v>0</v>
      </c>
      <c r="G19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19" s="66">
        <f>IF(DEPENSES[[#This Row],[SOLDE]]&lt;=0,0,INDEX(ACHATS[ECHEANCE],SUMPRODUCT(MATCH(1,(ACHATS[FOURNISSEUR]=DEPENSES[[#This Row],[FOURNISSEUR]])*(ACHATS[NUMERO]=DEPENSES[[#This Row],[NUMERO]]),0))))</f>
        <v>0</v>
      </c>
      <c r="I19" s="42"/>
      <c r="J19" s="31"/>
    </row>
    <row r="20" spans="1:10" ht="15" customHeight="1">
      <c r="A20" s="41">
        <v>43998</v>
      </c>
      <c r="B20" s="40" t="s">
        <v>65</v>
      </c>
      <c r="C20" s="41"/>
      <c r="D20" s="55"/>
      <c r="E20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0" s="66">
        <f>INDEX(ACHATS[TYPE],SUMPRODUCT(MATCH(1,(ACHATS[FOURNISSEUR]=DEPENSES[[#This Row],[FOURNISSEUR]])*(ACHATS[NUMERO]=DEPENSES[[#This Row],[NUMERO]]),0)))</f>
        <v>0</v>
      </c>
      <c r="G20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0" s="66">
        <f>IF(DEPENSES[[#This Row],[SOLDE]]&lt;=0,0,INDEX(ACHATS[ECHEANCE],SUMPRODUCT(MATCH(1,(ACHATS[FOURNISSEUR]=DEPENSES[[#This Row],[FOURNISSEUR]])*(ACHATS[NUMERO]=DEPENSES[[#This Row],[NUMERO]]),0))))</f>
        <v>0</v>
      </c>
      <c r="I20" s="42"/>
      <c r="J20" s="31"/>
    </row>
    <row r="21" spans="1:10" ht="15" customHeight="1">
      <c r="A21" s="41">
        <v>43998</v>
      </c>
      <c r="B21" s="40" t="s">
        <v>80</v>
      </c>
      <c r="C21" s="41"/>
      <c r="D21" s="55"/>
      <c r="E21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1" s="65">
        <f>INDEX(ACHATS[TYPE],SUMPRODUCT(MATCH(1,(ACHATS[FOURNISSEUR]=DEPENSES[[#This Row],[FOURNISSEUR]])*(ACHATS[NUMERO]=DEPENSES[[#This Row],[NUMERO]]),0)))</f>
        <v>0</v>
      </c>
      <c r="G21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1" s="65">
        <f>IF(DEPENSES[[#This Row],[SOLDE]]&lt;=0,0,INDEX(ACHATS[ECHEANCE],SUMPRODUCT(MATCH(1,(ACHATS[FOURNISSEUR]=DEPENSES[[#This Row],[FOURNISSEUR]])*(ACHATS[NUMERO]=DEPENSES[[#This Row],[NUMERO]]),0))))</f>
        <v>0</v>
      </c>
      <c r="I21" s="42"/>
      <c r="J21" s="31"/>
    </row>
    <row r="22" spans="1:10" ht="15" customHeight="1">
      <c r="A22" s="41">
        <v>43998</v>
      </c>
      <c r="B22" s="40" t="s">
        <v>79</v>
      </c>
      <c r="C22" s="41"/>
      <c r="D22" s="55"/>
      <c r="E22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2" s="67">
        <f>INDEX(ACHATS[TYPE],SUMPRODUCT(MATCH(1,(ACHATS[FOURNISSEUR]=DEPENSES[[#This Row],[FOURNISSEUR]])*(ACHATS[NUMERO]=DEPENSES[[#This Row],[NUMERO]]),0)))</f>
        <v>0</v>
      </c>
      <c r="G22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2" s="67">
        <f>IF(DEPENSES[[#This Row],[SOLDE]]&lt;=0,0,INDEX(ACHATS[ECHEANCE],SUMPRODUCT(MATCH(1,(ACHATS[FOURNISSEUR]=DEPENSES[[#This Row],[FOURNISSEUR]])*(ACHATS[NUMERO]=DEPENSES[[#This Row],[NUMERO]]),0))))</f>
        <v>0</v>
      </c>
      <c r="I22" s="42"/>
      <c r="J22" s="31"/>
    </row>
    <row r="23" spans="1:10" ht="15" customHeight="1">
      <c r="A23" s="41">
        <v>43998</v>
      </c>
      <c r="B23" s="40" t="s">
        <v>78</v>
      </c>
      <c r="C23" s="41"/>
      <c r="D23" s="55"/>
      <c r="E23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3" s="65">
        <f>INDEX(ACHATS[TYPE],SUMPRODUCT(MATCH(1,(ACHATS[FOURNISSEUR]=DEPENSES[[#This Row],[FOURNISSEUR]])*(ACHATS[NUMERO]=DEPENSES[[#This Row],[NUMERO]]),0)))</f>
        <v>0</v>
      </c>
      <c r="G23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3" s="65">
        <f>IF(DEPENSES[[#This Row],[SOLDE]]&lt;=0,0,INDEX(ACHATS[ECHEANCE],SUMPRODUCT(MATCH(1,(ACHATS[FOURNISSEUR]=DEPENSES[[#This Row],[FOURNISSEUR]])*(ACHATS[NUMERO]=DEPENSES[[#This Row],[NUMERO]]),0))))</f>
        <v>0</v>
      </c>
      <c r="I23" s="42"/>
      <c r="J23" s="31"/>
    </row>
    <row r="24" spans="1:10" ht="15" customHeight="1">
      <c r="A24" s="41">
        <v>43998</v>
      </c>
      <c r="B24" s="40" t="s">
        <v>77</v>
      </c>
      <c r="C24" s="41"/>
      <c r="D24" s="55"/>
      <c r="E24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4" s="67">
        <f>INDEX(ACHATS[TYPE],SUMPRODUCT(MATCH(1,(ACHATS[FOURNISSEUR]=DEPENSES[[#This Row],[FOURNISSEUR]])*(ACHATS[NUMERO]=DEPENSES[[#This Row],[NUMERO]]),0)))</f>
        <v>0</v>
      </c>
      <c r="G24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4" s="67">
        <f>IF(DEPENSES[[#This Row],[SOLDE]]&lt;=0,0,INDEX(ACHATS[ECHEANCE],SUMPRODUCT(MATCH(1,(ACHATS[FOURNISSEUR]=DEPENSES[[#This Row],[FOURNISSEUR]])*(ACHATS[NUMERO]=DEPENSES[[#This Row],[NUMERO]]),0))))</f>
        <v>0</v>
      </c>
      <c r="I24" s="42"/>
      <c r="J24" s="31"/>
    </row>
    <row r="25" spans="1:10" ht="15" customHeight="1">
      <c r="A25" s="41">
        <v>44000</v>
      </c>
      <c r="B25" s="40" t="s">
        <v>76</v>
      </c>
      <c r="C25" s="41"/>
      <c r="D25" s="55"/>
      <c r="E25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5" s="65">
        <f>INDEX(ACHATS[TYPE],SUMPRODUCT(MATCH(1,(ACHATS[FOURNISSEUR]=DEPENSES[[#This Row],[FOURNISSEUR]])*(ACHATS[NUMERO]=DEPENSES[[#This Row],[NUMERO]]),0)))</f>
        <v>0</v>
      </c>
      <c r="G25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5" s="65">
        <f>IF(DEPENSES[[#This Row],[SOLDE]]&lt;=0,0,INDEX(ACHATS[ECHEANCE],SUMPRODUCT(MATCH(1,(ACHATS[FOURNISSEUR]=DEPENSES[[#This Row],[FOURNISSEUR]])*(ACHATS[NUMERO]=DEPENSES[[#This Row],[NUMERO]]),0))))</f>
        <v>0</v>
      </c>
      <c r="I25" s="42"/>
      <c r="J25" s="31"/>
    </row>
    <row r="26" spans="1:10" ht="15" customHeight="1">
      <c r="A26" s="41">
        <v>44020</v>
      </c>
      <c r="B26" s="40" t="s">
        <v>75</v>
      </c>
      <c r="C26" s="41"/>
      <c r="D26" s="55"/>
      <c r="E26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6" s="65">
        <f>INDEX(ACHATS[TYPE],SUMPRODUCT(MATCH(1,(ACHATS[FOURNISSEUR]=DEPENSES[[#This Row],[FOURNISSEUR]])*(ACHATS[NUMERO]=DEPENSES[[#This Row],[NUMERO]]),0)))</f>
        <v>0</v>
      </c>
      <c r="G26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6" s="65">
        <f>IF(DEPENSES[[#This Row],[SOLDE]]&lt;=0,0,INDEX(ACHATS[ECHEANCE],SUMPRODUCT(MATCH(1,(ACHATS[FOURNISSEUR]=DEPENSES[[#This Row],[FOURNISSEUR]])*(ACHATS[NUMERO]=DEPENSES[[#This Row],[NUMERO]]),0))))</f>
        <v>0</v>
      </c>
      <c r="I26" s="42"/>
      <c r="J26" s="31"/>
    </row>
    <row r="27" spans="1:10" ht="15" customHeight="1">
      <c r="A27" s="41">
        <v>44039</v>
      </c>
      <c r="B27" s="40" t="s">
        <v>74</v>
      </c>
      <c r="C27" s="41"/>
      <c r="D27" s="55"/>
      <c r="E27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7" s="65">
        <f>INDEX(ACHATS[TYPE],SUMPRODUCT(MATCH(1,(ACHATS[FOURNISSEUR]=DEPENSES[[#This Row],[FOURNISSEUR]])*(ACHATS[NUMERO]=DEPENSES[[#This Row],[NUMERO]]),0)))</f>
        <v>0</v>
      </c>
      <c r="G27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7" s="65">
        <f>IF(DEPENSES[[#This Row],[SOLDE]]&lt;=0,0,INDEX(ACHATS[ECHEANCE],SUMPRODUCT(MATCH(1,(ACHATS[FOURNISSEUR]=DEPENSES[[#This Row],[FOURNISSEUR]])*(ACHATS[NUMERO]=DEPENSES[[#This Row],[NUMERO]]),0))))</f>
        <v>0</v>
      </c>
      <c r="I27" s="42"/>
      <c r="J27" s="31"/>
    </row>
    <row r="28" spans="1:10" ht="15" customHeight="1">
      <c r="A28" s="41">
        <v>44041</v>
      </c>
      <c r="B28" s="40" t="s">
        <v>73</v>
      </c>
      <c r="C28" s="41"/>
      <c r="D28" s="55"/>
      <c r="E28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8" s="67">
        <f>INDEX(ACHATS[TYPE],SUMPRODUCT(MATCH(1,(ACHATS[FOURNISSEUR]=DEPENSES[[#This Row],[FOURNISSEUR]])*(ACHATS[NUMERO]=DEPENSES[[#This Row],[NUMERO]]),0)))</f>
        <v>0</v>
      </c>
      <c r="G28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8" s="67">
        <f>IF(DEPENSES[[#This Row],[SOLDE]]&lt;=0,0,INDEX(ACHATS[ECHEANCE],SUMPRODUCT(MATCH(1,(ACHATS[FOURNISSEUR]=DEPENSES[[#This Row],[FOURNISSEUR]])*(ACHATS[NUMERO]=DEPENSES[[#This Row],[NUMERO]]),0))))</f>
        <v>0</v>
      </c>
      <c r="I28" s="42"/>
      <c r="J28" s="31"/>
    </row>
    <row r="29" spans="1:10" ht="15" customHeight="1">
      <c r="A29" s="41">
        <v>44043</v>
      </c>
      <c r="B29" s="40" t="s">
        <v>72</v>
      </c>
      <c r="C29" s="41"/>
      <c r="D29" s="55"/>
      <c r="E29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29" s="67">
        <f>INDEX(ACHATS[TYPE],SUMPRODUCT(MATCH(1,(ACHATS[FOURNISSEUR]=DEPENSES[[#This Row],[FOURNISSEUR]])*(ACHATS[NUMERO]=DEPENSES[[#This Row],[NUMERO]]),0)))</f>
        <v>0</v>
      </c>
      <c r="G29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29" s="67">
        <f>IF(DEPENSES[[#This Row],[SOLDE]]&lt;=0,0,INDEX(ACHATS[ECHEANCE],SUMPRODUCT(MATCH(1,(ACHATS[FOURNISSEUR]=DEPENSES[[#This Row],[FOURNISSEUR]])*(ACHATS[NUMERO]=DEPENSES[[#This Row],[NUMERO]]),0))))</f>
        <v>0</v>
      </c>
      <c r="I29" s="42"/>
      <c r="J29" s="31"/>
    </row>
    <row r="30" spans="1:10" ht="15" customHeight="1">
      <c r="A30" s="41">
        <v>44047</v>
      </c>
      <c r="B30" s="40" t="s">
        <v>71</v>
      </c>
      <c r="C30" s="41"/>
      <c r="D30" s="55"/>
      <c r="E30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0" s="67">
        <f>INDEX(ACHATS[TYPE],SUMPRODUCT(MATCH(1,(ACHATS[FOURNISSEUR]=DEPENSES[[#This Row],[FOURNISSEUR]])*(ACHATS[NUMERO]=DEPENSES[[#This Row],[NUMERO]]),0)))</f>
        <v>0</v>
      </c>
      <c r="G30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0" s="67">
        <f>IF(DEPENSES[[#This Row],[SOLDE]]&lt;=0,0,INDEX(ACHATS[ECHEANCE],SUMPRODUCT(MATCH(1,(ACHATS[FOURNISSEUR]=DEPENSES[[#This Row],[FOURNISSEUR]])*(ACHATS[NUMERO]=DEPENSES[[#This Row],[NUMERO]]),0))))</f>
        <v>0</v>
      </c>
      <c r="I30" s="42"/>
      <c r="J30" s="31"/>
    </row>
    <row r="31" spans="1:10">
      <c r="A31" s="41">
        <v>44054</v>
      </c>
      <c r="B31" s="40" t="s">
        <v>70</v>
      </c>
      <c r="C31" s="41"/>
      <c r="D31" s="55"/>
      <c r="E31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1" s="67">
        <f>INDEX(ACHATS[TYPE],SUMPRODUCT(MATCH(1,(ACHATS[FOURNISSEUR]=DEPENSES[[#This Row],[FOURNISSEUR]])*(ACHATS[NUMERO]=DEPENSES[[#This Row],[NUMERO]]),0)))</f>
        <v>0</v>
      </c>
      <c r="G31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1" s="67">
        <f>IF(DEPENSES[[#This Row],[SOLDE]]&lt;=0,0,INDEX(ACHATS[ECHEANCE],SUMPRODUCT(MATCH(1,(ACHATS[FOURNISSEUR]=DEPENSES[[#This Row],[FOURNISSEUR]])*(ACHATS[NUMERO]=DEPENSES[[#This Row],[NUMERO]]),0))))</f>
        <v>0</v>
      </c>
      <c r="I31" s="42"/>
      <c r="J31" s="31"/>
    </row>
    <row r="32" spans="1:10" ht="15" customHeight="1">
      <c r="A32" s="41">
        <v>44064</v>
      </c>
      <c r="B32" s="40" t="s">
        <v>69</v>
      </c>
      <c r="C32" s="41"/>
      <c r="D32" s="55"/>
      <c r="E32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2" s="67">
        <f>INDEX(ACHATS[TYPE],SUMPRODUCT(MATCH(1,(ACHATS[FOURNISSEUR]=DEPENSES[[#This Row],[FOURNISSEUR]])*(ACHATS[NUMERO]=DEPENSES[[#This Row],[NUMERO]]),0)))</f>
        <v>0</v>
      </c>
      <c r="G32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2" s="67">
        <f>IF(DEPENSES[[#This Row],[SOLDE]]&lt;=0,0,INDEX(ACHATS[ECHEANCE],SUMPRODUCT(MATCH(1,(ACHATS[FOURNISSEUR]=DEPENSES[[#This Row],[FOURNISSEUR]])*(ACHATS[NUMERO]=DEPENSES[[#This Row],[NUMERO]]),0))))</f>
        <v>0</v>
      </c>
      <c r="I32" s="42"/>
      <c r="J32" s="31"/>
    </row>
    <row r="33" spans="1:10" ht="15" customHeight="1">
      <c r="A33" s="41">
        <v>44073</v>
      </c>
      <c r="B33" s="40" t="s">
        <v>68</v>
      </c>
      <c r="C33" s="41"/>
      <c r="D33" s="55"/>
      <c r="E33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3" s="67">
        <f>INDEX(ACHATS[TYPE],SUMPRODUCT(MATCH(1,(ACHATS[FOURNISSEUR]=DEPENSES[[#This Row],[FOURNISSEUR]])*(ACHATS[NUMERO]=DEPENSES[[#This Row],[NUMERO]]),0)))</f>
        <v>0</v>
      </c>
      <c r="G33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3" s="67">
        <f>IF(DEPENSES[[#This Row],[SOLDE]]&lt;=0,0,INDEX(ACHATS[ECHEANCE],SUMPRODUCT(MATCH(1,(ACHATS[FOURNISSEUR]=DEPENSES[[#This Row],[FOURNISSEUR]])*(ACHATS[NUMERO]=DEPENSES[[#This Row],[NUMERO]]),0))))</f>
        <v>0</v>
      </c>
      <c r="I33" s="42"/>
      <c r="J33" s="31"/>
    </row>
    <row r="34" spans="1:10" ht="15" customHeight="1">
      <c r="A34" s="41">
        <v>44074</v>
      </c>
      <c r="B34" s="40" t="s">
        <v>67</v>
      </c>
      <c r="C34" s="41"/>
      <c r="D34" s="55"/>
      <c r="E34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4" s="67">
        <f>INDEX(ACHATS[TYPE],SUMPRODUCT(MATCH(1,(ACHATS[FOURNISSEUR]=DEPENSES[[#This Row],[FOURNISSEUR]])*(ACHATS[NUMERO]=DEPENSES[[#This Row],[NUMERO]]),0)))</f>
        <v>0</v>
      </c>
      <c r="G34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4" s="67">
        <f>IF(DEPENSES[[#This Row],[SOLDE]]&lt;=0,0,INDEX(ACHATS[ECHEANCE],SUMPRODUCT(MATCH(1,(ACHATS[FOURNISSEUR]=DEPENSES[[#This Row],[FOURNISSEUR]])*(ACHATS[NUMERO]=DEPENSES[[#This Row],[NUMERO]]),0))))</f>
        <v>0</v>
      </c>
      <c r="I34" s="42"/>
      <c r="J34" s="31"/>
    </row>
    <row r="35" spans="1:10" ht="14.25" customHeight="1">
      <c r="A35" s="41">
        <v>44077</v>
      </c>
      <c r="B35" s="40" t="s">
        <v>66</v>
      </c>
      <c r="C35" s="41"/>
      <c r="D35" s="55"/>
      <c r="E35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5" s="67">
        <f>INDEX(ACHATS[TYPE],SUMPRODUCT(MATCH(1,(ACHATS[FOURNISSEUR]=DEPENSES[[#This Row],[FOURNISSEUR]])*(ACHATS[NUMERO]=DEPENSES[[#This Row],[NUMERO]]),0)))</f>
        <v>0</v>
      </c>
      <c r="G35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5" s="67">
        <f>IF(DEPENSES[[#This Row],[SOLDE]]&lt;=0,0,INDEX(ACHATS[ECHEANCE],SUMPRODUCT(MATCH(1,(ACHATS[FOURNISSEUR]=DEPENSES[[#This Row],[FOURNISSEUR]])*(ACHATS[NUMERO]=DEPENSES[[#This Row],[NUMERO]]),0))))</f>
        <v>0</v>
      </c>
      <c r="I35" s="42"/>
      <c r="J35" s="31"/>
    </row>
    <row r="36" spans="1:10" ht="14.25" customHeight="1">
      <c r="A36" s="41">
        <v>44076</v>
      </c>
      <c r="B36" s="40" t="s">
        <v>65</v>
      </c>
      <c r="C36" s="41"/>
      <c r="D36" s="55"/>
      <c r="E36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6" s="67">
        <f>INDEX(ACHATS[TYPE],SUMPRODUCT(MATCH(1,(ACHATS[FOURNISSEUR]=DEPENSES[[#This Row],[FOURNISSEUR]])*(ACHATS[NUMERO]=DEPENSES[[#This Row],[NUMERO]]),0)))</f>
        <v>0</v>
      </c>
      <c r="G36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6" s="67">
        <f>IF(DEPENSES[[#This Row],[SOLDE]]&lt;=0,0,INDEX(ACHATS[ECHEANCE],SUMPRODUCT(MATCH(1,(ACHATS[FOURNISSEUR]=DEPENSES[[#This Row],[FOURNISSEUR]])*(ACHATS[NUMERO]=DEPENSES[[#This Row],[NUMERO]]),0))))</f>
        <v>0</v>
      </c>
      <c r="I36" s="42"/>
      <c r="J36" s="31"/>
    </row>
    <row r="37" spans="1:10" ht="14.25" customHeight="1">
      <c r="A37" s="41">
        <v>44085</v>
      </c>
      <c r="B37" s="40" t="s">
        <v>65</v>
      </c>
      <c r="C37" s="41"/>
      <c r="D37" s="55"/>
      <c r="E37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7" s="67">
        <f>INDEX(ACHATS[TYPE],SUMPRODUCT(MATCH(1,(ACHATS[FOURNISSEUR]=DEPENSES[[#This Row],[FOURNISSEUR]])*(ACHATS[NUMERO]=DEPENSES[[#This Row],[NUMERO]]),0)))</f>
        <v>0</v>
      </c>
      <c r="G37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7" s="67">
        <f>IF(DEPENSES[[#This Row],[SOLDE]]&lt;=0,0,INDEX(ACHATS[ECHEANCE],SUMPRODUCT(MATCH(1,(ACHATS[FOURNISSEUR]=DEPENSES[[#This Row],[FOURNISSEUR]])*(ACHATS[NUMERO]=DEPENSES[[#This Row],[NUMERO]]),0))))</f>
        <v>0</v>
      </c>
      <c r="I37" s="42"/>
      <c r="J37" s="31"/>
    </row>
    <row r="38" spans="1:10" ht="14.25" customHeight="1">
      <c r="A38" s="41">
        <v>44093</v>
      </c>
      <c r="B38" s="40" t="s">
        <v>65</v>
      </c>
      <c r="C38" s="41"/>
      <c r="D38" s="55"/>
      <c r="E38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8" s="67">
        <f>INDEX(ACHATS[TYPE],SUMPRODUCT(MATCH(1,(ACHATS[FOURNISSEUR]=DEPENSES[[#This Row],[FOURNISSEUR]])*(ACHATS[NUMERO]=DEPENSES[[#This Row],[NUMERO]]),0)))</f>
        <v>0</v>
      </c>
      <c r="G38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8" s="67">
        <f>IF(DEPENSES[[#This Row],[SOLDE]]&lt;=0,0,INDEX(ACHATS[ECHEANCE],SUMPRODUCT(MATCH(1,(ACHATS[FOURNISSEUR]=DEPENSES[[#This Row],[FOURNISSEUR]])*(ACHATS[NUMERO]=DEPENSES[[#This Row],[NUMERO]]),0))))</f>
        <v>0</v>
      </c>
      <c r="I38" s="42"/>
      <c r="J38" s="31"/>
    </row>
    <row r="39" spans="1:10" s="33" customFormat="1" ht="14.25" customHeight="1">
      <c r="A39" s="41">
        <v>44097</v>
      </c>
      <c r="B39" s="40" t="s">
        <v>65</v>
      </c>
      <c r="C39" s="41"/>
      <c r="D39" s="55"/>
      <c r="E39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39" s="67">
        <f>INDEX(ACHATS[TYPE],SUMPRODUCT(MATCH(1,(ACHATS[FOURNISSEUR]=DEPENSES[[#This Row],[FOURNISSEUR]])*(ACHATS[NUMERO]=DEPENSES[[#This Row],[NUMERO]]),0)))</f>
        <v>0</v>
      </c>
      <c r="G39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39" s="67">
        <f>IF(DEPENSES[[#This Row],[SOLDE]]&lt;=0,0,INDEX(ACHATS[ECHEANCE],SUMPRODUCT(MATCH(1,(ACHATS[FOURNISSEUR]=DEPENSES[[#This Row],[FOURNISSEUR]])*(ACHATS[NUMERO]=DEPENSES[[#This Row],[NUMERO]]),0))))</f>
        <v>0</v>
      </c>
      <c r="I39" s="34"/>
    </row>
    <row r="40" spans="1:10" s="33" customFormat="1" ht="14.25" customHeight="1">
      <c r="A40" s="41">
        <v>44096</v>
      </c>
      <c r="B40" s="40" t="s">
        <v>64</v>
      </c>
      <c r="C40" s="41"/>
      <c r="D40" s="55"/>
      <c r="E40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40" s="67">
        <f>INDEX(ACHATS[TYPE],SUMPRODUCT(MATCH(1,(ACHATS[FOURNISSEUR]=DEPENSES[[#This Row],[FOURNISSEUR]])*(ACHATS[NUMERO]=DEPENSES[[#This Row],[NUMERO]]),0)))</f>
        <v>0</v>
      </c>
      <c r="G40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40" s="67">
        <f>IF(DEPENSES[[#This Row],[SOLDE]]&lt;=0,0,INDEX(ACHATS[ECHEANCE],SUMPRODUCT(MATCH(1,(ACHATS[FOURNISSEUR]=DEPENSES[[#This Row],[FOURNISSEUR]])*(ACHATS[NUMERO]=DEPENSES[[#This Row],[NUMERO]]),0))))</f>
        <v>0</v>
      </c>
      <c r="I40" s="34"/>
    </row>
    <row r="41" spans="1:10" s="33" customFormat="1" ht="14.25" customHeight="1">
      <c r="A41" s="41">
        <v>44096</v>
      </c>
      <c r="B41" s="40" t="s">
        <v>63</v>
      </c>
      <c r="C41" s="41"/>
      <c r="D41" s="55"/>
      <c r="E41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41" s="67">
        <f>INDEX(ACHATS[TYPE],SUMPRODUCT(MATCH(1,(ACHATS[FOURNISSEUR]=DEPENSES[[#This Row],[FOURNISSEUR]])*(ACHATS[NUMERO]=DEPENSES[[#This Row],[NUMERO]]),0)))</f>
        <v>0</v>
      </c>
      <c r="G41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41" s="67">
        <f>IF(DEPENSES[[#This Row],[SOLDE]]&lt;=0,0,INDEX(ACHATS[ECHEANCE],SUMPRODUCT(MATCH(1,(ACHATS[FOURNISSEUR]=DEPENSES[[#This Row],[FOURNISSEUR]])*(ACHATS[NUMERO]=DEPENSES[[#This Row],[NUMERO]]),0))))</f>
        <v>0</v>
      </c>
      <c r="I41" s="34"/>
    </row>
    <row r="42" spans="1:10" s="33" customFormat="1" ht="14.25" customHeight="1">
      <c r="A42" s="41">
        <v>44111</v>
      </c>
      <c r="B42" s="40" t="s">
        <v>62</v>
      </c>
      <c r="C42" s="41"/>
      <c r="D42" s="55"/>
      <c r="E42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42" s="67">
        <f>INDEX(ACHATS[TYPE],SUMPRODUCT(MATCH(1,(ACHATS[FOURNISSEUR]=DEPENSES[[#This Row],[FOURNISSEUR]])*(ACHATS[NUMERO]=DEPENSES[[#This Row],[NUMERO]]),0)))</f>
        <v>0</v>
      </c>
      <c r="G42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42" s="67">
        <f>IF(DEPENSES[[#This Row],[SOLDE]]&lt;=0,0,INDEX(ACHATS[ECHEANCE],SUMPRODUCT(MATCH(1,(ACHATS[FOURNISSEUR]=DEPENSES[[#This Row],[FOURNISSEUR]])*(ACHATS[NUMERO]=DEPENSES[[#This Row],[NUMERO]]),0))))</f>
        <v>0</v>
      </c>
      <c r="I42" s="34"/>
    </row>
    <row r="43" spans="1:10" s="33" customFormat="1" ht="14.25" customHeight="1">
      <c r="A43" s="39">
        <v>44111</v>
      </c>
      <c r="B43" s="40" t="s">
        <v>61</v>
      </c>
      <c r="C43" s="39"/>
      <c r="D43" s="55"/>
      <c r="E43" s="68">
        <f>ROUND(DEPENSES[[#This Row],[TTC]] * INDEX(ACHATS[TVA],SUMPRODUCT(MATCH(1,(ACHATS[FOURNISSEUR]=DEPENSES[[#This Row],[FOURNISSEUR]])*(ACHATS[NUMERO]=DEPENSES[[#This Row],[NUMERO]]),0))) / INDEX(ACHATS[TTC],SUMPRODUCT(MATCH(1,(ACHATS[FOURNISSEUR]=DEPENSES[[#This Row],[FOURNISSEUR]])*(ACHATS[NUMERO]=DEPENSES[[#This Row],[NUMERO]]),0))),2)</f>
        <v>0</v>
      </c>
      <c r="F43" s="67">
        <f>INDEX(ACHATS[TYPE],SUMPRODUCT(MATCH(1,(ACHATS[FOURNISSEUR]=DEPENSES[[#This Row],[FOURNISSEUR]])*(ACHATS[NUMERO]=DEPENSES[[#This Row],[NUMERO]]),0)))</f>
        <v>0</v>
      </c>
      <c r="G43" s="54">
        <f>SUMIFS(ACHATS[TTC],ACHATS[FOURNISSEUR],DEPENSES[[#This Row],[FOURNISSEUR]],ACHATS[NUMERO],DEPENSES[[#This Row],[NUMERO]])-SUMIFS(DEPENSES[TTC],DEPENSES[FOURNISSEUR],DEPENSES[[#This Row],[FOURNISSEUR]],DEPENSES[NUMERO],DEPENSES[[#This Row],[NUMERO]])</f>
        <v>0</v>
      </c>
      <c r="H43" s="67">
        <f>IF(DEPENSES[[#This Row],[SOLDE]]&lt;=0,0,INDEX(ACHATS[ECHEANCE],SUMPRODUCT(MATCH(1,(ACHATS[FOURNISSEUR]=DEPENSES[[#This Row],[FOURNISSEUR]])*(ACHATS[NUMERO]=DEPENSES[[#This Row],[NUMERO]]),0))))</f>
        <v>0</v>
      </c>
      <c r="I43" s="34"/>
    </row>
  </sheetData>
  <conditionalFormatting sqref="A2:D43 F2:H43">
    <cfRule type="expression" dxfId="0" priority="1">
      <formula>#REF!=""</formula>
    </cfRule>
  </conditionalFormatting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theme="5"/>
  </sheetPr>
  <dimension ref="A1:G43"/>
  <sheetViews>
    <sheetView topLeftCell="A16" workbookViewId="0">
      <selection activeCell="J28" sqref="J28"/>
    </sheetView>
  </sheetViews>
  <sheetFormatPr baseColWidth="10" defaultRowHeight="14" x14ac:dyDescent="0"/>
  <cols>
    <col min="1" max="1" width="23.5" style="32" bestFit="1" customWidth="1"/>
    <col min="2" max="2" width="13.1640625" style="32" bestFit="1" customWidth="1"/>
    <col min="3" max="16384" width="10.83203125" style="32"/>
  </cols>
  <sheetData>
    <row r="1" spans="1:7">
      <c r="A1" s="64" t="s">
        <v>50</v>
      </c>
      <c r="B1" s="64" t="s">
        <v>100</v>
      </c>
      <c r="C1" s="63" t="s">
        <v>54</v>
      </c>
      <c r="D1" s="63" t="s">
        <v>55</v>
      </c>
      <c r="E1" s="63" t="s">
        <v>120</v>
      </c>
      <c r="F1" s="63" t="s">
        <v>119</v>
      </c>
      <c r="G1" s="63" t="s">
        <v>3</v>
      </c>
    </row>
    <row r="2" spans="1:7" ht="14" customHeight="1">
      <c r="A2" s="62" t="s">
        <v>118</v>
      </c>
      <c r="B2" s="40" t="s">
        <v>105</v>
      </c>
      <c r="C2" s="58"/>
      <c r="D2" s="58"/>
      <c r="E2" s="57">
        <f>SUMIF(ACHATS[FOURNISSEUR],FOURNISSEURS[[#This Row],[DENOMINATION]],ACHATS[TTC])</f>
        <v>0</v>
      </c>
      <c r="F2" s="57">
        <f>SUMIF(DEPENSES[FOURNISSEUR],FOURNISSEURS[[#This Row],[DENOMINATION]],DEPENSES[TTC])</f>
        <v>0</v>
      </c>
      <c r="G2" s="56">
        <f>FOURNISSEURS[[#This Row],[ACHATS]]-FOURNISSEURS[[#This Row],[PAIEMENTS]]</f>
        <v>0</v>
      </c>
    </row>
    <row r="3" spans="1:7" ht="14" customHeight="1">
      <c r="A3" s="60" t="s">
        <v>117</v>
      </c>
      <c r="B3" s="40" t="s">
        <v>105</v>
      </c>
      <c r="C3" s="58"/>
      <c r="D3" s="58"/>
      <c r="E3" s="57">
        <f>SUMIF(ACHATS[FOURNISSEUR],FOURNISSEURS[[#This Row],[DENOMINATION]],ACHATS[TTC])</f>
        <v>0</v>
      </c>
      <c r="F3" s="57">
        <f>SUMIF(DEPENSES[FOURNISSEUR],FOURNISSEURS[[#This Row],[DENOMINATION]],DEPENSES[TTC])</f>
        <v>0</v>
      </c>
      <c r="G3" s="56">
        <f>FOURNISSEURS[[#This Row],[ACHATS]]-FOURNISSEURS[[#This Row],[PAIEMENTS]]</f>
        <v>0</v>
      </c>
    </row>
    <row r="4" spans="1:7" ht="14" customHeight="1">
      <c r="A4" s="60" t="s">
        <v>116</v>
      </c>
      <c r="B4" s="40" t="s">
        <v>105</v>
      </c>
      <c r="C4" s="58"/>
      <c r="D4" s="58"/>
      <c r="E4" s="57">
        <f>SUMIF(ACHATS[FOURNISSEUR],FOURNISSEURS[[#This Row],[DENOMINATION]],ACHATS[TTC])</f>
        <v>0</v>
      </c>
      <c r="F4" s="57">
        <f>SUMIF(DEPENSES[FOURNISSEUR],FOURNISSEURS[[#This Row],[DENOMINATION]],DEPENSES[TTC])</f>
        <v>0</v>
      </c>
      <c r="G4" s="56">
        <f>FOURNISSEURS[[#This Row],[ACHATS]]-FOURNISSEURS[[#This Row],[PAIEMENTS]]</f>
        <v>0</v>
      </c>
    </row>
    <row r="5" spans="1:7" ht="14" customHeight="1">
      <c r="A5" s="60" t="s">
        <v>115</v>
      </c>
      <c r="B5" s="40" t="s">
        <v>105</v>
      </c>
      <c r="C5" s="58"/>
      <c r="D5" s="58"/>
      <c r="E5" s="57">
        <f>SUMIF(ACHATS[FOURNISSEUR],FOURNISSEURS[[#This Row],[DENOMINATION]],ACHATS[TTC])</f>
        <v>0</v>
      </c>
      <c r="F5" s="57">
        <f>SUMIF(DEPENSES[FOURNISSEUR],FOURNISSEURS[[#This Row],[DENOMINATION]],DEPENSES[TTC])</f>
        <v>0</v>
      </c>
      <c r="G5" s="56">
        <f>FOURNISSEURS[[#This Row],[ACHATS]]-FOURNISSEURS[[#This Row],[PAIEMENTS]]</f>
        <v>0</v>
      </c>
    </row>
    <row r="6" spans="1:7" ht="15" customHeight="1">
      <c r="A6" s="60" t="s">
        <v>114</v>
      </c>
      <c r="B6" s="40" t="s">
        <v>105</v>
      </c>
      <c r="C6" s="58"/>
      <c r="D6" s="58"/>
      <c r="E6" s="57">
        <f>SUMIF(ACHATS[FOURNISSEUR],FOURNISSEURS[[#This Row],[DENOMINATION]],ACHATS[TTC])</f>
        <v>0</v>
      </c>
      <c r="F6" s="57">
        <f>SUMIF(DEPENSES[FOURNISSEUR],FOURNISSEURS[[#This Row],[DENOMINATION]],DEPENSES[TTC])</f>
        <v>0</v>
      </c>
      <c r="G6" s="56">
        <f>FOURNISSEURS[[#This Row],[ACHATS]]-FOURNISSEURS[[#This Row],[PAIEMENTS]]</f>
        <v>0</v>
      </c>
    </row>
    <row r="7" spans="1:7" ht="14" customHeight="1">
      <c r="A7" s="60" t="s">
        <v>113</v>
      </c>
      <c r="B7" s="40" t="s">
        <v>106</v>
      </c>
      <c r="C7" s="58"/>
      <c r="D7" s="58"/>
      <c r="E7" s="57">
        <f>SUMIF(ACHATS[FOURNISSEUR],FOURNISSEURS[[#This Row],[DENOMINATION]],ACHATS[TTC])</f>
        <v>0</v>
      </c>
      <c r="F7" s="57">
        <f>SUMIF(DEPENSES[FOURNISSEUR],FOURNISSEURS[[#This Row],[DENOMINATION]],DEPENSES[TTC])</f>
        <v>0</v>
      </c>
      <c r="G7" s="56">
        <f>FOURNISSEURS[[#This Row],[ACHATS]]-FOURNISSEURS[[#This Row],[PAIEMENTS]]</f>
        <v>0</v>
      </c>
    </row>
    <row r="8" spans="1:7" ht="14" customHeight="1">
      <c r="A8" s="60" t="s">
        <v>112</v>
      </c>
      <c r="B8" s="40" t="s">
        <v>106</v>
      </c>
      <c r="C8" s="58"/>
      <c r="D8" s="58"/>
      <c r="E8" s="57">
        <f>SUMIF(ACHATS[FOURNISSEUR],FOURNISSEURS[[#This Row],[DENOMINATION]],ACHATS[TTC])</f>
        <v>0</v>
      </c>
      <c r="F8" s="57">
        <f>SUMIF(DEPENSES[FOURNISSEUR],FOURNISSEURS[[#This Row],[DENOMINATION]],DEPENSES[TTC])</f>
        <v>0</v>
      </c>
      <c r="G8" s="56">
        <f>FOURNISSEURS[[#This Row],[ACHATS]]-FOURNISSEURS[[#This Row],[PAIEMENTS]]</f>
        <v>0</v>
      </c>
    </row>
    <row r="9" spans="1:7" ht="14" customHeight="1">
      <c r="A9" s="60" t="s">
        <v>111</v>
      </c>
      <c r="B9" s="40" t="s">
        <v>106</v>
      </c>
      <c r="C9" s="58"/>
      <c r="D9" s="58"/>
      <c r="E9" s="57">
        <f>SUMIF(ACHATS[FOURNISSEUR],FOURNISSEURS[[#This Row],[DENOMINATION]],ACHATS[TTC])</f>
        <v>0</v>
      </c>
      <c r="F9" s="57">
        <f>SUMIF(DEPENSES[FOURNISSEUR],FOURNISSEURS[[#This Row],[DENOMINATION]],DEPENSES[TTC])</f>
        <v>0</v>
      </c>
      <c r="G9" s="56">
        <f>FOURNISSEURS[[#This Row],[ACHATS]]-FOURNISSEURS[[#This Row],[PAIEMENTS]]</f>
        <v>0</v>
      </c>
    </row>
    <row r="10" spans="1:7" ht="14" customHeight="1">
      <c r="A10" s="60" t="s">
        <v>110</v>
      </c>
      <c r="B10" s="40" t="s">
        <v>106</v>
      </c>
      <c r="C10" s="58"/>
      <c r="D10" s="58"/>
      <c r="E10" s="57">
        <f>SUMIF(ACHATS[FOURNISSEUR],FOURNISSEURS[[#This Row],[DENOMINATION]],ACHATS[TTC])</f>
        <v>0</v>
      </c>
      <c r="F10" s="57">
        <f>SUMIF(DEPENSES[FOURNISSEUR],FOURNISSEURS[[#This Row],[DENOMINATION]],DEPENSES[TTC])</f>
        <v>0</v>
      </c>
      <c r="G10" s="56">
        <f>FOURNISSEURS[[#This Row],[ACHATS]]-FOURNISSEURS[[#This Row],[PAIEMENTS]]</f>
        <v>0</v>
      </c>
    </row>
    <row r="11" spans="1:7" ht="14" customHeight="1">
      <c r="A11" s="60" t="s">
        <v>109</v>
      </c>
      <c r="B11" s="40" t="s">
        <v>106</v>
      </c>
      <c r="C11" s="58"/>
      <c r="D11" s="58"/>
      <c r="E11" s="57">
        <f>SUMIF(ACHATS[FOURNISSEUR],FOURNISSEURS[[#This Row],[DENOMINATION]],ACHATS[TTC])</f>
        <v>0</v>
      </c>
      <c r="F11" s="57">
        <f>SUMIF(DEPENSES[FOURNISSEUR],FOURNISSEURS[[#This Row],[DENOMINATION]],DEPENSES[TTC])</f>
        <v>0</v>
      </c>
      <c r="G11" s="56">
        <f>FOURNISSEURS[[#This Row],[ACHATS]]-FOURNISSEURS[[#This Row],[PAIEMENTS]]</f>
        <v>0</v>
      </c>
    </row>
    <row r="12" spans="1:7" ht="14" customHeight="1">
      <c r="A12" s="60" t="s">
        <v>108</v>
      </c>
      <c r="B12" s="40" t="s">
        <v>106</v>
      </c>
      <c r="C12" s="58"/>
      <c r="D12" s="58"/>
      <c r="E12" s="57">
        <f>SUMIF(ACHATS[FOURNISSEUR],FOURNISSEURS[[#This Row],[DENOMINATION]],ACHATS[TTC])</f>
        <v>0</v>
      </c>
      <c r="F12" s="57">
        <f>SUMIF(DEPENSES[FOURNISSEUR],FOURNISSEURS[[#This Row],[DENOMINATION]],DEPENSES[TTC])</f>
        <v>0</v>
      </c>
      <c r="G12" s="56">
        <f>FOURNISSEURS[[#This Row],[ACHATS]]-FOURNISSEURS[[#This Row],[PAIEMENTS]]</f>
        <v>0</v>
      </c>
    </row>
    <row r="13" spans="1:7" ht="15" customHeight="1">
      <c r="A13" s="60" t="s">
        <v>107</v>
      </c>
      <c r="B13" s="40" t="s">
        <v>106</v>
      </c>
      <c r="C13" s="58"/>
      <c r="D13" s="58"/>
      <c r="E13" s="57">
        <f>SUMIF(ACHATS[FOURNISSEUR],FOURNISSEURS[[#This Row],[DENOMINATION]],ACHATS[TTC])</f>
        <v>0</v>
      </c>
      <c r="F13" s="57">
        <f>SUMIF(DEPENSES[FOURNISSEUR],FOURNISSEURS[[#This Row],[DENOMINATION]],DEPENSES[TTC])</f>
        <v>0</v>
      </c>
      <c r="G13" s="56">
        <f>FOURNISSEURS[[#This Row],[ACHATS]]-FOURNISSEURS[[#This Row],[PAIEMENTS]]</f>
        <v>0</v>
      </c>
    </row>
    <row r="14" spans="1:7">
      <c r="A14" s="61" t="s">
        <v>99</v>
      </c>
      <c r="B14" s="59" t="s">
        <v>105</v>
      </c>
      <c r="C14" s="58"/>
      <c r="D14" s="58"/>
      <c r="E14" s="57">
        <f>SUMIF(ACHATS[FOURNISSEUR],FOURNISSEURS[[#This Row],[DENOMINATION]],ACHATS[TTC])</f>
        <v>633.09</v>
      </c>
      <c r="F14" s="57">
        <f>SUMIF(DEPENSES[FOURNISSEUR],FOURNISSEURS[[#This Row],[DENOMINATION]],DEPENSES[TTC])</f>
        <v>100</v>
      </c>
      <c r="G14" s="56">
        <f>FOURNISSEURS[[#This Row],[ACHATS]]-FOURNISSEURS[[#This Row],[PAIEMENTS]]</f>
        <v>533.09</v>
      </c>
    </row>
    <row r="15" spans="1:7">
      <c r="A15" s="61" t="s">
        <v>97</v>
      </c>
      <c r="B15" s="59" t="s">
        <v>105</v>
      </c>
      <c r="C15" s="58"/>
      <c r="D15" s="58"/>
      <c r="E15" s="57">
        <f>SUMIF(ACHATS[FOURNISSEUR],FOURNISSEURS[[#This Row],[DENOMINATION]],ACHATS[TTC])</f>
        <v>152.71</v>
      </c>
      <c r="F15" s="57">
        <f>SUMIF(DEPENSES[FOURNISSEUR],FOURNISSEURS[[#This Row],[DENOMINATION]],DEPENSES[TTC])</f>
        <v>120</v>
      </c>
      <c r="G15" s="56">
        <f>FOURNISSEURS[[#This Row],[ACHATS]]-FOURNISSEURS[[#This Row],[PAIEMENTS]]</f>
        <v>32.710000000000008</v>
      </c>
    </row>
    <row r="16" spans="1:7">
      <c r="A16" s="61" t="s">
        <v>95</v>
      </c>
      <c r="B16" s="59" t="s">
        <v>105</v>
      </c>
      <c r="C16" s="58"/>
      <c r="D16" s="58"/>
      <c r="E16" s="57">
        <f>SUMIF(ACHATS[FOURNISSEUR],FOURNISSEURS[[#This Row],[DENOMINATION]],ACHATS[TTC])</f>
        <v>76.39</v>
      </c>
      <c r="F16" s="57">
        <f>SUMIF(DEPENSES[FOURNISSEUR],FOURNISSEURS[[#This Row],[DENOMINATION]],DEPENSES[TTC])</f>
        <v>76.39</v>
      </c>
      <c r="G16" s="56">
        <f>FOURNISSEURS[[#This Row],[ACHATS]]-FOURNISSEURS[[#This Row],[PAIEMENTS]]</f>
        <v>0</v>
      </c>
    </row>
    <row r="17" spans="1:7">
      <c r="A17" s="61" t="s">
        <v>93</v>
      </c>
      <c r="B17" s="59" t="s">
        <v>105</v>
      </c>
      <c r="C17" s="58"/>
      <c r="D17" s="58"/>
      <c r="E17" s="57">
        <f>SUMIF(ACHATS[FOURNISSEUR],FOURNISSEURS[[#This Row],[DENOMINATION]],ACHATS[TTC])</f>
        <v>1519.8</v>
      </c>
      <c r="F17" s="57">
        <f>SUMIF(DEPENSES[FOURNISSEUR],FOURNISSEURS[[#This Row],[DENOMINATION]],DEPENSES[TTC])</f>
        <v>1519.8</v>
      </c>
      <c r="G17" s="56">
        <f>FOURNISSEURS[[#This Row],[ACHATS]]-FOURNISSEURS[[#This Row],[PAIEMENTS]]</f>
        <v>0</v>
      </c>
    </row>
    <row r="18" spans="1:7">
      <c r="A18" s="61" t="s">
        <v>91</v>
      </c>
      <c r="B18" s="59" t="s">
        <v>105</v>
      </c>
      <c r="C18" s="58"/>
      <c r="D18" s="58"/>
      <c r="E18" s="57">
        <f>SUMIF(ACHATS[FOURNISSEUR],FOURNISSEURS[[#This Row],[DENOMINATION]],ACHATS[TTC])</f>
        <v>157.55000000000001</v>
      </c>
      <c r="F18" s="57">
        <f>SUMIF(DEPENSES[FOURNISSEUR],FOURNISSEURS[[#This Row],[DENOMINATION]],DEPENSES[TTC])</f>
        <v>160</v>
      </c>
      <c r="G18" s="56">
        <f>FOURNISSEURS[[#This Row],[ACHATS]]-FOURNISSEURS[[#This Row],[PAIEMENTS]]</f>
        <v>-2.4499999999999886</v>
      </c>
    </row>
    <row r="19" spans="1:7">
      <c r="A19" s="61" t="s">
        <v>89</v>
      </c>
      <c r="B19" s="59" t="s">
        <v>105</v>
      </c>
      <c r="C19" s="58"/>
      <c r="D19" s="58"/>
      <c r="E19" s="57">
        <f>SUMIF(ACHATS[FOURNISSEUR],FOURNISSEURS[[#This Row],[DENOMINATION]],ACHATS[TTC])</f>
        <v>49.959999999999994</v>
      </c>
      <c r="F19" s="57">
        <f>SUMIF(DEPENSES[FOURNISSEUR],FOURNISSEURS[[#This Row],[DENOMINATION]],DEPENSES[TTC])</f>
        <v>49.96</v>
      </c>
      <c r="G19" s="56">
        <f>FOURNISSEURS[[#This Row],[ACHATS]]-FOURNISSEURS[[#This Row],[PAIEMENTS]]</f>
        <v>0</v>
      </c>
    </row>
    <row r="20" spans="1:7">
      <c r="A20" s="61" t="s">
        <v>87</v>
      </c>
      <c r="B20" s="59" t="s">
        <v>105</v>
      </c>
      <c r="C20" s="58"/>
      <c r="D20" s="58"/>
      <c r="E20" s="57">
        <f>SUMIF(ACHATS[FOURNISSEUR],FOURNISSEURS[[#This Row],[DENOMINATION]],ACHATS[TTC])</f>
        <v>89.89</v>
      </c>
      <c r="F20" s="57">
        <f>SUMIF(DEPENSES[FOURNISSEUR],FOURNISSEURS[[#This Row],[DENOMINATION]],DEPENSES[TTC])</f>
        <v>89.89</v>
      </c>
      <c r="G20" s="56">
        <f>FOURNISSEURS[[#This Row],[ACHATS]]-FOURNISSEURS[[#This Row],[PAIEMENTS]]</f>
        <v>0</v>
      </c>
    </row>
    <row r="21" spans="1:7">
      <c r="A21" s="61" t="s">
        <v>85</v>
      </c>
      <c r="B21" s="59" t="s">
        <v>105</v>
      </c>
      <c r="C21" s="58"/>
      <c r="D21" s="58"/>
      <c r="E21" s="57">
        <f>SUMIF(ACHATS[FOURNISSEUR],FOURNISSEURS[[#This Row],[DENOMINATION]],ACHATS[TTC])</f>
        <v>-289.44</v>
      </c>
      <c r="F21" s="57">
        <f>SUMIF(DEPENSES[FOURNISSEUR],FOURNISSEURS[[#This Row],[DENOMINATION]],DEPENSES[TTC])</f>
        <v>289.44</v>
      </c>
      <c r="G21" s="56">
        <f>FOURNISSEURS[[#This Row],[ACHATS]]-FOURNISSEURS[[#This Row],[PAIEMENTS]]</f>
        <v>-578.88</v>
      </c>
    </row>
    <row r="22" spans="1:7">
      <c r="A22" s="61" t="s">
        <v>83</v>
      </c>
      <c r="B22" s="59" t="s">
        <v>105</v>
      </c>
      <c r="C22" s="58"/>
      <c r="D22" s="58"/>
      <c r="E22" s="57">
        <f>SUMIF(ACHATS[FOURNISSEUR],FOURNISSEURS[[#This Row],[DENOMINATION]],ACHATS[TTC])</f>
        <v>325.27</v>
      </c>
      <c r="F22" s="57">
        <f>SUMIF(DEPENSES[FOURNISSEUR],FOURNISSEURS[[#This Row],[DENOMINATION]],DEPENSES[TTC])</f>
        <v>325.27</v>
      </c>
      <c r="G22" s="56">
        <f>FOURNISSEURS[[#This Row],[ACHATS]]-FOURNISSEURS[[#This Row],[PAIEMENTS]]</f>
        <v>0</v>
      </c>
    </row>
    <row r="23" spans="1:7">
      <c r="A23" s="61" t="s">
        <v>81</v>
      </c>
      <c r="B23" s="59" t="s">
        <v>105</v>
      </c>
      <c r="C23" s="58"/>
      <c r="D23" s="58"/>
      <c r="E23" s="57">
        <f>SUMIF(ACHATS[FOURNISSEUR],FOURNISSEURS[[#This Row],[DENOMINATION]],ACHATS[TTC])</f>
        <v>21.75</v>
      </c>
      <c r="F23" s="57">
        <f>SUMIF(DEPENSES[FOURNISSEUR],FOURNISSEURS[[#This Row],[DENOMINATION]],DEPENSES[TTC])</f>
        <v>0</v>
      </c>
      <c r="G23" s="56">
        <f>FOURNISSEURS[[#This Row],[ACHATS]]-FOURNISSEURS[[#This Row],[PAIEMENTS]]</f>
        <v>21.75</v>
      </c>
    </row>
    <row r="24" spans="1:7">
      <c r="A24" s="61" t="s">
        <v>65</v>
      </c>
      <c r="B24" s="59" t="s">
        <v>105</v>
      </c>
      <c r="C24" s="58"/>
      <c r="D24" s="58"/>
      <c r="E24" s="57">
        <f>SUMIF(ACHATS[FOURNISSEUR],FOURNISSEURS[[#This Row],[DENOMINATION]],ACHATS[TTC])</f>
        <v>7837.6800000000012</v>
      </c>
      <c r="F24" s="57">
        <f>SUMIF(DEPENSES[FOURNISSEUR],FOURNISSEURS[[#This Row],[DENOMINATION]],DEPENSES[TTC])</f>
        <v>0</v>
      </c>
      <c r="G24" s="56">
        <f>FOURNISSEURS[[#This Row],[ACHATS]]-FOURNISSEURS[[#This Row],[PAIEMENTS]]</f>
        <v>7837.6800000000012</v>
      </c>
    </row>
    <row r="25" spans="1:7">
      <c r="A25" s="61" t="s">
        <v>80</v>
      </c>
      <c r="B25" s="59" t="s">
        <v>105</v>
      </c>
      <c r="C25" s="58"/>
      <c r="D25" s="58"/>
      <c r="E25" s="57">
        <f>SUMIF(ACHATS[FOURNISSEUR],FOURNISSEURS[[#This Row],[DENOMINATION]],ACHATS[TTC])</f>
        <v>364.27</v>
      </c>
      <c r="F25" s="57">
        <f>SUMIF(DEPENSES[FOURNISSEUR],FOURNISSEURS[[#This Row],[DENOMINATION]],DEPENSES[TTC])</f>
        <v>0</v>
      </c>
      <c r="G25" s="56">
        <f>FOURNISSEURS[[#This Row],[ACHATS]]-FOURNISSEURS[[#This Row],[PAIEMENTS]]</f>
        <v>364.27</v>
      </c>
    </row>
    <row r="26" spans="1:7">
      <c r="A26" s="61" t="s">
        <v>79</v>
      </c>
      <c r="B26" s="59" t="s">
        <v>105</v>
      </c>
      <c r="C26" s="58"/>
      <c r="D26" s="58"/>
      <c r="E26" s="57">
        <f>SUMIF(ACHATS[FOURNISSEUR],FOURNISSEURS[[#This Row],[DENOMINATION]],ACHATS[TTC])</f>
        <v>166.88</v>
      </c>
      <c r="F26" s="57">
        <f>SUMIF(DEPENSES[FOURNISSEUR],FOURNISSEURS[[#This Row],[DENOMINATION]],DEPENSES[TTC])</f>
        <v>0</v>
      </c>
      <c r="G26" s="56">
        <f>FOURNISSEURS[[#This Row],[ACHATS]]-FOURNISSEURS[[#This Row],[PAIEMENTS]]</f>
        <v>166.88</v>
      </c>
    </row>
    <row r="27" spans="1:7">
      <c r="A27" s="61" t="s">
        <v>78</v>
      </c>
      <c r="B27" s="59" t="s">
        <v>105</v>
      </c>
      <c r="C27" s="58"/>
      <c r="D27" s="58"/>
      <c r="E27" s="57">
        <f>SUMIF(ACHATS[FOURNISSEUR],FOURNISSEURS[[#This Row],[DENOMINATION]],ACHATS[TTC])</f>
        <v>49.959999999999994</v>
      </c>
      <c r="F27" s="57">
        <f>SUMIF(DEPENSES[FOURNISSEUR],FOURNISSEURS[[#This Row],[DENOMINATION]],DEPENSES[TTC])</f>
        <v>0</v>
      </c>
      <c r="G27" s="56">
        <f>FOURNISSEURS[[#This Row],[ACHATS]]-FOURNISSEURS[[#This Row],[PAIEMENTS]]</f>
        <v>49.959999999999994</v>
      </c>
    </row>
    <row r="28" spans="1:7">
      <c r="A28" s="61" t="s">
        <v>77</v>
      </c>
      <c r="B28" s="59" t="s">
        <v>105</v>
      </c>
      <c r="C28" s="58"/>
      <c r="D28" s="58"/>
      <c r="E28" s="57">
        <f>SUMIF(ACHATS[FOURNISSEUR],FOURNISSEURS[[#This Row],[DENOMINATION]],ACHATS[TTC])</f>
        <v>47.1</v>
      </c>
      <c r="F28" s="57">
        <f>SUMIF(DEPENSES[FOURNISSEUR],FOURNISSEURS[[#This Row],[DENOMINATION]],DEPENSES[TTC])</f>
        <v>0</v>
      </c>
      <c r="G28" s="56">
        <f>FOURNISSEURS[[#This Row],[ACHATS]]-FOURNISSEURS[[#This Row],[PAIEMENTS]]</f>
        <v>47.1</v>
      </c>
    </row>
    <row r="29" spans="1:7">
      <c r="A29" s="61" t="s">
        <v>76</v>
      </c>
      <c r="B29" s="59" t="s">
        <v>105</v>
      </c>
      <c r="C29" s="58"/>
      <c r="D29" s="58"/>
      <c r="E29" s="57">
        <f>SUMIF(ACHATS[FOURNISSEUR],FOURNISSEURS[[#This Row],[DENOMINATION]],ACHATS[TTC])</f>
        <v>1285.44</v>
      </c>
      <c r="F29" s="57">
        <f>SUMIF(DEPENSES[FOURNISSEUR],FOURNISSEURS[[#This Row],[DENOMINATION]],DEPENSES[TTC])</f>
        <v>0</v>
      </c>
      <c r="G29" s="56">
        <f>FOURNISSEURS[[#This Row],[ACHATS]]-FOURNISSEURS[[#This Row],[PAIEMENTS]]</f>
        <v>1285.44</v>
      </c>
    </row>
    <row r="30" spans="1:7">
      <c r="A30" s="61" t="s">
        <v>75</v>
      </c>
      <c r="B30" s="59" t="s">
        <v>105</v>
      </c>
      <c r="C30" s="58"/>
      <c r="D30" s="58"/>
      <c r="E30" s="57">
        <f>SUMIF(ACHATS[FOURNISSEUR],FOURNISSEURS[[#This Row],[DENOMINATION]],ACHATS[TTC])</f>
        <v>1044.5999999999999</v>
      </c>
      <c r="F30" s="57">
        <f>SUMIF(DEPENSES[FOURNISSEUR],FOURNISSEURS[[#This Row],[DENOMINATION]],DEPENSES[TTC])</f>
        <v>0</v>
      </c>
      <c r="G30" s="56">
        <f>FOURNISSEURS[[#This Row],[ACHATS]]-FOURNISSEURS[[#This Row],[PAIEMENTS]]</f>
        <v>1044.5999999999999</v>
      </c>
    </row>
    <row r="31" spans="1:7">
      <c r="A31" s="61" t="s">
        <v>74</v>
      </c>
      <c r="B31" s="59" t="s">
        <v>105</v>
      </c>
      <c r="C31" s="58"/>
      <c r="D31" s="58"/>
      <c r="E31" s="57">
        <f>SUMIF(ACHATS[FOURNISSEUR],FOURNISSEURS[[#This Row],[DENOMINATION]],ACHATS[TTC])</f>
        <v>474.59</v>
      </c>
      <c r="F31" s="57">
        <f>SUMIF(DEPENSES[FOURNISSEUR],FOURNISSEURS[[#This Row],[DENOMINATION]],DEPENSES[TTC])</f>
        <v>0</v>
      </c>
      <c r="G31" s="56">
        <f>FOURNISSEURS[[#This Row],[ACHATS]]-FOURNISSEURS[[#This Row],[PAIEMENTS]]</f>
        <v>474.59</v>
      </c>
    </row>
    <row r="32" spans="1:7">
      <c r="A32" s="61" t="s">
        <v>73</v>
      </c>
      <c r="B32" s="59" t="s">
        <v>105</v>
      </c>
      <c r="C32" s="58"/>
      <c r="D32" s="58"/>
      <c r="E32" s="57">
        <f>SUMIF(ACHATS[FOURNISSEUR],FOURNISSEURS[[#This Row],[DENOMINATION]],ACHATS[TTC])</f>
        <v>179.78</v>
      </c>
      <c r="F32" s="57">
        <f>SUMIF(DEPENSES[FOURNISSEUR],FOURNISSEURS[[#This Row],[DENOMINATION]],DEPENSES[TTC])</f>
        <v>0</v>
      </c>
      <c r="G32" s="56">
        <f>FOURNISSEURS[[#This Row],[ACHATS]]-FOURNISSEURS[[#This Row],[PAIEMENTS]]</f>
        <v>179.78</v>
      </c>
    </row>
    <row r="33" spans="1:7">
      <c r="A33" s="61" t="s">
        <v>72</v>
      </c>
      <c r="B33" s="59" t="s">
        <v>105</v>
      </c>
      <c r="C33" s="58"/>
      <c r="D33" s="58"/>
      <c r="E33" s="57">
        <f>SUMIF(ACHATS[FOURNISSEUR],FOURNISSEURS[[#This Row],[DENOMINATION]],ACHATS[TTC])</f>
        <v>108.43</v>
      </c>
      <c r="F33" s="57">
        <f>SUMIF(DEPENSES[FOURNISSEUR],FOURNISSEURS[[#This Row],[DENOMINATION]],DEPENSES[TTC])</f>
        <v>0</v>
      </c>
      <c r="G33" s="56">
        <f>FOURNISSEURS[[#This Row],[ACHATS]]-FOURNISSEURS[[#This Row],[PAIEMENTS]]</f>
        <v>108.43</v>
      </c>
    </row>
    <row r="34" spans="1:7">
      <c r="A34" s="61" t="s">
        <v>71</v>
      </c>
      <c r="B34" s="59" t="s">
        <v>105</v>
      </c>
      <c r="C34" s="58"/>
      <c r="D34" s="58"/>
      <c r="E34" s="57">
        <f>SUMIF(ACHATS[FOURNISSEUR],FOURNISSEURS[[#This Row],[DENOMINATION]],ACHATS[TTC])</f>
        <v>115.06</v>
      </c>
      <c r="F34" s="57">
        <f>SUMIF(DEPENSES[FOURNISSEUR],FOURNISSEURS[[#This Row],[DENOMINATION]],DEPENSES[TTC])</f>
        <v>0</v>
      </c>
      <c r="G34" s="56">
        <f>FOURNISSEURS[[#This Row],[ACHATS]]-FOURNISSEURS[[#This Row],[PAIEMENTS]]</f>
        <v>115.06</v>
      </c>
    </row>
    <row r="35" spans="1:7">
      <c r="A35" s="61" t="s">
        <v>70</v>
      </c>
      <c r="B35" s="59" t="s">
        <v>105</v>
      </c>
      <c r="C35" s="58"/>
      <c r="D35" s="58"/>
      <c r="E35" s="57">
        <f>SUMIF(ACHATS[FOURNISSEUR],FOURNISSEURS[[#This Row],[DENOMINATION]],ACHATS[TTC])</f>
        <v>1515.45</v>
      </c>
      <c r="F35" s="57">
        <f>SUMIF(DEPENSES[FOURNISSEUR],FOURNISSEURS[[#This Row],[DENOMINATION]],DEPENSES[TTC])</f>
        <v>0</v>
      </c>
      <c r="G35" s="56">
        <f>FOURNISSEURS[[#This Row],[ACHATS]]-FOURNISSEURS[[#This Row],[PAIEMENTS]]</f>
        <v>1515.45</v>
      </c>
    </row>
    <row r="36" spans="1:7">
      <c r="A36" s="61" t="s">
        <v>69</v>
      </c>
      <c r="B36" s="59" t="s">
        <v>105</v>
      </c>
      <c r="C36" s="58"/>
      <c r="D36" s="58"/>
      <c r="E36" s="57">
        <f>SUMIF(ACHATS[FOURNISSEUR],FOURNISSEURS[[#This Row],[DENOMINATION]],ACHATS[TTC])</f>
        <v>383.18</v>
      </c>
      <c r="F36" s="57">
        <f>SUMIF(DEPENSES[FOURNISSEUR],FOURNISSEURS[[#This Row],[DENOMINATION]],DEPENSES[TTC])</f>
        <v>0</v>
      </c>
      <c r="G36" s="56">
        <f>FOURNISSEURS[[#This Row],[ACHATS]]-FOURNISSEURS[[#This Row],[PAIEMENTS]]</f>
        <v>383.18</v>
      </c>
    </row>
    <row r="37" spans="1:7">
      <c r="A37" s="61" t="s">
        <v>68</v>
      </c>
      <c r="B37" s="59" t="s">
        <v>105</v>
      </c>
      <c r="C37" s="58"/>
      <c r="D37" s="58"/>
      <c r="E37" s="57">
        <f>SUMIF(ACHATS[FOURNISSEUR],FOURNISSEURS[[#This Row],[DENOMINATION]],ACHATS[TTC])</f>
        <v>28.71</v>
      </c>
      <c r="F37" s="57">
        <f>SUMIF(DEPENSES[FOURNISSEUR],FOURNISSEURS[[#This Row],[DENOMINATION]],DEPENSES[TTC])</f>
        <v>0</v>
      </c>
      <c r="G37" s="56">
        <f>FOURNISSEURS[[#This Row],[ACHATS]]-FOURNISSEURS[[#This Row],[PAIEMENTS]]</f>
        <v>28.71</v>
      </c>
    </row>
    <row r="38" spans="1:7">
      <c r="A38" s="61" t="s">
        <v>67</v>
      </c>
      <c r="B38" s="59" t="s">
        <v>105</v>
      </c>
      <c r="C38" s="58"/>
      <c r="D38" s="58"/>
      <c r="E38" s="57">
        <f>SUMIF(ACHATS[FOURNISSEUR],FOURNISSEURS[[#This Row],[DENOMINATION]],ACHATS[TTC])</f>
        <v>237.15</v>
      </c>
      <c r="F38" s="57">
        <f>SUMIF(DEPENSES[FOURNISSEUR],FOURNISSEURS[[#This Row],[DENOMINATION]],DEPENSES[TTC])</f>
        <v>0</v>
      </c>
      <c r="G38" s="56">
        <f>FOURNISSEURS[[#This Row],[ACHATS]]-FOURNISSEURS[[#This Row],[PAIEMENTS]]</f>
        <v>237.15</v>
      </c>
    </row>
    <row r="39" spans="1:7">
      <c r="A39" s="61" t="s">
        <v>66</v>
      </c>
      <c r="B39" s="59" t="s">
        <v>105</v>
      </c>
      <c r="C39" s="58"/>
      <c r="D39" s="58"/>
      <c r="E39" s="57">
        <f>SUMIF(ACHATS[FOURNISSEUR],FOURNISSEURS[[#This Row],[DENOMINATION]],ACHATS[TTC])</f>
        <v>23.54</v>
      </c>
      <c r="F39" s="57">
        <f>SUMIF(DEPENSES[FOURNISSEUR],FOURNISSEURS[[#This Row],[DENOMINATION]],DEPENSES[TTC])</f>
        <v>0</v>
      </c>
      <c r="G39" s="56">
        <f>FOURNISSEURS[[#This Row],[ACHATS]]-FOURNISSEURS[[#This Row],[PAIEMENTS]]</f>
        <v>23.54</v>
      </c>
    </row>
    <row r="40" spans="1:7">
      <c r="A40" s="61" t="s">
        <v>64</v>
      </c>
      <c r="B40" s="59" t="s">
        <v>105</v>
      </c>
      <c r="C40" s="58"/>
      <c r="D40" s="58"/>
      <c r="E40" s="57">
        <f>SUMIF(ACHATS[FOURNISSEUR],FOURNISSEURS[[#This Row],[DENOMINATION]],ACHATS[TTC])</f>
        <v>24.080000000000002</v>
      </c>
      <c r="F40" s="57">
        <f>SUMIF(DEPENSES[FOURNISSEUR],FOURNISSEURS[[#This Row],[DENOMINATION]],DEPENSES[TTC])</f>
        <v>0</v>
      </c>
      <c r="G40" s="56">
        <f>FOURNISSEURS[[#This Row],[ACHATS]]-FOURNISSEURS[[#This Row],[PAIEMENTS]]</f>
        <v>24.080000000000002</v>
      </c>
    </row>
    <row r="41" spans="1:7">
      <c r="A41" s="61" t="s">
        <v>63</v>
      </c>
      <c r="B41" s="59" t="s">
        <v>105</v>
      </c>
      <c r="C41" s="58"/>
      <c r="D41" s="58"/>
      <c r="E41" s="57">
        <f>SUMIF(ACHATS[FOURNISSEUR],FOURNISSEURS[[#This Row],[DENOMINATION]],ACHATS[TTC])</f>
        <v>94.56</v>
      </c>
      <c r="F41" s="57">
        <f>SUMIF(DEPENSES[FOURNISSEUR],FOURNISSEURS[[#This Row],[DENOMINATION]],DEPENSES[TTC])</f>
        <v>0</v>
      </c>
      <c r="G41" s="56">
        <f>FOURNISSEURS[[#This Row],[ACHATS]]-FOURNISSEURS[[#This Row],[PAIEMENTS]]</f>
        <v>94.56</v>
      </c>
    </row>
    <row r="42" spans="1:7">
      <c r="A42" s="61" t="s">
        <v>62</v>
      </c>
      <c r="B42" s="59" t="s">
        <v>105</v>
      </c>
      <c r="C42" s="58"/>
      <c r="D42" s="58"/>
      <c r="E42" s="57">
        <f>SUMIF(ACHATS[FOURNISSEUR],FOURNISSEURS[[#This Row],[DENOMINATION]],ACHATS[TTC])</f>
        <v>52.71</v>
      </c>
      <c r="F42" s="57">
        <f>SUMIF(DEPENSES[FOURNISSEUR],FOURNISSEURS[[#This Row],[DENOMINATION]],DEPENSES[TTC])</f>
        <v>0</v>
      </c>
      <c r="G42" s="56">
        <f>FOURNISSEURS[[#This Row],[ACHATS]]-FOURNISSEURS[[#This Row],[PAIEMENTS]]</f>
        <v>52.71</v>
      </c>
    </row>
    <row r="43" spans="1:7">
      <c r="A43" s="60" t="s">
        <v>61</v>
      </c>
      <c r="B43" s="59" t="s">
        <v>105</v>
      </c>
      <c r="C43" s="58"/>
      <c r="D43" s="58"/>
      <c r="E43" s="57">
        <f>SUMIF(ACHATS[FOURNISSEUR],FOURNISSEURS[[#This Row],[DENOMINATION]],ACHATS[TTC])</f>
        <v>339.95</v>
      </c>
      <c r="F43" s="57">
        <f>SUMIF(DEPENSES[FOURNISSEUR],FOURNISSEURS[[#This Row],[DENOMINATION]],DEPENSES[TTC])</f>
        <v>0</v>
      </c>
      <c r="G43" s="56">
        <f>FOURNISSEURS[[#This Row],[ACHATS]]-FOURNISSEURS[[#This Row],[PAIEMENTS]]</f>
        <v>339.95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VENTES</vt:lpstr>
      <vt:lpstr>RECETTES</vt:lpstr>
      <vt:lpstr>CLIENTS</vt:lpstr>
      <vt:lpstr>ACHATS</vt:lpstr>
      <vt:lpstr>DEPENSES</vt:lpstr>
      <vt:lpstr>FOURNISSEURS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Guillaume Beth</cp:lastModifiedBy>
  <cp:lastPrinted>2020-10-09T15:37:01Z</cp:lastPrinted>
  <dcterms:created xsi:type="dcterms:W3CDTF">1998-09-25T13:05:59Z</dcterms:created>
  <dcterms:modified xsi:type="dcterms:W3CDTF">2020-11-03T17:53:34Z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2020-07-13T10:14:53.2214362Z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8f5f6285-7779-4188-bbdd-6be8b50d3e63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