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516" codeName="{00000000-0000-0000-0000-000000000000}"/>
  <workbookPr codeName="ThisWorkbook" autoCompressPictures="0"/>
  <bookViews>
    <workbookView xWindow="0" yWindow="0" windowWidth="28800" windowHeight="15940" tabRatio="610" activeTab="5"/>
  </bookViews>
  <sheets>
    <sheet name="Articles" sheetId="3" r:id="rId1"/>
    <sheet name="Clients" sheetId="6" r:id="rId2"/>
    <sheet name="Facture" sheetId="4" r:id="rId3"/>
    <sheet name="Paramétres" sheetId="16" state="hidden" r:id="rId4"/>
    <sheet name="H_Facture" sheetId="14" r:id="rId5"/>
    <sheet name="Devis" sheetId="18" r:id="rId6"/>
    <sheet name="H_Devis" sheetId="19" r:id="rId7"/>
    <sheet name="gardé pour logo mais a suppr" sheetId="15" r:id="rId8"/>
    <sheet name="RQS" sheetId="20" r:id="rId9"/>
  </sheets>
  <definedNames>
    <definedName name="D_Date">Devis!$H$6</definedName>
    <definedName name="D_Dénomination">Devis!$H$9</definedName>
    <definedName name="D_Num">Devis!$G$2</definedName>
    <definedName name="D_ResteDu">Devis!$D$40</definedName>
    <definedName name="D_Rglts">Devis!$D$39</definedName>
    <definedName name="D_Total">Devis!$H$34</definedName>
    <definedName name="F_Date" localSheetId="5">Devis!$H$6</definedName>
    <definedName name="F_Date">Facture!$H$6</definedName>
    <definedName name="F_Dénomination" localSheetId="5">Devis!$H$9</definedName>
    <definedName name="F_Dénomination">Facture!$H$9</definedName>
    <definedName name="F_Num" localSheetId="5">Devis!$G$2</definedName>
    <definedName name="F_Num">Facture!$G$2</definedName>
    <definedName name="F_ResteDu" localSheetId="5">Devis!$D$40</definedName>
    <definedName name="F_ResteDu">Facture!$H$36</definedName>
    <definedName name="F_Rglts" localSheetId="5">Devis!$D$39</definedName>
    <definedName name="F_Rglts">Facture!$H$35</definedName>
    <definedName name="F_Total" localSheetId="5">Devis!$H$34</definedName>
    <definedName name="F_Total">Facture!$H$34</definedName>
    <definedName name="TD" localSheetId="5">Devis!$H$6</definedName>
    <definedName name="TD" localSheetId="7">'gardé pour logo mais a suppr'!$H$4</definedName>
    <definedName name="TD">Facture!$H$6</definedName>
    <definedName name="_xlnm.Print_Area" localSheetId="5">Devis!$A$1:$H$53</definedName>
    <definedName name="_xlnm.Print_Area" localSheetId="2">Facture!$A$1:$H$51</definedName>
    <definedName name="_xlnm.Print_Area" localSheetId="7">'gardé pour logo mais a suppr'!$A$1:$H$53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6" l="1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G15" i="18"/>
  <c r="H15" i="18"/>
  <c r="G16" i="18"/>
  <c r="H16" i="18"/>
  <c r="G17" i="18"/>
  <c r="H17" i="18"/>
  <c r="G18" i="18"/>
  <c r="H18" i="18"/>
  <c r="G19" i="18"/>
  <c r="H19" i="18"/>
  <c r="G20" i="18"/>
  <c r="H20" i="18"/>
  <c r="G21" i="18"/>
  <c r="H21" i="18"/>
  <c r="G22" i="18"/>
  <c r="H22" i="18"/>
  <c r="G23" i="18"/>
  <c r="H23" i="18"/>
  <c r="G24" i="18"/>
  <c r="H24" i="18"/>
  <c r="G25" i="18"/>
  <c r="H25" i="18"/>
  <c r="G26" i="18"/>
  <c r="H26" i="18"/>
  <c r="G27" i="18"/>
  <c r="H27" i="18"/>
  <c r="G28" i="18"/>
  <c r="H28" i="18"/>
  <c r="G29" i="18"/>
  <c r="H29" i="18"/>
  <c r="G30" i="18"/>
  <c r="H30" i="18"/>
  <c r="G31" i="18"/>
  <c r="H31" i="18"/>
  <c r="G32" i="18"/>
  <c r="H32" i="18"/>
  <c r="H34" i="18"/>
  <c r="D40" i="18"/>
  <c r="E32" i="18"/>
  <c r="A32" i="18"/>
  <c r="E31" i="18"/>
  <c r="A31" i="18"/>
  <c r="E30" i="18"/>
  <c r="A30" i="18"/>
  <c r="E29" i="18"/>
  <c r="A29" i="18"/>
  <c r="E28" i="18"/>
  <c r="A28" i="18"/>
  <c r="E27" i="18"/>
  <c r="A27" i="18"/>
  <c r="E26" i="18"/>
  <c r="A26" i="18"/>
  <c r="E25" i="18"/>
  <c r="A25" i="18"/>
  <c r="E24" i="18"/>
  <c r="A24" i="18"/>
  <c r="E23" i="18"/>
  <c r="A23" i="18"/>
  <c r="E22" i="18"/>
  <c r="A22" i="18"/>
  <c r="E21" i="18"/>
  <c r="A21" i="18"/>
  <c r="E20" i="18"/>
  <c r="A20" i="18"/>
  <c r="E19" i="18"/>
  <c r="A19" i="18"/>
  <c r="E18" i="18"/>
  <c r="A18" i="18"/>
  <c r="E17" i="18"/>
  <c r="A17" i="18"/>
  <c r="E16" i="18"/>
  <c r="A16" i="18"/>
  <c r="E15" i="18"/>
  <c r="A15" i="18"/>
  <c r="H12" i="18"/>
  <c r="B12" i="18"/>
  <c r="H11" i="18"/>
  <c r="B11" i="18"/>
  <c r="H10" i="18"/>
  <c r="B10" i="18"/>
  <c r="H6" i="18"/>
  <c r="G15" i="4"/>
  <c r="H15" i="4"/>
  <c r="G16" i="4"/>
  <c r="H16" i="4"/>
  <c r="G17" i="4"/>
  <c r="H17" i="4"/>
  <c r="G18" i="4"/>
  <c r="H18" i="4"/>
  <c r="G19" i="4"/>
  <c r="H19" i="4"/>
  <c r="G20" i="4"/>
  <c r="H20" i="4"/>
  <c r="G21" i="4"/>
  <c r="H21" i="4"/>
  <c r="G22" i="4"/>
  <c r="H22" i="4"/>
  <c r="G23" i="4"/>
  <c r="H23" i="4"/>
  <c r="G24" i="4"/>
  <c r="H24" i="4"/>
  <c r="G25" i="4"/>
  <c r="H25" i="4"/>
  <c r="G26" i="4"/>
  <c r="H26" i="4"/>
  <c r="G27" i="4"/>
  <c r="H27" i="4"/>
  <c r="G28" i="4"/>
  <c r="H28" i="4"/>
  <c r="G29" i="4"/>
  <c r="H29" i="4"/>
  <c r="G30" i="4"/>
  <c r="H30" i="4"/>
  <c r="G31" i="4"/>
  <c r="H31" i="4"/>
  <c r="G32" i="4"/>
  <c r="H32" i="4"/>
  <c r="H34" i="4"/>
  <c r="H36" i="4"/>
  <c r="B12" i="4"/>
  <c r="B10" i="4"/>
  <c r="B11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H10" i="4"/>
  <c r="H12" i="4"/>
  <c r="H11" i="4"/>
  <c r="H6" i="4"/>
  <c r="E8" i="15"/>
  <c r="B10" i="15"/>
  <c r="B16" i="15"/>
  <c r="G25" i="15"/>
  <c r="H25" i="15"/>
  <c r="E25" i="15"/>
  <c r="B25" i="15"/>
  <c r="G24" i="15"/>
  <c r="H24" i="15"/>
  <c r="E24" i="15"/>
  <c r="B24" i="15"/>
  <c r="G23" i="15"/>
  <c r="H23" i="15"/>
  <c r="E23" i="15"/>
  <c r="B23" i="15"/>
  <c r="G22" i="15"/>
  <c r="H22" i="15"/>
  <c r="E22" i="15"/>
  <c r="B22" i="15"/>
  <c r="G21" i="15"/>
  <c r="H21" i="15"/>
  <c r="E21" i="15"/>
  <c r="B21" i="15"/>
  <c r="G20" i="15"/>
  <c r="H20" i="15"/>
  <c r="E20" i="15"/>
  <c r="B20" i="15"/>
  <c r="G19" i="15"/>
  <c r="H19" i="15"/>
  <c r="E19" i="15"/>
  <c r="B19" i="15"/>
  <c r="G18" i="15"/>
  <c r="H18" i="15"/>
  <c r="E18" i="15"/>
  <c r="B18" i="15"/>
  <c r="G17" i="15"/>
  <c r="H17" i="15"/>
  <c r="E17" i="15"/>
  <c r="B17" i="15"/>
  <c r="G16" i="15"/>
  <c r="H16" i="15"/>
  <c r="E16" i="15"/>
  <c r="F9" i="15"/>
  <c r="E9" i="15"/>
  <c r="E7" i="15"/>
  <c r="H4" i="15"/>
  <c r="H26" i="15"/>
  <c r="F28" i="15"/>
  <c r="F29" i="15"/>
</calcChain>
</file>

<file path=xl/sharedStrings.xml><?xml version="1.0" encoding="utf-8"?>
<sst xmlns="http://schemas.openxmlformats.org/spreadsheetml/2006/main" count="614" uniqueCount="371">
  <si>
    <t>Nom</t>
  </si>
  <si>
    <t>Prénom</t>
  </si>
  <si>
    <t>Adresse</t>
  </si>
  <si>
    <t>CP</t>
  </si>
  <si>
    <t>Ville</t>
  </si>
  <si>
    <t>Mail</t>
  </si>
  <si>
    <t>CHARREAU</t>
  </si>
  <si>
    <t>EL MARZOUKI</t>
  </si>
  <si>
    <t>REAU</t>
  </si>
  <si>
    <t>RANGIER</t>
  </si>
  <si>
    <t>DRAULT</t>
  </si>
  <si>
    <t>COURTIN</t>
  </si>
  <si>
    <t>LEJEUNE</t>
  </si>
  <si>
    <t>CHEDOZEAU</t>
  </si>
  <si>
    <t>PIAULT</t>
  </si>
  <si>
    <t>MARIOLLES</t>
  </si>
  <si>
    <t>MOLLE</t>
  </si>
  <si>
    <t>GUIGNARD</t>
  </si>
  <si>
    <t>BERIGAUD</t>
  </si>
  <si>
    <t>DUVERGER</t>
  </si>
  <si>
    <t>MONIN</t>
  </si>
  <si>
    <t>MOUKO</t>
  </si>
  <si>
    <t>CORCY</t>
  </si>
  <si>
    <t>ROBIN</t>
  </si>
  <si>
    <t>SAVIGNY</t>
  </si>
  <si>
    <t>PHILIPPONNEAU</t>
  </si>
  <si>
    <t>GEAIS</t>
  </si>
  <si>
    <t>HABLAL</t>
  </si>
  <si>
    <t>DECELLE</t>
  </si>
  <si>
    <t>RIVIERE</t>
  </si>
  <si>
    <t>METAIS</t>
  </si>
  <si>
    <t>BERNARD</t>
  </si>
  <si>
    <t>Colonne1</t>
  </si>
  <si>
    <t>Colonne2</t>
  </si>
  <si>
    <t>Colonne6</t>
  </si>
  <si>
    <t>Statut</t>
  </si>
  <si>
    <t>Code client</t>
  </si>
  <si>
    <t>U/V</t>
  </si>
  <si>
    <t>L01</t>
  </si>
  <si>
    <t>L02</t>
  </si>
  <si>
    <t>L03</t>
  </si>
  <si>
    <t>L04</t>
  </si>
  <si>
    <t>L05</t>
  </si>
  <si>
    <t>L06</t>
  </si>
  <si>
    <t>L07</t>
  </si>
  <si>
    <t>L08</t>
  </si>
  <si>
    <t>L09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</si>
  <si>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</si>
  <si>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</si>
  <si>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</si>
  <si>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</si>
  <si>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</si>
  <si>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</si>
  <si>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</si>
  <si>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</si>
  <si>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</si>
  <si>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</si>
  <si>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</si>
  <si>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</si>
  <si>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</si>
  <si>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</si>
  <si>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</si>
  <si>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</si>
  <si>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</si>
  <si>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</si>
  <si>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</si>
  <si>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</si>
  <si>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</si>
  <si>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</si>
  <si>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</si>
  <si>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</si>
  <si>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</si>
  <si>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</si>
  <si>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</si>
  <si>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</si>
  <si>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</si>
  <si>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</si>
  <si>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</si>
  <si>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</si>
  <si>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</si>
  <si>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</si>
  <si>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</si>
  <si>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</si>
  <si>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</si>
  <si>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</si>
  <si>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</si>
  <si>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</si>
  <si>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</si>
  <si>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</si>
  <si>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</si>
  <si>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</si>
  <si>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</si>
  <si>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</si>
  <si>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</si>
  <si>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</si>
  <si>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</si>
  <si>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</si>
  <si>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</si>
  <si>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AIL blanc frais France biologique</t>
  </si>
  <si>
    <t>AIL blanc sec France biologique</t>
  </si>
  <si>
    <t>ARTICHAUT Camus France biologique</t>
  </si>
  <si>
    <t>ARTICHAUT violet France biologique</t>
  </si>
  <si>
    <t>AUBERGINE France biologique</t>
  </si>
  <si>
    <t>BETTE France biologique vrac</t>
  </si>
  <si>
    <t>BETTERAVE ronde crue France biologique</t>
  </si>
  <si>
    <t>BIGARREAU Burlat France biologique</t>
  </si>
  <si>
    <t>CAROTTE France avec fane biologique</t>
  </si>
  <si>
    <t>CAROTTE France lavée biologique</t>
  </si>
  <si>
    <t>CÉLERI-BRANCHE France biologique</t>
  </si>
  <si>
    <t>CÉLERI-RAVE France biologique</t>
  </si>
  <si>
    <t>CHICORÉE Scarole France biologique</t>
  </si>
  <si>
    <t>CHOU blanc France biologique</t>
  </si>
  <si>
    <t>CHOU Chinois France biologique</t>
  </si>
  <si>
    <t>CHOU FLEUR France couronné biologique</t>
  </si>
  <si>
    <t>CHOU frisé France biologique</t>
  </si>
  <si>
    <t>CHOU pointu France biologique</t>
  </si>
  <si>
    <t>CHOU Rave France biologique</t>
  </si>
  <si>
    <t>CHOU Romanesco France biologique</t>
  </si>
  <si>
    <t>CHOU rouge France biologique</t>
  </si>
  <si>
    <t>CONCOMBRE France biologique</t>
  </si>
  <si>
    <t>CONCOMBRE arménien France biologique</t>
  </si>
  <si>
    <t>COURGE Butternut France biologique</t>
  </si>
  <si>
    <t>COURGE France biologique</t>
  </si>
  <si>
    <t>COURGE Potimarron France biologique</t>
  </si>
  <si>
    <t>COURGETTE France biologique</t>
  </si>
  <si>
    <t>ÉCHALOTE France biologique</t>
  </si>
  <si>
    <t>ÉPINARD France feuille biologique</t>
  </si>
  <si>
    <t>FÈVE France biologique</t>
  </si>
  <si>
    <t>FRAISE standard France biologique barq.250g</t>
  </si>
  <si>
    <t>FRAISE standard France biologique barq.500g</t>
  </si>
  <si>
    <t>FRAMBOISE France biologique barq.125g</t>
  </si>
  <si>
    <t>LAITUE Batavia France biologique colis de 12</t>
  </si>
  <si>
    <t>LAITUE Feuille de chêne France biologique colis de 12</t>
  </si>
  <si>
    <t>LAITUE pommé France biologique colis de 12</t>
  </si>
  <si>
    <t>MÂCHE verte France biologique</t>
  </si>
  <si>
    <t>NAVET jaune France biologique</t>
  </si>
  <si>
    <t>NAVET rond violet France biologique</t>
  </si>
  <si>
    <t>NOIX France biologique</t>
  </si>
  <si>
    <t>OIGNON jaune France biologique</t>
  </si>
  <si>
    <t>OIGNON rouge France biologique</t>
  </si>
  <si>
    <t>PANAIS France biologique</t>
  </si>
  <si>
    <t>PATISSON France biologique</t>
  </si>
  <si>
    <t>PERSIL France biologique</t>
  </si>
  <si>
    <t>POIREAU France biologique</t>
  </si>
  <si>
    <t>POIS à écosser France biologique</t>
  </si>
  <si>
    <t>POIVRON U.E. biologique moyen</t>
  </si>
  <si>
    <t>POMME DE TERRE CHAIR FERME France biologique</t>
  </si>
  <si>
    <t>POMME DE TERRE CHAIR NORMALE France biologique</t>
  </si>
  <si>
    <t>POMME DE TERRE primeur France biologique</t>
  </si>
  <si>
    <t>RADIS demi-long France biologique</t>
  </si>
  <si>
    <t>RADIS noir France biologique</t>
  </si>
  <si>
    <t>RADIS rouge France biologique</t>
  </si>
  <si>
    <t>TOMATE allongée France biologique</t>
  </si>
  <si>
    <t>TOMATE anciennes France biologique</t>
  </si>
  <si>
    <t>TOMATE Cerise France biologique</t>
  </si>
  <si>
    <t>TOMATE ronde France biologique</t>
  </si>
  <si>
    <t>TOMATE type coeur de boeuf France biologique</t>
  </si>
  <si>
    <t>le kg</t>
  </si>
  <si>
    <t>la botte</t>
  </si>
  <si>
    <t>la pièce</t>
  </si>
  <si>
    <t>Qté</t>
  </si>
  <si>
    <t xml:space="preserve">Pleumartin, le </t>
  </si>
  <si>
    <t>Total</t>
  </si>
  <si>
    <t>Mr Luc PHILIPPONNEAU</t>
  </si>
  <si>
    <t>Le régisseur principal</t>
  </si>
  <si>
    <t>Code Client</t>
  </si>
  <si>
    <t>Colonne7</t>
  </si>
  <si>
    <t>Colonne8</t>
  </si>
  <si>
    <t>Colonne9</t>
  </si>
  <si>
    <t>Colonne10</t>
  </si>
  <si>
    <t>Réf</t>
  </si>
  <si>
    <t>Légumes</t>
  </si>
  <si>
    <t xml:space="preserve">Prix </t>
  </si>
  <si>
    <t>Mes coordonnées</t>
  </si>
  <si>
    <t>Pro</t>
  </si>
  <si>
    <t>Association</t>
  </si>
  <si>
    <t>Collectivité</t>
  </si>
  <si>
    <t>Part 25</t>
  </si>
  <si>
    <t>Produits issus de culture biologique certifiée par Bureau Véritas Certification France FR-BIO-10</t>
  </si>
  <si>
    <t>Délices Gourmands</t>
  </si>
  <si>
    <t>Date</t>
  </si>
  <si>
    <t>TOTAL HT</t>
  </si>
  <si>
    <t>Facture N°</t>
  </si>
  <si>
    <t>Devis</t>
  </si>
  <si>
    <t>N° Devis</t>
  </si>
  <si>
    <t xml:space="preserve">Contact: </t>
  </si>
  <si>
    <t>Téléphone</t>
  </si>
  <si>
    <t>Conditions de règlement :</t>
  </si>
  <si>
    <t>Acompte de 30% à la commande soit :</t>
  </si>
  <si>
    <t>Le Client</t>
  </si>
  <si>
    <t>A :</t>
  </si>
  <si>
    <r>
      <t xml:space="preserve">Merci de nous retourner un exemplaire de ce devis Signé avec votre nom et revêtu de la </t>
    </r>
    <r>
      <rPr>
        <b/>
        <i/>
        <sz val="11"/>
        <color theme="1"/>
        <rFont val="Calibri"/>
        <family val="2"/>
        <scheme val="minor"/>
      </rPr>
      <t>Mention "Bon pour accord et commande"</t>
    </r>
    <r>
      <rPr>
        <i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ainsi que le règlement de l'acompte.</t>
    </r>
  </si>
  <si>
    <t>Le :</t>
  </si>
  <si>
    <t>Tél portable</t>
  </si>
  <si>
    <t>Mail :</t>
  </si>
  <si>
    <t>Mode de paiement accepté : Chéques à l'ordre du Trésor Public, virement, espèces</t>
  </si>
  <si>
    <t xml:space="preserve">TVA non applicable selon l'article 293 B du Code Général des Impôts </t>
  </si>
  <si>
    <t>Total net de TVA</t>
  </si>
  <si>
    <t>Solde à la livraison, paiement comptant à la livraison</t>
  </si>
  <si>
    <t>Numéro pro</t>
  </si>
  <si>
    <t>( Devis valable 2 mois )</t>
  </si>
  <si>
    <t xml:space="preserve">Facture </t>
  </si>
  <si>
    <t>Facture pro</t>
  </si>
  <si>
    <t>Coordonnées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</si>
  <si>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</si>
  <si>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</si>
  <si>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</si>
  <si>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</si>
  <si>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</si>
  <si>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</si>
  <si>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</si>
  <si>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</si>
  <si>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</si>
  <si>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</si>
  <si>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C0011</t>
  </si>
  <si>
    <t>C0012</t>
  </si>
  <si>
    <t>C0013</t>
  </si>
  <si>
    <t>C0014</t>
  </si>
  <si>
    <t>C0015</t>
  </si>
  <si>
    <t>C0016</t>
  </si>
  <si>
    <t>C0017</t>
  </si>
  <si>
    <t>C0018</t>
  </si>
  <si>
    <t>C0019</t>
  </si>
  <si>
    <t>C0020</t>
  </si>
  <si>
    <t>C0021</t>
  </si>
  <si>
    <t>C0022</t>
  </si>
  <si>
    <t>C0023</t>
  </si>
  <si>
    <t>C0024</t>
  </si>
  <si>
    <t>C0025</t>
  </si>
  <si>
    <t>C0026</t>
  </si>
  <si>
    <t>C0027</t>
  </si>
  <si>
    <t>C0028</t>
  </si>
  <si>
    <t>C0029</t>
  </si>
  <si>
    <t>C0030</t>
  </si>
  <si>
    <t>C0031</t>
  </si>
  <si>
    <t>C0032</t>
  </si>
  <si>
    <t>C0033</t>
  </si>
  <si>
    <t>Contact</t>
  </si>
  <si>
    <t>SARL</t>
  </si>
  <si>
    <t>BLABLA</t>
  </si>
  <si>
    <t>CLIENT DE PASSAGE</t>
  </si>
  <si>
    <t>Néant</t>
  </si>
  <si>
    <t>Coordonnées du contact</t>
  </si>
  <si>
    <t>Dénomination</t>
  </si>
  <si>
    <t>Mr Dos Santos</t>
  </si>
  <si>
    <t>Forme</t>
  </si>
  <si>
    <t>du Morbihan</t>
  </si>
  <si>
    <t>Comité d'Entreprise</t>
  </si>
  <si>
    <t>Monsieur</t>
  </si>
  <si>
    <t>Madame</t>
  </si>
  <si>
    <t/>
  </si>
  <si>
    <t>Part</t>
  </si>
  <si>
    <t>TVA non applicable - article 293 B du CGI</t>
  </si>
  <si>
    <t>Total HT</t>
  </si>
  <si>
    <t>Prix</t>
  </si>
  <si>
    <t>Produits</t>
  </si>
  <si>
    <t>Mode de paiement accepté :</t>
  </si>
  <si>
    <t>Espèces</t>
  </si>
  <si>
    <t>Virement</t>
  </si>
  <si>
    <t>Chèque à l'ordre du Trésor Public</t>
  </si>
  <si>
    <t>&lt;&lt;&lt;&lt;&lt;&lt;&lt;&lt; menu déroulant (tout le reste : formules)</t>
  </si>
  <si>
    <t>&lt;&lt;&lt;&lt;&lt;&lt;&lt;&lt; saisie facture (possibilité validation de données !)</t>
  </si>
  <si>
    <t>Luc</t>
  </si>
  <si>
    <t>1 rue de la Paix</t>
  </si>
  <si>
    <t>Paris</t>
  </si>
  <si>
    <t>06-12-34-56-78</t>
  </si>
  <si>
    <t>luc.phi@gmail.com</t>
  </si>
  <si>
    <t>Produits1</t>
  </si>
  <si>
    <t>Produits2</t>
  </si>
  <si>
    <t>Produits3</t>
  </si>
  <si>
    <t>Produits4</t>
  </si>
  <si>
    <t>Produits5</t>
  </si>
  <si>
    <t>Produits6</t>
  </si>
  <si>
    <t>Produits7</t>
  </si>
  <si>
    <t>Produits8</t>
  </si>
  <si>
    <t>Produits9</t>
  </si>
  <si>
    <t>Produits10</t>
  </si>
  <si>
    <t>Produits11</t>
  </si>
  <si>
    <t>Produits12</t>
  </si>
  <si>
    <t>Produits13</t>
  </si>
  <si>
    <t>Produits14</t>
  </si>
  <si>
    <t>Produits15</t>
  </si>
  <si>
    <t>Produits16</t>
  </si>
  <si>
    <t>Produits17</t>
  </si>
  <si>
    <t>Produits18</t>
  </si>
  <si>
    <t>Qté1</t>
  </si>
  <si>
    <t>Qté2</t>
  </si>
  <si>
    <t>Qté3</t>
  </si>
  <si>
    <t>Qté4</t>
  </si>
  <si>
    <t>Qté5</t>
  </si>
  <si>
    <t>Qté6</t>
  </si>
  <si>
    <t>Qté7</t>
  </si>
  <si>
    <t>Qté8</t>
  </si>
  <si>
    <t>Qté9</t>
  </si>
  <si>
    <t>Qté10</t>
  </si>
  <si>
    <t>Qté11</t>
  </si>
  <si>
    <t>Qté12</t>
  </si>
  <si>
    <t>Qté13</t>
  </si>
  <si>
    <t>Qté14</t>
  </si>
  <si>
    <t>Qté15</t>
  </si>
  <si>
    <t>Qté16</t>
  </si>
  <si>
    <t>Qté17</t>
  </si>
  <si>
    <t>Qté18</t>
  </si>
  <si>
    <t>Rglts</t>
  </si>
  <si>
    <t>Reste du</t>
  </si>
  <si>
    <t>Facture</t>
  </si>
  <si>
    <t>Règlements</t>
  </si>
  <si>
    <t>Solde à payer</t>
  </si>
  <si>
    <t>$G$2</t>
  </si>
  <si>
    <t>F_Num</t>
  </si>
  <si>
    <t>$H$6</t>
  </si>
  <si>
    <t>F_Date</t>
  </si>
  <si>
    <t>$H$9</t>
  </si>
  <si>
    <t>F_Dénomination</t>
  </si>
  <si>
    <t>$H$34</t>
  </si>
  <si>
    <t>F_Total</t>
  </si>
  <si>
    <t>$H$35</t>
  </si>
  <si>
    <t>F_Rglts</t>
  </si>
  <si>
    <t>$H$36</t>
  </si>
  <si>
    <t>F_ResteDu</t>
  </si>
  <si>
    <t>F_Corps</t>
  </si>
  <si>
    <t>$A$14:$H$32</t>
  </si>
  <si>
    <t>feuille historique</t>
  </si>
  <si>
    <t>RecapFacture</t>
  </si>
  <si>
    <t>RecapDevis</t>
  </si>
  <si>
    <t>H_Facture</t>
  </si>
  <si>
    <t>H_Devis</t>
  </si>
  <si>
    <t>tableau sur historique</t>
  </si>
  <si>
    <t>Dossier edition pdf</t>
  </si>
  <si>
    <t>ces 2 dossiers sont censés être dans un même dossier parent, dans lequel se trouvera le présent fichier</t>
  </si>
  <si>
    <t>Acpt</t>
  </si>
  <si>
    <t>Solde</t>
  </si>
  <si>
    <t>Devis N°</t>
  </si>
  <si>
    <t>Acompte de 30% à la commande :</t>
  </si>
  <si>
    <t>Solde à la livraison, paiement comptant :</t>
  </si>
  <si>
    <r>
      <t xml:space="preserve">Merci de nous retourner un exemplaire de ce devis </t>
    </r>
    <r>
      <rPr>
        <sz val="10"/>
        <rFont val="Arial"/>
        <family val="2"/>
      </rPr>
      <t>s</t>
    </r>
    <r>
      <rPr>
        <sz val="10"/>
        <rFont val="Arial"/>
        <family val="2"/>
      </rPr>
      <t>igné avec votre nom et revêtu de la Mention "Bon pour accord et commande" ainsi que le règlement de l'acompte.</t>
    </r>
  </si>
  <si>
    <t>Devis valable 2 mois</t>
  </si>
  <si>
    <t>D_Num</t>
  </si>
  <si>
    <t>D_Date</t>
  </si>
  <si>
    <t>D_Dénomination</t>
  </si>
  <si>
    <t>D_Total</t>
  </si>
  <si>
    <t>D_Corps</t>
  </si>
  <si>
    <t>D_Rglts</t>
  </si>
  <si>
    <t>D_ResteDu</t>
  </si>
  <si>
    <t>$D$39</t>
  </si>
  <si>
    <t>$D$40</t>
  </si>
  <si>
    <t>POUR INFO</t>
  </si>
  <si>
    <t>PAS DE DISTINCTION DANS LE CODE</t>
  </si>
  <si>
    <t>DISTINCTION EN COLONNE STATUT</t>
  </si>
  <si>
    <t>&gt;&gt;&gt; QUE 2 CHOIX : Pro et Part</t>
  </si>
  <si>
    <t>&gt;&gt;&gt; LA COLONNE PRIX SUR FACTURE ET DEVIS REPREND AUTOMATIQUEMENT LE PRIX CATÉGORIEL EN FONCTION DE LA DÉNOMINATION CHOISIE (LISTE DEROULANTE DU CADRE COORDONNEES DE DEVIS ET FACTURE)</t>
  </si>
  <si>
    <t>COLONNE FORME : Y INSCRIRE FORME JURIDIQUE OU CIVILITE</t>
  </si>
  <si>
    <t>COLONNE NOM : RAISON SOCIALE OU NOM</t>
  </si>
  <si>
    <t>COLONNE PRENOM : PRENOM QUAND PARTICULIER</t>
  </si>
  <si>
    <t>COLONNE CONTACT : IDENTITÉ DU CONTACT LORSQUE PRO</t>
  </si>
  <si>
    <t>Prix Part</t>
  </si>
  <si>
    <t>Prix Pro</t>
  </si>
  <si>
    <t>NE PAS CHANGER LE NOM</t>
  </si>
  <si>
    <t>DE CES 2 COLONNES</t>
  </si>
  <si>
    <t>&gt;&gt;&gt; APPELÉES AUTOMATIQUEMENT DANS FACTURE ET DEVIS</t>
  </si>
  <si>
    <t>&gt;&gt;&gt; CORRESPONDANCE AVEC VALEUR DANS COLONNE STATUT DE CLIENTS</t>
  </si>
  <si>
    <t>NE PAS FUSIONNER LES CELLULES</t>
  </si>
  <si>
    <t>IL NE RESTE PLUS QU'À CRÉER UN BOUTON SUR CHAQUE FEUILLE ET LUI AFFECTER LA MACRO ArchiverDocument</t>
  </si>
  <si>
    <t>Cette macro ne doit s'exécuter que sur une des feuilles Facture ou Devis</t>
  </si>
  <si>
    <t>Le cas échéant, en cas de modification de nom, il faudra adapter le code.</t>
  </si>
  <si>
    <r>
      <t xml:space="preserve">Il faudra alors faire attention à ne pas faire de modification intempestive, </t>
    </r>
    <r>
      <rPr>
        <b/>
        <sz val="11"/>
        <color theme="1"/>
        <rFont val="Calibri"/>
        <family val="2"/>
        <scheme val="minor"/>
      </rPr>
      <t xml:space="preserve">privilégier les couper/coller (ou copier/coller valeurs), </t>
    </r>
    <r>
      <rPr>
        <b/>
        <sz val="11"/>
        <color rgb="FFFF0000"/>
        <rFont val="Calibri"/>
        <scheme val="minor"/>
      </rPr>
      <t>ne pas fusionner les cellules</t>
    </r>
    <r>
      <rPr>
        <b/>
        <sz val="11"/>
        <color theme="1"/>
        <rFont val="Calibri"/>
        <family val="2"/>
        <scheme val="minor"/>
      </rPr>
      <t>.</t>
    </r>
  </si>
  <si>
    <t>La macro utilise des références nommées, ce qui permet plus de fluiditer sur feuille qu'avec des références statiques).</t>
  </si>
  <si>
    <t>Si ces cellules nommées sont effacées ou renommées, la macro ne fonctionnera plus. IDEM POUR LES NOMS DE FEUILLE !</t>
  </si>
  <si>
    <t>Afin de conserver la solution du changement automatique du prix selon particuliers et pro, il faut faire attention à :</t>
  </si>
  <si>
    <t>- laisser la colonne STATUT de Clients telle qu'elle est : 2 valeurs (Pro et Part)</t>
  </si>
  <si>
    <t>- ne pas renommer les colonnes Prix Pro et Prix Part de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</si>
</sst>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_);\(#,##0.00\ &quot;€&quot;\)"/>
    <numFmt numFmtId="164" formatCode="_-* #,##0.00\ &quot;€&quot;_-;\-* #,##0.00\ &quot;€&quot;_-;_-* &quot;-&quot;??\ &quot;€&quot;_-;_-@_-"/>
    <numFmt numFmtId="165" formatCode=";;;"/>
    <numFmt numFmtId="166" formatCode=";;;&quot;Produits&quot;"/>
    <numFmt numFmtId="167" formatCode="General;;"/>
  </numFmts>
  <fonts count="3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Century Gothic"/>
      <family val="2"/>
    </font>
    <font>
      <b/>
      <sz val="14"/>
      <name val="Arial"/>
      <family val="2"/>
    </font>
    <font>
      <sz val="11"/>
      <name val="Century Gothic"/>
      <family val="2"/>
    </font>
    <font>
      <b/>
      <sz val="11"/>
      <name val="Arial"/>
      <family val="2"/>
    </font>
    <font>
      <b/>
      <i/>
      <sz val="10"/>
      <name val="Arial"/>
      <family val="2"/>
    </font>
    <font>
      <b/>
      <sz val="16"/>
      <name val="Arial"/>
      <family val="2"/>
    </font>
    <font>
      <b/>
      <i/>
      <sz val="11"/>
      <name val="Arial"/>
      <family val="2"/>
    </font>
    <font>
      <sz val="10"/>
      <color rgb="FFFF0000"/>
      <name val="Arial"/>
      <family val="2"/>
    </font>
    <font>
      <b/>
      <i/>
      <sz val="9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2.1"/>
      <color theme="10"/>
      <name val="Calibri"/>
      <family val="2"/>
    </font>
    <font>
      <u/>
      <sz val="11"/>
      <color theme="11"/>
      <name val="Calibri"/>
      <family val="2"/>
      <scheme val="minor"/>
    </font>
    <font>
      <b/>
      <sz val="9"/>
      <name val="Arial"/>
    </font>
    <font>
      <sz val="8"/>
      <name val="Calibri"/>
      <family val="2"/>
      <scheme val="minor"/>
    </font>
    <font>
      <b/>
      <sz val="10"/>
      <color rgb="FFFF0000"/>
      <name val="Arial"/>
    </font>
    <font>
      <sz val="11"/>
      <color rgb="FFFF0000"/>
      <name val="Arial"/>
    </font>
    <font>
      <b/>
      <sz val="11"/>
      <color rgb="FFFF0000"/>
      <name val="Calibri"/>
      <scheme val="minor"/>
    </font>
    <font>
      <u/>
      <sz val="11"/>
      <color theme="1"/>
      <name val="Calibri"/>
      <scheme val="minor"/>
    </font>
    <font>
      <sz val="12"/>
      <color indexed="72"/>
      <name val="Lucida Grande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1">
    <xf numFmtId="0" fontId="0" fillId="0" borderId="0"/>
    <xf numFmtId="0" fontId="2" fillId="0" borderId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20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0" fontId="8" fillId="0" borderId="0" xfId="0" applyFont="1" applyBorder="1" applyAlignment="1">
      <alignment wrapText="1"/>
    </xf>
    <xf numFmtId="0" fontId="3" fillId="0" borderId="0" xfId="2" applyFont="1"/>
    <xf numFmtId="0" fontId="3" fillId="0" borderId="0" xfId="2" applyFont="1" applyBorder="1"/>
    <xf numFmtId="0" fontId="9" fillId="0" borderId="0" xfId="2" applyFont="1"/>
    <xf numFmtId="0" fontId="10" fillId="0" borderId="0" xfId="2" applyFont="1" applyAlignment="1">
      <alignment vertical="center"/>
    </xf>
    <xf numFmtId="0" fontId="10" fillId="0" borderId="0" xfId="2" applyFont="1" applyBorder="1" applyAlignment="1">
      <alignment vertical="center"/>
    </xf>
    <xf numFmtId="0" fontId="4" fillId="0" borderId="0" xfId="2" applyFont="1"/>
    <xf numFmtId="14" fontId="3" fillId="0" borderId="0" xfId="2" applyNumberFormat="1" applyFont="1" applyAlignment="1">
      <alignment horizontal="left" vertical="center"/>
    </xf>
    <xf numFmtId="0" fontId="4" fillId="0" borderId="0" xfId="2" applyFont="1" applyBorder="1"/>
    <xf numFmtId="14" fontId="3" fillId="0" borderId="0" xfId="2" applyNumberFormat="1" applyFont="1" applyBorder="1" applyAlignment="1">
      <alignment horizontal="left" vertical="center"/>
    </xf>
    <xf numFmtId="0" fontId="11" fillId="0" borderId="0" xfId="2" applyFont="1"/>
    <xf numFmtId="0" fontId="3" fillId="0" borderId="1" xfId="2" applyFont="1" applyBorder="1" applyAlignment="1">
      <alignment horizontal="center" vertical="center"/>
    </xf>
    <xf numFmtId="164" fontId="3" fillId="0" borderId="1" xfId="3" applyFont="1" applyBorder="1" applyAlignment="1">
      <alignment horizontal="center" vertical="center"/>
    </xf>
    <xf numFmtId="0" fontId="3" fillId="0" borderId="0" xfId="2" applyBorder="1"/>
    <xf numFmtId="0" fontId="3" fillId="0" borderId="0" xfId="2" applyBorder="1" applyAlignment="1">
      <alignment horizontal="center"/>
    </xf>
    <xf numFmtId="0" fontId="12" fillId="0" borderId="0" xfId="2" applyFont="1" applyBorder="1"/>
    <xf numFmtId="0" fontId="3" fillId="0" borderId="0" xfId="2"/>
    <xf numFmtId="0" fontId="4" fillId="0" borderId="3" xfId="2" applyFont="1" applyBorder="1" applyAlignment="1">
      <alignment vertical="center"/>
    </xf>
    <xf numFmtId="0" fontId="13" fillId="0" borderId="0" xfId="2" applyFont="1" applyAlignment="1">
      <alignment vertical="center"/>
    </xf>
    <xf numFmtId="0" fontId="15" fillId="0" borderId="3" xfId="2" applyFont="1" applyBorder="1" applyAlignment="1">
      <alignment vertical="center"/>
    </xf>
    <xf numFmtId="0" fontId="15" fillId="0" borderId="1" xfId="2" applyFont="1" applyBorder="1" applyAlignment="1">
      <alignment horizontal="center" vertical="center" wrapText="1"/>
    </xf>
    <xf numFmtId="0" fontId="15" fillId="0" borderId="1" xfId="2" applyFont="1" applyBorder="1" applyAlignment="1">
      <alignment horizontal="center" vertical="center"/>
    </xf>
    <xf numFmtId="0" fontId="16" fillId="0" borderId="0" xfId="2" applyFont="1" applyBorder="1"/>
    <xf numFmtId="0" fontId="0" fillId="0" borderId="0" xfId="0" applyAlignment="1">
      <alignment vertical="center"/>
    </xf>
    <xf numFmtId="14" fontId="3" fillId="0" borderId="0" xfId="2" applyNumberFormat="1" applyFont="1" applyBorder="1"/>
    <xf numFmtId="0" fontId="1" fillId="0" borderId="0" xfId="2" applyFont="1" applyBorder="1"/>
    <xf numFmtId="0" fontId="13" fillId="0" borderId="0" xfId="2" applyFont="1" applyAlignment="1">
      <alignment horizontal="center" vertical="center"/>
    </xf>
    <xf numFmtId="0" fontId="3" fillId="0" borderId="0" xfId="2" applyFont="1" applyAlignment="1">
      <alignment horizontal="left"/>
    </xf>
    <xf numFmtId="0" fontId="7" fillId="0" borderId="2" xfId="2" applyFont="1" applyBorder="1" applyAlignment="1">
      <alignment horizontal="center" vertical="center" wrapText="1"/>
    </xf>
    <xf numFmtId="0" fontId="4" fillId="0" borderId="0" xfId="2" applyFont="1" applyBorder="1" applyAlignment="1">
      <alignment horizontal="center" vertical="center"/>
    </xf>
    <xf numFmtId="0" fontId="6" fillId="0" borderId="0" xfId="2" applyFont="1" applyBorder="1" applyAlignment="1">
      <alignment horizontal="left" vertical="center" wrapText="1"/>
    </xf>
    <xf numFmtId="0" fontId="3" fillId="0" borderId="0" xfId="2" applyFont="1" applyBorder="1" applyAlignment="1">
      <alignment horizontal="left" vertical="center" wrapText="1"/>
    </xf>
    <xf numFmtId="0" fontId="3" fillId="0" borderId="0" xfId="2" applyFont="1" applyAlignment="1">
      <alignment horizontal="center" vertical="center" wrapText="1"/>
    </xf>
    <xf numFmtId="0" fontId="12" fillId="0" borderId="0" xfId="2" applyFont="1" applyAlignment="1">
      <alignment horizontal="center" vertical="center" wrapText="1"/>
    </xf>
    <xf numFmtId="0" fontId="16" fillId="0" borderId="6" xfId="2" applyFont="1" applyBorder="1" applyAlignment="1">
      <alignment vertical="center"/>
    </xf>
    <xf numFmtId="0" fontId="16" fillId="0" borderId="0" xfId="2" applyFont="1" applyBorder="1" applyAlignment="1">
      <alignment vertical="center"/>
    </xf>
    <xf numFmtId="0" fontId="1" fillId="0" borderId="6" xfId="2" applyFont="1" applyBorder="1" applyAlignment="1">
      <alignment vertical="center"/>
    </xf>
    <xf numFmtId="0" fontId="1" fillId="0" borderId="0" xfId="2" applyFont="1" applyBorder="1" applyAlignment="1">
      <alignment vertical="center"/>
    </xf>
    <xf numFmtId="0" fontId="17" fillId="0" borderId="0" xfId="2" applyFont="1"/>
    <xf numFmtId="0" fontId="3" fillId="0" borderId="0" xfId="2" applyFont="1" applyAlignment="1">
      <alignment horizontal="center"/>
    </xf>
    <xf numFmtId="0" fontId="3" fillId="0" borderId="0" xfId="2" applyFont="1" applyAlignment="1">
      <alignment vertical="center" wrapText="1"/>
    </xf>
    <xf numFmtId="0" fontId="12" fillId="0" borderId="0" xfId="2" applyFont="1" applyAlignment="1">
      <alignment vertical="center" wrapText="1"/>
    </xf>
    <xf numFmtId="0" fontId="13" fillId="0" borderId="0" xfId="2" applyFont="1" applyBorder="1" applyAlignment="1">
      <alignment horizontal="center" vertical="center"/>
    </xf>
    <xf numFmtId="164" fontId="13" fillId="0" borderId="0" xfId="2" applyNumberFormat="1" applyFont="1" applyBorder="1" applyAlignment="1">
      <alignment horizontal="center" vertical="center"/>
    </xf>
    <xf numFmtId="0" fontId="12" fillId="0" borderId="0" xfId="2" applyFont="1" applyAlignment="1">
      <alignment horizontal="center" vertical="center" wrapText="1"/>
    </xf>
    <xf numFmtId="0" fontId="6" fillId="0" borderId="0" xfId="2" applyFont="1" applyBorder="1" applyAlignment="1">
      <alignment horizontal="left" vertical="center" wrapText="1"/>
    </xf>
    <xf numFmtId="0" fontId="13" fillId="2" borderId="0" xfId="2" applyFont="1" applyFill="1" applyAlignment="1">
      <alignment vertical="center"/>
    </xf>
    <xf numFmtId="0" fontId="13" fillId="0" borderId="0" xfId="2" applyFont="1"/>
    <xf numFmtId="164" fontId="13" fillId="3" borderId="0" xfId="2" applyNumberFormat="1" applyFont="1" applyFill="1"/>
    <xf numFmtId="164" fontId="13" fillId="0" borderId="0" xfId="2" applyNumberFormat="1" applyFont="1" applyFill="1"/>
    <xf numFmtId="0" fontId="19" fillId="0" borderId="0" xfId="0" applyFont="1" applyAlignment="1">
      <alignment vertical="center" wrapText="1"/>
    </xf>
    <xf numFmtId="0" fontId="12" fillId="0" borderId="0" xfId="2" applyFont="1" applyAlignment="1">
      <alignment horizontal="right" vertical="center" wrapText="1"/>
    </xf>
    <xf numFmtId="0" fontId="21" fillId="0" borderId="0" xfId="0" applyFont="1"/>
    <xf numFmtId="0" fontId="22" fillId="0" borderId="0" xfId="6" applyAlignment="1" applyProtection="1"/>
    <xf numFmtId="0" fontId="4" fillId="0" borderId="4" xfId="2" applyFont="1" applyBorder="1" applyAlignment="1">
      <alignment vertical="center"/>
    </xf>
    <xf numFmtId="0" fontId="4" fillId="0" borderId="2" xfId="2" applyFont="1" applyBorder="1" applyAlignment="1">
      <alignment vertical="center"/>
    </xf>
    <xf numFmtId="0" fontId="6" fillId="0" borderId="0" xfId="2" applyFont="1" applyBorder="1" applyAlignment="1">
      <alignment horizontal="left" vertical="center" wrapText="1"/>
    </xf>
    <xf numFmtId="0" fontId="0" fillId="0" borderId="0" xfId="0" applyFont="1" applyAlignment="1">
      <alignment vertical="center"/>
    </xf>
    <xf numFmtId="0" fontId="3" fillId="2" borderId="0" xfId="2" applyFont="1" applyFill="1"/>
    <xf numFmtId="0" fontId="3" fillId="0" borderId="0" xfId="2" applyFont="1" applyAlignment="1">
      <alignment horizontal="center" vertical="center"/>
    </xf>
    <xf numFmtId="0" fontId="7" fillId="0" borderId="0" xfId="2" applyFont="1"/>
    <xf numFmtId="0" fontId="0" fillId="0" borderId="0" xfId="0" applyAlignment="1">
      <alignment horizontal="right" vertical="center"/>
    </xf>
    <xf numFmtId="0" fontId="0" fillId="0" borderId="0" xfId="0" applyFill="1"/>
    <xf numFmtId="0" fontId="12" fillId="0" borderId="0" xfId="2" applyFont="1" applyFill="1" applyAlignment="1">
      <alignment vertical="center" wrapText="1"/>
    </xf>
    <xf numFmtId="0" fontId="3" fillId="0" borderId="0" xfId="2" applyFont="1" applyFill="1"/>
    <xf numFmtId="0" fontId="12" fillId="0" borderId="0" xfId="2" applyFont="1" applyFill="1" applyBorder="1"/>
    <xf numFmtId="0" fontId="3" fillId="0" borderId="0" xfId="2" applyFont="1" applyFill="1" applyBorder="1"/>
    <xf numFmtId="0" fontId="17" fillId="0" borderId="0" xfId="2" applyFont="1" applyFill="1"/>
    <xf numFmtId="0" fontId="6" fillId="0" borderId="0" xfId="2" applyFont="1" applyFill="1" applyBorder="1" applyAlignment="1">
      <alignment horizontal="left" vertical="center" wrapText="1"/>
    </xf>
    <xf numFmtId="0" fontId="9" fillId="0" borderId="0" xfId="2" applyFont="1" applyFill="1"/>
    <xf numFmtId="0" fontId="2" fillId="0" borderId="0" xfId="2" applyFont="1" applyAlignment="1">
      <alignment vertical="center"/>
    </xf>
    <xf numFmtId="0" fontId="13" fillId="2" borderId="0" xfId="2" applyFont="1" applyFill="1" applyAlignment="1">
      <alignment horizontal="left" vertical="center"/>
    </xf>
    <xf numFmtId="0" fontId="18" fillId="0" borderId="0" xfId="0" applyFont="1" applyAlignment="1">
      <alignment horizontal="center" vertical="center" wrapText="1"/>
    </xf>
    <xf numFmtId="0" fontId="3" fillId="0" borderId="0" xfId="2" applyFont="1" applyAlignment="1">
      <alignment vertical="center"/>
    </xf>
    <xf numFmtId="0" fontId="18" fillId="0" borderId="1" xfId="0" applyFont="1" applyBorder="1" applyAlignment="1">
      <alignment horizontal="center" vertical="center"/>
    </xf>
    <xf numFmtId="0" fontId="13" fillId="0" borderId="0" xfId="2" applyFont="1" applyFill="1" applyAlignment="1">
      <alignment horizontal="left" vertical="center"/>
    </xf>
    <xf numFmtId="0" fontId="4" fillId="0" borderId="0" xfId="2" applyFont="1" applyAlignment="1">
      <alignment horizontal="right" vertical="center"/>
    </xf>
    <xf numFmtId="0" fontId="4" fillId="0" borderId="0" xfId="2" applyFont="1" applyAlignment="1">
      <alignment horizontal="center" vertical="center" wrapText="1"/>
    </xf>
    <xf numFmtId="0" fontId="12" fillId="0" borderId="0" xfId="2" applyFont="1" applyAlignment="1">
      <alignment horizontal="center" vertical="center" wrapText="1"/>
    </xf>
    <xf numFmtId="0" fontId="3" fillId="0" borderId="0" xfId="2" applyFont="1" applyBorder="1" applyAlignment="1">
      <alignment horizontal="left" vertical="center" wrapText="1"/>
    </xf>
    <xf numFmtId="0" fontId="4" fillId="0" borderId="0" xfId="2" applyFont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4" fillId="0" borderId="0" xfId="2" applyFont="1" applyBorder="1" applyAlignment="1">
      <alignment horizontal="left" vertical="center" wrapText="1"/>
    </xf>
    <xf numFmtId="0" fontId="3" fillId="0" borderId="0" xfId="2" applyFont="1" applyBorder="1" applyAlignment="1">
      <alignment horizontal="left" vertical="center" wrapText="1"/>
    </xf>
    <xf numFmtId="0" fontId="6" fillId="0" borderId="0" xfId="2" applyFont="1" applyBorder="1" applyAlignment="1">
      <alignment horizontal="left" vertical="center" wrapText="1"/>
    </xf>
    <xf numFmtId="0" fontId="4" fillId="0" borderId="0" xfId="2" applyFont="1" applyBorder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12" fillId="0" borderId="0" xfId="2" applyFont="1" applyAlignment="1">
      <alignment horizontal="center" vertical="center" wrapText="1"/>
    </xf>
    <xf numFmtId="0" fontId="4" fillId="0" borderId="0" xfId="2" applyFont="1" applyAlignment="1">
      <alignment horizontal="right" vertical="center"/>
    </xf>
    <xf numFmtId="0" fontId="3" fillId="0" borderId="0" xfId="2" applyFont="1" applyAlignment="1">
      <alignment horizontal="center" vertical="center"/>
    </xf>
    <xf numFmtId="164" fontId="13" fillId="3" borderId="5" xfId="2" applyNumberFormat="1" applyFont="1" applyFill="1" applyBorder="1" applyAlignment="1">
      <alignment vertical="center"/>
    </xf>
    <xf numFmtId="14" fontId="2" fillId="0" borderId="0" xfId="2" applyNumberFormat="1" applyFont="1" applyAlignment="1">
      <alignment horizontal="left" vertical="center"/>
    </xf>
    <xf numFmtId="0" fontId="0" fillId="0" borderId="0" xfId="0" applyNumberFormat="1" applyBorder="1"/>
    <xf numFmtId="0" fontId="0" fillId="0" borderId="0" xfId="0" applyAlignment="1">
      <alignment horizontal="center" vertical="center" wrapText="1"/>
    </xf>
    <xf numFmtId="0" fontId="10" fillId="0" borderId="0" xfId="2" applyFont="1" applyAlignment="1">
      <alignment vertical="center" wrapText="1"/>
    </xf>
    <xf numFmtId="0" fontId="10" fillId="0" borderId="0" xfId="2" applyFont="1" applyAlignment="1">
      <alignment horizontal="right" vertical="center"/>
    </xf>
    <xf numFmtId="0" fontId="10" fillId="0" borderId="0" xfId="2" applyFont="1" applyAlignment="1">
      <alignment horizontal="left" vertical="center"/>
    </xf>
    <xf numFmtId="0" fontId="6" fillId="0" borderId="0" xfId="2" applyFont="1" applyAlignment="1">
      <alignment vertical="center"/>
    </xf>
    <xf numFmtId="0" fontId="13" fillId="4" borderId="0" xfId="2" applyFont="1" applyFill="1" applyAlignment="1">
      <alignment vertical="center"/>
    </xf>
    <xf numFmtId="0" fontId="13" fillId="4" borderId="0" xfId="2" applyFont="1" applyFill="1" applyAlignment="1">
      <alignment horizontal="right" vertical="center"/>
    </xf>
    <xf numFmtId="0" fontId="13" fillId="4" borderId="7" xfId="2" applyFont="1" applyFill="1" applyBorder="1" applyAlignment="1">
      <alignment vertical="center"/>
    </xf>
    <xf numFmtId="0" fontId="6" fillId="4" borderId="7" xfId="2" applyFont="1" applyFill="1" applyBorder="1" applyAlignment="1"/>
    <xf numFmtId="0" fontId="13" fillId="4" borderId="7" xfId="2" applyFont="1" applyFill="1" applyBorder="1" applyAlignment="1">
      <alignment horizontal="right" vertical="center"/>
    </xf>
    <xf numFmtId="164" fontId="3" fillId="0" borderId="3" xfId="3" applyFont="1" applyBorder="1" applyAlignment="1">
      <alignment horizontal="center" vertical="center"/>
    </xf>
    <xf numFmtId="0" fontId="15" fillId="0" borderId="8" xfId="2" applyFont="1" applyBorder="1" applyAlignment="1">
      <alignment horizontal="center" vertical="center"/>
    </xf>
    <xf numFmtId="0" fontId="15" fillId="0" borderId="10" xfId="2" applyFont="1" applyBorder="1" applyAlignment="1">
      <alignment horizontal="center" vertical="center" wrapText="1"/>
    </xf>
    <xf numFmtId="0" fontId="15" fillId="0" borderId="10" xfId="2" applyFont="1" applyBorder="1" applyAlignment="1">
      <alignment horizontal="center" vertical="center"/>
    </xf>
    <xf numFmtId="0" fontId="4" fillId="0" borderId="5" xfId="2" applyFont="1" applyBorder="1" applyAlignment="1">
      <alignment vertical="center"/>
    </xf>
    <xf numFmtId="0" fontId="4" fillId="0" borderId="11" xfId="2" applyFont="1" applyBorder="1" applyAlignment="1">
      <alignment vertical="center"/>
    </xf>
    <xf numFmtId="0" fontId="4" fillId="0" borderId="12" xfId="2" applyFont="1" applyBorder="1" applyAlignment="1">
      <alignment vertical="center"/>
    </xf>
    <xf numFmtId="0" fontId="3" fillId="0" borderId="13" xfId="2" applyFont="1" applyBorder="1" applyAlignment="1">
      <alignment horizontal="center" vertical="center"/>
    </xf>
    <xf numFmtId="164" fontId="3" fillId="0" borderId="11" xfId="3" applyFont="1" applyBorder="1" applyAlignment="1">
      <alignment horizontal="center" vertical="center"/>
    </xf>
    <xf numFmtId="165" fontId="15" fillId="0" borderId="9" xfId="2" applyNumberFormat="1" applyFont="1" applyBorder="1" applyAlignment="1">
      <alignment horizontal="center" vertical="center"/>
    </xf>
    <xf numFmtId="0" fontId="17" fillId="0" borderId="0" xfId="2" applyFont="1" applyAlignment="1">
      <alignment horizontal="right"/>
    </xf>
    <xf numFmtId="0" fontId="4" fillId="0" borderId="4" xfId="2" applyFont="1" applyBorder="1" applyAlignment="1">
      <alignment horizontal="center" vertical="center"/>
    </xf>
    <xf numFmtId="0" fontId="4" fillId="0" borderId="5" xfId="2" applyFont="1" applyBorder="1" applyAlignment="1">
      <alignment horizontal="center" vertical="center"/>
    </xf>
    <xf numFmtId="0" fontId="15" fillId="0" borderId="7" xfId="2" applyFont="1" applyBorder="1" applyAlignment="1">
      <alignment horizontal="center" vertical="center"/>
    </xf>
    <xf numFmtId="166" fontId="15" fillId="0" borderId="7" xfId="2" applyNumberFormat="1" applyFont="1" applyBorder="1" applyAlignment="1">
      <alignment horizontal="center" vertical="center"/>
    </xf>
    <xf numFmtId="165" fontId="15" fillId="0" borderId="8" xfId="2" applyNumberFormat="1" applyFont="1" applyBorder="1" applyAlignment="1">
      <alignment horizontal="left" vertical="center"/>
    </xf>
    <xf numFmtId="0" fontId="12" fillId="0" borderId="0" xfId="2" applyFont="1" applyAlignment="1">
      <alignment horizontal="right" vertical="center"/>
    </xf>
    <xf numFmtId="0" fontId="9" fillId="0" borderId="0" xfId="2" applyFont="1" applyAlignment="1">
      <alignment horizontal="left" indent="1"/>
    </xf>
    <xf numFmtId="0" fontId="4" fillId="0" borderId="3" xfId="2" applyFont="1" applyBorder="1" applyAlignment="1">
      <alignment horizontal="center" vertical="center"/>
    </xf>
    <xf numFmtId="0" fontId="4" fillId="0" borderId="11" xfId="2" applyFont="1" applyBorder="1" applyAlignment="1">
      <alignment horizontal="center" vertical="center"/>
    </xf>
    <xf numFmtId="167" fontId="6" fillId="4" borderId="0" xfId="2" applyNumberFormat="1" applyFont="1" applyFill="1" applyAlignment="1">
      <alignment horizontal="right"/>
    </xf>
    <xf numFmtId="167" fontId="6" fillId="4" borderId="0" xfId="2" applyNumberFormat="1" applyFont="1" applyFill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/>
    <xf numFmtId="164" fontId="13" fillId="5" borderId="5" xfId="2" applyNumberFormat="1" applyFont="1" applyFill="1" applyBorder="1" applyAlignment="1">
      <alignment vertical="center"/>
    </xf>
    <xf numFmtId="164" fontId="13" fillId="3" borderId="4" xfId="2" applyNumberFormat="1" applyFont="1" applyFill="1" applyBorder="1" applyAlignment="1">
      <alignment vertical="center"/>
    </xf>
    <xf numFmtId="0" fontId="13" fillId="3" borderId="5" xfId="2" applyFont="1" applyFill="1" applyBorder="1" applyAlignment="1">
      <alignment horizontal="left" vertical="center" wrapText="1" indent="1"/>
    </xf>
    <xf numFmtId="0" fontId="13" fillId="5" borderId="5" xfId="2" applyFont="1" applyFill="1" applyBorder="1" applyAlignment="1">
      <alignment horizontal="left" vertical="center" wrapText="1" indent="1"/>
    </xf>
    <xf numFmtId="0" fontId="13" fillId="3" borderId="4" xfId="2" applyFont="1" applyFill="1" applyBorder="1" applyAlignment="1">
      <alignment horizontal="left" vertical="center" wrapText="1" indent="1"/>
    </xf>
    <xf numFmtId="167" fontId="13" fillId="0" borderId="0" xfId="2" quotePrefix="1" applyNumberFormat="1" applyFont="1" applyFill="1" applyAlignment="1">
      <alignment horizontal="left" vertical="center"/>
    </xf>
    <xf numFmtId="0" fontId="3" fillId="0" borderId="0" xfId="2" applyFont="1" applyAlignment="1"/>
    <xf numFmtId="0" fontId="3" fillId="0" borderId="0" xfId="2" applyFont="1" applyBorder="1" applyAlignment="1"/>
    <xf numFmtId="0" fontId="9" fillId="0" borderId="0" xfId="2" applyFont="1" applyAlignment="1"/>
    <xf numFmtId="0" fontId="16" fillId="0" borderId="0" xfId="2" applyFont="1" applyBorder="1" applyAlignment="1"/>
    <xf numFmtId="0" fontId="9" fillId="4" borderId="7" xfId="2" applyFont="1" applyFill="1" applyBorder="1" applyAlignment="1"/>
    <xf numFmtId="0" fontId="9" fillId="4" borderId="0" xfId="2" applyFont="1" applyFill="1" applyAlignment="1"/>
    <xf numFmtId="0" fontId="13" fillId="4" borderId="0" xfId="2" applyFont="1" applyFill="1" applyAlignment="1"/>
    <xf numFmtId="0" fontId="3" fillId="4" borderId="0" xfId="2" applyFont="1" applyFill="1" applyAlignment="1"/>
    <xf numFmtId="0" fontId="1" fillId="0" borderId="0" xfId="2" applyFont="1" applyBorder="1" applyAlignment="1"/>
    <xf numFmtId="0" fontId="4" fillId="0" borderId="0" xfId="2" applyFont="1" applyAlignment="1"/>
    <xf numFmtId="0" fontId="3" fillId="0" borderId="0" xfId="2" applyBorder="1" applyAlignment="1"/>
    <xf numFmtId="0" fontId="24" fillId="0" borderId="0" xfId="2" applyFont="1" applyAlignment="1"/>
    <xf numFmtId="0" fontId="17" fillId="0" borderId="0" xfId="2" applyFont="1" applyAlignment="1"/>
    <xf numFmtId="0" fontId="12" fillId="0" borderId="0" xfId="2" applyFont="1" applyBorder="1" applyAlignment="1"/>
    <xf numFmtId="0" fontId="3" fillId="0" borderId="0" xfId="2" applyAlignment="1"/>
    <xf numFmtId="0" fontId="4" fillId="0" borderId="0" xfId="2" applyFont="1" applyBorder="1" applyAlignment="1">
      <alignment horizontal="left" vertical="center"/>
    </xf>
    <xf numFmtId="0" fontId="3" fillId="0" borderId="0" xfId="2" applyFont="1" applyBorder="1" applyAlignment="1">
      <alignment horizontal="left"/>
    </xf>
    <xf numFmtId="0" fontId="9" fillId="0" borderId="0" xfId="2" applyFont="1" applyAlignment="1">
      <alignment horizontal="left"/>
    </xf>
    <xf numFmtId="0" fontId="5" fillId="0" borderId="0" xfId="2" applyFont="1" applyBorder="1" applyAlignment="1">
      <alignment horizontal="left" vertical="center"/>
    </xf>
    <xf numFmtId="0" fontId="10" fillId="0" borderId="0" xfId="2" applyFont="1" applyBorder="1" applyAlignment="1">
      <alignment horizontal="left" vertical="center"/>
    </xf>
    <xf numFmtId="0" fontId="4" fillId="0" borderId="0" xfId="2" applyFont="1" applyBorder="1" applyAlignment="1">
      <alignment horizontal="left"/>
    </xf>
    <xf numFmtId="0" fontId="11" fillId="0" borderId="0" xfId="2" applyFont="1" applyAlignment="1">
      <alignment horizontal="left"/>
    </xf>
    <xf numFmtId="0" fontId="3" fillId="0" borderId="0" xfId="2" applyBorder="1" applyAlignment="1">
      <alignment horizontal="left"/>
    </xf>
    <xf numFmtId="0" fontId="3" fillId="0" borderId="0" xfId="2" applyAlignment="1">
      <alignment horizontal="left"/>
    </xf>
    <xf numFmtId="0" fontId="13" fillId="5" borderId="5" xfId="2" applyFont="1" applyFill="1" applyBorder="1" applyAlignment="1">
      <alignment vertical="center" wrapText="1"/>
    </xf>
    <xf numFmtId="0" fontId="13" fillId="3" borderId="4" xfId="2" applyFont="1" applyFill="1" applyBorder="1" applyAlignment="1">
      <alignment vertical="center"/>
    </xf>
    <xf numFmtId="0" fontId="13" fillId="5" borderId="5" xfId="2" applyFont="1" applyFill="1" applyBorder="1" applyAlignment="1">
      <alignment vertical="center"/>
    </xf>
    <xf numFmtId="0" fontId="2" fillId="0" borderId="0" xfId="2" applyFont="1" applyBorder="1" applyAlignment="1">
      <alignment horizontal="left" indent="3"/>
    </xf>
    <xf numFmtId="22" fontId="0" fillId="0" borderId="0" xfId="0" applyNumberFormat="1" applyBorder="1" applyAlignment="1">
      <alignment horizontal="center"/>
    </xf>
    <xf numFmtId="7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6" fillId="0" borderId="0" xfId="2" applyFont="1" applyBorder="1" applyAlignment="1">
      <alignment horizontal="left"/>
    </xf>
    <xf numFmtId="0" fontId="27" fillId="0" borderId="0" xfId="2" applyFont="1" applyBorder="1" applyAlignment="1">
      <alignment horizontal="left" vertical="center"/>
    </xf>
    <xf numFmtId="0" fontId="0" fillId="6" borderId="0" xfId="0" applyFill="1"/>
    <xf numFmtId="0" fontId="29" fillId="6" borderId="0" xfId="0" applyFont="1" applyFill="1"/>
    <xf numFmtId="0" fontId="0" fillId="6" borderId="0" xfId="0" quotePrefix="1" applyFill="1"/>
    <xf numFmtId="0" fontId="4" fillId="0" borderId="3" xfId="2" applyFont="1" applyBorder="1" applyAlignment="1">
      <alignment horizontal="left" vertical="center"/>
    </xf>
    <xf numFmtId="0" fontId="4" fillId="0" borderId="4" xfId="2" applyFont="1" applyBorder="1" applyAlignment="1">
      <alignment horizontal="left" vertical="center"/>
    </xf>
    <xf numFmtId="0" fontId="4" fillId="0" borderId="2" xfId="2" applyFont="1" applyBorder="1" applyAlignment="1">
      <alignment horizontal="left" vertical="center"/>
    </xf>
    <xf numFmtId="164" fontId="13" fillId="3" borderId="5" xfId="2" applyNumberFormat="1" applyFont="1" applyFill="1" applyBorder="1" applyAlignment="1">
      <alignment horizontal="center" vertical="center" wrapText="1"/>
    </xf>
    <xf numFmtId="164" fontId="13" fillId="3" borderId="0" xfId="2" applyNumberFormat="1" applyFont="1" applyFill="1" applyAlignment="1">
      <alignment horizontal="center" vertical="center" wrapText="1"/>
    </xf>
    <xf numFmtId="0" fontId="6" fillId="0" borderId="0" xfId="2" applyFont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4" fillId="0" borderId="0" xfId="2" applyFont="1" applyAlignment="1">
      <alignment horizontal="right" vertical="center"/>
    </xf>
    <xf numFmtId="0" fontId="6" fillId="0" borderId="0" xfId="2" applyFont="1" applyAlignment="1">
      <alignment horizontal="center"/>
    </xf>
    <xf numFmtId="0" fontId="15" fillId="0" borderId="3" xfId="2" applyFont="1" applyBorder="1" applyAlignment="1">
      <alignment horizontal="center" vertical="center"/>
    </xf>
    <xf numFmtId="0" fontId="15" fillId="0" borderId="4" xfId="2" applyFont="1" applyBorder="1" applyAlignment="1">
      <alignment horizontal="center" vertical="center"/>
    </xf>
    <xf numFmtId="0" fontId="15" fillId="0" borderId="2" xfId="2" applyFont="1" applyBorder="1" applyAlignment="1">
      <alignment horizontal="center" vertical="center"/>
    </xf>
    <xf numFmtId="0" fontId="4" fillId="0" borderId="0" xfId="2" applyFont="1" applyBorder="1" applyAlignment="1">
      <alignment horizontal="center" vertical="center"/>
    </xf>
    <xf numFmtId="164" fontId="13" fillId="3" borderId="5" xfId="2" applyNumberFormat="1" applyFont="1" applyFill="1" applyBorder="1" applyAlignment="1">
      <alignment horizontal="center" vertical="center"/>
    </xf>
    <xf numFmtId="164" fontId="13" fillId="3" borderId="0" xfId="2" applyNumberFormat="1" applyFont="1" applyFill="1" applyAlignment="1">
      <alignment horizontal="center" vertical="center"/>
    </xf>
    <xf numFmtId="0" fontId="4" fillId="0" borderId="0" xfId="2" applyFont="1" applyBorder="1" applyAlignment="1">
      <alignment horizontal="left" vertical="center" wrapText="1"/>
    </xf>
    <xf numFmtId="0" fontId="3" fillId="0" borderId="0" xfId="2" applyFont="1" applyBorder="1" applyAlignment="1">
      <alignment horizontal="left" vertical="center" wrapText="1"/>
    </xf>
    <xf numFmtId="0" fontId="6" fillId="0" borderId="0" xfId="2" applyFon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0" xfId="2" applyFont="1" applyAlignment="1">
      <alignment horizontal="center" vertical="center" wrapText="1"/>
    </xf>
    <xf numFmtId="0" fontId="3" fillId="0" borderId="0" xfId="2" applyFont="1" applyAlignment="1">
      <alignment horizontal="center" vertical="center" wrapText="1"/>
    </xf>
    <xf numFmtId="0" fontId="4" fillId="0" borderId="0" xfId="2" applyFont="1" applyAlignment="1">
      <alignment horizontal="center" vertical="center" wrapText="1"/>
    </xf>
    <xf numFmtId="0" fontId="12" fillId="0" borderId="0" xfId="2" applyFont="1" applyAlignment="1">
      <alignment horizontal="center" vertical="center" wrapText="1"/>
    </xf>
  </cellXfs>
  <cellStyles count="71">
    <cellStyle name="Lien hypertexte" xfId="6" builtinId="8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Monétaire 2" xfId="4"/>
    <cellStyle name="Monétaire 2 2" xfId="3"/>
    <cellStyle name="Monétaire 3" xfId="5"/>
    <cellStyle name="Normal" xfId="0" builtinId="0"/>
    <cellStyle name="Normal 2" xfId="1"/>
    <cellStyle name="Normal 2 2" xfId="2"/>
  </cellStyles>
  <dxfs count="118"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textRotation="0" justifyLastLine="0" shrinkToFit="0"/>
    </dxf>
    <dxf>
      <border outline="0"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textRotation="0" wrapText="0" indent="0" justifyLastLine="0" shrinkToFit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textRotation="0" justifyLastLine="0" shrinkToFit="0"/>
    </dxf>
    <dxf>
      <border outline="0"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</dxf>
    <dxf>
      <alignment horizontal="center" vertical="center" textRotation="0" wrapText="1" indent="0" justifyLastLine="0" shrinkToFit="0"/>
    </dxf>
    <dxf>
      <alignment horizont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141432</xdr:colOff>
      <xdr:row>39</xdr:row>
      <xdr:rowOff>129889</xdr:rowOff>
    </xdr:from>
    <xdr:to>
      <xdr:col>0</xdr:col>
      <xdr:colOff>764886</xdr:colOff>
      <xdr:row>41</xdr:row>
      <xdr:rowOff>136155</xdr:rowOff>
    </xdr:to>
    <xdr:pic>
      <xdr:nvPicPr>
        <xdr:cNvPr id="4" name="Image 3" descr="logos-bi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1432" y="8280980"/>
          <a:ext cx="623454" cy="39881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990600</xdr:colOff>
          <xdr:row>5</xdr:row>
          <xdr:rowOff>63500</xdr:rowOff>
        </xdr:from>
        <xdr:to>
          <xdr:col>11</xdr:col>
          <xdr:colOff>965200</xdr:colOff>
          <xdr:row>10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141432</xdr:colOff>
      <xdr:row>41</xdr:row>
      <xdr:rowOff>129889</xdr:rowOff>
    </xdr:from>
    <xdr:to>
      <xdr:col>0</xdr:col>
      <xdr:colOff>764886</xdr:colOff>
      <xdr:row>43</xdr:row>
      <xdr:rowOff>136154</xdr:rowOff>
    </xdr:to>
    <xdr:pic>
      <xdr:nvPicPr>
        <xdr:cNvPr id="2" name="Image 1" descr="logos-bio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1432" y="7876889"/>
          <a:ext cx="623454" cy="38726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673100</xdr:colOff>
          <xdr:row>9</xdr:row>
          <xdr:rowOff>25399</xdr:rowOff>
        </xdr:from>
        <xdr:to>
          <xdr:col>12</xdr:col>
          <xdr:colOff>831273</xdr:colOff>
          <xdr:row>13</xdr:row>
          <xdr:rowOff>230909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199160</xdr:colOff>
      <xdr:row>0</xdr:row>
      <xdr:rowOff>0</xdr:rowOff>
    </xdr:from>
    <xdr:to>
      <xdr:col>2</xdr:col>
      <xdr:colOff>796638</xdr:colOff>
      <xdr:row>5</xdr:row>
      <xdr:rowOff>143049</xdr:rowOff>
    </xdr:to>
    <xdr:pic>
      <xdr:nvPicPr>
        <xdr:cNvPr id="2" name="Image 1" descr="Logo_couleur_web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9160" y="147206"/>
          <a:ext cx="2064328" cy="109554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2" name="Articles" displayName="Articles" ref="A1:J61" totalsRowShown="0" headerRowDxfId="117">
  <autoFilter ref="A1:J61"/>
  <tableColumns count="10">
    <tableColumn id="1" name="Réf"/>
    <tableColumn id="2" name="Légumes"/>
    <tableColumn id="3" name="U/V"/>
    <tableColumn id="5" name="Prix Part"/>
    <tableColumn id="6" name="Prix Pro" dataDxfId="116"/>
    <tableColumn id="7" name="Colonne6"/>
    <tableColumn id="8" name="Colonne7"/>
    <tableColumn id="9" name="Colonne8"/>
    <tableColumn id="10" name="Colonne9"/>
    <tableColumn id="11" name="Colonne10"/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id="1" name="Clients" displayName="Clients" ref="A1:L34" totalsRowShown="0" headerRowDxfId="115">
  <autoFilter ref="A1:L34"/>
  <tableColumns count="12">
    <tableColumn id="1" name="Code client"/>
    <tableColumn id="2" name="Statut"/>
    <tableColumn id="3" name="Forme"/>
    <tableColumn id="4" name="Nom"/>
    <tableColumn id="5" name="Prénom"/>
    <tableColumn id="6" name="Dénomination" dataDxfId="114">
      <calculatedColumnFormula>CONCATENATE(IF(Clients[[#This Row],[Forme]]="","",Clients[[#This Row],[Forme]]&amp;" "),Clients[[#This Row],[Nom]],IF(Clients[[#This Row],[Prénom]]="",""," "&amp;Clients[[#This Row],[Prénom]]))</calculatedColumnFormula>
    </tableColumn>
    <tableColumn id="15" name="Contact"/>
    <tableColumn id="7" name="Adresse"/>
    <tableColumn id="8" name="CP"/>
    <tableColumn id="9" name="Ville"/>
    <tableColumn id="10" name="Téléphone"/>
    <tableColumn id="11" name="Mail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F_Corps" displayName="F_Corps" ref="A14:H32" totalsRowShown="0" headerRowDxfId="113" dataDxfId="111" headerRowBorderDxfId="112" tableBorderDxfId="110" totalsRowBorderDxfId="109" headerRowCellStyle="Normal 2 2">
  <tableColumns count="8">
    <tableColumn id="1" name="Réf" dataDxfId="108" dataCellStyle="Normal 2 2">
      <calculatedColumnFormula>IFERROR(INDEX(Articles[Réf],MATCH(F_Corps[[#This Row],[Produits]],Articles[Légumes],0)),"")</calculatedColumnFormula>
    </tableColumn>
    <tableColumn id="2" name="Produits" dataDxfId="107" dataCellStyle="Normal 2 2"/>
    <tableColumn id="3" name="Colonne1" dataDxfId="106" dataCellStyle="Normal 2 2"/>
    <tableColumn id="4" name="Colonne2" dataDxfId="105" dataCellStyle="Normal 2 2"/>
    <tableColumn id="5" name="U/V" dataDxfId="104" dataCellStyle="Normal 2 2">
      <calculatedColumnFormula>IFERROR(INDEX(Articles[U/V],MATCH(F_Corps[[#This Row],[Produits]],Articles[Légumes],0)),"")</calculatedColumnFormula>
    </tableColumn>
    <tableColumn id="6" name="Qté" dataDxfId="103" dataCellStyle="Normal 2 2"/>
    <tableColumn id="7" name="Prix" dataDxfId="102" dataCellStyle="Monétaire 2 2">
      <calculatedColumnFormula>IFERROR(INDEX(INDIRECT("Articles[Prix "&amp;INDEX(Clients[Statut],MATCH(F_Dénomination,Clients[Dénomination],0))&amp;"]"),MATCH($B15,Articles[Légumes],0)),"")</calculatedColumnFormula>
    </tableColumn>
    <tableColumn id="8" name="Total" dataDxfId="101" dataCellStyle="Monétaire 2 2">
      <calculatedColumnFormula>IFERROR(F_Corps[[#This Row],[Qté]]*F_Corps[[#This Row],[Prix]],"")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RecapFacture" displayName="RecapFacture" ref="A1:AP3" totalsRowShown="0" headerRowDxfId="100" dataDxfId="99">
  <autoFilter ref="A1:AP3"/>
  <tableColumns count="42">
    <tableColumn id="1" name="Facture" dataDxfId="98"/>
    <tableColumn id="2" name="Date" dataDxfId="97"/>
    <tableColumn id="3" name="Dénomination" dataDxfId="96"/>
    <tableColumn id="4" name="TOTAL HT" dataDxfId="95"/>
    <tableColumn id="5" name="Rglts" dataDxfId="94"/>
    <tableColumn id="6" name="Reste du" dataDxfId="93"/>
    <tableColumn id="7" name="Produits1" dataDxfId="92"/>
    <tableColumn id="8" name="Produits2" dataDxfId="91"/>
    <tableColumn id="9" name="Produits3" dataDxfId="90"/>
    <tableColumn id="10" name="Produits4" dataDxfId="89"/>
    <tableColumn id="11" name="Produits5" dataDxfId="88"/>
    <tableColumn id="12" name="Produits6" dataDxfId="87"/>
    <tableColumn id="13" name="Produits7" dataDxfId="86"/>
    <tableColumn id="14" name="Produits8" dataDxfId="85"/>
    <tableColumn id="15" name="Produits9" dataDxfId="84"/>
    <tableColumn id="16" name="Produits10" dataDxfId="83"/>
    <tableColumn id="17" name="Produits11" dataDxfId="82"/>
    <tableColumn id="18" name="Produits12" dataDxfId="81"/>
    <tableColumn id="19" name="Produits13" dataDxfId="80"/>
    <tableColumn id="20" name="Produits14" dataDxfId="79"/>
    <tableColumn id="21" name="Produits15" dataDxfId="78"/>
    <tableColumn id="22" name="Produits16" dataDxfId="77"/>
    <tableColumn id="23" name="Produits17" dataDxfId="76"/>
    <tableColumn id="24" name="Produits18" dataDxfId="75"/>
    <tableColumn id="25" name="Qté1" dataDxfId="74"/>
    <tableColumn id="26" name="Qté2" dataDxfId="73"/>
    <tableColumn id="27" name="Qté3" dataDxfId="72"/>
    <tableColumn id="28" name="Qté4" dataDxfId="71"/>
    <tableColumn id="29" name="Qté5" dataDxfId="70"/>
    <tableColumn id="30" name="Qté6" dataDxfId="69"/>
    <tableColumn id="31" name="Qté7" dataDxfId="68"/>
    <tableColumn id="32" name="Qté8" dataDxfId="67"/>
    <tableColumn id="33" name="Qté9" dataDxfId="66"/>
    <tableColumn id="34" name="Qté10" dataDxfId="65"/>
    <tableColumn id="35" name="Qté11" dataDxfId="64"/>
    <tableColumn id="36" name="Qté12" dataDxfId="63"/>
    <tableColumn id="37" name="Qté13" dataDxfId="62"/>
    <tableColumn id="38" name="Qté14" dataDxfId="61"/>
    <tableColumn id="39" name="Qté15" dataDxfId="60"/>
    <tableColumn id="40" name="Qté16" dataDxfId="59"/>
    <tableColumn id="41" name="Qté17" dataDxfId="58"/>
    <tableColumn id="42" name="Qté18" dataDxfId="57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2" name="D_Corps" displayName="D_Corps" ref="A14:H32" totalsRowShown="0" headerRowDxfId="56" dataDxfId="54" headerRowBorderDxfId="55" tableBorderDxfId="53" totalsRowBorderDxfId="52" headerRowCellStyle="Normal 2 2">
  <tableColumns count="8">
    <tableColumn id="1" name="Réf" dataDxfId="51" dataCellStyle="Normal 2 2">
      <calculatedColumnFormula>IFERROR(INDEX(Articles[Réf],MATCH(D_Corps[[#This Row],[Produits]],Articles[Légumes],0)),"")</calculatedColumnFormula>
    </tableColumn>
    <tableColumn id="2" name="Produits" dataDxfId="50" dataCellStyle="Normal 2 2"/>
    <tableColumn id="3" name="Colonne1" dataDxfId="49" dataCellStyle="Normal 2 2"/>
    <tableColumn id="4" name="Colonne2" dataDxfId="48" dataCellStyle="Normal 2 2"/>
    <tableColumn id="5" name="U/V" dataDxfId="47" dataCellStyle="Normal 2 2">
      <calculatedColumnFormula>IFERROR(INDEX(Articles[U/V],MATCH(D_Corps[[#This Row],[Produits]],Articles[Légumes],0)),"")</calculatedColumnFormula>
    </tableColumn>
    <tableColumn id="6" name="Qté" dataDxfId="46" dataCellStyle="Normal 2 2"/>
    <tableColumn id="7" name="Prix" dataDxfId="45" dataCellStyle="Monétaire 2 2">
      <calculatedColumnFormula>IFERROR(INDEX(INDIRECT("Articles[Prix "&amp;INDEX(Clients[Statut],MATCH(F_Dénomination,Clients[Dénomination],0))&amp;"]"),MATCH($B15,Articles[Légumes],0)),"")</calculatedColumnFormula>
    </tableColumn>
    <tableColumn id="8" name="Total" dataDxfId="44" dataCellStyle="Monétaire 2 2">
      <calculatedColumnFormula>IFERROR(D_Corps[[#This Row],[Qté]]*D_Corps[[#This Row],[Prix]],"")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5" name="RecapDevis" displayName="RecapDevis" ref="A1:AP2" totalsRowShown="0" headerRowDxfId="43" dataDxfId="42">
  <autoFilter ref="A1:AP2"/>
  <tableColumns count="42">
    <tableColumn id="1" name="Facture" dataDxfId="41"/>
    <tableColumn id="2" name="Date" dataDxfId="40"/>
    <tableColumn id="3" name="Dénomination" dataDxfId="39"/>
    <tableColumn id="4" name="TOTAL HT" dataDxfId="38"/>
    <tableColumn id="5" name="Acpt" dataDxfId="37"/>
    <tableColumn id="6" name="Solde" dataDxfId="36"/>
    <tableColumn id="7" name="Produits1" dataDxfId="35"/>
    <tableColumn id="8" name="Produits2" dataDxfId="34"/>
    <tableColumn id="9" name="Produits3" dataDxfId="33"/>
    <tableColumn id="10" name="Produits4" dataDxfId="32"/>
    <tableColumn id="11" name="Produits5" dataDxfId="31"/>
    <tableColumn id="12" name="Produits6" dataDxfId="30"/>
    <tableColumn id="13" name="Produits7" dataDxfId="29"/>
    <tableColumn id="14" name="Produits8" dataDxfId="28"/>
    <tableColumn id="15" name="Produits9" dataDxfId="27"/>
    <tableColumn id="16" name="Produits10" dataDxfId="26"/>
    <tableColumn id="17" name="Produits11" dataDxfId="25"/>
    <tableColumn id="18" name="Produits12" dataDxfId="24"/>
    <tableColumn id="19" name="Produits13" dataDxfId="23"/>
    <tableColumn id="20" name="Produits14" dataDxfId="22"/>
    <tableColumn id="21" name="Produits15" dataDxfId="21"/>
    <tableColumn id="22" name="Produits16" dataDxfId="20"/>
    <tableColumn id="23" name="Produits17" dataDxfId="19"/>
    <tableColumn id="24" name="Produits18" dataDxfId="18"/>
    <tableColumn id="25" name="Qté1" dataDxfId="17"/>
    <tableColumn id="26" name="Qté2" dataDxfId="16"/>
    <tableColumn id="27" name="Qté3" dataDxfId="15"/>
    <tableColumn id="28" name="Qté4" dataDxfId="14"/>
    <tableColumn id="29" name="Qté5" dataDxfId="13"/>
    <tableColumn id="30" name="Qté6" dataDxfId="12"/>
    <tableColumn id="31" name="Qté7" dataDxfId="11"/>
    <tableColumn id="32" name="Qté8" dataDxfId="10"/>
    <tableColumn id="33" name="Qté9" dataDxfId="9"/>
    <tableColumn id="34" name="Qté10" dataDxfId="8"/>
    <tableColumn id="35" name="Qté11" dataDxfId="7"/>
    <tableColumn id="36" name="Qté12" dataDxfId="6"/>
    <tableColumn id="37" name="Qté13" dataDxfId="5"/>
    <tableColumn id="38" name="Qté14" dataDxfId="4"/>
    <tableColumn id="39" name="Qté15" dataDxfId="3"/>
    <tableColumn id="40" name="Qté16" dataDxfId="2"/>
    <tableColumn id="41" name="Qté17" dataDxfId="1"/>
    <tableColumn id="42" name="Qté18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4" Type="http://schemas.openxmlformats.org/officeDocument/2006/relationships/table" Target="../tables/table5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9" tint="0.39997558519241921"/>
  </sheetPr>
  <dimension ref="A1:J66"/>
  <sheetViews>
    <sheetView topLeftCell="A42" workbookViewId="0">
      <selection activeCell="B78" sqref="B78"/>
    </sheetView>
  </sheetViews>
  <sheetFormatPr baseColWidth="10" defaultRowHeight="14" x14ac:dyDescent="0"/>
  <cols>
    <col min="1" max="1" width="8.33203125" customWidth="1"/>
    <col min="2" max="2" width="40.83203125" customWidth="1"/>
    <col min="3" max="3" width="8" customWidth="1"/>
    <col min="5" max="5" width="11.5" style="1" customWidth="1"/>
    <col min="6" max="10" width="11.5" customWidth="1"/>
  </cols>
  <sheetData>
    <row r="1" spans="1:10" s="30" customFormat="1">
      <c r="A1" s="3" t="s">
        <v>170</v>
      </c>
      <c r="B1" s="5" t="s">
        <v>171</v>
      </c>
      <c r="C1" s="30" t="s">
        <v>37</v>
      </c>
      <c r="D1" s="30" t="s">
        <v>355</v>
      </c>
      <c r="E1" s="30" t="s">
        <v>356</v>
      </c>
      <c r="F1" s="30" t="s">
        <v>34</v>
      </c>
      <c r="G1" s="30" t="s">
        <v>166</v>
      </c>
      <c r="H1" s="30" t="s">
        <v>167</v>
      </c>
      <c r="I1" s="30" t="s">
        <v>168</v>
      </c>
      <c r="J1" s="30" t="s">
        <v>169</v>
      </c>
    </row>
    <row r="2" spans="1:10">
      <c r="A2" t="s">
        <v>38</v>
      </c>
      <c r="B2" s="6" t="s">
        <v>98</v>
      </c>
      <c r="C2" t="s">
        <v>157</v>
      </c>
      <c r="D2" s="3">
        <v>4.5</v>
      </c>
      <c r="E2" s="1">
        <v>3</v>
      </c>
    </row>
    <row r="3" spans="1:10">
      <c r="A3" t="s">
        <v>39</v>
      </c>
      <c r="B3" s="6" t="s">
        <v>99</v>
      </c>
      <c r="C3" t="s">
        <v>157</v>
      </c>
      <c r="D3" s="3">
        <v>5</v>
      </c>
      <c r="E3" s="1">
        <v>4</v>
      </c>
    </row>
    <row r="4" spans="1:10">
      <c r="A4" t="s">
        <v>40</v>
      </c>
      <c r="B4" s="6" t="s">
        <v>100</v>
      </c>
      <c r="C4" t="s">
        <v>157</v>
      </c>
      <c r="D4" s="3">
        <v>0</v>
      </c>
      <c r="E4" s="1">
        <v>0</v>
      </c>
    </row>
    <row r="5" spans="1:10">
      <c r="A5" t="s">
        <v>41</v>
      </c>
      <c r="B5" s="6" t="s">
        <v>101</v>
      </c>
      <c r="C5" t="s">
        <v>157</v>
      </c>
      <c r="D5" s="3">
        <v>0</v>
      </c>
      <c r="E5" s="1">
        <v>0</v>
      </c>
    </row>
    <row r="6" spans="1:10">
      <c r="A6" t="s">
        <v>42</v>
      </c>
      <c r="B6" s="6" t="s">
        <v>102</v>
      </c>
      <c r="C6" t="s">
        <v>157</v>
      </c>
      <c r="D6" s="3">
        <v>2.5</v>
      </c>
      <c r="E6" s="1">
        <v>1.5</v>
      </c>
    </row>
    <row r="7" spans="1:10">
      <c r="A7" t="s">
        <v>43</v>
      </c>
      <c r="B7" s="6" t="s">
        <v>103</v>
      </c>
      <c r="C7" t="s">
        <v>157</v>
      </c>
      <c r="D7" s="3">
        <v>2</v>
      </c>
      <c r="E7" s="1">
        <v>1</v>
      </c>
    </row>
    <row r="8" spans="1:10">
      <c r="A8" t="s">
        <v>44</v>
      </c>
      <c r="B8" s="6" t="s">
        <v>104</v>
      </c>
      <c r="C8" t="s">
        <v>157</v>
      </c>
      <c r="D8" s="3">
        <v>1.5</v>
      </c>
      <c r="E8" s="1">
        <v>1</v>
      </c>
    </row>
    <row r="9" spans="1:10">
      <c r="A9" t="s">
        <v>45</v>
      </c>
      <c r="B9" s="6" t="s">
        <v>105</v>
      </c>
      <c r="C9" t="s">
        <v>157</v>
      </c>
      <c r="D9" s="3">
        <v>7</v>
      </c>
      <c r="E9" s="1">
        <v>5</v>
      </c>
    </row>
    <row r="10" spans="1:10">
      <c r="A10" t="s">
        <v>46</v>
      </c>
      <c r="B10" s="6" t="s">
        <v>106</v>
      </c>
      <c r="C10" t="s">
        <v>158</v>
      </c>
      <c r="D10" s="3">
        <v>1.7</v>
      </c>
      <c r="E10" s="1">
        <v>3</v>
      </c>
    </row>
    <row r="11" spans="1:10">
      <c r="A11" t="s">
        <v>47</v>
      </c>
      <c r="B11" s="6" t="s">
        <v>107</v>
      </c>
      <c r="C11" t="s">
        <v>157</v>
      </c>
      <c r="D11" s="3">
        <v>1.4</v>
      </c>
      <c r="E11" s="1">
        <v>1</v>
      </c>
    </row>
    <row r="12" spans="1:10">
      <c r="A12" t="s">
        <v>48</v>
      </c>
      <c r="B12" s="6" t="s">
        <v>108</v>
      </c>
      <c r="C12" t="s">
        <v>157</v>
      </c>
      <c r="D12" s="3">
        <v>0</v>
      </c>
      <c r="E12" s="1">
        <v>0</v>
      </c>
    </row>
    <row r="13" spans="1:10">
      <c r="A13" t="s">
        <v>49</v>
      </c>
      <c r="B13" s="6" t="s">
        <v>109</v>
      </c>
      <c r="C13" t="s">
        <v>157</v>
      </c>
      <c r="D13" s="3">
        <v>0</v>
      </c>
      <c r="E13" s="1">
        <v>0</v>
      </c>
    </row>
    <row r="14" spans="1:10">
      <c r="A14" t="s">
        <v>50</v>
      </c>
      <c r="B14" s="6" t="s">
        <v>110</v>
      </c>
      <c r="C14" t="s">
        <v>159</v>
      </c>
      <c r="D14" s="3">
        <v>1.5</v>
      </c>
      <c r="E14" s="1">
        <v>0.8</v>
      </c>
    </row>
    <row r="15" spans="1:10">
      <c r="A15" t="s">
        <v>51</v>
      </c>
      <c r="B15" s="6" t="s">
        <v>111</v>
      </c>
      <c r="C15" t="s">
        <v>157</v>
      </c>
      <c r="D15" s="3">
        <v>1.5</v>
      </c>
      <c r="E15" s="1">
        <v>1</v>
      </c>
    </row>
    <row r="16" spans="1:10">
      <c r="A16" t="s">
        <v>52</v>
      </c>
      <c r="B16" s="6" t="s">
        <v>111</v>
      </c>
      <c r="C16" t="s">
        <v>159</v>
      </c>
      <c r="D16" s="3">
        <v>1.5</v>
      </c>
      <c r="E16" s="1">
        <v>3</v>
      </c>
    </row>
    <row r="17" spans="1:5">
      <c r="A17" t="s">
        <v>53</v>
      </c>
      <c r="B17" s="6" t="s">
        <v>112</v>
      </c>
      <c r="C17" t="s">
        <v>157</v>
      </c>
      <c r="D17" s="3">
        <v>0</v>
      </c>
      <c r="E17" s="1">
        <v>0</v>
      </c>
    </row>
    <row r="18" spans="1:5">
      <c r="A18" t="s">
        <v>54</v>
      </c>
      <c r="B18" s="6" t="s">
        <v>113</v>
      </c>
      <c r="C18" t="s">
        <v>159</v>
      </c>
      <c r="D18" s="3">
        <v>0</v>
      </c>
      <c r="E18" s="1">
        <v>0</v>
      </c>
    </row>
    <row r="19" spans="1:5">
      <c r="A19" t="s">
        <v>55</v>
      </c>
      <c r="B19" s="6" t="s">
        <v>114</v>
      </c>
      <c r="C19" t="s">
        <v>159</v>
      </c>
      <c r="D19" s="3">
        <v>1.4</v>
      </c>
      <c r="E19" s="1">
        <v>1</v>
      </c>
    </row>
    <row r="20" spans="1:5">
      <c r="A20" t="s">
        <v>56</v>
      </c>
      <c r="B20" s="6" t="s">
        <v>115</v>
      </c>
      <c r="C20" t="s">
        <v>159</v>
      </c>
      <c r="D20" s="3">
        <v>1.5</v>
      </c>
      <c r="E20" s="1">
        <v>1</v>
      </c>
    </row>
    <row r="21" spans="1:5">
      <c r="A21" t="s">
        <v>57</v>
      </c>
      <c r="B21" s="6" t="s">
        <v>116</v>
      </c>
      <c r="C21" t="s">
        <v>159</v>
      </c>
      <c r="D21" s="3">
        <v>1</v>
      </c>
      <c r="E21" s="1">
        <v>0.5</v>
      </c>
    </row>
    <row r="22" spans="1:5">
      <c r="A22" t="s">
        <v>58</v>
      </c>
      <c r="B22" s="6" t="s">
        <v>117</v>
      </c>
      <c r="C22" t="s">
        <v>159</v>
      </c>
      <c r="D22" s="3">
        <v>2</v>
      </c>
      <c r="E22" s="1">
        <v>0</v>
      </c>
    </row>
    <row r="23" spans="1:5">
      <c r="A23" t="s">
        <v>59</v>
      </c>
      <c r="B23" s="6" t="s">
        <v>118</v>
      </c>
      <c r="C23" t="s">
        <v>159</v>
      </c>
      <c r="D23" s="3">
        <v>1.5</v>
      </c>
      <c r="E23" s="1">
        <v>1</v>
      </c>
    </row>
    <row r="24" spans="1:5">
      <c r="A24" t="s">
        <v>60</v>
      </c>
      <c r="B24" s="6" t="s">
        <v>119</v>
      </c>
      <c r="C24" t="s">
        <v>159</v>
      </c>
      <c r="D24" s="3">
        <v>1.5</v>
      </c>
      <c r="E24" s="1">
        <v>0.5</v>
      </c>
    </row>
    <row r="25" spans="1:5">
      <c r="A25" t="s">
        <v>61</v>
      </c>
      <c r="B25" s="6" t="s">
        <v>120</v>
      </c>
      <c r="C25" t="s">
        <v>157</v>
      </c>
      <c r="D25" s="3">
        <v>2</v>
      </c>
      <c r="E25" s="1">
        <v>0.6</v>
      </c>
    </row>
    <row r="26" spans="1:5">
      <c r="A26" t="s">
        <v>62</v>
      </c>
      <c r="B26" s="6" t="s">
        <v>121</v>
      </c>
      <c r="C26" t="s">
        <v>157</v>
      </c>
      <c r="D26" s="3">
        <v>1.5</v>
      </c>
      <c r="E26" s="1">
        <v>1</v>
      </c>
    </row>
    <row r="27" spans="1:5">
      <c r="A27" t="s">
        <v>63</v>
      </c>
      <c r="B27" s="6" t="s">
        <v>122</v>
      </c>
      <c r="C27" t="s">
        <v>157</v>
      </c>
      <c r="D27" s="3">
        <v>1.5</v>
      </c>
      <c r="E27" s="1">
        <v>1</v>
      </c>
    </row>
    <row r="28" spans="1:5">
      <c r="A28" t="s">
        <v>64</v>
      </c>
      <c r="B28" s="6" t="s">
        <v>123</v>
      </c>
      <c r="C28" t="s">
        <v>157</v>
      </c>
      <c r="D28" s="3">
        <v>2</v>
      </c>
      <c r="E28" s="1">
        <v>1</v>
      </c>
    </row>
    <row r="29" spans="1:5">
      <c r="A29" t="s">
        <v>65</v>
      </c>
      <c r="B29" s="6" t="s">
        <v>124</v>
      </c>
      <c r="C29" t="s">
        <v>157</v>
      </c>
      <c r="D29" s="3">
        <v>2.2000000000000002</v>
      </c>
      <c r="E29" s="1">
        <v>1.5</v>
      </c>
    </row>
    <row r="30" spans="1:5">
      <c r="A30" t="s">
        <v>66</v>
      </c>
      <c r="B30" s="6" t="s">
        <v>125</v>
      </c>
      <c r="C30" t="s">
        <v>157</v>
      </c>
      <c r="D30" s="3">
        <v>0</v>
      </c>
      <c r="E30" s="1">
        <v>0</v>
      </c>
    </row>
    <row r="31" spans="1:5">
      <c r="A31" t="s">
        <v>67</v>
      </c>
      <c r="B31" s="6" t="s">
        <v>126</v>
      </c>
      <c r="C31" t="s">
        <v>157</v>
      </c>
      <c r="D31" s="3">
        <v>4.5</v>
      </c>
      <c r="E31" s="1">
        <v>2</v>
      </c>
    </row>
    <row r="32" spans="1:5">
      <c r="A32" t="s">
        <v>68</v>
      </c>
      <c r="B32" s="6" t="s">
        <v>127</v>
      </c>
      <c r="C32" t="s">
        <v>157</v>
      </c>
      <c r="D32" s="3">
        <v>2.5</v>
      </c>
      <c r="E32" s="1">
        <v>1.5</v>
      </c>
    </row>
    <row r="33" spans="1:5" ht="15" customHeight="1">
      <c r="A33" t="s">
        <v>69</v>
      </c>
      <c r="B33" s="6" t="s">
        <v>128</v>
      </c>
      <c r="C33" t="s">
        <v>157</v>
      </c>
      <c r="D33" s="3">
        <v>3</v>
      </c>
      <c r="E33" s="1">
        <v>2</v>
      </c>
    </row>
    <row r="34" spans="1:5" ht="15" customHeight="1">
      <c r="A34" t="s">
        <v>70</v>
      </c>
      <c r="B34" s="6" t="s">
        <v>129</v>
      </c>
      <c r="C34" t="s">
        <v>157</v>
      </c>
      <c r="D34" s="3">
        <v>5.5</v>
      </c>
      <c r="E34" s="1">
        <v>4</v>
      </c>
    </row>
    <row r="35" spans="1:5">
      <c r="A35" t="s">
        <v>71</v>
      </c>
      <c r="B35" s="6" t="s">
        <v>130</v>
      </c>
      <c r="C35" t="s">
        <v>157</v>
      </c>
      <c r="D35" s="3">
        <v>3.5</v>
      </c>
      <c r="E35" s="1">
        <v>2</v>
      </c>
    </row>
    <row r="36" spans="1:5">
      <c r="A36" t="s">
        <v>72</v>
      </c>
      <c r="B36" s="6" t="s">
        <v>131</v>
      </c>
      <c r="C36" t="s">
        <v>159</v>
      </c>
      <c r="D36" s="3">
        <v>1.3</v>
      </c>
      <c r="E36" s="1">
        <v>0.8</v>
      </c>
    </row>
    <row r="37" spans="1:5" ht="15" customHeight="1">
      <c r="A37" t="s">
        <v>73</v>
      </c>
      <c r="B37" s="7" t="s">
        <v>132</v>
      </c>
      <c r="C37" t="s">
        <v>159</v>
      </c>
      <c r="D37" s="3">
        <v>1.3</v>
      </c>
      <c r="E37" s="1">
        <v>0.8</v>
      </c>
    </row>
    <row r="38" spans="1:5">
      <c r="A38" t="s">
        <v>74</v>
      </c>
      <c r="B38" s="6" t="s">
        <v>133</v>
      </c>
      <c r="C38" t="s">
        <v>159</v>
      </c>
      <c r="D38" s="3">
        <v>1.3</v>
      </c>
      <c r="E38" s="1">
        <v>0.8</v>
      </c>
    </row>
    <row r="39" spans="1:5">
      <c r="A39" t="s">
        <v>75</v>
      </c>
      <c r="B39" s="6" t="s">
        <v>134</v>
      </c>
      <c r="C39" t="s">
        <v>157</v>
      </c>
      <c r="D39" s="3">
        <v>10</v>
      </c>
      <c r="E39" s="1">
        <v>7.5</v>
      </c>
    </row>
    <row r="40" spans="1:5">
      <c r="A40" t="s">
        <v>76</v>
      </c>
      <c r="B40" s="6" t="s">
        <v>135</v>
      </c>
      <c r="C40" t="s">
        <v>157</v>
      </c>
      <c r="D40" s="3">
        <v>2.2000000000000002</v>
      </c>
      <c r="E40" s="1">
        <v>1.2</v>
      </c>
    </row>
    <row r="41" spans="1:5">
      <c r="A41" t="s">
        <v>77</v>
      </c>
      <c r="B41" s="6" t="s">
        <v>136</v>
      </c>
      <c r="C41" t="s">
        <v>157</v>
      </c>
      <c r="D41" s="3">
        <v>1.8</v>
      </c>
      <c r="E41" s="1">
        <v>1.2</v>
      </c>
    </row>
    <row r="42" spans="1:5">
      <c r="A42" t="s">
        <v>78</v>
      </c>
      <c r="B42" s="6" t="s">
        <v>137</v>
      </c>
      <c r="C42" t="s">
        <v>157</v>
      </c>
      <c r="D42" s="3">
        <v>5.5</v>
      </c>
      <c r="E42" s="1">
        <v>3.5</v>
      </c>
    </row>
    <row r="43" spans="1:5">
      <c r="A43" t="s">
        <v>79</v>
      </c>
      <c r="B43" s="6" t="s">
        <v>138</v>
      </c>
      <c r="C43" t="s">
        <v>157</v>
      </c>
      <c r="D43" s="3">
        <v>2</v>
      </c>
      <c r="E43" s="1">
        <v>1.2</v>
      </c>
    </row>
    <row r="44" spans="1:5">
      <c r="A44" t="s">
        <v>80</v>
      </c>
      <c r="B44" s="6" t="s">
        <v>139</v>
      </c>
      <c r="C44" t="s">
        <v>157</v>
      </c>
      <c r="D44" s="3">
        <v>2.2999999999999998</v>
      </c>
      <c r="E44" s="1">
        <v>1.5</v>
      </c>
    </row>
    <row r="45" spans="1:5">
      <c r="A45" t="s">
        <v>81</v>
      </c>
      <c r="B45" s="6" t="s">
        <v>140</v>
      </c>
      <c r="C45" t="s">
        <v>157</v>
      </c>
      <c r="D45" s="3">
        <v>2.2000000000000002</v>
      </c>
      <c r="E45" s="1">
        <v>1.5</v>
      </c>
    </row>
    <row r="46" spans="1:5">
      <c r="A46" t="s">
        <v>82</v>
      </c>
      <c r="B46" s="6" t="s">
        <v>141</v>
      </c>
      <c r="C46" t="s">
        <v>157</v>
      </c>
      <c r="D46" s="3">
        <v>1.5</v>
      </c>
      <c r="E46" s="1">
        <v>1</v>
      </c>
    </row>
    <row r="47" spans="1:5">
      <c r="A47" t="s">
        <v>83</v>
      </c>
      <c r="B47" s="6" t="s">
        <v>142</v>
      </c>
      <c r="C47" t="s">
        <v>158</v>
      </c>
      <c r="D47" s="3">
        <v>1</v>
      </c>
      <c r="E47" s="1">
        <v>1</v>
      </c>
    </row>
    <row r="48" spans="1:5">
      <c r="A48" t="s">
        <v>84</v>
      </c>
      <c r="B48" s="6" t="s">
        <v>143</v>
      </c>
      <c r="C48" t="s">
        <v>157</v>
      </c>
      <c r="D48" s="3">
        <v>1.9</v>
      </c>
      <c r="E48" s="1">
        <v>1.3</v>
      </c>
    </row>
    <row r="49" spans="1:5">
      <c r="A49" t="s">
        <v>85</v>
      </c>
      <c r="B49" s="6" t="s">
        <v>144</v>
      </c>
      <c r="C49" t="s">
        <v>157</v>
      </c>
      <c r="D49" s="3">
        <v>7.5</v>
      </c>
      <c r="E49" s="1">
        <v>4.5</v>
      </c>
    </row>
    <row r="50" spans="1:5">
      <c r="A50" t="s">
        <v>86</v>
      </c>
      <c r="B50" s="6" t="s">
        <v>145</v>
      </c>
      <c r="C50" t="s">
        <v>157</v>
      </c>
      <c r="D50" s="3">
        <v>3</v>
      </c>
      <c r="E50" s="1">
        <v>2</v>
      </c>
    </row>
    <row r="51" spans="1:5">
      <c r="A51" t="s">
        <v>87</v>
      </c>
      <c r="B51" s="7" t="s">
        <v>146</v>
      </c>
      <c r="C51" t="s">
        <v>157</v>
      </c>
      <c r="D51" s="3">
        <v>1</v>
      </c>
      <c r="E51" s="1">
        <v>0.8</v>
      </c>
    </row>
    <row r="52" spans="1:5">
      <c r="A52" t="s">
        <v>88</v>
      </c>
      <c r="B52" s="7" t="s">
        <v>147</v>
      </c>
      <c r="C52" t="s">
        <v>157</v>
      </c>
      <c r="D52" s="3">
        <v>1</v>
      </c>
      <c r="E52" s="1">
        <v>0.8</v>
      </c>
    </row>
    <row r="53" spans="1:5">
      <c r="A53" t="s">
        <v>89</v>
      </c>
      <c r="B53" s="7" t="s">
        <v>148</v>
      </c>
      <c r="C53" t="s">
        <v>157</v>
      </c>
      <c r="D53" s="3">
        <v>2</v>
      </c>
      <c r="E53" s="1">
        <v>1.5</v>
      </c>
    </row>
    <row r="54" spans="1:5">
      <c r="A54" t="s">
        <v>90</v>
      </c>
      <c r="B54" s="6" t="s">
        <v>149</v>
      </c>
      <c r="C54" t="s">
        <v>158</v>
      </c>
      <c r="D54" s="3">
        <v>1.3</v>
      </c>
      <c r="E54" s="1">
        <v>1</v>
      </c>
    </row>
    <row r="55" spans="1:5">
      <c r="A55" t="s">
        <v>91</v>
      </c>
      <c r="B55" s="6" t="s">
        <v>150</v>
      </c>
      <c r="C55" t="s">
        <v>157</v>
      </c>
      <c r="D55" s="3">
        <v>1.8</v>
      </c>
      <c r="E55" s="1">
        <v>1</v>
      </c>
    </row>
    <row r="56" spans="1:5">
      <c r="A56" t="s">
        <v>92</v>
      </c>
      <c r="B56" s="6" t="s">
        <v>151</v>
      </c>
      <c r="C56" t="s">
        <v>158</v>
      </c>
      <c r="D56" s="3">
        <v>1.5</v>
      </c>
      <c r="E56" s="1">
        <v>1</v>
      </c>
    </row>
    <row r="57" spans="1:5">
      <c r="A57" t="s">
        <v>93</v>
      </c>
      <c r="B57" s="6" t="s">
        <v>152</v>
      </c>
      <c r="C57" t="s">
        <v>157</v>
      </c>
      <c r="D57" s="3">
        <v>2.8</v>
      </c>
      <c r="E57" s="1">
        <v>2</v>
      </c>
    </row>
    <row r="58" spans="1:5">
      <c r="A58" t="s">
        <v>94</v>
      </c>
      <c r="B58" s="6" t="s">
        <v>153</v>
      </c>
      <c r="C58" t="s">
        <v>157</v>
      </c>
      <c r="D58" s="3">
        <v>3.5</v>
      </c>
      <c r="E58" s="1">
        <v>2.5</v>
      </c>
    </row>
    <row r="59" spans="1:5">
      <c r="A59" t="s">
        <v>95</v>
      </c>
      <c r="B59" s="6" t="s">
        <v>154</v>
      </c>
      <c r="C59" t="s">
        <v>157</v>
      </c>
      <c r="D59" s="3">
        <v>5</v>
      </c>
      <c r="E59" s="1">
        <v>3.8</v>
      </c>
    </row>
    <row r="60" spans="1:5">
      <c r="A60" t="s">
        <v>96</v>
      </c>
      <c r="B60" s="6" t="s">
        <v>155</v>
      </c>
      <c r="C60" t="s">
        <v>157</v>
      </c>
      <c r="D60" s="3">
        <v>2.5</v>
      </c>
      <c r="E60" s="1">
        <v>2</v>
      </c>
    </row>
    <row r="61" spans="1:5">
      <c r="A61" t="s">
        <v>97</v>
      </c>
      <c r="B61" s="7" t="s">
        <v>156</v>
      </c>
      <c r="C61" t="s">
        <v>157</v>
      </c>
      <c r="D61" s="3">
        <v>3.5</v>
      </c>
      <c r="E61" s="1">
        <v>2.5</v>
      </c>
    </row>
    <row r="63" spans="1:5">
      <c r="D63" t="s">
        <v>357</v>
      </c>
    </row>
    <row r="64" spans="1:5">
      <c r="D64" t="s">
        <v>358</v>
      </c>
    </row>
    <row r="65" spans="4:4">
      <c r="D65" t="s">
        <v>359</v>
      </c>
    </row>
    <row r="66" spans="4:4">
      <c r="D66" t="s">
        <v>360</v>
      </c>
    </row>
  </sheetData>
  <pageMargins left="0.23622047244094491" right="0.23622047244094491" top="0.74803149606299213" bottom="0.74803149606299213" header="0.31496062992125984" footer="0.31496062992125984"/>
  <pageSetup paperSize="9" orientation="landscape" horizontalDpi="0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9" tint="0.39997558519241921"/>
  </sheetPr>
  <dimension ref="A1:L43"/>
  <sheetViews>
    <sheetView topLeftCell="A19" workbookViewId="0">
      <selection activeCell="A44" sqref="A44"/>
    </sheetView>
  </sheetViews>
  <sheetFormatPr baseColWidth="10" defaultRowHeight="14" x14ac:dyDescent="0"/>
  <cols>
    <col min="1" max="1" width="8.1640625" customWidth="1"/>
    <col min="2" max="2" width="7.6640625" customWidth="1"/>
    <col min="3" max="3" width="16.1640625" style="3" bestFit="1" customWidth="1"/>
    <col min="4" max="4" width="23" style="4" customWidth="1"/>
    <col min="5" max="5" width="10.83203125" style="4"/>
    <col min="6" max="6" width="24.1640625" style="4" bestFit="1" customWidth="1"/>
    <col min="7" max="7" width="19.83203125" style="4" customWidth="1"/>
    <col min="8" max="8" width="35.1640625" style="4" customWidth="1"/>
    <col min="9" max="9" width="8.5" style="1" bestFit="1" customWidth="1"/>
    <col min="10" max="10" width="31.33203125" style="4" customWidth="1"/>
    <col min="11" max="11" width="14.6640625" bestFit="1" customWidth="1"/>
    <col min="12" max="12" width="25.1640625" customWidth="1"/>
  </cols>
  <sheetData>
    <row r="1" spans="1:12" s="79" customFormat="1" ht="26" customHeight="1">
      <c r="A1" s="100" t="s">
        <v>36</v>
      </c>
      <c r="B1" s="100" t="s">
        <v>35</v>
      </c>
      <c r="C1" s="100" t="s">
        <v>245</v>
      </c>
      <c r="D1" s="100" t="s">
        <v>0</v>
      </c>
      <c r="E1" s="100" t="s">
        <v>1</v>
      </c>
      <c r="F1" s="100" t="s">
        <v>243</v>
      </c>
      <c r="G1" s="100" t="s">
        <v>237</v>
      </c>
      <c r="H1" s="100" t="s">
        <v>2</v>
      </c>
      <c r="I1" s="100" t="s">
        <v>3</v>
      </c>
      <c r="J1" s="100" t="s">
        <v>4</v>
      </c>
      <c r="K1" s="100" t="s">
        <v>186</v>
      </c>
      <c r="L1" s="100" t="s">
        <v>5</v>
      </c>
    </row>
    <row r="2" spans="1:12">
      <c r="A2" t="s">
        <v>204</v>
      </c>
      <c r="B2" t="s">
        <v>174</v>
      </c>
      <c r="C2" t="s">
        <v>238</v>
      </c>
      <c r="D2" t="s">
        <v>179</v>
      </c>
      <c r="E2"/>
      <c r="F2" t="str">
        <f>CONCATENATE(IF(Clients[[#This Row],[Forme]]="","",Clients[[#This Row],[Forme]]&amp;" "),Clients[[#This Row],[Nom]],IF(Clients[[#This Row],[Prénom]]="",""," "&amp;Clients[[#This Row],[Prénom]]))</f>
        <v>SARL Délices Gourmands</v>
      </c>
      <c r="G2"/>
      <c r="H2"/>
      <c r="I2"/>
      <c r="J2"/>
    </row>
    <row r="3" spans="1:12">
      <c r="A3" t="s">
        <v>205</v>
      </c>
      <c r="B3" t="s">
        <v>174</v>
      </c>
      <c r="C3" t="s">
        <v>176</v>
      </c>
      <c r="D3" t="s">
        <v>246</v>
      </c>
      <c r="E3"/>
      <c r="F3" t="str">
        <f>CONCATENATE(IF(Clients[[#This Row],[Forme]]="","",Clients[[#This Row],[Forme]]&amp;" "),Clients[[#This Row],[Nom]],IF(Clients[[#This Row],[Prénom]]="",""," "&amp;Clients[[#This Row],[Prénom]]))</f>
        <v>Collectivité du Morbihan</v>
      </c>
      <c r="G3" t="s">
        <v>244</v>
      </c>
      <c r="H3"/>
      <c r="I3"/>
      <c r="J3"/>
    </row>
    <row r="4" spans="1:12">
      <c r="A4" t="s">
        <v>206</v>
      </c>
      <c r="B4" t="s">
        <v>174</v>
      </c>
      <c r="C4" t="s">
        <v>175</v>
      </c>
      <c r="D4" t="s">
        <v>239</v>
      </c>
      <c r="E4"/>
      <c r="F4" t="str">
        <f>CONCATENATE(IF(Clients[[#This Row],[Forme]]="","",Clients[[#This Row],[Forme]]&amp;" "),Clients[[#This Row],[Nom]],IF(Clients[[#This Row],[Prénom]]="",""," "&amp;Clients[[#This Row],[Prénom]]))</f>
        <v>Association BLABLA</v>
      </c>
      <c r="G4"/>
      <c r="H4"/>
      <c r="I4"/>
      <c r="J4"/>
    </row>
    <row r="5" spans="1:12">
      <c r="A5" t="s">
        <v>207</v>
      </c>
      <c r="B5" t="s">
        <v>174</v>
      </c>
      <c r="C5" t="s">
        <v>247</v>
      </c>
      <c r="D5"/>
      <c r="E5"/>
      <c r="F5" t="str">
        <f>CONCATENATE(IF(Clients[[#This Row],[Forme]]="","",Clients[[#This Row],[Forme]]&amp;" "),Clients[[#This Row],[Nom]],IF(Clients[[#This Row],[Prénom]]="",""," "&amp;Clients[[#This Row],[Prénom]]))</f>
        <v xml:space="preserve">Comité d'Entreprise </v>
      </c>
      <c r="G5"/>
      <c r="H5"/>
      <c r="I5"/>
      <c r="J5"/>
    </row>
    <row r="6" spans="1:12">
      <c r="A6" t="s">
        <v>208</v>
      </c>
      <c r="B6" t="s">
        <v>174</v>
      </c>
      <c r="C6" t="s">
        <v>247</v>
      </c>
      <c r="D6"/>
      <c r="E6"/>
      <c r="F6" t="str">
        <f>CONCATENATE(IF(Clients[[#This Row],[Forme]]="","",Clients[[#This Row],[Forme]]&amp;" "),Clients[[#This Row],[Nom]],IF(Clients[[#This Row],[Prénom]]="",""," "&amp;Clients[[#This Row],[Prénom]]))</f>
        <v xml:space="preserve">Comité d'Entreprise </v>
      </c>
      <c r="G6"/>
      <c r="H6"/>
      <c r="I6"/>
      <c r="J6"/>
    </row>
    <row r="7" spans="1:12">
      <c r="A7" t="s">
        <v>209</v>
      </c>
      <c r="B7" t="s">
        <v>251</v>
      </c>
      <c r="C7" t="s">
        <v>248</v>
      </c>
      <c r="D7" t="s">
        <v>18</v>
      </c>
      <c r="E7"/>
      <c r="F7" t="str">
        <f>CONCATENATE(IF(Clients[[#This Row],[Forme]]="","",Clients[[#This Row],[Forme]]&amp;" "),Clients[[#This Row],[Nom]],IF(Clients[[#This Row],[Prénom]]="",""," "&amp;Clients[[#This Row],[Prénom]]))</f>
        <v>Monsieur BERIGAUD</v>
      </c>
      <c r="G7"/>
      <c r="H7"/>
      <c r="I7"/>
      <c r="J7"/>
    </row>
    <row r="8" spans="1:12">
      <c r="A8" t="s">
        <v>210</v>
      </c>
      <c r="B8" t="s">
        <v>251</v>
      </c>
      <c r="C8" t="s">
        <v>249</v>
      </c>
      <c r="D8" t="s">
        <v>31</v>
      </c>
      <c r="E8"/>
      <c r="F8" t="str">
        <f>CONCATENATE(IF(Clients[[#This Row],[Forme]]="","",Clients[[#This Row],[Forme]]&amp;" "),Clients[[#This Row],[Nom]],IF(Clients[[#This Row],[Prénom]]="",""," "&amp;Clients[[#This Row],[Prénom]]))</f>
        <v>Madame BERNARD</v>
      </c>
      <c r="G8"/>
      <c r="H8"/>
      <c r="I8"/>
      <c r="J8"/>
    </row>
    <row r="9" spans="1:12">
      <c r="A9" t="s">
        <v>211</v>
      </c>
      <c r="B9" t="s">
        <v>251</v>
      </c>
      <c r="C9" t="s">
        <v>248</v>
      </c>
      <c r="D9" t="s">
        <v>6</v>
      </c>
      <c r="E9"/>
      <c r="F9" t="str">
        <f>CONCATENATE(IF(Clients[[#This Row],[Forme]]="","",Clients[[#This Row],[Forme]]&amp;" "),Clients[[#This Row],[Nom]],IF(Clients[[#This Row],[Prénom]]="",""," "&amp;Clients[[#This Row],[Prénom]]))</f>
        <v>Monsieur CHARREAU</v>
      </c>
      <c r="G9"/>
      <c r="H9"/>
      <c r="I9"/>
      <c r="J9"/>
    </row>
    <row r="10" spans="1:12">
      <c r="A10" t="s">
        <v>212</v>
      </c>
      <c r="B10" t="s">
        <v>251</v>
      </c>
      <c r="C10" t="s">
        <v>248</v>
      </c>
      <c r="D10" t="s">
        <v>13</v>
      </c>
      <c r="E10"/>
      <c r="F10" t="str">
        <f>CONCATENATE(IF(Clients[[#This Row],[Forme]]="","",Clients[[#This Row],[Forme]]&amp;" "),Clients[[#This Row],[Nom]],IF(Clients[[#This Row],[Prénom]]="",""," "&amp;Clients[[#This Row],[Prénom]]))</f>
        <v>Monsieur CHEDOZEAU</v>
      </c>
      <c r="G10"/>
      <c r="H10"/>
      <c r="I10"/>
      <c r="J10"/>
    </row>
    <row r="11" spans="1:12">
      <c r="A11" t="s">
        <v>213</v>
      </c>
      <c r="B11" t="s">
        <v>251</v>
      </c>
      <c r="C11" t="s">
        <v>249</v>
      </c>
      <c r="D11" t="s">
        <v>22</v>
      </c>
      <c r="E11"/>
      <c r="F11" t="str">
        <f>CONCATENATE(IF(Clients[[#This Row],[Forme]]="","",Clients[[#This Row],[Forme]]&amp;" "),Clients[[#This Row],[Nom]],IF(Clients[[#This Row],[Prénom]]="",""," "&amp;Clients[[#This Row],[Prénom]]))</f>
        <v>Madame CORCY</v>
      </c>
      <c r="G11"/>
      <c r="H11"/>
      <c r="I11"/>
      <c r="J11"/>
    </row>
    <row r="12" spans="1:12">
      <c r="A12" t="s">
        <v>214</v>
      </c>
      <c r="B12" t="s">
        <v>251</v>
      </c>
      <c r="C12" t="s">
        <v>249</v>
      </c>
      <c r="D12" t="s">
        <v>22</v>
      </c>
      <c r="E12"/>
      <c r="F12" t="str">
        <f>CONCATENATE(IF(Clients[[#This Row],[Forme]]="","",Clients[[#This Row],[Forme]]&amp;" "),Clients[[#This Row],[Nom]],IF(Clients[[#This Row],[Prénom]]="",""," "&amp;Clients[[#This Row],[Prénom]]))</f>
        <v>Madame CORCY</v>
      </c>
      <c r="G12"/>
      <c r="H12"/>
      <c r="I12"/>
      <c r="J12"/>
    </row>
    <row r="13" spans="1:12">
      <c r="A13" t="s">
        <v>215</v>
      </c>
      <c r="B13" t="s">
        <v>251</v>
      </c>
      <c r="C13" t="s">
        <v>249</v>
      </c>
      <c r="D13" t="s">
        <v>11</v>
      </c>
      <c r="E13"/>
      <c r="F13" t="str">
        <f>CONCATENATE(IF(Clients[[#This Row],[Forme]]="","",Clients[[#This Row],[Forme]]&amp;" "),Clients[[#This Row],[Nom]],IF(Clients[[#This Row],[Prénom]]="",""," "&amp;Clients[[#This Row],[Prénom]]))</f>
        <v>Madame COURTIN</v>
      </c>
      <c r="G13"/>
      <c r="H13"/>
      <c r="I13"/>
      <c r="J13"/>
    </row>
    <row r="14" spans="1:12">
      <c r="A14" t="s">
        <v>216</v>
      </c>
      <c r="B14" t="s">
        <v>251</v>
      </c>
      <c r="C14" t="s">
        <v>249</v>
      </c>
      <c r="D14" t="s">
        <v>28</v>
      </c>
      <c r="E14"/>
      <c r="F14" t="str">
        <f>CONCATENATE(IF(Clients[[#This Row],[Forme]]="","",Clients[[#This Row],[Forme]]&amp;" "),Clients[[#This Row],[Nom]],IF(Clients[[#This Row],[Prénom]]="",""," "&amp;Clients[[#This Row],[Prénom]]))</f>
        <v>Madame DECELLE</v>
      </c>
      <c r="G14"/>
      <c r="H14"/>
      <c r="I14"/>
      <c r="J14"/>
    </row>
    <row r="15" spans="1:12">
      <c r="A15" t="s">
        <v>217</v>
      </c>
      <c r="B15" t="s">
        <v>251</v>
      </c>
      <c r="C15" t="s">
        <v>250</v>
      </c>
      <c r="D15" t="s">
        <v>10</v>
      </c>
      <c r="E15"/>
      <c r="F15" t="str">
        <f>CONCATENATE(IF(Clients[[#This Row],[Forme]]="","",Clients[[#This Row],[Forme]]&amp;" "),Clients[[#This Row],[Nom]],IF(Clients[[#This Row],[Prénom]]="",""," "&amp;Clients[[#This Row],[Prénom]]))</f>
        <v>DRAULT</v>
      </c>
      <c r="G15"/>
      <c r="H15"/>
      <c r="I15"/>
      <c r="J15"/>
    </row>
    <row r="16" spans="1:12">
      <c r="A16" t="s">
        <v>218</v>
      </c>
      <c r="B16" t="s">
        <v>251</v>
      </c>
      <c r="C16" t="s">
        <v>248</v>
      </c>
      <c r="D16" t="s">
        <v>19</v>
      </c>
      <c r="E16"/>
      <c r="F16" t="str">
        <f>CONCATENATE(IF(Clients[[#This Row],[Forme]]="","",Clients[[#This Row],[Forme]]&amp;" "),Clients[[#This Row],[Nom]],IF(Clients[[#This Row],[Prénom]]="",""," "&amp;Clients[[#This Row],[Prénom]]))</f>
        <v>Monsieur DUVERGER</v>
      </c>
      <c r="G16"/>
      <c r="H16"/>
      <c r="I16"/>
      <c r="J16"/>
    </row>
    <row r="17" spans="1:12">
      <c r="A17" t="s">
        <v>219</v>
      </c>
      <c r="B17" t="s">
        <v>251</v>
      </c>
      <c r="C17" t="s">
        <v>248</v>
      </c>
      <c r="D17" t="s">
        <v>7</v>
      </c>
      <c r="E17"/>
      <c r="F17" t="str">
        <f>CONCATENATE(IF(Clients[[#This Row],[Forme]]="","",Clients[[#This Row],[Forme]]&amp;" "),Clients[[#This Row],[Nom]],IF(Clients[[#This Row],[Prénom]]="",""," "&amp;Clients[[#This Row],[Prénom]]))</f>
        <v>Monsieur EL MARZOUKI</v>
      </c>
      <c r="G17"/>
      <c r="H17"/>
      <c r="I17"/>
      <c r="J17"/>
    </row>
    <row r="18" spans="1:12">
      <c r="A18" t="s">
        <v>220</v>
      </c>
      <c r="B18" t="s">
        <v>251</v>
      </c>
      <c r="C18" t="s">
        <v>248</v>
      </c>
      <c r="D18" t="s">
        <v>26</v>
      </c>
      <c r="E18"/>
      <c r="F18" t="str">
        <f>CONCATENATE(IF(Clients[[#This Row],[Forme]]="","",Clients[[#This Row],[Forme]]&amp;" "),Clients[[#This Row],[Nom]],IF(Clients[[#This Row],[Prénom]]="",""," "&amp;Clients[[#This Row],[Prénom]]))</f>
        <v>Monsieur GEAIS</v>
      </c>
      <c r="G18"/>
      <c r="H18"/>
      <c r="I18"/>
      <c r="J18"/>
    </row>
    <row r="19" spans="1:12">
      <c r="A19" t="s">
        <v>221</v>
      </c>
      <c r="B19" t="s">
        <v>251</v>
      </c>
      <c r="C19" t="s">
        <v>248</v>
      </c>
      <c r="D19" t="s">
        <v>17</v>
      </c>
      <c r="E19"/>
      <c r="F19" t="str">
        <f>CONCATENATE(IF(Clients[[#This Row],[Forme]]="","",Clients[[#This Row],[Forme]]&amp;" "),Clients[[#This Row],[Nom]],IF(Clients[[#This Row],[Prénom]]="",""," "&amp;Clients[[#This Row],[Prénom]]))</f>
        <v>Monsieur GUIGNARD</v>
      </c>
      <c r="G19"/>
      <c r="H19"/>
      <c r="I19"/>
      <c r="J19"/>
    </row>
    <row r="20" spans="1:12">
      <c r="A20" t="s">
        <v>222</v>
      </c>
      <c r="B20" t="s">
        <v>251</v>
      </c>
      <c r="C20" t="s">
        <v>249</v>
      </c>
      <c r="D20" t="s">
        <v>27</v>
      </c>
      <c r="E20"/>
      <c r="F20" t="str">
        <f>CONCATENATE(IF(Clients[[#This Row],[Forme]]="","",Clients[[#This Row],[Forme]]&amp;" "),Clients[[#This Row],[Nom]],IF(Clients[[#This Row],[Prénom]]="",""," "&amp;Clients[[#This Row],[Prénom]]))</f>
        <v>Madame HABLAL</v>
      </c>
      <c r="G20"/>
      <c r="H20"/>
      <c r="I20"/>
      <c r="J20"/>
    </row>
    <row r="21" spans="1:12">
      <c r="A21" t="s">
        <v>223</v>
      </c>
      <c r="B21" t="s">
        <v>251</v>
      </c>
      <c r="C21" t="s">
        <v>248</v>
      </c>
      <c r="D21" t="s">
        <v>12</v>
      </c>
      <c r="E21"/>
      <c r="F21" t="str">
        <f>CONCATENATE(IF(Clients[[#This Row],[Forme]]="","",Clients[[#This Row],[Forme]]&amp;" "),Clients[[#This Row],[Nom]],IF(Clients[[#This Row],[Prénom]]="",""," "&amp;Clients[[#This Row],[Prénom]]))</f>
        <v>Monsieur LEJEUNE</v>
      </c>
      <c r="G21"/>
      <c r="H21"/>
      <c r="I21"/>
      <c r="J21"/>
    </row>
    <row r="22" spans="1:12">
      <c r="A22" t="s">
        <v>224</v>
      </c>
      <c r="B22" t="s">
        <v>251</v>
      </c>
      <c r="C22" t="s">
        <v>249</v>
      </c>
      <c r="D22" t="s">
        <v>15</v>
      </c>
      <c r="E22"/>
      <c r="F22" t="str">
        <f>CONCATENATE(IF(Clients[[#This Row],[Forme]]="","",Clients[[#This Row],[Forme]]&amp;" "),Clients[[#This Row],[Nom]],IF(Clients[[#This Row],[Prénom]]="",""," "&amp;Clients[[#This Row],[Prénom]]))</f>
        <v>Madame MARIOLLES</v>
      </c>
      <c r="G22"/>
      <c r="H22"/>
      <c r="I22"/>
      <c r="J22"/>
    </row>
    <row r="23" spans="1:12">
      <c r="A23" t="s">
        <v>225</v>
      </c>
      <c r="B23" t="s">
        <v>251</v>
      </c>
      <c r="C23" t="s">
        <v>249</v>
      </c>
      <c r="D23" t="s">
        <v>30</v>
      </c>
      <c r="E23"/>
      <c r="F23" t="str">
        <f>CONCATENATE(IF(Clients[[#This Row],[Forme]]="","",Clients[[#This Row],[Forme]]&amp;" "),Clients[[#This Row],[Nom]],IF(Clients[[#This Row],[Prénom]]="",""," "&amp;Clients[[#This Row],[Prénom]]))</f>
        <v>Madame METAIS</v>
      </c>
      <c r="G23"/>
      <c r="H23"/>
      <c r="I23"/>
      <c r="J23"/>
    </row>
    <row r="24" spans="1:12">
      <c r="A24" t="s">
        <v>226</v>
      </c>
      <c r="B24" t="s">
        <v>251</v>
      </c>
      <c r="C24" t="s">
        <v>249</v>
      </c>
      <c r="D24" t="s">
        <v>16</v>
      </c>
      <c r="E24"/>
      <c r="F24" t="str">
        <f>CONCATENATE(IF(Clients[[#This Row],[Forme]]="","",Clients[[#This Row],[Forme]]&amp;" "),Clients[[#This Row],[Nom]],IF(Clients[[#This Row],[Prénom]]="",""," "&amp;Clients[[#This Row],[Prénom]]))</f>
        <v>Madame MOLLE</v>
      </c>
      <c r="G24"/>
      <c r="H24"/>
      <c r="I24"/>
      <c r="J24"/>
    </row>
    <row r="25" spans="1:12">
      <c r="A25" t="s">
        <v>227</v>
      </c>
      <c r="B25" t="s">
        <v>251</v>
      </c>
      <c r="C25" t="s">
        <v>249</v>
      </c>
      <c r="D25" t="s">
        <v>20</v>
      </c>
      <c r="E25"/>
      <c r="F25" t="str">
        <f>CONCATENATE(IF(Clients[[#This Row],[Forme]]="","",Clients[[#This Row],[Forme]]&amp;" "),Clients[[#This Row],[Nom]],IF(Clients[[#This Row],[Prénom]]="",""," "&amp;Clients[[#This Row],[Prénom]]))</f>
        <v>Madame MONIN</v>
      </c>
      <c r="G25"/>
      <c r="H25"/>
      <c r="I25"/>
      <c r="J25"/>
    </row>
    <row r="26" spans="1:12">
      <c r="A26" t="s">
        <v>228</v>
      </c>
      <c r="B26" t="s">
        <v>251</v>
      </c>
      <c r="C26" t="s">
        <v>248</v>
      </c>
      <c r="D26" t="s">
        <v>21</v>
      </c>
      <c r="E26"/>
      <c r="F26" t="str">
        <f>CONCATENATE(IF(Clients[[#This Row],[Forme]]="","",Clients[[#This Row],[Forme]]&amp;" "),Clients[[#This Row],[Nom]],IF(Clients[[#This Row],[Prénom]]="",""," "&amp;Clients[[#This Row],[Prénom]]))</f>
        <v>Monsieur MOUKO</v>
      </c>
      <c r="G26"/>
      <c r="H26"/>
      <c r="I26"/>
      <c r="J26"/>
    </row>
    <row r="27" spans="1:12">
      <c r="A27" t="s">
        <v>229</v>
      </c>
      <c r="B27" t="s">
        <v>251</v>
      </c>
      <c r="C27" t="s">
        <v>248</v>
      </c>
      <c r="D27" t="s">
        <v>25</v>
      </c>
      <c r="E27" t="s">
        <v>262</v>
      </c>
      <c r="F27" t="str">
        <f>CONCATENATE(IF(Clients[[#This Row],[Forme]]="","",Clients[[#This Row],[Forme]]&amp;" "),Clients[[#This Row],[Nom]],IF(Clients[[#This Row],[Prénom]]="",""," "&amp;Clients[[#This Row],[Prénom]]))</f>
        <v>Monsieur PHILIPPONNEAU Luc</v>
      </c>
      <c r="G27"/>
      <c r="H27" t="s">
        <v>263</v>
      </c>
      <c r="I27">
        <v>75001</v>
      </c>
      <c r="J27" t="s">
        <v>264</v>
      </c>
      <c r="K27" t="s">
        <v>265</v>
      </c>
      <c r="L27" t="s">
        <v>266</v>
      </c>
    </row>
    <row r="28" spans="1:12">
      <c r="A28" t="s">
        <v>230</v>
      </c>
      <c r="B28" t="s">
        <v>251</v>
      </c>
      <c r="C28" t="s">
        <v>248</v>
      </c>
      <c r="D28" t="s">
        <v>14</v>
      </c>
      <c r="E28"/>
      <c r="F28" t="str">
        <f>CONCATENATE(IF(Clients[[#This Row],[Forme]]="","",Clients[[#This Row],[Forme]]&amp;" "),Clients[[#This Row],[Nom]],IF(Clients[[#This Row],[Prénom]]="",""," "&amp;Clients[[#This Row],[Prénom]]))</f>
        <v>Monsieur PIAULT</v>
      </c>
      <c r="G28"/>
      <c r="H28"/>
      <c r="I28"/>
      <c r="J28"/>
    </row>
    <row r="29" spans="1:12">
      <c r="A29" t="s">
        <v>231</v>
      </c>
      <c r="B29" t="s">
        <v>251</v>
      </c>
      <c r="C29" t="s">
        <v>248</v>
      </c>
      <c r="D29" t="s">
        <v>9</v>
      </c>
      <c r="E29"/>
      <c r="F29" t="str">
        <f>CONCATENATE(IF(Clients[[#This Row],[Forme]]="","",Clients[[#This Row],[Forme]]&amp;" "),Clients[[#This Row],[Nom]],IF(Clients[[#This Row],[Prénom]]="",""," "&amp;Clients[[#This Row],[Prénom]]))</f>
        <v>Monsieur RANGIER</v>
      </c>
      <c r="G29"/>
      <c r="H29"/>
      <c r="I29"/>
      <c r="J29"/>
    </row>
    <row r="30" spans="1:12">
      <c r="A30" t="s">
        <v>232</v>
      </c>
      <c r="B30" t="s">
        <v>251</v>
      </c>
      <c r="C30" t="s">
        <v>249</v>
      </c>
      <c r="D30" t="s">
        <v>8</v>
      </c>
      <c r="E30"/>
      <c r="F30" t="str">
        <f>CONCATENATE(IF(Clients[[#This Row],[Forme]]="","",Clients[[#This Row],[Forme]]&amp;" "),Clients[[#This Row],[Nom]],IF(Clients[[#This Row],[Prénom]]="",""," "&amp;Clients[[#This Row],[Prénom]]))</f>
        <v>Madame REAU</v>
      </c>
      <c r="G30"/>
      <c r="H30"/>
      <c r="I30"/>
      <c r="J30"/>
    </row>
    <row r="31" spans="1:12">
      <c r="A31" t="s">
        <v>233</v>
      </c>
      <c r="B31" t="s">
        <v>251</v>
      </c>
      <c r="C31" t="s">
        <v>248</v>
      </c>
      <c r="D31" t="s">
        <v>29</v>
      </c>
      <c r="E31"/>
      <c r="F31" t="str">
        <f>CONCATENATE(IF(Clients[[#This Row],[Forme]]="","",Clients[[#This Row],[Forme]]&amp;" "),Clients[[#This Row],[Nom]],IF(Clients[[#This Row],[Prénom]]="",""," "&amp;Clients[[#This Row],[Prénom]]))</f>
        <v>Monsieur RIVIERE</v>
      </c>
      <c r="G31"/>
      <c r="H31"/>
      <c r="I31"/>
      <c r="J31"/>
    </row>
    <row r="32" spans="1:12">
      <c r="A32" t="s">
        <v>234</v>
      </c>
      <c r="B32" t="s">
        <v>251</v>
      </c>
      <c r="C32" t="s">
        <v>249</v>
      </c>
      <c r="D32" t="s">
        <v>23</v>
      </c>
      <c r="E32"/>
      <c r="F32" t="str">
        <f>CONCATENATE(IF(Clients[[#This Row],[Forme]]="","",Clients[[#This Row],[Forme]]&amp;" "),Clients[[#This Row],[Nom]],IF(Clients[[#This Row],[Prénom]]="",""," "&amp;Clients[[#This Row],[Prénom]]))</f>
        <v>Madame ROBIN</v>
      </c>
      <c r="G32"/>
      <c r="H32"/>
      <c r="I32"/>
      <c r="J32"/>
    </row>
    <row r="33" spans="1:12">
      <c r="A33" t="s">
        <v>235</v>
      </c>
      <c r="B33" t="s">
        <v>251</v>
      </c>
      <c r="C33" t="s">
        <v>249</v>
      </c>
      <c r="D33" t="s">
        <v>24</v>
      </c>
      <c r="E33"/>
      <c r="F33" t="str">
        <f>CONCATENATE(IF(Clients[[#This Row],[Forme]]="","",Clients[[#This Row],[Forme]]&amp;" "),Clients[[#This Row],[Nom]],IF(Clients[[#This Row],[Prénom]]="",""," "&amp;Clients[[#This Row],[Prénom]]))</f>
        <v>Madame SAVIGNY</v>
      </c>
      <c r="G33"/>
      <c r="H33"/>
      <c r="I33"/>
      <c r="J33"/>
    </row>
    <row r="34" spans="1:12">
      <c r="A34" t="s">
        <v>236</v>
      </c>
      <c r="B34" t="s">
        <v>251</v>
      </c>
      <c r="C34" s="2" t="s">
        <v>250</v>
      </c>
      <c r="D34" s="2" t="s">
        <v>240</v>
      </c>
      <c r="E34" s="2"/>
      <c r="F34" s="99" t="str">
        <f>CONCATENATE(IF(Clients[[#This Row],[Forme]]="","",Clients[[#This Row],[Forme]]&amp;" "),Clients[[#This Row],[Nom]],IF(Clients[[#This Row],[Prénom]]="",""," "&amp;Clients[[#This Row],[Prénom]]))</f>
        <v>CLIENT DE PASSAGE</v>
      </c>
      <c r="G34" s="99"/>
      <c r="H34" s="2" t="s">
        <v>241</v>
      </c>
      <c r="I34" s="2" t="s">
        <v>241</v>
      </c>
      <c r="J34" s="2" t="s">
        <v>241</v>
      </c>
      <c r="K34" s="2" t="s">
        <v>241</v>
      </c>
      <c r="L34" s="2" t="s">
        <v>241</v>
      </c>
    </row>
    <row r="36" spans="1:12">
      <c r="A36" t="s">
        <v>347</v>
      </c>
    </row>
    <row r="37" spans="1:12">
      <c r="A37" t="s">
        <v>348</v>
      </c>
    </row>
    <row r="38" spans="1:12">
      <c r="A38" t="s">
        <v>349</v>
      </c>
    </row>
    <row r="39" spans="1:12">
      <c r="A39" t="s">
        <v>350</v>
      </c>
    </row>
    <row r="40" spans="1:12">
      <c r="A40" t="s">
        <v>351</v>
      </c>
    </row>
    <row r="41" spans="1:12">
      <c r="A41" t="s">
        <v>352</v>
      </c>
    </row>
    <row r="42" spans="1:12">
      <c r="A42" t="s">
        <v>353</v>
      </c>
    </row>
    <row r="43" spans="1:12">
      <c r="A43" t="s">
        <v>354</v>
      </c>
    </row>
  </sheetData>
  <dataValidations count="1">
    <dataValidation type="list" allowBlank="1" showInputMessage="1" showErrorMessage="1" sqref="B2:B34">
      <formula1>"Pro,Part"</formula1>
    </dataValidation>
  </dataValidations>
  <pageMargins left="0.31496062992125984" right="0.31496062992125984" top="0.74803149606299213" bottom="0.74803149606299213" header="0.31496062992125984" footer="0.31496062992125984"/>
  <pageSetup paperSize="9" orientation="landscape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theme="5" tint="0.39997558519241921"/>
  </sheetPr>
  <dimension ref="A1:M55"/>
  <sheetViews>
    <sheetView zoomScale="110" zoomScaleNormal="110" zoomScalePageLayoutView="110" workbookViewId="0">
      <selection activeCell="J11" sqref="J11"/>
    </sheetView>
  </sheetViews>
  <sheetFormatPr baseColWidth="10" defaultRowHeight="12" x14ac:dyDescent="0"/>
  <cols>
    <col min="1" max="1" width="11.6640625" style="155" customWidth="1"/>
    <col min="2" max="4" width="14.83203125" style="155" customWidth="1"/>
    <col min="5" max="8" width="13.83203125" style="155" customWidth="1"/>
    <col min="9" max="9" width="14.33203125" style="151" customWidth="1"/>
    <col min="10" max="10" width="18.83203125" style="163" bestFit="1" customWidth="1"/>
    <col min="11" max="11" width="14.83203125" style="163" bestFit="1" customWidth="1"/>
    <col min="12" max="12" width="15" style="163" bestFit="1" customWidth="1"/>
    <col min="13" max="13" width="19.83203125" style="163" customWidth="1"/>
    <col min="14" max="16384" width="10.83203125" style="164"/>
  </cols>
  <sheetData>
    <row r="1" spans="1:13" s="158" customFormat="1" ht="13">
      <c r="A1" s="141"/>
      <c r="B1" s="141"/>
      <c r="C1" s="141"/>
      <c r="D1" s="141"/>
      <c r="E1" s="141"/>
      <c r="F1" s="141"/>
      <c r="G1" s="141"/>
      <c r="H1" s="141"/>
      <c r="I1" s="142"/>
      <c r="J1" s="157"/>
      <c r="K1" s="157"/>
      <c r="L1" s="157"/>
      <c r="M1" s="157"/>
    </row>
    <row r="2" spans="1:13" s="158" customFormat="1" ht="20.25" customHeight="1">
      <c r="A2" s="104" t="s">
        <v>203</v>
      </c>
      <c r="B2" s="104"/>
      <c r="C2" s="104"/>
      <c r="D2" s="141"/>
      <c r="E2" s="141"/>
      <c r="F2" s="102" t="s">
        <v>182</v>
      </c>
      <c r="G2" s="103">
        <v>20200004</v>
      </c>
      <c r="H2" s="143"/>
      <c r="I2" s="144" t="s">
        <v>261</v>
      </c>
      <c r="J2" s="157"/>
      <c r="K2" s="159"/>
      <c r="L2" s="159"/>
      <c r="M2" s="159"/>
    </row>
    <row r="3" spans="1:13" s="158" customFormat="1" ht="17">
      <c r="A3" s="104" t="s">
        <v>203</v>
      </c>
      <c r="B3" s="104"/>
      <c r="C3" s="104"/>
      <c r="D3" s="11"/>
      <c r="E3" s="11"/>
      <c r="F3" s="101"/>
      <c r="G3" s="101"/>
      <c r="H3" s="101"/>
      <c r="I3" s="12"/>
      <c r="J3" s="160"/>
      <c r="K3" s="160"/>
      <c r="L3" s="160"/>
      <c r="M3" s="159"/>
    </row>
    <row r="4" spans="1:13" s="158" customFormat="1" ht="13">
      <c r="A4" s="104" t="s">
        <v>203</v>
      </c>
      <c r="B4" s="104"/>
      <c r="C4" s="104"/>
      <c r="D4" s="141"/>
      <c r="E4" s="141"/>
      <c r="F4" s="141"/>
      <c r="G4" s="141"/>
      <c r="H4" s="141"/>
      <c r="I4" s="142"/>
      <c r="J4" s="157"/>
      <c r="K4" s="157"/>
      <c r="L4" s="157"/>
      <c r="M4" s="157"/>
    </row>
    <row r="5" spans="1:13" s="158" customFormat="1" ht="13">
      <c r="A5" s="104" t="s">
        <v>203</v>
      </c>
      <c r="B5" s="104"/>
      <c r="C5" s="104"/>
      <c r="D5" s="141"/>
      <c r="E5" s="141"/>
      <c r="F5" s="141"/>
      <c r="G5" s="141"/>
      <c r="H5" s="141"/>
      <c r="I5" s="142"/>
      <c r="J5" s="172" t="s">
        <v>361</v>
      </c>
      <c r="K5" s="157"/>
      <c r="L5" s="157"/>
      <c r="M5" s="157"/>
    </row>
    <row r="6" spans="1:13" s="158" customFormat="1" ht="13">
      <c r="A6" s="104" t="s">
        <v>203</v>
      </c>
      <c r="B6" s="104"/>
      <c r="C6" s="104"/>
      <c r="D6" s="141"/>
      <c r="E6" s="141"/>
      <c r="F6" s="143"/>
      <c r="G6" s="83" t="s">
        <v>161</v>
      </c>
      <c r="H6" s="14">
        <f ca="1">NOW()</f>
        <v>44105.63235324074</v>
      </c>
      <c r="I6" s="98"/>
      <c r="J6" s="157"/>
      <c r="K6" s="157"/>
      <c r="L6" s="157"/>
      <c r="M6" s="157"/>
    </row>
    <row r="7" spans="1:13" s="158" customFormat="1" ht="13">
      <c r="A7" s="104" t="s">
        <v>203</v>
      </c>
      <c r="B7" s="104"/>
      <c r="C7" s="104"/>
      <c r="D7" s="141"/>
      <c r="E7" s="141"/>
      <c r="F7" s="141"/>
      <c r="G7" s="141"/>
      <c r="H7" s="141"/>
      <c r="I7" s="142"/>
      <c r="J7" s="157"/>
      <c r="K7" s="157"/>
      <c r="L7" s="157"/>
      <c r="M7" s="157"/>
    </row>
    <row r="8" spans="1:13" s="158" customFormat="1" ht="18" customHeight="1">
      <c r="A8" s="141"/>
      <c r="B8" s="141"/>
      <c r="C8" s="141"/>
      <c r="D8" s="141"/>
      <c r="E8" s="107"/>
      <c r="F8" s="145"/>
      <c r="G8" s="108"/>
      <c r="H8" s="109" t="s">
        <v>242</v>
      </c>
      <c r="I8" s="142"/>
      <c r="J8" s="157"/>
      <c r="K8" s="157"/>
      <c r="L8" s="157"/>
      <c r="M8" s="157"/>
    </row>
    <row r="9" spans="1:13" s="158" customFormat="1" ht="18" customHeight="1">
      <c r="A9" s="141"/>
      <c r="B9" s="141"/>
      <c r="C9" s="141"/>
      <c r="D9" s="141"/>
      <c r="E9" s="146"/>
      <c r="F9" s="105"/>
      <c r="G9" s="105"/>
      <c r="H9" s="106"/>
      <c r="I9" s="144" t="s">
        <v>260</v>
      </c>
      <c r="J9" s="157"/>
      <c r="K9" s="157"/>
      <c r="L9" s="157"/>
      <c r="M9" s="157"/>
    </row>
    <row r="10" spans="1:13" s="158" customFormat="1" ht="18" customHeight="1">
      <c r="A10" s="25" t="s">
        <v>165</v>
      </c>
      <c r="B10" s="82" t="e">
        <f>INDEX(Clients[Code client],MATCH(F_Dénomination,Clients[Dénomination],0))</f>
        <v>#N/A</v>
      </c>
      <c r="C10" s="141"/>
      <c r="D10" s="141"/>
      <c r="E10" s="146"/>
      <c r="F10" s="147"/>
      <c r="G10" s="147"/>
      <c r="H10" s="130" t="e">
        <f>INDEX(Clients[Contact],MATCH($H$9,Clients[Dénomination],0))</f>
        <v>#N/A</v>
      </c>
      <c r="I10" s="142"/>
      <c r="J10" s="157"/>
      <c r="K10" s="157"/>
      <c r="L10" s="157"/>
      <c r="M10" s="157"/>
    </row>
    <row r="11" spans="1:13" s="158" customFormat="1" ht="18" customHeight="1">
      <c r="A11" s="25" t="s">
        <v>193</v>
      </c>
      <c r="B11" s="140" t="e">
        <f>INDEX(Clients[Téléphone],MATCH(F_Dénomination,Clients[Dénomination],0))</f>
        <v>#N/A</v>
      </c>
      <c r="C11" s="141"/>
      <c r="D11" s="141"/>
      <c r="E11" s="146"/>
      <c r="F11" s="147"/>
      <c r="G11" s="147"/>
      <c r="H11" s="130" t="e">
        <f>INDEX(Clients[Adresse],MATCH($H$9,Clients[Dénomination],0))</f>
        <v>#N/A</v>
      </c>
      <c r="I11" s="142"/>
      <c r="J11" s="157"/>
      <c r="K11" s="157"/>
      <c r="L11" s="157"/>
      <c r="M11" s="157"/>
    </row>
    <row r="12" spans="1:13" s="158" customFormat="1" ht="18" customHeight="1">
      <c r="A12" s="25" t="s">
        <v>194</v>
      </c>
      <c r="B12" s="140" t="e">
        <f>INDEX(Clients[Mail],MATCH(F_Dénomination,Clients[Dénomination],0))</f>
        <v>#N/A</v>
      </c>
      <c r="C12" s="141"/>
      <c r="D12" s="141"/>
      <c r="E12" s="146"/>
      <c r="F12" s="148"/>
      <c r="G12" s="148"/>
      <c r="H12" s="131" t="e">
        <f>INDEX(Clients[CP],MATCH($H$9,Clients[Dénomination],0))&amp;" "&amp;INDEX(Clients[Ville],MATCH($H$9,Clients[Dénomination],0))</f>
        <v>#N/A</v>
      </c>
      <c r="I12" s="149"/>
      <c r="J12" s="157"/>
      <c r="K12" s="157"/>
      <c r="L12" s="157"/>
      <c r="M12" s="157"/>
    </row>
    <row r="13" spans="1:13" s="158" customFormat="1" ht="18" customHeight="1">
      <c r="A13" s="143"/>
      <c r="B13" s="143"/>
      <c r="C13" s="141"/>
      <c r="D13" s="141"/>
      <c r="E13" s="141"/>
      <c r="F13" s="141"/>
      <c r="G13" s="150"/>
      <c r="H13" s="14"/>
      <c r="I13" s="142"/>
      <c r="J13" s="157"/>
      <c r="K13" s="157"/>
      <c r="L13" s="161"/>
      <c r="M13" s="16"/>
    </row>
    <row r="14" spans="1:13" s="162" customFormat="1" ht="25" customHeight="1">
      <c r="A14" s="123" t="s">
        <v>170</v>
      </c>
      <c r="B14" s="125" t="s">
        <v>255</v>
      </c>
      <c r="C14" s="124" t="s">
        <v>32</v>
      </c>
      <c r="D14" s="119" t="s">
        <v>33</v>
      </c>
      <c r="E14" s="112" t="s">
        <v>37</v>
      </c>
      <c r="F14" s="113" t="s">
        <v>160</v>
      </c>
      <c r="G14" s="113" t="s">
        <v>254</v>
      </c>
      <c r="H14" s="111" t="s">
        <v>162</v>
      </c>
      <c r="I14" s="87"/>
      <c r="J14" s="156" t="s">
        <v>346</v>
      </c>
      <c r="K14" s="156"/>
      <c r="L14" s="156"/>
      <c r="M14" s="156"/>
    </row>
    <row r="15" spans="1:13" s="162" customFormat="1" ht="15" customHeight="1">
      <c r="A15" s="121" t="str">
        <f>IFERROR(INDEX(Articles[Réf],MATCH(F_Corps[[#This Row],[Produits]],Articles[Légumes],0)),"")</f>
        <v/>
      </c>
      <c r="B15" s="24"/>
      <c r="C15" s="61"/>
      <c r="D15" s="62"/>
      <c r="E15" s="128" t="str">
        <f>IFERROR(INDEX(Articles[U/V],MATCH(F_Corps[[#This Row],[Produits]],Articles[Légumes],0)),"")</f>
        <v/>
      </c>
      <c r="F15" s="18"/>
      <c r="G15" s="19" t="str">
        <f ca="1">IFERROR(INDEX(INDIRECT("Articles[Prix "&amp;INDEX(Clients[Statut],MATCH(F_Dénomination,Clients[Dénomination],0))&amp;"]"),MATCH($B15,Articles[Légumes],0)),"")</f>
        <v/>
      </c>
      <c r="H15" s="110" t="str">
        <f ca="1">IFERROR(F_Corps[[#This Row],[Qté]]*F_Corps[[#This Row],[Prix]],"")</f>
        <v/>
      </c>
      <c r="I15" s="87"/>
      <c r="J15" s="156" t="s">
        <v>308</v>
      </c>
      <c r="K15" s="156" t="s">
        <v>309</v>
      </c>
      <c r="L15" s="156" t="s">
        <v>337</v>
      </c>
      <c r="M15" s="156"/>
    </row>
    <row r="16" spans="1:13" s="162" customFormat="1" ht="15" customHeight="1">
      <c r="A16" s="121" t="str">
        <f>IFERROR(INDEX(Articles[Réf],MATCH(F_Corps[[#This Row],[Produits]],Articles[Légumes],0)),"")</f>
        <v/>
      </c>
      <c r="B16" s="24"/>
      <c r="C16" s="61"/>
      <c r="D16" s="62"/>
      <c r="E16" s="128" t="str">
        <f>IFERROR(INDEX(Articles[U/V],MATCH(F_Corps[[#This Row],[Produits]],Articles[Légumes],0)),"")</f>
        <v/>
      </c>
      <c r="F16" s="18"/>
      <c r="G16" s="19" t="str">
        <f ca="1">IFERROR(INDEX(INDIRECT("Articles[Prix "&amp;INDEX(Clients[Statut],MATCH(F_Dénomination,Clients[Dénomination],0))&amp;"]"),MATCH($B16,Articles[Légumes],0)),"")</f>
        <v/>
      </c>
      <c r="H16" s="110" t="str">
        <f ca="1">IFERROR(F_Corps[[#This Row],[Qté]]*F_Corps[[#This Row],[Prix]],"")</f>
        <v/>
      </c>
      <c r="I16" s="43"/>
      <c r="J16" s="156" t="s">
        <v>310</v>
      </c>
      <c r="K16" s="156" t="s">
        <v>311</v>
      </c>
      <c r="L16" s="156" t="s">
        <v>338</v>
      </c>
      <c r="M16" s="156"/>
    </row>
    <row r="17" spans="1:13" s="162" customFormat="1" ht="15" customHeight="1">
      <c r="A17" s="121" t="str">
        <f>IFERROR(INDEX(Articles[Réf],MATCH(F_Corps[[#This Row],[Produits]],Articles[Légumes],0)),"")</f>
        <v/>
      </c>
      <c r="B17" s="24"/>
      <c r="C17" s="61"/>
      <c r="D17" s="62"/>
      <c r="E17" s="128" t="str">
        <f>IFERROR(INDEX(Articles[U/V],MATCH(F_Corps[[#This Row],[Produits]],Articles[Légumes],0)),"")</f>
        <v/>
      </c>
      <c r="F17" s="18"/>
      <c r="G17" s="19" t="str">
        <f ca="1">IFERROR(INDEX(INDIRECT("Articles[Prix "&amp;INDEX(Clients[Statut],MATCH(F_Dénomination,Clients[Dénomination],0))&amp;"]"),MATCH($B17,Articles[Légumes],0)),"")</f>
        <v/>
      </c>
      <c r="H17" s="110" t="str">
        <f ca="1">IFERROR(F_Corps[[#This Row],[Qté]]*F_Corps[[#This Row],[Prix]],"")</f>
        <v/>
      </c>
      <c r="I17" s="43"/>
      <c r="J17" s="156" t="s">
        <v>312</v>
      </c>
      <c r="K17" s="156" t="s">
        <v>313</v>
      </c>
      <c r="L17" s="156" t="s">
        <v>339</v>
      </c>
      <c r="M17" s="156"/>
    </row>
    <row r="18" spans="1:13" s="162" customFormat="1" ht="15" customHeight="1">
      <c r="A18" s="121" t="str">
        <f>IFERROR(INDEX(Articles[Réf],MATCH(F_Corps[[#This Row],[Produits]],Articles[Légumes],0)),"")</f>
        <v/>
      </c>
      <c r="B18" s="24"/>
      <c r="C18" s="61"/>
      <c r="D18" s="62"/>
      <c r="E18" s="128" t="str">
        <f>IFERROR(INDEX(Articles[U/V],MATCH(F_Corps[[#This Row],[Produits]],Articles[Légumes],0)),"")</f>
        <v/>
      </c>
      <c r="F18" s="18"/>
      <c r="G18" s="19" t="str">
        <f ca="1">IFERROR(INDEX(INDIRECT("Articles[Prix "&amp;INDEX(Clients[Statut],MATCH(F_Dénomination,Clients[Dénomination],0))&amp;"]"),MATCH($B18,Articles[Légumes],0)),"")</f>
        <v/>
      </c>
      <c r="H18" s="110" t="str">
        <f ca="1">IFERROR(F_Corps[[#This Row],[Qté]]*F_Corps[[#This Row],[Prix]],"")</f>
        <v/>
      </c>
      <c r="I18" s="43"/>
      <c r="J18" s="156" t="s">
        <v>314</v>
      </c>
      <c r="K18" s="156" t="s">
        <v>315</v>
      </c>
      <c r="L18" s="156" t="s">
        <v>340</v>
      </c>
      <c r="M18" s="156"/>
    </row>
    <row r="19" spans="1:13" s="162" customFormat="1" ht="15" customHeight="1">
      <c r="A19" s="121" t="str">
        <f>IFERROR(INDEX(Articles[Réf],MATCH(F_Corps[[#This Row],[Produits]],Articles[Légumes],0)),"")</f>
        <v/>
      </c>
      <c r="B19" s="24"/>
      <c r="C19" s="61"/>
      <c r="D19" s="62"/>
      <c r="E19" s="128" t="str">
        <f>IFERROR(INDEX(Articles[U/V],MATCH(F_Corps[[#This Row],[Produits]],Articles[Légumes],0)),"")</f>
        <v/>
      </c>
      <c r="F19" s="18"/>
      <c r="G19" s="19" t="str">
        <f ca="1">IFERROR(INDEX(INDIRECT("Articles[Prix "&amp;INDEX(Clients[Statut],MATCH(F_Dénomination,Clients[Dénomination],0))&amp;"]"),MATCH($B19,Articles[Légumes],0)),"")</f>
        <v/>
      </c>
      <c r="H19" s="110" t="str">
        <f ca="1">IFERROR(F_Corps[[#This Row],[Qté]]*F_Corps[[#This Row],[Prix]],"")</f>
        <v/>
      </c>
      <c r="I19" s="87"/>
      <c r="J19" s="156" t="s">
        <v>316</v>
      </c>
      <c r="K19" s="156" t="s">
        <v>317</v>
      </c>
      <c r="L19" s="156"/>
      <c r="M19" s="156"/>
    </row>
    <row r="20" spans="1:13" s="162" customFormat="1" ht="15" customHeight="1">
      <c r="A20" s="121" t="str">
        <f>IFERROR(INDEX(Articles[Réf],MATCH(F_Corps[[#This Row],[Produits]],Articles[Légumes],0)),"")</f>
        <v/>
      </c>
      <c r="B20" s="24"/>
      <c r="C20" s="61"/>
      <c r="D20" s="62"/>
      <c r="E20" s="128" t="str">
        <f>IFERROR(INDEX(Articles[U/V],MATCH(F_Corps[[#This Row],[Produits]],Articles[Légumes],0)),"")</f>
        <v/>
      </c>
      <c r="F20" s="18"/>
      <c r="G20" s="19" t="str">
        <f ca="1">IFERROR(INDEX(INDIRECT("Articles[Prix "&amp;INDEX(Clients[Statut],MATCH(F_Dénomination,Clients[Dénomination],0))&amp;"]"),MATCH($B20,Articles[Légumes],0)),"")</f>
        <v/>
      </c>
      <c r="H20" s="110" t="str">
        <f ca="1">IFERROR(F_Corps[[#This Row],[Qté]]*F_Corps[[#This Row],[Prix]],"")</f>
        <v/>
      </c>
      <c r="I20" s="87"/>
      <c r="J20" s="156" t="s">
        <v>318</v>
      </c>
      <c r="K20" s="156" t="s">
        <v>319</v>
      </c>
      <c r="L20" s="156"/>
      <c r="M20" s="156"/>
    </row>
    <row r="21" spans="1:13" s="162" customFormat="1" ht="15" customHeight="1">
      <c r="A21" s="121" t="str">
        <f>IFERROR(INDEX(Articles[Réf],MATCH(F_Corps[[#This Row],[Produits]],Articles[Légumes],0)),"")</f>
        <v/>
      </c>
      <c r="B21" s="24"/>
      <c r="C21" s="61"/>
      <c r="D21" s="62"/>
      <c r="E21" s="128" t="str">
        <f>IFERROR(INDEX(Articles[U/V],MATCH(F_Corps[[#This Row],[Produits]],Articles[Légumes],0)),"")</f>
        <v/>
      </c>
      <c r="F21" s="18"/>
      <c r="G21" s="19" t="str">
        <f ca="1">IFERROR(INDEX(INDIRECT("Articles[Prix "&amp;INDEX(Clients[Statut],MATCH(F_Dénomination,Clients[Dénomination],0))&amp;"]"),MATCH($B21,Articles[Légumes],0)),"")</f>
        <v/>
      </c>
      <c r="H21" s="110" t="str">
        <f ca="1">IFERROR(F_Corps[[#This Row],[Qté]]*F_Corps[[#This Row],[Prix]],"")</f>
        <v/>
      </c>
      <c r="I21" s="41"/>
      <c r="J21" s="156" t="s">
        <v>321</v>
      </c>
      <c r="K21" s="156" t="s">
        <v>320</v>
      </c>
      <c r="L21" s="156" t="s">
        <v>341</v>
      </c>
      <c r="M21" s="156"/>
    </row>
    <row r="22" spans="1:13" s="162" customFormat="1" ht="15" customHeight="1">
      <c r="A22" s="121" t="str">
        <f>IFERROR(INDEX(Articles[Réf],MATCH(F_Corps[[#This Row],[Produits]],Articles[Légumes],0)),"")</f>
        <v/>
      </c>
      <c r="B22" s="24"/>
      <c r="C22" s="61"/>
      <c r="D22" s="62"/>
      <c r="E22" s="128" t="str">
        <f>IFERROR(INDEX(Articles[U/V],MATCH(F_Corps[[#This Row],[Produits]],Articles[Légumes],0)),"")</f>
        <v/>
      </c>
      <c r="F22" s="18"/>
      <c r="G22" s="19" t="str">
        <f ca="1">IFERROR(INDEX(INDIRECT("Articles[Prix "&amp;INDEX(Clients[Statut],MATCH(F_Dénomination,Clients[Dénomination],0))&amp;"]"),MATCH($B22,Articles[Légumes],0)),"")</f>
        <v/>
      </c>
      <c r="H22" s="110" t="str">
        <f ca="1">IFERROR(F_Corps[[#This Row],[Qté]]*F_Corps[[#This Row],[Prix]],"")</f>
        <v/>
      </c>
      <c r="I22" s="41"/>
      <c r="J22" s="156" t="s">
        <v>322</v>
      </c>
      <c r="K22" s="156" t="s">
        <v>325</v>
      </c>
      <c r="L22" s="156" t="s">
        <v>326</v>
      </c>
      <c r="M22" s="156"/>
    </row>
    <row r="23" spans="1:13" s="162" customFormat="1" ht="15" customHeight="1">
      <c r="A23" s="121" t="str">
        <f>IFERROR(INDEX(Articles[Réf],MATCH(F_Corps[[#This Row],[Produits]],Articles[Légumes],0)),"")</f>
        <v/>
      </c>
      <c r="B23" s="24"/>
      <c r="C23" s="61"/>
      <c r="D23" s="62"/>
      <c r="E23" s="128" t="str">
        <f>IFERROR(INDEX(Articles[U/V],MATCH(F_Corps[[#This Row],[Produits]],Articles[Légumes],0)),"")</f>
        <v/>
      </c>
      <c r="F23" s="18"/>
      <c r="G23" s="19" t="str">
        <f ca="1">IFERROR(INDEX(INDIRECT("Articles[Prix "&amp;INDEX(Clients[Statut],MATCH(F_Dénomination,Clients[Dénomination],0))&amp;"]"),MATCH($B23,Articles[Légumes],0)),"")</f>
        <v/>
      </c>
      <c r="H23" s="110" t="str">
        <f ca="1">IFERROR(F_Corps[[#This Row],[Qté]]*F_Corps[[#This Row],[Prix]],"")</f>
        <v/>
      </c>
      <c r="I23" s="41"/>
      <c r="J23" s="156" t="s">
        <v>327</v>
      </c>
      <c r="K23" s="156" t="s">
        <v>323</v>
      </c>
      <c r="L23" s="156" t="s">
        <v>324</v>
      </c>
      <c r="M23" s="156"/>
    </row>
    <row r="24" spans="1:13" s="162" customFormat="1" ht="15" customHeight="1">
      <c r="A24" s="121" t="str">
        <f>IFERROR(INDEX(Articles[Réf],MATCH(F_Corps[[#This Row],[Produits]],Articles[Légumes],0)),"")</f>
        <v/>
      </c>
      <c r="B24" s="24"/>
      <c r="C24" s="61"/>
      <c r="D24" s="62"/>
      <c r="E24" s="128" t="str">
        <f>IFERROR(INDEX(Articles[U/V],MATCH(F_Corps[[#This Row],[Produits]],Articles[Légumes],0)),"")</f>
        <v/>
      </c>
      <c r="F24" s="18"/>
      <c r="G24" s="19" t="str">
        <f ca="1">IFERROR(INDEX(INDIRECT("Articles[Prix "&amp;INDEX(Clients[Statut],MATCH(F_Dénomination,Clients[Dénomination],0))&amp;"]"),MATCH($B24,Articles[Légumes],0)),"")</f>
        <v/>
      </c>
      <c r="H24" s="110" t="str">
        <f ca="1">IFERROR(F_Corps[[#This Row],[Qté]]*F_Corps[[#This Row],[Prix]],"")</f>
        <v/>
      </c>
      <c r="I24" s="41"/>
      <c r="J24" s="173" t="s">
        <v>328</v>
      </c>
      <c r="K24" s="173" t="s">
        <v>305</v>
      </c>
      <c r="L24" s="173" t="s">
        <v>183</v>
      </c>
      <c r="M24" s="173" t="s">
        <v>329</v>
      </c>
    </row>
    <row r="25" spans="1:13" s="162" customFormat="1" ht="15" customHeight="1">
      <c r="A25" s="121" t="str">
        <f>IFERROR(INDEX(Articles[Réf],MATCH(F_Corps[[#This Row],[Produits]],Articles[Légumes],0)),"")</f>
        <v/>
      </c>
      <c r="B25" s="24"/>
      <c r="C25" s="61"/>
      <c r="D25" s="62"/>
      <c r="E25" s="128" t="str">
        <f>IFERROR(INDEX(Articles[U/V],MATCH(F_Corps[[#This Row],[Produits]],Articles[Légumes],0)),"")</f>
        <v/>
      </c>
      <c r="F25" s="18"/>
      <c r="G25" s="19" t="str">
        <f ca="1">IFERROR(INDEX(INDIRECT("Articles[Prix "&amp;INDEX(Clients[Statut],MATCH(F_Dénomination,Clients[Dénomination],0))&amp;"]"),MATCH($B25,Articles[Légumes],0)),"")</f>
        <v/>
      </c>
      <c r="H25" s="110" t="str">
        <f ca="1">IFERROR(F_Corps[[#This Row],[Qté]]*F_Corps[[#This Row],[Prix]],"")</f>
        <v/>
      </c>
      <c r="I25" s="87"/>
      <c r="J25" s="156"/>
      <c r="K25" s="156"/>
      <c r="L25" s="156"/>
      <c r="M25" s="156"/>
    </row>
    <row r="26" spans="1:13" s="162" customFormat="1" ht="15" customHeight="1">
      <c r="A26" s="121" t="str">
        <f>IFERROR(INDEX(Articles[Réf],MATCH(F_Corps[[#This Row],[Produits]],Articles[Légumes],0)),"")</f>
        <v/>
      </c>
      <c r="B26" s="24"/>
      <c r="C26" s="61"/>
      <c r="D26" s="62"/>
      <c r="E26" s="128" t="str">
        <f>IFERROR(INDEX(Articles[U/V],MATCH(F_Corps[[#This Row],[Produits]],Articles[Légumes],0)),"")</f>
        <v/>
      </c>
      <c r="F26" s="18"/>
      <c r="G26" s="19" t="str">
        <f ca="1">IFERROR(INDEX(INDIRECT("Articles[Prix "&amp;INDEX(Clients[Statut],MATCH(F_Dénomination,Clients[Dénomination],0))&amp;"]"),MATCH($B26,Articles[Légumes],0)),"")</f>
        <v/>
      </c>
      <c r="H26" s="110" t="str">
        <f ca="1">IFERROR(F_Corps[[#This Row],[Qté]]*F_Corps[[#This Row],[Prix]],"")</f>
        <v/>
      </c>
      <c r="I26" s="87"/>
      <c r="J26" s="156"/>
      <c r="K26" s="156"/>
      <c r="L26" s="156"/>
      <c r="M26" s="156"/>
    </row>
    <row r="27" spans="1:13" s="162" customFormat="1" ht="15" customHeight="1">
      <c r="A27" s="121" t="str">
        <f>IFERROR(INDEX(Articles[Réf],MATCH(F_Corps[[#This Row],[Produits]],Articles[Légumes],0)),"")</f>
        <v/>
      </c>
      <c r="B27" s="24"/>
      <c r="C27" s="61"/>
      <c r="D27" s="62"/>
      <c r="E27" s="128" t="str">
        <f>IFERROR(INDEX(Articles[U/V],MATCH(F_Corps[[#This Row],[Produits]],Articles[Légumes],0)),"")</f>
        <v/>
      </c>
      <c r="F27" s="18"/>
      <c r="G27" s="19" t="str">
        <f ca="1">IFERROR(INDEX(INDIRECT("Articles[Prix "&amp;INDEX(Clients[Statut],MATCH(F_Dénomination,Clients[Dénomination],0))&amp;"]"),MATCH($B27,Articles[Légumes],0)),"")</f>
        <v/>
      </c>
      <c r="H27" s="110" t="str">
        <f ca="1">IFERROR(F_Corps[[#This Row],[Qté]]*F_Corps[[#This Row],[Prix]],"")</f>
        <v/>
      </c>
      <c r="I27" s="87"/>
      <c r="J27" s="156"/>
      <c r="K27" s="156"/>
      <c r="L27" s="156"/>
      <c r="M27" s="156"/>
    </row>
    <row r="28" spans="1:13" s="162" customFormat="1" ht="15" customHeight="1">
      <c r="A28" s="121" t="str">
        <f>IFERROR(INDEX(Articles[Réf],MATCH(F_Corps[[#This Row],[Produits]],Articles[Légumes],0)),"")</f>
        <v/>
      </c>
      <c r="B28" s="24"/>
      <c r="C28" s="61"/>
      <c r="D28" s="62"/>
      <c r="E28" s="128" t="str">
        <f>IFERROR(INDEX(Articles[U/V],MATCH(F_Corps[[#This Row],[Produits]],Articles[Légumes],0)),"")</f>
        <v/>
      </c>
      <c r="F28" s="18"/>
      <c r="G28" s="19" t="str">
        <f ca="1">IFERROR(INDEX(INDIRECT("Articles[Prix "&amp;INDEX(Clients[Statut],MATCH(F_Dénomination,Clients[Dénomination],0))&amp;"]"),MATCH($B28,Articles[Légumes],0)),"")</f>
        <v/>
      </c>
      <c r="H28" s="110" t="str">
        <f ca="1">IFERROR(F_Corps[[#This Row],[Qté]]*F_Corps[[#This Row],[Prix]],"")</f>
        <v/>
      </c>
      <c r="I28" s="87"/>
      <c r="J28" s="163"/>
      <c r="K28" s="157"/>
      <c r="L28" s="156"/>
      <c r="M28" s="156"/>
    </row>
    <row r="29" spans="1:13" s="162" customFormat="1" ht="15" customHeight="1">
      <c r="A29" s="121" t="str">
        <f>IFERROR(INDEX(Articles[Réf],MATCH(F_Corps[[#This Row],[Produits]],Articles[Légumes],0)),"")</f>
        <v/>
      </c>
      <c r="B29" s="24"/>
      <c r="C29" s="61"/>
      <c r="D29" s="62"/>
      <c r="E29" s="128" t="str">
        <f>IFERROR(INDEX(Articles[U/V],MATCH(F_Corps[[#This Row],[Produits]],Articles[Légumes],0)),"")</f>
        <v/>
      </c>
      <c r="F29" s="18"/>
      <c r="G29" s="19" t="str">
        <f ca="1">IFERROR(INDEX(INDIRECT("Articles[Prix "&amp;INDEX(Clients[Statut],MATCH(F_Dénomination,Clients[Dénomination],0))&amp;"]"),MATCH($B29,Articles[Légumes],0)),"")</f>
        <v/>
      </c>
      <c r="H29" s="110" t="str">
        <f ca="1">IFERROR(F_Corps[[#This Row],[Qté]]*F_Corps[[#This Row],[Prix]],"")</f>
        <v/>
      </c>
      <c r="I29" s="87"/>
      <c r="J29" s="90"/>
      <c r="K29" s="157"/>
      <c r="L29" s="156"/>
      <c r="M29" s="156"/>
    </row>
    <row r="30" spans="1:13" s="162" customFormat="1" ht="15" customHeight="1">
      <c r="A30" s="121" t="str">
        <f>IFERROR(INDEX(Articles[Réf],MATCH(F_Corps[[#This Row],[Produits]],Articles[Légumes],0)),"")</f>
        <v/>
      </c>
      <c r="B30" s="24"/>
      <c r="C30" s="61"/>
      <c r="D30" s="62"/>
      <c r="E30" s="128" t="str">
        <f>IFERROR(INDEX(Articles[U/V],MATCH(F_Corps[[#This Row],[Produits]],Articles[Légumes],0)),"")</f>
        <v/>
      </c>
      <c r="F30" s="18"/>
      <c r="G30" s="19" t="str">
        <f ca="1">IFERROR(INDEX(INDIRECT("Articles[Prix "&amp;INDEX(Clients[Statut],MATCH(F_Dénomination,Clients[Dénomination],0))&amp;"]"),MATCH($B30,Articles[Légumes],0)),"")</f>
        <v/>
      </c>
      <c r="H30" s="110" t="str">
        <f ca="1">IFERROR(F_Corps[[#This Row],[Qté]]*F_Corps[[#This Row],[Prix]],"")</f>
        <v/>
      </c>
      <c r="I30" s="87"/>
      <c r="J30" s="90"/>
      <c r="K30" s="157"/>
      <c r="L30" s="156"/>
      <c r="M30" s="156"/>
    </row>
    <row r="31" spans="1:13" s="162" customFormat="1" ht="15" customHeight="1">
      <c r="A31" s="121" t="str">
        <f>IFERROR(INDEX(Articles[Réf],MATCH(F_Corps[[#This Row],[Produits]],Articles[Légumes],0)),"")</f>
        <v/>
      </c>
      <c r="B31" s="24"/>
      <c r="C31" s="61"/>
      <c r="D31" s="62"/>
      <c r="E31" s="128" t="str">
        <f>IFERROR(INDEX(Articles[U/V],MATCH(F_Corps[[#This Row],[Produits]],Articles[Légumes],0)),"")</f>
        <v/>
      </c>
      <c r="F31" s="18"/>
      <c r="G31" s="19" t="str">
        <f ca="1">IFERROR(INDEX(INDIRECT("Articles[Prix "&amp;INDEX(Clients[Statut],MATCH(F_Dénomination,Clients[Dénomination],0))&amp;"]"),MATCH($B31,Articles[Légumes],0)),"")</f>
        <v/>
      </c>
      <c r="H31" s="110" t="str">
        <f ca="1">IFERROR(F_Corps[[#This Row],[Qté]]*F_Corps[[#This Row],[Prix]],"")</f>
        <v/>
      </c>
      <c r="I31" s="87"/>
      <c r="J31" s="90"/>
      <c r="K31" s="157"/>
      <c r="L31" s="156"/>
      <c r="M31" s="156"/>
    </row>
    <row r="32" spans="1:13" s="162" customFormat="1" ht="15" customHeight="1">
      <c r="A32" s="122" t="str">
        <f>IFERROR(INDEX(Articles[Réf],MATCH(F_Corps[[#This Row],[Produits]],Articles[Légumes],0)),"")</f>
        <v/>
      </c>
      <c r="B32" s="115"/>
      <c r="C32" s="114"/>
      <c r="D32" s="116"/>
      <c r="E32" s="129" t="str">
        <f>IFERROR(INDEX(Articles[U/V],MATCH(F_Corps[[#This Row],[Produits]],Articles[Légumes],0)),"")</f>
        <v/>
      </c>
      <c r="F32" s="117"/>
      <c r="G32" s="19" t="str">
        <f ca="1">IFERROR(INDEX(INDIRECT("Articles[Prix "&amp;INDEX(Clients[Statut],MATCH(F_Dénomination,Clients[Dénomination],0))&amp;"]"),MATCH($B32,Articles[Légumes],0)),"")</f>
        <v/>
      </c>
      <c r="H32" s="118" t="str">
        <f ca="1">IFERROR(F_Corps[[#This Row],[Qté]]*F_Corps[[#This Row],[Prix]],"")</f>
        <v/>
      </c>
      <c r="I32" s="87"/>
      <c r="J32" s="90"/>
      <c r="K32" s="157"/>
      <c r="L32" s="156"/>
      <c r="M32" s="156"/>
    </row>
    <row r="33" spans="1:13" s="158" customFormat="1" ht="15" customHeight="1">
      <c r="A33" s="143"/>
      <c r="B33" s="143"/>
      <c r="C33" s="143"/>
      <c r="D33" s="143"/>
      <c r="E33" s="143"/>
      <c r="F33" s="143"/>
      <c r="G33" s="143"/>
      <c r="H33" s="143"/>
      <c r="I33" s="151"/>
      <c r="J33" s="90"/>
      <c r="K33" s="157"/>
      <c r="L33" s="89"/>
      <c r="M33" s="89"/>
    </row>
    <row r="34" spans="1:13" s="158" customFormat="1" ht="15" customHeight="1">
      <c r="A34" s="152" t="s">
        <v>256</v>
      </c>
      <c r="B34" s="141"/>
      <c r="C34" s="141"/>
      <c r="D34" s="141"/>
      <c r="E34" s="141"/>
      <c r="F34" s="141"/>
      <c r="G34" s="137" t="s">
        <v>253</v>
      </c>
      <c r="H34" s="97">
        <f ca="1">SUM(F_Corps[Total])</f>
        <v>0</v>
      </c>
      <c r="I34" s="86"/>
      <c r="J34" s="157"/>
      <c r="K34" s="157"/>
      <c r="L34" s="91"/>
      <c r="M34" s="91"/>
    </row>
    <row r="35" spans="1:13" s="158" customFormat="1" ht="15" customHeight="1">
      <c r="A35" s="127" t="s">
        <v>257</v>
      </c>
      <c r="B35" s="153"/>
      <c r="C35" s="153"/>
      <c r="D35" s="153"/>
      <c r="E35" s="153"/>
      <c r="F35" s="153"/>
      <c r="G35" s="138" t="s">
        <v>306</v>
      </c>
      <c r="H35" s="135"/>
      <c r="I35" s="86"/>
      <c r="J35" s="157"/>
      <c r="K35" s="157"/>
      <c r="L35" s="91"/>
      <c r="M35" s="91"/>
    </row>
    <row r="36" spans="1:13" s="158" customFormat="1" ht="15" customHeight="1">
      <c r="A36" s="127" t="s">
        <v>258</v>
      </c>
      <c r="B36" s="153"/>
      <c r="C36" s="141"/>
      <c r="D36" s="141"/>
      <c r="E36" s="141"/>
      <c r="F36" s="141"/>
      <c r="G36" s="139" t="s">
        <v>307</v>
      </c>
      <c r="H36" s="136">
        <f ca="1">H34-H35</f>
        <v>0</v>
      </c>
      <c r="I36" s="86"/>
      <c r="J36" s="157"/>
      <c r="K36" s="157"/>
      <c r="L36" s="91"/>
      <c r="M36" s="91"/>
    </row>
    <row r="37" spans="1:13" s="158" customFormat="1" ht="15" customHeight="1">
      <c r="A37" s="127" t="s">
        <v>259</v>
      </c>
      <c r="B37" s="153"/>
      <c r="C37" s="141"/>
      <c r="D37" s="141"/>
      <c r="E37" s="141"/>
      <c r="F37" s="141"/>
      <c r="G37" s="33"/>
      <c r="H37" s="120" t="s">
        <v>252</v>
      </c>
      <c r="I37" s="86"/>
      <c r="J37" s="157"/>
      <c r="K37" s="157"/>
      <c r="L37" s="91"/>
      <c r="M37" s="91"/>
    </row>
    <row r="38" spans="1:13" s="158" customFormat="1" ht="15" customHeight="1">
      <c r="A38" s="127"/>
      <c r="B38" s="143"/>
      <c r="C38" s="141"/>
      <c r="D38" s="141"/>
      <c r="E38" s="141"/>
      <c r="F38" s="141"/>
      <c r="G38" s="33"/>
      <c r="H38" s="143"/>
      <c r="I38" s="86"/>
      <c r="J38" s="157"/>
      <c r="K38" s="157"/>
      <c r="L38" s="91"/>
      <c r="M38" s="91"/>
    </row>
    <row r="39" spans="1:13" s="158" customFormat="1" ht="15" customHeight="1">
      <c r="A39" s="48"/>
      <c r="B39" s="48"/>
      <c r="C39" s="48"/>
      <c r="D39" s="48"/>
      <c r="E39" s="141"/>
      <c r="F39" s="141"/>
      <c r="G39" s="141"/>
      <c r="H39" s="143"/>
      <c r="I39" s="154"/>
      <c r="J39" s="157"/>
      <c r="K39" s="157"/>
      <c r="L39" s="91"/>
      <c r="M39" s="91"/>
    </row>
    <row r="40" spans="1:13" s="158" customFormat="1" ht="15" customHeight="1">
      <c r="A40" s="85"/>
      <c r="B40" s="143"/>
      <c r="C40" s="85"/>
      <c r="D40" s="85"/>
      <c r="E40" s="141"/>
      <c r="F40" s="141"/>
      <c r="G40" s="141"/>
      <c r="H40" s="126" t="s">
        <v>164</v>
      </c>
      <c r="I40" s="154"/>
      <c r="J40" s="157"/>
      <c r="K40" s="157"/>
      <c r="L40" s="91"/>
      <c r="M40" s="91"/>
    </row>
    <row r="41" spans="1:13" s="158" customFormat="1" ht="15" customHeight="1">
      <c r="A41" s="85"/>
      <c r="B41" s="153" t="s">
        <v>178</v>
      </c>
      <c r="C41" s="85"/>
      <c r="D41" s="85"/>
      <c r="E41" s="141"/>
      <c r="F41" s="141"/>
      <c r="G41" s="141"/>
      <c r="H41" s="83" t="s">
        <v>163</v>
      </c>
      <c r="I41" s="154"/>
      <c r="J41" s="157"/>
      <c r="K41" s="157"/>
      <c r="L41" s="91"/>
      <c r="M41" s="91"/>
    </row>
    <row r="42" spans="1:13" s="158" customFormat="1" ht="15" customHeight="1">
      <c r="A42" s="143"/>
      <c r="B42" s="85"/>
      <c r="C42" s="85"/>
      <c r="D42" s="85"/>
      <c r="E42" s="141"/>
      <c r="F42" s="141"/>
      <c r="G42" s="141"/>
      <c r="H42" s="143"/>
      <c r="I42" s="154"/>
      <c r="J42" s="157"/>
      <c r="K42" s="157"/>
      <c r="L42" s="91"/>
      <c r="M42" s="91"/>
    </row>
    <row r="43" spans="1:13" s="158" customFormat="1" ht="13.5" customHeight="1">
      <c r="A43" s="143"/>
      <c r="B43" s="84"/>
      <c r="C43" s="84"/>
      <c r="D43" s="84"/>
      <c r="E43" s="141"/>
      <c r="F43" s="141"/>
      <c r="G43" s="141"/>
      <c r="H43" s="143"/>
      <c r="I43" s="142"/>
      <c r="J43" s="157"/>
      <c r="K43" s="157"/>
      <c r="L43" s="157"/>
      <c r="M43" s="157"/>
    </row>
    <row r="44" spans="1:13" s="158" customFormat="1" ht="13.5" customHeight="1">
      <c r="A44" s="80"/>
      <c r="B44" s="80"/>
      <c r="C44" s="80"/>
      <c r="D44" s="80"/>
      <c r="E44" s="46"/>
      <c r="F44" s="141"/>
      <c r="G44" s="141"/>
      <c r="H44" s="141"/>
      <c r="I44" s="142"/>
      <c r="J44" s="157"/>
      <c r="K44" s="157"/>
      <c r="L44" s="157"/>
      <c r="M44" s="157"/>
    </row>
    <row r="45" spans="1:13" ht="12.75" customHeight="1">
      <c r="A45" s="80"/>
      <c r="B45" s="80"/>
      <c r="C45" s="80"/>
      <c r="D45" s="80"/>
      <c r="E45" s="46"/>
      <c r="F45" s="141"/>
      <c r="G45" s="141"/>
      <c r="H45" s="141"/>
      <c r="I45" s="142"/>
      <c r="J45" s="157"/>
      <c r="K45" s="157"/>
      <c r="L45" s="157"/>
      <c r="M45" s="157"/>
    </row>
    <row r="46" spans="1:13" ht="15" customHeight="1">
      <c r="A46" s="80"/>
      <c r="B46" s="80"/>
      <c r="C46" s="80"/>
      <c r="D46" s="80"/>
      <c r="E46" s="46"/>
      <c r="F46" s="141"/>
      <c r="G46" s="141"/>
      <c r="H46" s="141"/>
      <c r="I46" s="142"/>
      <c r="J46" s="157"/>
      <c r="K46" s="157"/>
      <c r="L46" s="157"/>
      <c r="M46" s="157"/>
    </row>
    <row r="47" spans="1:13" ht="15" customHeight="1">
      <c r="A47" s="80"/>
      <c r="B47" s="80"/>
      <c r="C47" s="80"/>
      <c r="D47" s="80"/>
      <c r="E47" s="47"/>
      <c r="F47" s="141"/>
      <c r="G47" s="141"/>
      <c r="H47" s="141"/>
      <c r="I47" s="142"/>
      <c r="J47" s="157"/>
      <c r="K47" s="157"/>
      <c r="L47" s="157"/>
      <c r="M47" s="157"/>
    </row>
    <row r="48" spans="1:13" ht="15" customHeight="1">
      <c r="A48" s="77"/>
      <c r="B48" s="77"/>
      <c r="C48" s="77"/>
      <c r="D48" s="77"/>
      <c r="E48" s="141"/>
      <c r="F48" s="141"/>
      <c r="G48" s="141"/>
      <c r="H48" s="141"/>
      <c r="I48" s="142"/>
      <c r="J48" s="157"/>
      <c r="K48" s="157"/>
      <c r="L48" s="157"/>
      <c r="M48" s="157"/>
    </row>
    <row r="49" spans="1:13" ht="15" customHeight="1">
      <c r="A49" s="88"/>
      <c r="B49" s="88"/>
      <c r="C49" s="88"/>
      <c r="D49" s="88"/>
      <c r="E49" s="141"/>
      <c r="F49" s="141"/>
      <c r="G49" s="141"/>
      <c r="H49" s="141"/>
      <c r="I49" s="142"/>
      <c r="J49" s="157"/>
      <c r="K49" s="157"/>
      <c r="L49" s="157"/>
      <c r="M49" s="157"/>
    </row>
    <row r="50" spans="1:13" ht="15" customHeight="1">
      <c r="A50" s="88"/>
      <c r="B50" s="88"/>
      <c r="C50" s="88"/>
      <c r="D50" s="88"/>
      <c r="E50" s="141"/>
      <c r="F50" s="141"/>
      <c r="G50" s="141"/>
      <c r="H50" s="141"/>
      <c r="I50" s="142"/>
      <c r="J50" s="157"/>
      <c r="K50" s="157"/>
      <c r="L50" s="157"/>
      <c r="M50" s="157"/>
    </row>
    <row r="51" spans="1:13" ht="15" customHeight="1">
      <c r="A51" s="77"/>
      <c r="B51" s="80"/>
      <c r="C51" s="80"/>
      <c r="D51" s="80"/>
      <c r="E51" s="141"/>
      <c r="F51" s="141"/>
      <c r="G51" s="141"/>
      <c r="H51" s="141"/>
      <c r="I51" s="142"/>
      <c r="L51" s="157"/>
      <c r="M51" s="157"/>
    </row>
    <row r="52" spans="1:13">
      <c r="I52" s="142"/>
      <c r="L52" s="157"/>
      <c r="M52" s="157"/>
    </row>
    <row r="53" spans="1:13">
      <c r="I53" s="142"/>
      <c r="L53" s="157"/>
      <c r="M53" s="157"/>
    </row>
    <row r="54" spans="1:13">
      <c r="I54" s="142"/>
      <c r="L54" s="157"/>
      <c r="M54" s="157"/>
    </row>
    <row r="55" spans="1:13">
      <c r="I55" s="142"/>
      <c r="L55" s="157"/>
      <c r="M55" s="157"/>
    </row>
  </sheetData>
  <dataConsolidate/>
  <phoneticPr fontId="25" type="noConversion"/>
  <dataValidations count="3">
    <dataValidation showInputMessage="1" showErrorMessage="1" sqref="E15:E32 A15:A32 G15:G32"/>
    <dataValidation type="list" allowBlank="1" showInputMessage="1" showErrorMessage="1" sqref="B15:B32">
      <formula1>INDIRECT("Articles[Légumes]")</formula1>
    </dataValidation>
    <dataValidation type="list" allowBlank="1" showInputMessage="1" showErrorMessage="1" sqref="H9">
      <formula1>INDIRECT("Clients[Dénomination]")</formula1>
    </dataValidation>
  </dataValidations>
  <printOptions horizontalCentered="1"/>
  <pageMargins left="0.19685039370078741" right="0.19685039370078741" top="0.74803149606299213" bottom="0.35433070866141736" header="0.31496062992125984" footer="0.31496062992125984"/>
  <pageSetup paperSize="9" orientation="portrait"/>
  <headerFooter alignWithMargins="0">
    <oddHeader>&amp;CRégie Chantier d'Insertion GRAND CHÂTELLERAULT n° 253037 
créée par l'arrêté n° 2016/31 de la Communauté d'Agglomération de GRAND CHÂTELLERAULT</oddHeader>
    <oddFooter>&amp;CCommunauté d'Agglomération de GRAND CHÂTELLERAULT 
Régie de recettes du Chantier d'Insertion Site de PLEUMARTIN
27 Avenue jourde 86450 PLEUMARTIN
Tel: 05 49 20 15 64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rchiverDocument">
                <anchor moveWithCells="1" sizeWithCells="1">
                  <from>
                    <xdr:col>10</xdr:col>
                    <xdr:colOff>990600</xdr:colOff>
                    <xdr:row>5</xdr:row>
                    <xdr:rowOff>63500</xdr:rowOff>
                  </from>
                  <to>
                    <xdr:col>11</xdr:col>
                    <xdr:colOff>965200</xdr:colOff>
                    <xdr:row>10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C1"/>
  <sheetViews>
    <sheetView workbookViewId="0">
      <selection activeCell="F37" sqref="F37"/>
    </sheetView>
  </sheetViews>
  <sheetFormatPr baseColWidth="10" defaultRowHeight="14" x14ac:dyDescent="0"/>
  <sheetData>
    <row r="1" spans="1:3">
      <c r="A1" s="81" t="s">
        <v>183</v>
      </c>
      <c r="B1" s="81" t="s">
        <v>201</v>
      </c>
      <c r="C1" s="81" t="s">
        <v>202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5"/>
  </sheetPr>
  <dimension ref="A1:AQ3"/>
  <sheetViews>
    <sheetView workbookViewId="0">
      <selection activeCell="C12" sqref="C12"/>
    </sheetView>
  </sheetViews>
  <sheetFormatPr baseColWidth="10" defaultRowHeight="14" outlineLevelCol="1" x14ac:dyDescent="0"/>
  <cols>
    <col min="2" max="2" width="14.83203125" bestFit="1" customWidth="1"/>
    <col min="3" max="3" width="24.1640625" bestFit="1" customWidth="1"/>
    <col min="4" max="4" width="11.1640625" customWidth="1"/>
    <col min="7" max="15" width="11.1640625" hidden="1" customWidth="1" outlineLevel="1"/>
    <col min="16" max="24" width="12" hidden="1" customWidth="1" outlineLevel="1"/>
    <col min="25" max="42" width="10.83203125" hidden="1" customWidth="1" outlineLevel="1"/>
    <col min="43" max="43" width="10.83203125" collapsed="1"/>
  </cols>
  <sheetData>
    <row r="1" spans="1:42" s="134" customFormat="1">
      <c r="A1" s="132" t="s">
        <v>305</v>
      </c>
      <c r="B1" s="132" t="s">
        <v>180</v>
      </c>
      <c r="C1" s="132" t="s">
        <v>243</v>
      </c>
      <c r="D1" s="132" t="s">
        <v>181</v>
      </c>
      <c r="E1" s="132" t="s">
        <v>303</v>
      </c>
      <c r="F1" s="132" t="s">
        <v>304</v>
      </c>
      <c r="G1" s="133" t="s">
        <v>267</v>
      </c>
      <c r="H1" s="133" t="s">
        <v>268</v>
      </c>
      <c r="I1" s="133" t="s">
        <v>269</v>
      </c>
      <c r="J1" s="133" t="s">
        <v>270</v>
      </c>
      <c r="K1" s="133" t="s">
        <v>271</v>
      </c>
      <c r="L1" s="133" t="s">
        <v>272</v>
      </c>
      <c r="M1" s="133" t="s">
        <v>273</v>
      </c>
      <c r="N1" s="133" t="s">
        <v>274</v>
      </c>
      <c r="O1" s="133" t="s">
        <v>275</v>
      </c>
      <c r="P1" s="133" t="s">
        <v>276</v>
      </c>
      <c r="Q1" s="133" t="s">
        <v>277</v>
      </c>
      <c r="R1" s="133" t="s">
        <v>278</v>
      </c>
      <c r="S1" s="133" t="s">
        <v>279</v>
      </c>
      <c r="T1" s="133" t="s">
        <v>280</v>
      </c>
      <c r="U1" s="133" t="s">
        <v>281</v>
      </c>
      <c r="V1" s="133" t="s">
        <v>282</v>
      </c>
      <c r="W1" s="133" t="s">
        <v>283</v>
      </c>
      <c r="X1" s="133" t="s">
        <v>284</v>
      </c>
      <c r="Y1" s="133" t="s">
        <v>285</v>
      </c>
      <c r="Z1" s="133" t="s">
        <v>286</v>
      </c>
      <c r="AA1" s="133" t="s">
        <v>287</v>
      </c>
      <c r="AB1" s="133" t="s">
        <v>288</v>
      </c>
      <c r="AC1" s="133" t="s">
        <v>289</v>
      </c>
      <c r="AD1" s="133" t="s">
        <v>290</v>
      </c>
      <c r="AE1" s="133" t="s">
        <v>291</v>
      </c>
      <c r="AF1" s="133" t="s">
        <v>292</v>
      </c>
      <c r="AG1" s="133" t="s">
        <v>293</v>
      </c>
      <c r="AH1" s="133" t="s">
        <v>294</v>
      </c>
      <c r="AI1" s="133" t="s">
        <v>295</v>
      </c>
      <c r="AJ1" s="133" t="s">
        <v>296</v>
      </c>
      <c r="AK1" s="133" t="s">
        <v>297</v>
      </c>
      <c r="AL1" s="133" t="s">
        <v>298</v>
      </c>
      <c r="AM1" s="133" t="s">
        <v>299</v>
      </c>
      <c r="AN1" s="133" t="s">
        <v>300</v>
      </c>
      <c r="AO1" s="133" t="s">
        <v>301</v>
      </c>
      <c r="AP1" s="133" t="s">
        <v>302</v>
      </c>
    </row>
    <row r="2" spans="1:42">
      <c r="A2" s="3"/>
      <c r="B2" s="3"/>
      <c r="C2" s="3"/>
      <c r="D2" s="3"/>
      <c r="E2" s="3"/>
      <c r="F2" s="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  <row r="3" spans="1:42">
      <c r="A3" s="5">
        <v>20200003</v>
      </c>
      <c r="B3" s="169">
        <v>44105.614305555559</v>
      </c>
      <c r="C3" s="5"/>
      <c r="D3" s="170">
        <v>0</v>
      </c>
      <c r="E3" s="5"/>
      <c r="F3" s="170">
        <v>0</v>
      </c>
      <c r="G3" s="171"/>
      <c r="H3" s="171"/>
      <c r="I3" s="171"/>
      <c r="J3" s="171"/>
      <c r="K3" s="171"/>
      <c r="L3" s="171"/>
      <c r="M3" s="171"/>
      <c r="N3" s="171"/>
      <c r="O3" s="171"/>
      <c r="P3" s="171"/>
      <c r="Q3" s="171"/>
      <c r="R3" s="171"/>
      <c r="S3" s="171"/>
      <c r="T3" s="171"/>
      <c r="U3" s="171"/>
      <c r="V3" s="171"/>
      <c r="W3" s="171"/>
      <c r="X3" s="171"/>
      <c r="Y3" s="171"/>
      <c r="Z3" s="171"/>
      <c r="AA3" s="171"/>
      <c r="AB3" s="171"/>
      <c r="AC3" s="171"/>
      <c r="AD3" s="171"/>
      <c r="AE3" s="171"/>
      <c r="AF3" s="171"/>
      <c r="AG3" s="171"/>
      <c r="AH3" s="171"/>
      <c r="AI3" s="171"/>
      <c r="AJ3" s="171"/>
      <c r="AK3" s="171"/>
      <c r="AL3" s="171"/>
      <c r="AM3" s="171"/>
      <c r="AN3" s="171"/>
      <c r="AO3" s="171"/>
      <c r="AP3" s="171"/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>
    <tabColor theme="7" tint="0.39997558519241921"/>
  </sheetPr>
  <dimension ref="A1:M57"/>
  <sheetViews>
    <sheetView tabSelected="1" zoomScale="110" zoomScaleNormal="110" zoomScalePageLayoutView="110" workbookViewId="0">
      <selection activeCell="J26" sqref="J26"/>
    </sheetView>
  </sheetViews>
  <sheetFormatPr baseColWidth="10" defaultRowHeight="12" x14ac:dyDescent="0"/>
  <cols>
    <col min="1" max="1" width="11.6640625" style="155" customWidth="1"/>
    <col min="2" max="4" width="14.83203125" style="155" customWidth="1"/>
    <col min="5" max="8" width="13.83203125" style="155" customWidth="1"/>
    <col min="9" max="9" width="14.33203125" style="151" customWidth="1"/>
    <col min="10" max="10" width="18.83203125" style="163" bestFit="1" customWidth="1"/>
    <col min="11" max="11" width="14.83203125" style="163" bestFit="1" customWidth="1"/>
    <col min="12" max="12" width="15" style="163" bestFit="1" customWidth="1"/>
    <col min="13" max="13" width="19.83203125" style="163" customWidth="1"/>
    <col min="14" max="16384" width="10.83203125" style="164"/>
  </cols>
  <sheetData>
    <row r="1" spans="1:13" s="158" customFormat="1" ht="13">
      <c r="A1" s="141"/>
      <c r="B1" s="141"/>
      <c r="C1" s="141"/>
      <c r="D1" s="141"/>
      <c r="E1" s="141"/>
      <c r="F1" s="141"/>
      <c r="G1" s="141"/>
      <c r="H1" s="141"/>
      <c r="I1" s="142"/>
      <c r="J1" s="157"/>
      <c r="K1" s="157"/>
      <c r="L1" s="157"/>
      <c r="M1" s="157"/>
    </row>
    <row r="2" spans="1:13" s="158" customFormat="1" ht="20.25" customHeight="1">
      <c r="A2" s="104" t="s">
        <v>203</v>
      </c>
      <c r="B2" s="104"/>
      <c r="C2" s="104"/>
      <c r="D2" s="141"/>
      <c r="E2" s="141"/>
      <c r="F2" s="102" t="s">
        <v>332</v>
      </c>
      <c r="G2" s="103">
        <v>20200003</v>
      </c>
      <c r="H2" s="143"/>
      <c r="I2" s="144" t="s">
        <v>261</v>
      </c>
      <c r="J2" s="157"/>
      <c r="K2" s="159"/>
      <c r="L2" s="159"/>
      <c r="M2" s="159"/>
    </row>
    <row r="3" spans="1:13" s="158" customFormat="1" ht="17">
      <c r="A3" s="104" t="s">
        <v>203</v>
      </c>
      <c r="B3" s="104"/>
      <c r="C3" s="104"/>
      <c r="D3" s="11"/>
      <c r="E3" s="11"/>
      <c r="F3" s="168" t="s">
        <v>336</v>
      </c>
      <c r="G3" s="101"/>
      <c r="H3" s="101"/>
      <c r="I3" s="12"/>
      <c r="J3" s="160"/>
      <c r="K3" s="160"/>
      <c r="L3" s="160"/>
      <c r="M3" s="159"/>
    </row>
    <row r="4" spans="1:13" s="158" customFormat="1" ht="13">
      <c r="A4" s="104" t="s">
        <v>203</v>
      </c>
      <c r="B4" s="104"/>
      <c r="C4" s="104"/>
      <c r="D4" s="141"/>
      <c r="E4" s="141"/>
      <c r="F4" s="141"/>
      <c r="G4" s="141"/>
      <c r="H4" s="141"/>
      <c r="I4" s="142"/>
      <c r="J4" s="157"/>
      <c r="K4" s="157"/>
      <c r="L4" s="157"/>
      <c r="M4" s="157"/>
    </row>
    <row r="5" spans="1:13" s="158" customFormat="1" ht="13">
      <c r="A5" s="104" t="s">
        <v>203</v>
      </c>
      <c r="B5" s="104"/>
      <c r="C5" s="104"/>
      <c r="D5" s="141"/>
      <c r="E5" s="141"/>
      <c r="F5" s="141"/>
      <c r="G5" s="141"/>
      <c r="H5" s="141"/>
      <c r="I5" s="142"/>
      <c r="J5" s="172" t="s">
        <v>361</v>
      </c>
      <c r="K5" s="157"/>
      <c r="L5" s="157"/>
      <c r="M5" s="157"/>
    </row>
    <row r="6" spans="1:13" s="158" customFormat="1" ht="13">
      <c r="A6" s="104" t="s">
        <v>203</v>
      </c>
      <c r="B6" s="104"/>
      <c r="C6" s="104"/>
      <c r="D6" s="141"/>
      <c r="E6" s="141"/>
      <c r="F6" s="143"/>
      <c r="G6" s="95" t="s">
        <v>161</v>
      </c>
      <c r="H6" s="14">
        <f ca="1">NOW()</f>
        <v>44105.63235324074</v>
      </c>
      <c r="I6" s="98"/>
      <c r="J6" s="157"/>
      <c r="K6" s="157"/>
      <c r="L6" s="157"/>
      <c r="M6" s="157"/>
    </row>
    <row r="7" spans="1:13" s="158" customFormat="1" ht="13">
      <c r="A7" s="104" t="s">
        <v>203</v>
      </c>
      <c r="B7" s="104"/>
      <c r="C7" s="104"/>
      <c r="D7" s="141"/>
      <c r="E7" s="141"/>
      <c r="F7" s="141"/>
      <c r="G7" s="141"/>
      <c r="H7" s="141"/>
      <c r="I7" s="142"/>
      <c r="J7" s="157"/>
      <c r="K7" s="157"/>
      <c r="L7" s="157"/>
      <c r="M7" s="157"/>
    </row>
    <row r="8" spans="1:13" s="158" customFormat="1" ht="18" customHeight="1">
      <c r="A8" s="141"/>
      <c r="B8" s="141"/>
      <c r="C8" s="141"/>
      <c r="D8" s="141"/>
      <c r="E8" s="107"/>
      <c r="F8" s="145"/>
      <c r="G8" s="108"/>
      <c r="H8" s="109" t="s">
        <v>242</v>
      </c>
      <c r="I8" s="142"/>
      <c r="J8" s="157"/>
      <c r="K8" s="157"/>
      <c r="L8" s="157"/>
      <c r="M8" s="157"/>
    </row>
    <row r="9" spans="1:13" s="158" customFormat="1" ht="18" customHeight="1">
      <c r="A9" s="141"/>
      <c r="B9" s="141"/>
      <c r="C9" s="141"/>
      <c r="D9" s="141"/>
      <c r="E9" s="146"/>
      <c r="F9" s="105"/>
      <c r="G9" s="105"/>
      <c r="H9" s="106"/>
      <c r="I9" s="144" t="s">
        <v>260</v>
      </c>
      <c r="J9" s="157"/>
      <c r="K9" s="157"/>
      <c r="L9" s="157"/>
      <c r="M9" s="157"/>
    </row>
    <row r="10" spans="1:13" s="158" customFormat="1" ht="18" customHeight="1">
      <c r="A10" s="25" t="s">
        <v>165</v>
      </c>
      <c r="B10" s="82" t="e">
        <f>INDEX(Clients[Code client],MATCH(F_Dénomination,Clients[Dénomination],0))</f>
        <v>#N/A</v>
      </c>
      <c r="C10" s="141"/>
      <c r="D10" s="141"/>
      <c r="E10" s="146"/>
      <c r="F10" s="147"/>
      <c r="G10" s="147"/>
      <c r="H10" s="130" t="e">
        <f>INDEX(Clients[Contact],MATCH($H$9,Clients[Dénomination],0))</f>
        <v>#N/A</v>
      </c>
      <c r="I10" s="142"/>
      <c r="J10" s="157"/>
      <c r="K10" s="157"/>
      <c r="L10" s="157"/>
      <c r="M10" s="157"/>
    </row>
    <row r="11" spans="1:13" s="158" customFormat="1" ht="18" customHeight="1">
      <c r="A11" s="25" t="s">
        <v>193</v>
      </c>
      <c r="B11" s="140" t="e">
        <f>INDEX(Clients[Téléphone],MATCH(F_Dénomination,Clients[Dénomination],0))</f>
        <v>#N/A</v>
      </c>
      <c r="C11" s="141"/>
      <c r="D11" s="141"/>
      <c r="E11" s="146"/>
      <c r="F11" s="147"/>
      <c r="G11" s="147"/>
      <c r="H11" s="130" t="e">
        <f>INDEX(Clients[Adresse],MATCH($H$9,Clients[Dénomination],0))</f>
        <v>#N/A</v>
      </c>
      <c r="I11" s="142"/>
      <c r="J11" s="157"/>
      <c r="K11" s="157"/>
      <c r="L11" s="157"/>
      <c r="M11" s="157"/>
    </row>
    <row r="12" spans="1:13" s="158" customFormat="1" ht="18" customHeight="1">
      <c r="A12" s="25" t="s">
        <v>194</v>
      </c>
      <c r="B12" s="140" t="e">
        <f>INDEX(Clients[Mail],MATCH(F_Dénomination,Clients[Dénomination],0))</f>
        <v>#N/A</v>
      </c>
      <c r="C12" s="141"/>
      <c r="D12" s="141"/>
      <c r="E12" s="146"/>
      <c r="F12" s="148"/>
      <c r="G12" s="148"/>
      <c r="H12" s="131" t="e">
        <f>INDEX(Clients[CP],MATCH($H$9,Clients[Dénomination],0))&amp;" "&amp;INDEX(Clients[Ville],MATCH($H$9,Clients[Dénomination],0))</f>
        <v>#N/A</v>
      </c>
      <c r="I12" s="149"/>
      <c r="J12" s="157"/>
      <c r="K12" s="157"/>
      <c r="L12" s="157"/>
      <c r="M12" s="157"/>
    </row>
    <row r="13" spans="1:13" s="158" customFormat="1" ht="18" customHeight="1">
      <c r="A13" s="143"/>
      <c r="B13" s="143"/>
      <c r="C13" s="141"/>
      <c r="D13" s="141"/>
      <c r="E13" s="141"/>
      <c r="F13" s="141"/>
      <c r="G13" s="150"/>
      <c r="H13" s="14"/>
      <c r="I13" s="142"/>
      <c r="J13" s="157"/>
      <c r="K13" s="157"/>
      <c r="L13" s="161"/>
      <c r="M13" s="16"/>
    </row>
    <row r="14" spans="1:13" s="162" customFormat="1" ht="25" customHeight="1">
      <c r="A14" s="123" t="s">
        <v>170</v>
      </c>
      <c r="B14" s="125" t="s">
        <v>255</v>
      </c>
      <c r="C14" s="124" t="s">
        <v>32</v>
      </c>
      <c r="D14" s="119" t="s">
        <v>33</v>
      </c>
      <c r="E14" s="112" t="s">
        <v>37</v>
      </c>
      <c r="F14" s="113" t="s">
        <v>160</v>
      </c>
      <c r="G14" s="113" t="s">
        <v>254</v>
      </c>
      <c r="H14" s="111" t="s">
        <v>162</v>
      </c>
      <c r="I14" s="92"/>
      <c r="J14" s="156" t="s">
        <v>346</v>
      </c>
      <c r="K14" s="156"/>
      <c r="L14" s="156"/>
      <c r="M14" s="156"/>
    </row>
    <row r="15" spans="1:13" s="162" customFormat="1" ht="15" customHeight="1">
      <c r="A15" s="121" t="str">
        <f>IFERROR(INDEX(Articles[Réf],MATCH(D_Corps[[#This Row],[Produits]],Articles[Légumes],0)),"")</f>
        <v/>
      </c>
      <c r="B15" s="24"/>
      <c r="C15" s="61"/>
      <c r="D15" s="62"/>
      <c r="E15" s="128" t="str">
        <f>IFERROR(INDEX(Articles[U/V],MATCH(D_Corps[[#This Row],[Produits]],Articles[Légumes],0)),"")</f>
        <v/>
      </c>
      <c r="F15" s="18"/>
      <c r="G15" s="19" t="str">
        <f ca="1">IFERROR(INDEX(INDIRECT("Articles[Prix "&amp;INDEX(Clients[Statut],MATCH(F_Dénomination,Clients[Dénomination],0))&amp;"]"),MATCH($B15,Articles[Légumes],0)),"")</f>
        <v/>
      </c>
      <c r="H15" s="110" t="str">
        <f ca="1">IFERROR(D_Corps[[#This Row],[Qté]]*D_Corps[[#This Row],[Prix]],"")</f>
        <v/>
      </c>
      <c r="I15" s="92"/>
      <c r="J15" s="156" t="s">
        <v>308</v>
      </c>
      <c r="K15" s="156" t="s">
        <v>309</v>
      </c>
      <c r="L15" s="156" t="s">
        <v>337</v>
      </c>
      <c r="M15" s="156"/>
    </row>
    <row r="16" spans="1:13" s="162" customFormat="1" ht="15" customHeight="1">
      <c r="A16" s="121" t="str">
        <f>IFERROR(INDEX(Articles[Réf],MATCH(D_Corps[[#This Row],[Produits]],Articles[Légumes],0)),"")</f>
        <v/>
      </c>
      <c r="B16" s="24"/>
      <c r="C16" s="61"/>
      <c r="D16" s="62"/>
      <c r="E16" s="128" t="str">
        <f>IFERROR(INDEX(Articles[U/V],MATCH(D_Corps[[#This Row],[Produits]],Articles[Légumes],0)),"")</f>
        <v/>
      </c>
      <c r="F16" s="18"/>
      <c r="G16" s="19" t="str">
        <f ca="1">IFERROR(INDEX(INDIRECT("Articles[Prix "&amp;INDEX(Clients[Statut],MATCH(F_Dénomination,Clients[Dénomination],0))&amp;"]"),MATCH($B16,Articles[Légumes],0)),"")</f>
        <v/>
      </c>
      <c r="H16" s="110" t="str">
        <f ca="1">IFERROR(D_Corps[[#This Row],[Qté]]*D_Corps[[#This Row],[Prix]],"")</f>
        <v/>
      </c>
      <c r="I16" s="43"/>
      <c r="J16" s="156" t="s">
        <v>310</v>
      </c>
      <c r="K16" s="156" t="s">
        <v>311</v>
      </c>
      <c r="L16" s="156" t="s">
        <v>338</v>
      </c>
      <c r="M16" s="156"/>
    </row>
    <row r="17" spans="1:13" s="162" customFormat="1" ht="15" customHeight="1">
      <c r="A17" s="121" t="str">
        <f>IFERROR(INDEX(Articles[Réf],MATCH(D_Corps[[#This Row],[Produits]],Articles[Légumes],0)),"")</f>
        <v/>
      </c>
      <c r="B17" s="24"/>
      <c r="C17" s="61"/>
      <c r="D17" s="62"/>
      <c r="E17" s="128" t="str">
        <f>IFERROR(INDEX(Articles[U/V],MATCH(D_Corps[[#This Row],[Produits]],Articles[Légumes],0)),"")</f>
        <v/>
      </c>
      <c r="F17" s="18"/>
      <c r="G17" s="19" t="str">
        <f ca="1">IFERROR(INDEX(INDIRECT("Articles[Prix "&amp;INDEX(Clients[Statut],MATCH(F_Dénomination,Clients[Dénomination],0))&amp;"]"),MATCH($B17,Articles[Légumes],0)),"")</f>
        <v/>
      </c>
      <c r="H17" s="110" t="str">
        <f ca="1">IFERROR(D_Corps[[#This Row],[Qté]]*D_Corps[[#This Row],[Prix]],"")</f>
        <v/>
      </c>
      <c r="I17" s="43"/>
      <c r="J17" s="156" t="s">
        <v>312</v>
      </c>
      <c r="K17" s="156" t="s">
        <v>313</v>
      </c>
      <c r="L17" s="156" t="s">
        <v>339</v>
      </c>
      <c r="M17" s="156"/>
    </row>
    <row r="18" spans="1:13" s="162" customFormat="1" ht="15" customHeight="1">
      <c r="A18" s="121" t="str">
        <f>IFERROR(INDEX(Articles[Réf],MATCH(D_Corps[[#This Row],[Produits]],Articles[Légumes],0)),"")</f>
        <v/>
      </c>
      <c r="B18" s="24"/>
      <c r="C18" s="61"/>
      <c r="D18" s="62"/>
      <c r="E18" s="128" t="str">
        <f>IFERROR(INDEX(Articles[U/V],MATCH(D_Corps[[#This Row],[Produits]],Articles[Légumes],0)),"")</f>
        <v/>
      </c>
      <c r="F18" s="18"/>
      <c r="G18" s="19" t="str">
        <f ca="1">IFERROR(INDEX(INDIRECT("Articles[Prix "&amp;INDEX(Clients[Statut],MATCH(F_Dénomination,Clients[Dénomination],0))&amp;"]"),MATCH($B18,Articles[Légumes],0)),"")</f>
        <v/>
      </c>
      <c r="H18" s="110" t="str">
        <f ca="1">IFERROR(D_Corps[[#This Row],[Qté]]*D_Corps[[#This Row],[Prix]],"")</f>
        <v/>
      </c>
      <c r="I18" s="43"/>
      <c r="J18" s="156" t="s">
        <v>314</v>
      </c>
      <c r="K18" s="156" t="s">
        <v>315</v>
      </c>
      <c r="L18" s="156" t="s">
        <v>340</v>
      </c>
      <c r="M18" s="156"/>
    </row>
    <row r="19" spans="1:13" s="162" customFormat="1" ht="15" customHeight="1">
      <c r="A19" s="121" t="str">
        <f>IFERROR(INDEX(Articles[Réf],MATCH(D_Corps[[#This Row],[Produits]],Articles[Légumes],0)),"")</f>
        <v/>
      </c>
      <c r="B19" s="24"/>
      <c r="C19" s="61"/>
      <c r="D19" s="62"/>
      <c r="E19" s="128" t="str">
        <f>IFERROR(INDEX(Articles[U/V],MATCH(D_Corps[[#This Row],[Produits]],Articles[Légumes],0)),"")</f>
        <v/>
      </c>
      <c r="F19" s="18"/>
      <c r="G19" s="19" t="str">
        <f ca="1">IFERROR(INDEX(INDIRECT("Articles[Prix "&amp;INDEX(Clients[Statut],MATCH(F_Dénomination,Clients[Dénomination],0))&amp;"]"),MATCH($B19,Articles[Légumes],0)),"")</f>
        <v/>
      </c>
      <c r="H19" s="110" t="str">
        <f ca="1">IFERROR(D_Corps[[#This Row],[Qté]]*D_Corps[[#This Row],[Prix]],"")</f>
        <v/>
      </c>
      <c r="I19" s="92"/>
      <c r="J19" s="156" t="s">
        <v>344</v>
      </c>
      <c r="K19" s="156"/>
      <c r="L19" s="156" t="s">
        <v>342</v>
      </c>
      <c r="M19" s="156"/>
    </row>
    <row r="20" spans="1:13" s="162" customFormat="1" ht="15" customHeight="1">
      <c r="A20" s="121" t="str">
        <f>IFERROR(INDEX(Articles[Réf],MATCH(D_Corps[[#This Row],[Produits]],Articles[Légumes],0)),"")</f>
        <v/>
      </c>
      <c r="B20" s="24"/>
      <c r="C20" s="61"/>
      <c r="D20" s="62"/>
      <c r="E20" s="128" t="str">
        <f>IFERROR(INDEX(Articles[U/V],MATCH(D_Corps[[#This Row],[Produits]],Articles[Légumes],0)),"")</f>
        <v/>
      </c>
      <c r="F20" s="18"/>
      <c r="G20" s="19" t="str">
        <f ca="1">IFERROR(INDEX(INDIRECT("Articles[Prix "&amp;INDEX(Clients[Statut],MATCH(F_Dénomination,Clients[Dénomination],0))&amp;"]"),MATCH($B20,Articles[Légumes],0)),"")</f>
        <v/>
      </c>
      <c r="H20" s="110" t="str">
        <f ca="1">IFERROR(D_Corps[[#This Row],[Qté]]*D_Corps[[#This Row],[Prix]],"")</f>
        <v/>
      </c>
      <c r="I20" s="92"/>
      <c r="J20" s="156" t="s">
        <v>345</v>
      </c>
      <c r="K20" s="156"/>
      <c r="L20" s="156" t="s">
        <v>343</v>
      </c>
      <c r="M20" s="156"/>
    </row>
    <row r="21" spans="1:13" s="162" customFormat="1" ht="15" customHeight="1">
      <c r="A21" s="121" t="str">
        <f>IFERROR(INDEX(Articles[Réf],MATCH(D_Corps[[#This Row],[Produits]],Articles[Légumes],0)),"")</f>
        <v/>
      </c>
      <c r="B21" s="24"/>
      <c r="C21" s="61"/>
      <c r="D21" s="62"/>
      <c r="E21" s="128" t="str">
        <f>IFERROR(INDEX(Articles[U/V],MATCH(D_Corps[[#This Row],[Produits]],Articles[Légumes],0)),"")</f>
        <v/>
      </c>
      <c r="F21" s="18"/>
      <c r="G21" s="19" t="str">
        <f ca="1">IFERROR(INDEX(INDIRECT("Articles[Prix "&amp;INDEX(Clients[Statut],MATCH(F_Dénomination,Clients[Dénomination],0))&amp;"]"),MATCH($B21,Articles[Légumes],0)),"")</f>
        <v/>
      </c>
      <c r="H21" s="110" t="str">
        <f ca="1">IFERROR(D_Corps[[#This Row],[Qté]]*D_Corps[[#This Row],[Prix]],"")</f>
        <v/>
      </c>
      <c r="I21" s="41"/>
      <c r="J21" s="156" t="s">
        <v>321</v>
      </c>
      <c r="K21" s="156" t="s">
        <v>320</v>
      </c>
      <c r="L21" s="156" t="s">
        <v>341</v>
      </c>
      <c r="M21" s="156"/>
    </row>
    <row r="22" spans="1:13" s="162" customFormat="1" ht="15" customHeight="1">
      <c r="A22" s="121" t="str">
        <f>IFERROR(INDEX(Articles[Réf],MATCH(D_Corps[[#This Row],[Produits]],Articles[Légumes],0)),"")</f>
        <v/>
      </c>
      <c r="B22" s="24"/>
      <c r="C22" s="61"/>
      <c r="D22" s="62"/>
      <c r="E22" s="128" t="str">
        <f>IFERROR(INDEX(Articles[U/V],MATCH(D_Corps[[#This Row],[Produits]],Articles[Légumes],0)),"")</f>
        <v/>
      </c>
      <c r="F22" s="18"/>
      <c r="G22" s="19" t="str">
        <f ca="1">IFERROR(INDEX(INDIRECT("Articles[Prix "&amp;INDEX(Clients[Statut],MATCH(F_Dénomination,Clients[Dénomination],0))&amp;"]"),MATCH($B22,Articles[Légumes],0)),"")</f>
        <v/>
      </c>
      <c r="H22" s="110" t="str">
        <f ca="1">IFERROR(D_Corps[[#This Row],[Qté]]*D_Corps[[#This Row],[Prix]],"")</f>
        <v/>
      </c>
      <c r="I22" s="41"/>
      <c r="J22" s="156" t="s">
        <v>322</v>
      </c>
      <c r="K22" s="156" t="s">
        <v>325</v>
      </c>
      <c r="L22" s="156" t="s">
        <v>326</v>
      </c>
      <c r="M22" s="156"/>
    </row>
    <row r="23" spans="1:13" s="162" customFormat="1" ht="15" customHeight="1">
      <c r="A23" s="121" t="str">
        <f>IFERROR(INDEX(Articles[Réf],MATCH(D_Corps[[#This Row],[Produits]],Articles[Légumes],0)),"")</f>
        <v/>
      </c>
      <c r="B23" s="24"/>
      <c r="C23" s="61"/>
      <c r="D23" s="62"/>
      <c r="E23" s="128" t="str">
        <f>IFERROR(INDEX(Articles[U/V],MATCH(D_Corps[[#This Row],[Produits]],Articles[Légumes],0)),"")</f>
        <v/>
      </c>
      <c r="F23" s="18"/>
      <c r="G23" s="19" t="str">
        <f ca="1">IFERROR(INDEX(INDIRECT("Articles[Prix "&amp;INDEX(Clients[Statut],MATCH(F_Dénomination,Clients[Dénomination],0))&amp;"]"),MATCH($B23,Articles[Légumes],0)),"")</f>
        <v/>
      </c>
      <c r="H23" s="110" t="str">
        <f ca="1">IFERROR(D_Corps[[#This Row],[Qté]]*D_Corps[[#This Row],[Prix]],"")</f>
        <v/>
      </c>
      <c r="I23" s="41"/>
      <c r="J23" s="156" t="s">
        <v>327</v>
      </c>
      <c r="K23" s="156" t="s">
        <v>323</v>
      </c>
      <c r="L23" s="156" t="s">
        <v>324</v>
      </c>
      <c r="M23" s="156"/>
    </row>
    <row r="24" spans="1:13" s="162" customFormat="1" ht="15" customHeight="1">
      <c r="A24" s="121" t="str">
        <f>IFERROR(INDEX(Articles[Réf],MATCH(D_Corps[[#This Row],[Produits]],Articles[Légumes],0)),"")</f>
        <v/>
      </c>
      <c r="B24" s="24"/>
      <c r="C24" s="61"/>
      <c r="D24" s="62"/>
      <c r="E24" s="128" t="str">
        <f>IFERROR(INDEX(Articles[U/V],MATCH(D_Corps[[#This Row],[Produits]],Articles[Légumes],0)),"")</f>
        <v/>
      </c>
      <c r="F24" s="18"/>
      <c r="G24" s="19" t="str">
        <f ca="1">IFERROR(INDEX(INDIRECT("Articles[Prix "&amp;INDEX(Clients[Statut],MATCH(F_Dénomination,Clients[Dénomination],0))&amp;"]"),MATCH($B24,Articles[Légumes],0)),"")</f>
        <v/>
      </c>
      <c r="H24" s="110" t="str">
        <f ca="1">IFERROR(D_Corps[[#This Row],[Qté]]*D_Corps[[#This Row],[Prix]],"")</f>
        <v/>
      </c>
      <c r="I24" s="41"/>
      <c r="J24" s="173" t="s">
        <v>328</v>
      </c>
      <c r="K24" s="173" t="s">
        <v>305</v>
      </c>
      <c r="L24" s="173" t="s">
        <v>183</v>
      </c>
      <c r="M24" s="173" t="s">
        <v>329</v>
      </c>
    </row>
    <row r="25" spans="1:13" s="162" customFormat="1" ht="15" customHeight="1">
      <c r="A25" s="121" t="str">
        <f>IFERROR(INDEX(Articles[Réf],MATCH(D_Corps[[#This Row],[Produits]],Articles[Légumes],0)),"")</f>
        <v/>
      </c>
      <c r="B25" s="24"/>
      <c r="C25" s="61"/>
      <c r="D25" s="62"/>
      <c r="E25" s="128" t="str">
        <f>IFERROR(INDEX(Articles[U/V],MATCH(D_Corps[[#This Row],[Produits]],Articles[Légumes],0)),"")</f>
        <v/>
      </c>
      <c r="F25" s="18"/>
      <c r="G25" s="19" t="str">
        <f ca="1">IFERROR(INDEX(INDIRECT("Articles[Prix "&amp;INDEX(Clients[Statut],MATCH(F_Dénomination,Clients[Dénomination],0))&amp;"]"),MATCH($B25,Articles[Légumes],0)),"")</f>
        <v/>
      </c>
      <c r="H25" s="110" t="str">
        <f ca="1">IFERROR(D_Corps[[#This Row],[Qté]]*D_Corps[[#This Row],[Prix]],"")</f>
        <v/>
      </c>
      <c r="I25" s="92"/>
      <c r="J25" s="156"/>
      <c r="K25" s="156"/>
      <c r="L25" s="156"/>
      <c r="M25" s="156"/>
    </row>
    <row r="26" spans="1:13" s="162" customFormat="1" ht="15" customHeight="1">
      <c r="A26" s="121" t="str">
        <f>IFERROR(INDEX(Articles[Réf],MATCH(D_Corps[[#This Row],[Produits]],Articles[Légumes],0)),"")</f>
        <v/>
      </c>
      <c r="B26" s="24"/>
      <c r="C26" s="61"/>
      <c r="D26" s="62"/>
      <c r="E26" s="128" t="str">
        <f>IFERROR(INDEX(Articles[U/V],MATCH(D_Corps[[#This Row],[Produits]],Articles[Légumes],0)),"")</f>
        <v/>
      </c>
      <c r="F26" s="18"/>
      <c r="G26" s="19" t="str">
        <f ca="1">IFERROR(INDEX(INDIRECT("Articles[Prix "&amp;INDEX(Clients[Statut],MATCH(F_Dénomination,Clients[Dénomination],0))&amp;"]"),MATCH($B26,Articles[Légumes],0)),"")</f>
        <v/>
      </c>
      <c r="H26" s="110" t="str">
        <f ca="1">IFERROR(D_Corps[[#This Row],[Qté]]*D_Corps[[#This Row],[Prix]],"")</f>
        <v/>
      </c>
      <c r="I26" s="92"/>
      <c r="J26" s="156"/>
      <c r="K26" s="156"/>
      <c r="L26" s="156"/>
      <c r="M26" s="156"/>
    </row>
    <row r="27" spans="1:13" s="162" customFormat="1" ht="15" customHeight="1">
      <c r="A27" s="121" t="str">
        <f>IFERROR(INDEX(Articles[Réf],MATCH(D_Corps[[#This Row],[Produits]],Articles[Légumes],0)),"")</f>
        <v/>
      </c>
      <c r="B27" s="24"/>
      <c r="C27" s="61"/>
      <c r="D27" s="62"/>
      <c r="E27" s="128" t="str">
        <f>IFERROR(INDEX(Articles[U/V],MATCH(D_Corps[[#This Row],[Produits]],Articles[Légumes],0)),"")</f>
        <v/>
      </c>
      <c r="F27" s="18"/>
      <c r="G27" s="19" t="str">
        <f ca="1">IFERROR(INDEX(INDIRECT("Articles[Prix "&amp;INDEX(Clients[Statut],MATCH(F_Dénomination,Clients[Dénomination],0))&amp;"]"),MATCH($B27,Articles[Légumes],0)),"")</f>
        <v/>
      </c>
      <c r="H27" s="110" t="str">
        <f ca="1">IFERROR(D_Corps[[#This Row],[Qté]]*D_Corps[[#This Row],[Prix]],"")</f>
        <v/>
      </c>
      <c r="I27" s="92"/>
      <c r="J27" s="156"/>
      <c r="K27" s="156"/>
      <c r="L27" s="156"/>
      <c r="M27" s="156"/>
    </row>
    <row r="28" spans="1:13" s="162" customFormat="1" ht="15" customHeight="1">
      <c r="A28" s="121" t="str">
        <f>IFERROR(INDEX(Articles[Réf],MATCH(D_Corps[[#This Row],[Produits]],Articles[Légumes],0)),"")</f>
        <v/>
      </c>
      <c r="B28" s="24"/>
      <c r="C28" s="61"/>
      <c r="D28" s="62"/>
      <c r="E28" s="128" t="str">
        <f>IFERROR(INDEX(Articles[U/V],MATCH(D_Corps[[#This Row],[Produits]],Articles[Légumes],0)),"")</f>
        <v/>
      </c>
      <c r="F28" s="18"/>
      <c r="G28" s="19" t="str">
        <f ca="1">IFERROR(INDEX(INDIRECT("Articles[Prix "&amp;INDEX(Clients[Statut],MATCH(F_Dénomination,Clients[Dénomination],0))&amp;"]"),MATCH($B28,Articles[Légumes],0)),"")</f>
        <v/>
      </c>
      <c r="H28" s="110" t="str">
        <f ca="1">IFERROR(D_Corps[[#This Row],[Qté]]*D_Corps[[#This Row],[Prix]],"")</f>
        <v/>
      </c>
      <c r="I28" s="92"/>
      <c r="J28" s="163"/>
      <c r="K28" s="157"/>
      <c r="L28" s="156"/>
      <c r="M28" s="156"/>
    </row>
    <row r="29" spans="1:13" s="162" customFormat="1" ht="15" customHeight="1">
      <c r="A29" s="121" t="str">
        <f>IFERROR(INDEX(Articles[Réf],MATCH(D_Corps[[#This Row],[Produits]],Articles[Légumes],0)),"")</f>
        <v/>
      </c>
      <c r="B29" s="24"/>
      <c r="C29" s="61"/>
      <c r="D29" s="62"/>
      <c r="E29" s="128" t="str">
        <f>IFERROR(INDEX(Articles[U/V],MATCH(D_Corps[[#This Row],[Produits]],Articles[Légumes],0)),"")</f>
        <v/>
      </c>
      <c r="F29" s="18"/>
      <c r="G29" s="19" t="str">
        <f ca="1">IFERROR(INDEX(INDIRECT("Articles[Prix "&amp;INDEX(Clients[Statut],MATCH(F_Dénomination,Clients[Dénomination],0))&amp;"]"),MATCH($B29,Articles[Légumes],0)),"")</f>
        <v/>
      </c>
      <c r="H29" s="110" t="str">
        <f ca="1">IFERROR(D_Corps[[#This Row],[Qté]]*D_Corps[[#This Row],[Prix]],"")</f>
        <v/>
      </c>
      <c r="I29" s="92"/>
      <c r="J29" s="90"/>
      <c r="K29" s="157"/>
      <c r="L29" s="156"/>
      <c r="M29" s="156"/>
    </row>
    <row r="30" spans="1:13" s="162" customFormat="1" ht="15" customHeight="1">
      <c r="A30" s="121" t="str">
        <f>IFERROR(INDEX(Articles[Réf],MATCH(D_Corps[[#This Row],[Produits]],Articles[Légumes],0)),"")</f>
        <v/>
      </c>
      <c r="B30" s="24"/>
      <c r="C30" s="61"/>
      <c r="D30" s="62"/>
      <c r="E30" s="128" t="str">
        <f>IFERROR(INDEX(Articles[U/V],MATCH(D_Corps[[#This Row],[Produits]],Articles[Légumes],0)),"")</f>
        <v/>
      </c>
      <c r="F30" s="18"/>
      <c r="G30" s="19" t="str">
        <f ca="1">IFERROR(INDEX(INDIRECT("Articles[Prix "&amp;INDEX(Clients[Statut],MATCH(F_Dénomination,Clients[Dénomination],0))&amp;"]"),MATCH($B30,Articles[Légumes],0)),"")</f>
        <v/>
      </c>
      <c r="H30" s="110" t="str">
        <f ca="1">IFERROR(D_Corps[[#This Row],[Qté]]*D_Corps[[#This Row],[Prix]],"")</f>
        <v/>
      </c>
      <c r="I30" s="92"/>
      <c r="J30" s="90"/>
      <c r="K30" s="157"/>
      <c r="L30" s="156"/>
      <c r="M30" s="156"/>
    </row>
    <row r="31" spans="1:13" s="162" customFormat="1" ht="15" customHeight="1">
      <c r="A31" s="121" t="str">
        <f>IFERROR(INDEX(Articles[Réf],MATCH(D_Corps[[#This Row],[Produits]],Articles[Légumes],0)),"")</f>
        <v/>
      </c>
      <c r="B31" s="24"/>
      <c r="C31" s="61"/>
      <c r="D31" s="62"/>
      <c r="E31" s="128" t="str">
        <f>IFERROR(INDEX(Articles[U/V],MATCH(D_Corps[[#This Row],[Produits]],Articles[Légumes],0)),"")</f>
        <v/>
      </c>
      <c r="F31" s="18"/>
      <c r="G31" s="19" t="str">
        <f ca="1">IFERROR(INDEX(INDIRECT("Articles[Prix "&amp;INDEX(Clients[Statut],MATCH(F_Dénomination,Clients[Dénomination],0))&amp;"]"),MATCH($B31,Articles[Légumes],0)),"")</f>
        <v/>
      </c>
      <c r="H31" s="110" t="str">
        <f ca="1">IFERROR(D_Corps[[#This Row],[Qté]]*D_Corps[[#This Row],[Prix]],"")</f>
        <v/>
      </c>
      <c r="I31" s="92"/>
      <c r="J31" s="90"/>
      <c r="K31" s="157"/>
      <c r="L31" s="156"/>
      <c r="M31" s="156"/>
    </row>
    <row r="32" spans="1:13" s="162" customFormat="1" ht="15" customHeight="1">
      <c r="A32" s="122" t="str">
        <f>IFERROR(INDEX(Articles[Réf],MATCH(D_Corps[[#This Row],[Produits]],Articles[Légumes],0)),"")</f>
        <v/>
      </c>
      <c r="B32" s="115"/>
      <c r="C32" s="114"/>
      <c r="D32" s="116"/>
      <c r="E32" s="129" t="str">
        <f>IFERROR(INDEX(Articles[U/V],MATCH(D_Corps[[#This Row],[Produits]],Articles[Légumes],0)),"")</f>
        <v/>
      </c>
      <c r="F32" s="117"/>
      <c r="G32" s="19" t="str">
        <f ca="1">IFERROR(INDEX(INDIRECT("Articles[Prix "&amp;INDEX(Clients[Statut],MATCH(F_Dénomination,Clients[Dénomination],0))&amp;"]"),MATCH($B32,Articles[Légumes],0)),"")</f>
        <v/>
      </c>
      <c r="H32" s="118" t="str">
        <f ca="1">IFERROR(D_Corps[[#This Row],[Qté]]*D_Corps[[#This Row],[Prix]],"")</f>
        <v/>
      </c>
      <c r="I32" s="92"/>
      <c r="J32" s="90"/>
      <c r="K32" s="157"/>
      <c r="L32" s="156"/>
      <c r="M32" s="156"/>
    </row>
    <row r="33" spans="1:13" s="158" customFormat="1" ht="15" customHeight="1">
      <c r="A33" s="143"/>
      <c r="B33" s="143"/>
      <c r="C33" s="143"/>
      <c r="D33" s="143"/>
      <c r="E33" s="143"/>
      <c r="F33" s="143"/>
      <c r="G33" s="143"/>
      <c r="H33" s="143"/>
      <c r="I33" s="151"/>
      <c r="J33" s="90"/>
      <c r="K33" s="157"/>
      <c r="L33" s="89"/>
      <c r="M33" s="89"/>
    </row>
    <row r="34" spans="1:13" s="158" customFormat="1" ht="15" customHeight="1">
      <c r="A34" s="152" t="s">
        <v>256</v>
      </c>
      <c r="B34" s="141"/>
      <c r="C34" s="141"/>
      <c r="D34" s="141"/>
      <c r="E34" s="141"/>
      <c r="F34" s="141"/>
      <c r="G34" s="139" t="s">
        <v>253</v>
      </c>
      <c r="H34" s="136">
        <f ca="1">SUM(D_Corps[Total])</f>
        <v>0</v>
      </c>
      <c r="I34" s="90"/>
      <c r="J34" s="157"/>
      <c r="K34" s="157"/>
      <c r="L34" s="91"/>
      <c r="M34" s="91"/>
    </row>
    <row r="35" spans="1:13" s="158" customFormat="1" ht="15" customHeight="1">
      <c r="A35" s="127" t="s">
        <v>257</v>
      </c>
      <c r="B35" s="153"/>
      <c r="E35" s="153"/>
      <c r="F35" s="153"/>
      <c r="H35" s="120" t="s">
        <v>252</v>
      </c>
      <c r="I35" s="90"/>
      <c r="J35" s="157"/>
      <c r="K35" s="157"/>
      <c r="L35" s="91"/>
      <c r="M35" s="91"/>
    </row>
    <row r="36" spans="1:13" s="158" customFormat="1" ht="15" customHeight="1">
      <c r="A36" s="127" t="s">
        <v>258</v>
      </c>
      <c r="B36" s="153"/>
      <c r="E36" s="141"/>
      <c r="F36" s="141"/>
      <c r="I36" s="90"/>
      <c r="J36" s="157"/>
      <c r="K36" s="157"/>
      <c r="L36" s="91"/>
      <c r="M36" s="91"/>
    </row>
    <row r="37" spans="1:13" s="158" customFormat="1" ht="15" customHeight="1">
      <c r="A37" s="127" t="s">
        <v>259</v>
      </c>
      <c r="B37" s="153"/>
      <c r="E37" s="141"/>
      <c r="F37" s="141"/>
      <c r="I37" s="90"/>
      <c r="J37" s="157"/>
      <c r="K37" s="157"/>
      <c r="L37" s="91"/>
      <c r="M37" s="91"/>
    </row>
    <row r="38" spans="1:13" s="158" customFormat="1" ht="15" customHeight="1">
      <c r="A38" s="127"/>
      <c r="B38" s="143"/>
      <c r="C38" s="141"/>
      <c r="D38" s="141"/>
      <c r="E38" s="141"/>
      <c r="F38" s="141"/>
      <c r="G38" s="33"/>
      <c r="H38" s="143"/>
      <c r="I38" s="90"/>
      <c r="J38" s="157"/>
      <c r="K38" s="157"/>
      <c r="L38" s="91"/>
      <c r="M38" s="91"/>
    </row>
    <row r="39" spans="1:13" s="158" customFormat="1" ht="15" customHeight="1">
      <c r="A39" s="167" t="s">
        <v>333</v>
      </c>
      <c r="B39" s="165"/>
      <c r="C39" s="165"/>
      <c r="D39" s="135"/>
      <c r="E39" s="141"/>
      <c r="F39" s="141"/>
      <c r="G39" s="33"/>
      <c r="H39" s="143"/>
      <c r="I39" s="90"/>
      <c r="J39" s="157"/>
      <c r="K39" s="157"/>
      <c r="L39" s="91"/>
      <c r="M39" s="91"/>
    </row>
    <row r="40" spans="1:13" s="158" customFormat="1" ht="15" customHeight="1">
      <c r="A40" s="166" t="s">
        <v>334</v>
      </c>
      <c r="B40" s="166"/>
      <c r="C40" s="166"/>
      <c r="D40" s="136">
        <f ca="1">H34-D39</f>
        <v>0</v>
      </c>
      <c r="E40" s="141"/>
      <c r="F40" s="141"/>
      <c r="G40" s="33"/>
      <c r="H40" s="143"/>
      <c r="I40" s="90"/>
      <c r="J40" s="157"/>
      <c r="K40" s="157"/>
      <c r="L40" s="91"/>
      <c r="M40" s="91"/>
    </row>
    <row r="41" spans="1:13" s="158" customFormat="1" ht="15" customHeight="1">
      <c r="A41" s="48"/>
      <c r="B41" s="33"/>
      <c r="D41" s="48"/>
      <c r="E41" s="141"/>
      <c r="F41" s="141"/>
      <c r="G41" s="141"/>
      <c r="H41" s="143"/>
      <c r="I41" s="154"/>
      <c r="J41" s="157"/>
      <c r="K41" s="157"/>
      <c r="L41" s="91"/>
      <c r="M41" s="91"/>
    </row>
    <row r="42" spans="1:13" s="158" customFormat="1" ht="15" customHeight="1">
      <c r="A42" s="94"/>
      <c r="B42" s="143"/>
      <c r="C42" s="94"/>
      <c r="D42" s="94"/>
      <c r="E42" s="141"/>
      <c r="F42" s="141"/>
      <c r="G42" s="141"/>
      <c r="H42" s="126" t="s">
        <v>164</v>
      </c>
      <c r="I42" s="154"/>
      <c r="J42" s="157"/>
      <c r="K42" s="157"/>
      <c r="L42" s="91"/>
      <c r="M42" s="91"/>
    </row>
    <row r="43" spans="1:13" s="158" customFormat="1" ht="15" customHeight="1">
      <c r="A43" s="94"/>
      <c r="B43" s="153" t="s">
        <v>178</v>
      </c>
      <c r="C43" s="94"/>
      <c r="D43" s="94"/>
      <c r="E43" s="141"/>
      <c r="F43" s="141"/>
      <c r="G43" s="141"/>
      <c r="H43" s="95" t="s">
        <v>163</v>
      </c>
      <c r="I43" s="154"/>
      <c r="J43" s="157"/>
      <c r="K43" s="157"/>
      <c r="L43" s="91"/>
      <c r="M43" s="91"/>
    </row>
    <row r="44" spans="1:13" s="158" customFormat="1" ht="15" customHeight="1">
      <c r="A44" s="143"/>
      <c r="B44" s="94"/>
      <c r="C44" s="94"/>
      <c r="D44" s="94"/>
      <c r="E44" s="141"/>
      <c r="F44" s="141"/>
      <c r="G44" s="141"/>
      <c r="H44" s="143"/>
      <c r="I44" s="154"/>
      <c r="J44" s="157"/>
      <c r="K44" s="157"/>
      <c r="L44" s="91"/>
      <c r="M44" s="91"/>
    </row>
    <row r="45" spans="1:13" s="158" customFormat="1" ht="13.5" customHeight="1">
      <c r="A45" s="143"/>
      <c r="B45" s="93"/>
      <c r="C45" s="93"/>
      <c r="D45" s="93"/>
      <c r="E45" s="141"/>
      <c r="F45" s="141"/>
      <c r="G45" s="141"/>
      <c r="H45" s="143"/>
      <c r="I45" s="142"/>
      <c r="J45" s="157"/>
      <c r="K45" s="157"/>
      <c r="L45" s="157"/>
      <c r="M45" s="157"/>
    </row>
    <row r="46" spans="1:13" s="158" customFormat="1" ht="13.5" customHeight="1">
      <c r="A46" s="80"/>
      <c r="B46" s="80"/>
      <c r="C46" s="80"/>
      <c r="D46" s="80"/>
      <c r="E46" s="46"/>
      <c r="F46" s="141"/>
      <c r="G46" s="141"/>
      <c r="H46" s="141"/>
      <c r="I46" s="142"/>
      <c r="J46" s="157"/>
      <c r="K46" s="157"/>
      <c r="L46" s="157"/>
      <c r="M46" s="157"/>
    </row>
    <row r="47" spans="1:13" ht="12.75" customHeight="1">
      <c r="A47" s="77" t="s">
        <v>335</v>
      </c>
      <c r="B47" s="80"/>
      <c r="C47" s="80"/>
      <c r="D47" s="80"/>
      <c r="E47" s="46"/>
      <c r="F47" s="141"/>
      <c r="G47" s="141"/>
      <c r="H47" s="141"/>
      <c r="I47" s="142"/>
      <c r="J47" s="157"/>
      <c r="K47" s="157"/>
      <c r="L47" s="157"/>
      <c r="M47" s="157"/>
    </row>
    <row r="48" spans="1:13" ht="15" customHeight="1">
      <c r="A48" s="80"/>
      <c r="B48" s="80"/>
      <c r="C48" s="80"/>
      <c r="D48" s="80"/>
      <c r="E48" s="46"/>
      <c r="F48" s="141"/>
      <c r="G48" s="141"/>
      <c r="H48" s="141"/>
      <c r="I48" s="142"/>
      <c r="J48" s="157"/>
      <c r="K48" s="157"/>
      <c r="L48" s="157"/>
      <c r="M48" s="157"/>
    </row>
    <row r="49" spans="1:13" ht="15" customHeight="1">
      <c r="A49" s="80"/>
      <c r="B49" s="80"/>
      <c r="C49" s="80"/>
      <c r="D49" s="80"/>
      <c r="E49" s="47"/>
      <c r="F49" s="141"/>
      <c r="G49" s="141"/>
      <c r="H49" s="141"/>
      <c r="I49" s="142"/>
      <c r="J49" s="157"/>
      <c r="K49" s="157"/>
      <c r="L49" s="157"/>
      <c r="M49" s="157"/>
    </row>
    <row r="50" spans="1:13" ht="15" customHeight="1">
      <c r="A50" s="77"/>
      <c r="B50" s="77"/>
      <c r="C50" s="77"/>
      <c r="D50" s="77"/>
      <c r="E50" s="141"/>
      <c r="F50" s="141"/>
      <c r="G50" s="141"/>
      <c r="H50" s="141"/>
      <c r="I50" s="142"/>
      <c r="J50" s="157"/>
      <c r="K50" s="157"/>
      <c r="L50" s="157"/>
      <c r="M50" s="157"/>
    </row>
    <row r="51" spans="1:13" ht="15" customHeight="1">
      <c r="A51" s="96"/>
      <c r="B51" s="96"/>
      <c r="C51" s="96"/>
      <c r="D51" s="96"/>
      <c r="E51" s="141"/>
      <c r="F51" s="141"/>
      <c r="G51" s="141"/>
      <c r="H51" s="141"/>
      <c r="I51" s="142"/>
      <c r="J51" s="157"/>
      <c r="K51" s="157"/>
      <c r="L51" s="157"/>
      <c r="M51" s="157"/>
    </row>
    <row r="52" spans="1:13" ht="15" customHeight="1">
      <c r="A52" s="96"/>
      <c r="B52" s="96"/>
      <c r="C52" s="96"/>
      <c r="D52" s="96"/>
      <c r="E52" s="141"/>
      <c r="F52" s="141"/>
      <c r="G52" s="141"/>
      <c r="H52" s="141"/>
      <c r="I52" s="142"/>
      <c r="J52" s="157"/>
      <c r="K52" s="157"/>
      <c r="L52" s="157"/>
      <c r="M52" s="157"/>
    </row>
    <row r="53" spans="1:13" ht="15" customHeight="1">
      <c r="A53" s="77"/>
      <c r="B53" s="80"/>
      <c r="C53" s="80"/>
      <c r="D53" s="80"/>
      <c r="E53" s="141"/>
      <c r="F53" s="141"/>
      <c r="G53" s="141"/>
      <c r="H53" s="141"/>
      <c r="I53" s="142"/>
      <c r="L53" s="157"/>
      <c r="M53" s="157"/>
    </row>
    <row r="54" spans="1:13">
      <c r="I54" s="142"/>
      <c r="L54" s="157"/>
      <c r="M54" s="157"/>
    </row>
    <row r="55" spans="1:13">
      <c r="I55" s="142"/>
      <c r="L55" s="157"/>
      <c r="M55" s="157"/>
    </row>
    <row r="56" spans="1:13">
      <c r="I56" s="142"/>
      <c r="L56" s="157"/>
      <c r="M56" s="157"/>
    </row>
    <row r="57" spans="1:13">
      <c r="I57" s="142"/>
      <c r="L57" s="157"/>
      <c r="M57" s="157"/>
    </row>
  </sheetData>
  <dataConsolidate/>
  <dataValidations count="3">
    <dataValidation type="list" allowBlank="1" showInputMessage="1" showErrorMessage="1" sqref="H9">
      <formula1>INDIRECT("Clients[Dénomination]")</formula1>
    </dataValidation>
    <dataValidation type="list" allowBlank="1" showInputMessage="1" showErrorMessage="1" sqref="B15:B32">
      <formula1>INDIRECT("Articles[Légumes]")</formula1>
    </dataValidation>
    <dataValidation showInputMessage="1" showErrorMessage="1" sqref="E15:E32 A15:A32 G15:G32"/>
  </dataValidations>
  <printOptions horizontalCentered="1"/>
  <pageMargins left="0.19685039370078741" right="0.19685039370078741" top="0.74803149606299213" bottom="0.35433070866141736" header="0.31496062992125984" footer="0.31496062992125984"/>
  <pageSetup paperSize="9" orientation="portrait"/>
  <headerFooter alignWithMargins="0">
    <oddHeader>&amp;CRégie Chantier d'Insertion GRAND CHÂTELLERAULT n° 253037 
créée par l'arrêté n° 2016/31 de la Communauté d'Agglomération de GRAND CHÂTELLERAULT</oddHeader>
    <oddFooter>&amp;CCommunauté d'Agglomération de GRAND CHÂTELLERAULT 
Régie de recettes du Chantier d'Insertion Site de PLEUMARTIN
27 Avenue jourde 86450 PLEUMARTIN
Tel: 05 49 20 15 64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rchiverDocument">
                <anchor moveWithCells="1" sizeWithCells="1">
                  <from>
                    <xdr:col>11</xdr:col>
                    <xdr:colOff>673100</xdr:colOff>
                    <xdr:row>9</xdr:row>
                    <xdr:rowOff>25400</xdr:rowOff>
                  </from>
                  <to>
                    <xdr:col>12</xdr:col>
                    <xdr:colOff>825500</xdr:colOff>
                    <xdr:row>13</xdr:row>
                    <xdr:rowOff>228600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theme="7"/>
  </sheetPr>
  <dimension ref="A1:AQ2"/>
  <sheetViews>
    <sheetView workbookViewId="0">
      <selection activeCell="E28" sqref="E28"/>
    </sheetView>
  </sheetViews>
  <sheetFormatPr baseColWidth="10" defaultRowHeight="14" outlineLevelCol="1" x14ac:dyDescent="0"/>
  <cols>
    <col min="3" max="3" width="24.1640625" bestFit="1" customWidth="1"/>
    <col min="4" max="4" width="11.1640625" customWidth="1"/>
    <col min="7" max="15" width="11.1640625" hidden="1" customWidth="1" outlineLevel="1"/>
    <col min="16" max="24" width="12" hidden="1" customWidth="1" outlineLevel="1"/>
    <col min="25" max="42" width="10.83203125" hidden="1" customWidth="1" outlineLevel="1"/>
    <col min="43" max="43" width="10.83203125" collapsed="1"/>
  </cols>
  <sheetData>
    <row r="1" spans="1:42" s="134" customFormat="1">
      <c r="A1" s="132" t="s">
        <v>305</v>
      </c>
      <c r="B1" s="132" t="s">
        <v>180</v>
      </c>
      <c r="C1" s="132" t="s">
        <v>243</v>
      </c>
      <c r="D1" s="132" t="s">
        <v>181</v>
      </c>
      <c r="E1" s="132" t="s">
        <v>330</v>
      </c>
      <c r="F1" s="132" t="s">
        <v>331</v>
      </c>
      <c r="G1" s="133" t="s">
        <v>267</v>
      </c>
      <c r="H1" s="133" t="s">
        <v>268</v>
      </c>
      <c r="I1" s="133" t="s">
        <v>269</v>
      </c>
      <c r="J1" s="133" t="s">
        <v>270</v>
      </c>
      <c r="K1" s="133" t="s">
        <v>271</v>
      </c>
      <c r="L1" s="133" t="s">
        <v>272</v>
      </c>
      <c r="M1" s="133" t="s">
        <v>273</v>
      </c>
      <c r="N1" s="133" t="s">
        <v>274</v>
      </c>
      <c r="O1" s="133" t="s">
        <v>275</v>
      </c>
      <c r="P1" s="133" t="s">
        <v>276</v>
      </c>
      <c r="Q1" s="133" t="s">
        <v>277</v>
      </c>
      <c r="R1" s="133" t="s">
        <v>278</v>
      </c>
      <c r="S1" s="133" t="s">
        <v>279</v>
      </c>
      <c r="T1" s="133" t="s">
        <v>280</v>
      </c>
      <c r="U1" s="133" t="s">
        <v>281</v>
      </c>
      <c r="V1" s="133" t="s">
        <v>282</v>
      </c>
      <c r="W1" s="133" t="s">
        <v>283</v>
      </c>
      <c r="X1" s="133" t="s">
        <v>284</v>
      </c>
      <c r="Y1" s="133" t="s">
        <v>285</v>
      </c>
      <c r="Z1" s="133" t="s">
        <v>286</v>
      </c>
      <c r="AA1" s="133" t="s">
        <v>287</v>
      </c>
      <c r="AB1" s="133" t="s">
        <v>288</v>
      </c>
      <c r="AC1" s="133" t="s">
        <v>289</v>
      </c>
      <c r="AD1" s="133" t="s">
        <v>290</v>
      </c>
      <c r="AE1" s="133" t="s">
        <v>291</v>
      </c>
      <c r="AF1" s="133" t="s">
        <v>292</v>
      </c>
      <c r="AG1" s="133" t="s">
        <v>293</v>
      </c>
      <c r="AH1" s="133" t="s">
        <v>294</v>
      </c>
      <c r="AI1" s="133" t="s">
        <v>295</v>
      </c>
      <c r="AJ1" s="133" t="s">
        <v>296</v>
      </c>
      <c r="AK1" s="133" t="s">
        <v>297</v>
      </c>
      <c r="AL1" s="133" t="s">
        <v>298</v>
      </c>
      <c r="AM1" s="133" t="s">
        <v>299</v>
      </c>
      <c r="AN1" s="133" t="s">
        <v>300</v>
      </c>
      <c r="AO1" s="133" t="s">
        <v>301</v>
      </c>
      <c r="AP1" s="133" t="s">
        <v>302</v>
      </c>
    </row>
    <row r="2" spans="1:42">
      <c r="A2" s="3"/>
      <c r="B2" s="3"/>
      <c r="C2" s="3"/>
      <c r="D2" s="3"/>
      <c r="E2" s="3"/>
      <c r="F2" s="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N57"/>
  <sheetViews>
    <sheetView workbookViewId="0">
      <selection activeCell="J20" sqref="J20"/>
    </sheetView>
  </sheetViews>
  <sheetFormatPr baseColWidth="10" defaultRowHeight="12" x14ac:dyDescent="0"/>
  <cols>
    <col min="1" max="1" width="11.6640625" style="23" customWidth="1"/>
    <col min="2" max="2" width="10.33203125" style="23" customWidth="1"/>
    <col min="3" max="3" width="14.33203125" style="23" customWidth="1"/>
    <col min="4" max="4" width="17" style="23" customWidth="1"/>
    <col min="5" max="5" width="7.33203125" style="23" customWidth="1"/>
    <col min="6" max="6" width="8.83203125" style="23" customWidth="1"/>
    <col min="7" max="7" width="11" style="23" customWidth="1"/>
    <col min="8" max="8" width="19.83203125" style="23" customWidth="1"/>
    <col min="9" max="11" width="14.33203125" style="20" customWidth="1"/>
    <col min="12" max="12" width="12.6640625" style="20" customWidth="1"/>
    <col min="13" max="13" width="13.5" style="20" customWidth="1"/>
    <col min="14" max="14" width="19.83203125" style="20" customWidth="1"/>
    <col min="15" max="16384" width="10.83203125" style="23"/>
  </cols>
  <sheetData>
    <row r="1" spans="1:14" s="10" customFormat="1" ht="18">
      <c r="A1" s="182" t="s">
        <v>173</v>
      </c>
      <c r="B1" s="182"/>
      <c r="C1" s="182"/>
      <c r="D1" s="8"/>
      <c r="E1" s="8"/>
      <c r="F1" s="183" t="s">
        <v>183</v>
      </c>
      <c r="G1" s="183"/>
      <c r="H1" s="183"/>
      <c r="I1" s="9"/>
      <c r="J1" s="9"/>
      <c r="K1" s="9"/>
      <c r="L1" s="185"/>
      <c r="M1" s="185"/>
      <c r="N1" s="185"/>
    </row>
    <row r="2" spans="1:14" s="10" customFormat="1" ht="13">
      <c r="A2" s="182"/>
      <c r="B2" s="182"/>
      <c r="C2" s="182"/>
      <c r="D2" s="8"/>
      <c r="E2" s="8"/>
      <c r="F2" s="184" t="s">
        <v>200</v>
      </c>
      <c r="G2" s="184"/>
      <c r="H2" s="184"/>
      <c r="I2" s="9"/>
      <c r="J2" s="9"/>
      <c r="K2" s="9"/>
      <c r="L2" s="9"/>
      <c r="M2" s="9"/>
      <c r="N2" s="9"/>
    </row>
    <row r="3" spans="1:14" s="10" customFormat="1" ht="13">
      <c r="A3" s="182"/>
      <c r="B3" s="182"/>
      <c r="C3" s="182"/>
      <c r="D3" s="8"/>
      <c r="E3" s="8"/>
      <c r="F3" s="66"/>
      <c r="G3" s="66"/>
      <c r="H3" s="66"/>
      <c r="I3" s="9"/>
      <c r="J3" s="9"/>
      <c r="K3" s="9"/>
      <c r="L3" s="9"/>
      <c r="M3" s="9"/>
      <c r="N3" s="9"/>
    </row>
    <row r="4" spans="1:14" s="10" customFormat="1" ht="13">
      <c r="A4" s="182"/>
      <c r="B4" s="182"/>
      <c r="C4" s="182"/>
      <c r="D4" s="8"/>
      <c r="E4" s="8"/>
      <c r="F4" s="186" t="s">
        <v>161</v>
      </c>
      <c r="G4" s="186"/>
      <c r="H4" s="14">
        <f ca="1">NOW()</f>
        <v>44105.63235324074</v>
      </c>
      <c r="I4" s="31"/>
      <c r="J4" s="31"/>
      <c r="K4" s="9"/>
      <c r="L4" s="9"/>
      <c r="M4" s="9"/>
      <c r="N4" s="9"/>
    </row>
    <row r="5" spans="1:14" s="10" customFormat="1" ht="13">
      <c r="A5" s="182"/>
      <c r="B5" s="182"/>
      <c r="C5" s="182"/>
      <c r="D5" s="8"/>
      <c r="E5" s="8"/>
      <c r="F5" s="8"/>
      <c r="G5" s="8"/>
      <c r="H5" s="8"/>
      <c r="I5" s="9"/>
      <c r="J5" s="9"/>
      <c r="K5" s="9"/>
      <c r="L5" s="9"/>
      <c r="M5" s="9"/>
      <c r="N5" s="9"/>
    </row>
    <row r="6" spans="1:14" s="10" customFormat="1" ht="13">
      <c r="A6" s="8"/>
      <c r="B6" s="8"/>
      <c r="C6" s="8"/>
      <c r="D6" s="8"/>
      <c r="E6" s="187"/>
      <c r="F6" s="187"/>
      <c r="G6" s="187"/>
      <c r="H6" s="187"/>
      <c r="I6" s="9"/>
      <c r="J6" s="9"/>
      <c r="K6" s="9"/>
      <c r="L6" s="9"/>
      <c r="M6" s="9"/>
      <c r="N6" s="9"/>
    </row>
    <row r="7" spans="1:14" s="10" customFormat="1" ht="13">
      <c r="A7" s="8"/>
      <c r="B7" s="8"/>
      <c r="C7" s="8"/>
      <c r="D7" s="8"/>
      <c r="E7" s="80" t="str">
        <f>IFERROR(VLOOKUP($B$9,#REF!,3)&amp;" " &amp;VLOOKUP($B$9,#REF!,4)&amp;" " &amp;VLOOKUP($B$9,#REF!,5),"Saisir code client")</f>
        <v>Saisir code client</v>
      </c>
      <c r="F7" s="80"/>
      <c r="G7" s="80"/>
      <c r="H7" s="80"/>
      <c r="I7" s="32"/>
      <c r="J7" s="9"/>
      <c r="K7" s="9"/>
      <c r="L7" s="9"/>
      <c r="M7" s="9"/>
      <c r="N7" s="9"/>
    </row>
    <row r="8" spans="1:14" s="10" customFormat="1" ht="13">
      <c r="A8" s="8"/>
      <c r="B8" s="8"/>
      <c r="C8" s="8"/>
      <c r="D8" s="8"/>
      <c r="E8" s="8" t="str">
        <f>IFERROR(VLOOKUP($B$9,#REF!,6),"Saisir code client")</f>
        <v>Saisir code client</v>
      </c>
      <c r="F8" s="8"/>
      <c r="G8" s="8"/>
      <c r="H8" s="8"/>
      <c r="I8" s="9"/>
      <c r="J8" s="9"/>
      <c r="K8" s="9"/>
      <c r="L8" s="9"/>
      <c r="M8" s="9"/>
      <c r="N8" s="9"/>
    </row>
    <row r="9" spans="1:14" s="10" customFormat="1" ht="13">
      <c r="A9" s="25" t="s">
        <v>165</v>
      </c>
      <c r="B9" s="78" t="s">
        <v>177</v>
      </c>
      <c r="C9" s="8"/>
      <c r="D9" s="8"/>
      <c r="E9" s="34" t="str">
        <f>IFERROR(VLOOKUP($B$9,#REF!,7)&amp;"","Saisir code client")</f>
        <v>Saisir code client</v>
      </c>
      <c r="F9" s="8" t="str">
        <f>IFERROR(VLOOKUP($B$9,#REF!,8)&amp;"","Saisir code client")</f>
        <v>Saisir code client</v>
      </c>
      <c r="G9" s="8"/>
      <c r="H9" s="8"/>
      <c r="I9" s="9"/>
      <c r="J9" s="9"/>
      <c r="K9" s="9"/>
      <c r="L9" s="9"/>
      <c r="M9" s="9"/>
      <c r="N9" s="9"/>
    </row>
    <row r="10" spans="1:14" s="10" customFormat="1" ht="13">
      <c r="A10" s="25" t="s">
        <v>184</v>
      </c>
      <c r="B10" s="53" t="str">
        <f ca="1">"D"&amp;YEAR(TODAY())&amp;TEXT(1,"0000")</f>
        <v>D20200001</v>
      </c>
      <c r="C10" s="8"/>
      <c r="D10" s="8"/>
      <c r="E10" s="8"/>
      <c r="F10" s="8"/>
      <c r="G10" s="8"/>
      <c r="H10" s="34"/>
      <c r="I10" s="29"/>
      <c r="J10" s="9"/>
      <c r="K10" s="9"/>
      <c r="L10" s="9"/>
      <c r="M10" s="9"/>
      <c r="N10" s="9"/>
    </row>
    <row r="11" spans="1:14" s="10" customFormat="1" ht="13">
      <c r="A11" s="54" t="s">
        <v>185</v>
      </c>
      <c r="B11" s="54"/>
      <c r="C11" s="54"/>
      <c r="D11" s="8"/>
      <c r="E11" s="8"/>
      <c r="F11" s="8"/>
      <c r="G11" s="8"/>
      <c r="H11" s="8"/>
      <c r="I11" s="32"/>
      <c r="J11" s="9"/>
      <c r="K11" s="9"/>
      <c r="L11" s="9"/>
      <c r="M11" s="9"/>
      <c r="N11" s="9"/>
    </row>
    <row r="12" spans="1:14" s="10" customFormat="1" ht="13">
      <c r="A12" s="54" t="s">
        <v>186</v>
      </c>
      <c r="B12" s="65" t="s">
        <v>199</v>
      </c>
      <c r="C12" s="8"/>
      <c r="D12" s="8"/>
      <c r="E12" s="8"/>
      <c r="F12" s="8"/>
      <c r="G12" s="13"/>
      <c r="H12" s="14"/>
      <c r="I12" s="9"/>
      <c r="J12" s="9"/>
      <c r="K12" s="9"/>
      <c r="L12" s="9"/>
      <c r="M12" s="15"/>
      <c r="N12" s="16"/>
    </row>
    <row r="13" spans="1:14" s="10" customFormat="1" ht="15">
      <c r="A13" s="54" t="s">
        <v>5</v>
      </c>
      <c r="B13" s="60"/>
      <c r="C13" s="8"/>
      <c r="D13" s="8"/>
      <c r="E13" s="8"/>
      <c r="F13" s="8"/>
      <c r="G13" s="8"/>
      <c r="H13" s="8"/>
      <c r="I13" s="9"/>
      <c r="J13" s="9"/>
      <c r="K13" s="9"/>
      <c r="L13" s="9"/>
      <c r="M13" s="9"/>
      <c r="N13" s="9"/>
    </row>
    <row r="14" spans="1:14" s="10" customFormat="1" ht="15">
      <c r="A14" s="54"/>
      <c r="B14" s="60"/>
      <c r="C14" s="8"/>
      <c r="D14" s="8"/>
      <c r="E14" s="8"/>
      <c r="F14" s="8"/>
      <c r="G14" s="8"/>
      <c r="H14" s="8"/>
      <c r="I14" s="9"/>
      <c r="J14" s="9"/>
      <c r="K14" s="9"/>
      <c r="L14" s="9"/>
      <c r="M14" s="9"/>
      <c r="N14" s="9"/>
    </row>
    <row r="15" spans="1:14" s="17" customFormat="1" ht="25" customHeight="1">
      <c r="A15" s="26" t="s">
        <v>170</v>
      </c>
      <c r="B15" s="188" t="s">
        <v>171</v>
      </c>
      <c r="C15" s="189"/>
      <c r="D15" s="190"/>
      <c r="E15" s="27" t="s">
        <v>37</v>
      </c>
      <c r="F15" s="28" t="s">
        <v>160</v>
      </c>
      <c r="G15" s="28" t="s">
        <v>172</v>
      </c>
      <c r="H15" s="28" t="s">
        <v>162</v>
      </c>
      <c r="I15" s="191"/>
      <c r="J15" s="191"/>
      <c r="K15" s="191"/>
      <c r="L15" s="36"/>
      <c r="M15" s="36"/>
      <c r="N15" s="36"/>
    </row>
    <row r="16" spans="1:14" s="17" customFormat="1" ht="15" customHeight="1">
      <c r="A16" s="24" t="s">
        <v>45</v>
      </c>
      <c r="B16" s="177" t="str">
        <f>IF(A16="","",VLOOKUP($A16,Articles!A:J,2,0))</f>
        <v>BIGARREAU Burlat France biologique</v>
      </c>
      <c r="C16" s="178"/>
      <c r="D16" s="179"/>
      <c r="E16" s="35" t="str">
        <f>IF(A16="","",VLOOKUP($A16,Articles!A:J,3,0))</f>
        <v>le kg</v>
      </c>
      <c r="F16" s="18">
        <v>5</v>
      </c>
      <c r="G16" s="19">
        <f>IF(A16="","",VLOOKUP($A16,Articles!A:J,4,0))</f>
        <v>7</v>
      </c>
      <c r="H16" s="19">
        <f>IFERROR(F16*G16,"")</f>
        <v>35</v>
      </c>
      <c r="I16" s="43"/>
      <c r="J16" s="44"/>
      <c r="K16" s="44"/>
      <c r="L16" s="44"/>
      <c r="M16" s="36"/>
      <c r="N16" s="36"/>
    </row>
    <row r="17" spans="1:14" s="17" customFormat="1" ht="15" customHeight="1">
      <c r="A17" s="24" t="s">
        <v>48</v>
      </c>
      <c r="B17" s="177" t="str">
        <f>IF(A17="","",VLOOKUP($A17,Articles!A:J,2,0))</f>
        <v>CÉLERI-BRANCHE France biologique</v>
      </c>
      <c r="C17" s="178"/>
      <c r="D17" s="179"/>
      <c r="E17" s="35" t="str">
        <f>IF(A17="","",VLOOKUP($A17,Articles!A:J,3,0))</f>
        <v>le kg</v>
      </c>
      <c r="F17" s="18">
        <v>2</v>
      </c>
      <c r="G17" s="19">
        <f>IF(A17="","",VLOOKUP($A17,Articles!A:J,4,0))</f>
        <v>0</v>
      </c>
      <c r="H17" s="19">
        <f t="shared" ref="H17:H25" si="0">IFERROR(F17*G17,"")</f>
        <v>0</v>
      </c>
      <c r="I17" s="43"/>
      <c r="J17" s="44"/>
      <c r="K17" s="44"/>
      <c r="L17" s="44"/>
      <c r="M17" s="36"/>
      <c r="N17" s="36"/>
    </row>
    <row r="18" spans="1:14" s="17" customFormat="1" ht="15" customHeight="1">
      <c r="A18" s="24" t="s">
        <v>46</v>
      </c>
      <c r="B18" s="177" t="str">
        <f>IF(A18="","",VLOOKUP($A18,Articles!A:J,2,0))</f>
        <v>CAROTTE France avec fane biologique</v>
      </c>
      <c r="C18" s="178"/>
      <c r="D18" s="179"/>
      <c r="E18" s="35" t="str">
        <f>IF(A18="","",VLOOKUP($A18,Articles!A:J,3,0))</f>
        <v>la botte</v>
      </c>
      <c r="F18" s="18">
        <v>6</v>
      </c>
      <c r="G18" s="19">
        <f>IF(A18="","",VLOOKUP($A18,Articles!A:J,4,0))</f>
        <v>1.7</v>
      </c>
      <c r="H18" s="19">
        <f t="shared" si="0"/>
        <v>10.199999999999999</v>
      </c>
      <c r="I18" s="43"/>
      <c r="J18" s="44"/>
      <c r="K18" s="44"/>
      <c r="L18" s="44"/>
      <c r="M18" s="36"/>
      <c r="N18" s="36"/>
    </row>
    <row r="19" spans="1:14" s="17" customFormat="1" ht="15" customHeight="1">
      <c r="A19" s="24" t="s">
        <v>47</v>
      </c>
      <c r="B19" s="177" t="str">
        <f>IF(A19="","",VLOOKUP($A19,Articles!A:J,2,0))</f>
        <v>CAROTTE France lavée biologique</v>
      </c>
      <c r="C19" s="178"/>
      <c r="D19" s="179"/>
      <c r="E19" s="35" t="str">
        <f>IF(A19="","",VLOOKUP($A19,Articles!A:J,3,0))</f>
        <v>le kg</v>
      </c>
      <c r="F19" s="18">
        <v>1</v>
      </c>
      <c r="G19" s="19">
        <f>IF(A19="","",VLOOKUP($A19,Articles!A:J,4,0))</f>
        <v>1.4</v>
      </c>
      <c r="H19" s="19">
        <f t="shared" si="0"/>
        <v>1.4</v>
      </c>
      <c r="I19" s="43"/>
      <c r="J19" s="44"/>
      <c r="K19" s="44"/>
      <c r="L19" s="44"/>
      <c r="M19" s="36"/>
      <c r="N19" s="36"/>
    </row>
    <row r="20" spans="1:14" s="17" customFormat="1" ht="15" customHeight="1">
      <c r="A20" s="24"/>
      <c r="B20" s="177" t="str">
        <f>IF(A20="","",VLOOKUP($A20,Articles!A:J,2,0))</f>
        <v/>
      </c>
      <c r="C20" s="178"/>
      <c r="D20" s="179"/>
      <c r="E20" s="35" t="str">
        <f>IF(A20="","",VLOOKUP($A20,Articles!A:J,3,0))</f>
        <v/>
      </c>
      <c r="F20" s="18"/>
      <c r="G20" s="19" t="str">
        <f>IF(A20="","",VLOOKUP($A20,Articles!A:J,4,0))</f>
        <v/>
      </c>
      <c r="H20" s="19" t="str">
        <f t="shared" si="0"/>
        <v/>
      </c>
      <c r="I20" s="36"/>
      <c r="J20" s="36"/>
      <c r="K20" s="36"/>
      <c r="L20" s="36"/>
      <c r="M20" s="36"/>
      <c r="N20" s="36"/>
    </row>
    <row r="21" spans="1:14" s="17" customFormat="1" ht="15" customHeight="1">
      <c r="A21" s="24"/>
      <c r="B21" s="177" t="str">
        <f>IF(A21="","",VLOOKUP($A21,Articles!A:J,2,0))</f>
        <v/>
      </c>
      <c r="C21" s="178"/>
      <c r="D21" s="179"/>
      <c r="E21" s="35" t="str">
        <f>IF(A21="","",VLOOKUP($A21,Articles!A:J,3,0))</f>
        <v/>
      </c>
      <c r="F21" s="18"/>
      <c r="G21" s="19" t="str">
        <f>IF(A21="","",VLOOKUP($A21,Articles!A:J,4,0))</f>
        <v/>
      </c>
      <c r="H21" s="19" t="str">
        <f t="shared" si="0"/>
        <v/>
      </c>
      <c r="I21" s="36"/>
      <c r="J21" s="36"/>
      <c r="K21" s="36"/>
      <c r="L21" s="36"/>
      <c r="M21" s="36"/>
      <c r="N21" s="36"/>
    </row>
    <row r="22" spans="1:14" s="17" customFormat="1" ht="15" customHeight="1">
      <c r="A22" s="24"/>
      <c r="B22" s="177" t="str">
        <f>IF(A22="","",VLOOKUP($A22,Articles!A:J,2,0))</f>
        <v/>
      </c>
      <c r="C22" s="178"/>
      <c r="D22" s="179"/>
      <c r="E22" s="35" t="str">
        <f>IF(A22="","",VLOOKUP($A22,Articles!A:J,3,0))</f>
        <v/>
      </c>
      <c r="F22" s="18"/>
      <c r="G22" s="19" t="str">
        <f>IF(A22="","",VLOOKUP($A22,Articles!A:J,4,0))</f>
        <v/>
      </c>
      <c r="H22" s="19" t="str">
        <f t="shared" si="0"/>
        <v/>
      </c>
      <c r="I22" s="41"/>
      <c r="J22" s="42"/>
      <c r="K22" s="42"/>
      <c r="L22" s="42"/>
      <c r="M22" s="36"/>
      <c r="N22" s="36"/>
    </row>
    <row r="23" spans="1:14" s="17" customFormat="1" ht="15" customHeight="1">
      <c r="A23" s="24"/>
      <c r="B23" s="177" t="str">
        <f>IF(A23="","",VLOOKUP($A23,Articles!A:J,2,0))</f>
        <v/>
      </c>
      <c r="C23" s="178"/>
      <c r="D23" s="179"/>
      <c r="E23" s="35" t="str">
        <f>IF(A23="","",VLOOKUP($A23,Articles!A:J,3,0))</f>
        <v/>
      </c>
      <c r="F23" s="18"/>
      <c r="G23" s="19" t="str">
        <f>IF(A23="","",VLOOKUP($A23,Articles!A:J,4,0))</f>
        <v/>
      </c>
      <c r="H23" s="19" t="str">
        <f t="shared" si="0"/>
        <v/>
      </c>
      <c r="I23" s="41"/>
      <c r="J23" s="42"/>
      <c r="K23" s="42"/>
      <c r="L23" s="42"/>
      <c r="M23" s="36"/>
      <c r="N23" s="36"/>
    </row>
    <row r="24" spans="1:14" s="17" customFormat="1" ht="15" customHeight="1">
      <c r="A24" s="24"/>
      <c r="B24" s="177" t="str">
        <f>IF(A24="","",VLOOKUP($A24,Articles!A:J,2,0))</f>
        <v/>
      </c>
      <c r="C24" s="178"/>
      <c r="D24" s="179"/>
      <c r="E24" s="35" t="str">
        <f>IF(A24="","",VLOOKUP($A24,Articles!A:J,3,0))</f>
        <v/>
      </c>
      <c r="F24" s="18"/>
      <c r="G24" s="19" t="str">
        <f>IF(A24="","",VLOOKUP($A24,Articles!A:J,4,0))</f>
        <v/>
      </c>
      <c r="H24" s="19" t="str">
        <f t="shared" si="0"/>
        <v/>
      </c>
      <c r="I24" s="41"/>
      <c r="J24" s="42"/>
      <c r="K24" s="42"/>
      <c r="L24" s="42"/>
      <c r="M24" s="36"/>
      <c r="N24" s="36"/>
    </row>
    <row r="25" spans="1:14" s="17" customFormat="1" ht="15" customHeight="1">
      <c r="A25" s="24"/>
      <c r="B25" s="177" t="str">
        <f>IF(A25="","",VLOOKUP($A25,Articles!A:J,2,0))</f>
        <v/>
      </c>
      <c r="C25" s="178"/>
      <c r="D25" s="179"/>
      <c r="E25" s="35" t="str">
        <f>IF(A25="","",VLOOKUP($A25,Articles!A:J,3,0))</f>
        <v/>
      </c>
      <c r="F25" s="18"/>
      <c r="G25" s="19" t="str">
        <f>IF(A25="","",VLOOKUP($A25,Articles!A:J,4,0))</f>
        <v/>
      </c>
      <c r="H25" s="19" t="str">
        <f t="shared" si="0"/>
        <v/>
      </c>
      <c r="I25" s="41"/>
      <c r="J25" s="42"/>
      <c r="K25" s="42"/>
      <c r="L25" s="42"/>
      <c r="M25" s="36"/>
      <c r="N25" s="36"/>
    </row>
    <row r="26" spans="1:14" s="10" customFormat="1" ht="15" customHeight="1">
      <c r="A26" s="59"/>
      <c r="B26" s="45"/>
      <c r="C26" s="45"/>
      <c r="D26" s="45"/>
      <c r="E26" s="45"/>
      <c r="F26" s="8"/>
      <c r="G26" s="180" t="s">
        <v>197</v>
      </c>
      <c r="H26" s="192">
        <f>SUM(H16:H25)</f>
        <v>46.6</v>
      </c>
      <c r="I26" s="20"/>
      <c r="J26" s="21"/>
      <c r="K26" s="20"/>
      <c r="L26" s="9"/>
      <c r="M26" s="194"/>
      <c r="N26" s="194"/>
    </row>
    <row r="27" spans="1:14" s="10" customFormat="1" ht="15" customHeight="1">
      <c r="A27" s="59" t="s">
        <v>187</v>
      </c>
      <c r="B27"/>
      <c r="C27"/>
      <c r="D27" s="45"/>
      <c r="E27" s="45"/>
      <c r="F27" s="45"/>
      <c r="G27" s="181"/>
      <c r="H27" s="193"/>
      <c r="I27" s="195"/>
      <c r="J27" s="195"/>
      <c r="K27" s="195"/>
      <c r="L27" s="9"/>
      <c r="M27" s="196"/>
      <c r="N27" s="196"/>
    </row>
    <row r="28" spans="1:14" s="10" customFormat="1" ht="15" customHeight="1">
      <c r="A28" t="s">
        <v>188</v>
      </c>
      <c r="B28" s="2"/>
      <c r="C28"/>
      <c r="D28" s="8"/>
      <c r="E28" s="8"/>
      <c r="F28" s="55">
        <f>0.3*H26</f>
        <v>13.98</v>
      </c>
      <c r="G28" s="49"/>
      <c r="H28" s="50"/>
      <c r="I28" s="38"/>
      <c r="J28" s="38"/>
      <c r="K28" s="38"/>
      <c r="L28" s="45"/>
      <c r="M28" s="37"/>
      <c r="N28" s="37"/>
    </row>
    <row r="29" spans="1:14" s="10" customFormat="1" ht="15" customHeight="1">
      <c r="A29" t="s">
        <v>198</v>
      </c>
      <c r="B29"/>
      <c r="C29"/>
      <c r="D29" s="48"/>
      <c r="E29" s="8"/>
      <c r="F29" s="55">
        <f>0.7*H26</f>
        <v>32.619999999999997</v>
      </c>
      <c r="G29" s="8"/>
      <c r="H29" s="8"/>
      <c r="I29" s="22"/>
      <c r="J29" s="9"/>
      <c r="K29" s="9"/>
      <c r="L29" s="45"/>
      <c r="M29" s="196"/>
      <c r="N29" s="196"/>
    </row>
    <row r="30" spans="1:14" s="76" customFormat="1" ht="15" customHeight="1">
      <c r="A30" s="69"/>
      <c r="B30" s="69"/>
      <c r="C30" s="69"/>
      <c r="D30" s="70"/>
      <c r="E30" s="71"/>
      <c r="F30" s="56"/>
      <c r="G30" s="71"/>
      <c r="H30" s="71"/>
      <c r="I30" s="72"/>
      <c r="J30" s="73"/>
      <c r="K30" s="73"/>
      <c r="L30" s="74"/>
      <c r="M30" s="75"/>
      <c r="N30" s="75"/>
    </row>
    <row r="31" spans="1:14" s="10" customFormat="1" ht="15" customHeight="1">
      <c r="A31" t="s">
        <v>195</v>
      </c>
      <c r="B31"/>
      <c r="C31"/>
      <c r="D31" s="48"/>
      <c r="E31" s="8"/>
      <c r="F31" s="56"/>
      <c r="G31" s="8"/>
      <c r="H31" s="8"/>
      <c r="I31" s="22"/>
      <c r="J31" s="9"/>
      <c r="K31" s="9"/>
      <c r="L31" s="45"/>
      <c r="M31" s="63"/>
      <c r="N31" s="63"/>
    </row>
    <row r="32" spans="1:14" s="10" customFormat="1" ht="15" customHeight="1">
      <c r="A32" t="s">
        <v>196</v>
      </c>
      <c r="B32"/>
      <c r="C32"/>
      <c r="D32" s="48"/>
      <c r="E32" s="8"/>
      <c r="F32" s="56"/>
      <c r="G32" s="8"/>
      <c r="H32" s="8"/>
      <c r="I32" s="22"/>
      <c r="J32" s="9"/>
      <c r="K32" s="9"/>
      <c r="L32" s="45"/>
      <c r="M32" s="63"/>
      <c r="N32" s="63"/>
    </row>
    <row r="33" spans="1:14" s="10" customFormat="1" ht="15" customHeight="1">
      <c r="A33" s="67"/>
      <c r="B33"/>
      <c r="C33"/>
      <c r="D33" s="48"/>
      <c r="E33" s="8"/>
      <c r="F33" s="56"/>
      <c r="G33" s="8"/>
      <c r="H33" s="8"/>
      <c r="I33" s="22"/>
      <c r="J33" s="9"/>
      <c r="K33" s="9"/>
      <c r="L33" s="45"/>
      <c r="M33" s="63"/>
      <c r="N33" s="63"/>
    </row>
    <row r="34" spans="1:14" s="10" customFormat="1" ht="15" customHeight="1">
      <c r="A34" s="197" t="s">
        <v>191</v>
      </c>
      <c r="B34" s="197"/>
      <c r="C34" s="197"/>
      <c r="D34" s="197"/>
      <c r="E34" s="197"/>
      <c r="F34" s="197"/>
      <c r="G34" s="197"/>
      <c r="H34" s="197"/>
      <c r="I34" s="22"/>
      <c r="J34" s="9"/>
      <c r="K34" s="9"/>
      <c r="L34" s="9"/>
      <c r="M34" s="63"/>
      <c r="N34" s="63"/>
    </row>
    <row r="35" spans="1:14" s="10" customFormat="1" ht="15" customHeight="1">
      <c r="A35" s="197"/>
      <c r="B35" s="197"/>
      <c r="C35" s="197"/>
      <c r="D35" s="197"/>
      <c r="E35" s="197"/>
      <c r="F35" s="197"/>
      <c r="G35" s="197"/>
      <c r="H35" s="197"/>
      <c r="I35" s="22"/>
      <c r="J35" s="9"/>
      <c r="K35" s="9"/>
      <c r="L35" s="9"/>
      <c r="M35" s="63"/>
      <c r="N35" s="63"/>
    </row>
    <row r="36" spans="1:14" s="10" customFormat="1" ht="15" customHeight="1">
      <c r="A36" s="45"/>
      <c r="B36" s="8"/>
      <c r="C36" s="8"/>
      <c r="D36" s="8"/>
      <c r="E36" s="8"/>
      <c r="F36" s="8"/>
      <c r="G36" s="8"/>
      <c r="H36" s="8"/>
      <c r="I36" s="22"/>
      <c r="J36" s="59"/>
      <c r="K36" s="59"/>
      <c r="L36"/>
      <c r="M36" s="45"/>
      <c r="N36" s="63"/>
    </row>
    <row r="37" spans="1:14" s="10" customFormat="1" ht="15" customHeight="1">
      <c r="A37" s="45"/>
      <c r="B37" s="45"/>
      <c r="C37" s="45"/>
      <c r="D37" s="45"/>
      <c r="E37" s="45"/>
      <c r="F37" s="45"/>
      <c r="G37" s="8"/>
      <c r="H37" s="8"/>
      <c r="I37" s="22"/>
      <c r="J37"/>
      <c r="K37"/>
      <c r="L37"/>
      <c r="M37" s="8"/>
      <c r="N37" s="52"/>
    </row>
    <row r="38" spans="1:14" s="10" customFormat="1" ht="15" customHeight="1">
      <c r="A38"/>
      <c r="B38"/>
      <c r="C38"/>
      <c r="D38" s="48"/>
      <c r="E38" s="8"/>
      <c r="F38" s="56"/>
      <c r="G38" s="8"/>
      <c r="H38" s="8"/>
      <c r="I38" s="22"/>
      <c r="J38" s="9"/>
      <c r="K38" s="9"/>
      <c r="L38" s="9"/>
      <c r="M38" s="52"/>
      <c r="N38" s="52"/>
    </row>
    <row r="39" spans="1:14" s="10" customFormat="1" ht="15" customHeight="1">
      <c r="A39" s="201" t="s">
        <v>164</v>
      </c>
      <c r="B39" s="201"/>
      <c r="C39" s="201"/>
      <c r="D39" s="201" t="s">
        <v>189</v>
      </c>
      <c r="E39" s="201"/>
      <c r="F39" s="201"/>
      <c r="G39" s="201"/>
      <c r="H39" s="201"/>
      <c r="I39" s="22"/>
      <c r="J39" s="9"/>
      <c r="K39" s="9"/>
      <c r="L39" s="9"/>
      <c r="M39" s="52"/>
      <c r="N39" s="52"/>
    </row>
    <row r="40" spans="1:14" s="10" customFormat="1" ht="15" customHeight="1">
      <c r="A40" s="200" t="s">
        <v>163</v>
      </c>
      <c r="B40" s="200"/>
      <c r="C40" s="200"/>
      <c r="D40" s="48"/>
      <c r="E40" s="8"/>
      <c r="F40" s="56"/>
      <c r="G40" s="8"/>
      <c r="H40" s="8"/>
      <c r="I40" s="22"/>
      <c r="J40" s="9"/>
      <c r="K40" s="9"/>
      <c r="L40" s="9"/>
      <c r="M40" s="52"/>
      <c r="N40" s="52"/>
    </row>
    <row r="41" spans="1:14" s="10" customFormat="1" ht="15" customHeight="1">
      <c r="A41" s="40"/>
      <c r="B41" s="40"/>
      <c r="C41" s="40"/>
      <c r="D41" s="58" t="s">
        <v>190</v>
      </c>
      <c r="E41" s="8"/>
      <c r="F41" s="54"/>
      <c r="G41" s="58" t="s">
        <v>192</v>
      </c>
      <c r="H41" s="8"/>
      <c r="I41" s="22"/>
      <c r="J41" s="9"/>
      <c r="K41" s="9"/>
      <c r="L41" s="9"/>
      <c r="M41" s="37"/>
      <c r="N41" s="37"/>
    </row>
    <row r="42" spans="1:14" s="10" customFormat="1" ht="15" customHeight="1">
      <c r="A42" s="57"/>
      <c r="B42" s="57"/>
      <c r="C42" s="57"/>
      <c r="D42" s="68"/>
      <c r="E42" s="64"/>
      <c r="F42" s="64"/>
      <c r="G42" s="64"/>
      <c r="H42" s="57"/>
      <c r="I42" s="22"/>
      <c r="J42" s="9"/>
      <c r="K42" s="9"/>
      <c r="L42" s="9"/>
      <c r="M42" s="52"/>
      <c r="N42" s="52"/>
    </row>
    <row r="43" spans="1:14" s="10" customFormat="1" ht="15" customHeight="1">
      <c r="A43" s="57"/>
      <c r="B43" s="57"/>
      <c r="C43" s="57"/>
      <c r="D43" s="68"/>
      <c r="E43" s="57"/>
      <c r="F43" s="57"/>
      <c r="G43" s="57"/>
      <c r="H43" s="57"/>
      <c r="I43" s="22"/>
      <c r="J43" s="9"/>
      <c r="K43" s="9"/>
      <c r="L43" s="9"/>
      <c r="M43" s="52"/>
      <c r="N43" s="52"/>
    </row>
    <row r="44" spans="1:14" s="10" customFormat="1" ht="15" customHeight="1">
      <c r="A44" s="51"/>
      <c r="B44" s="51"/>
      <c r="C44" s="51"/>
      <c r="D44" s="51"/>
      <c r="E44" s="8"/>
      <c r="F44" s="54"/>
      <c r="G44" s="8"/>
      <c r="H44" s="8"/>
      <c r="I44" s="22"/>
      <c r="J44" s="9"/>
      <c r="K44" s="9"/>
      <c r="L44" s="9"/>
      <c r="M44" s="52"/>
      <c r="N44" s="52"/>
    </row>
    <row r="45" spans="1:14" s="10" customFormat="1" ht="13.5" customHeight="1">
      <c r="A45" s="200"/>
      <c r="B45" s="200"/>
      <c r="C45" s="200"/>
      <c r="D45" s="51"/>
      <c r="E45" s="8"/>
      <c r="F45" s="8"/>
      <c r="G45" s="8"/>
      <c r="H45" s="8"/>
      <c r="I45" s="9"/>
      <c r="J45" s="9"/>
      <c r="K45" s="9"/>
      <c r="L45" s="9"/>
      <c r="M45" s="9"/>
      <c r="N45" s="9"/>
    </row>
    <row r="46" spans="1:14" s="10" customFormat="1" ht="13.5" customHeight="1">
      <c r="A46" s="47"/>
      <c r="B46" s="47"/>
      <c r="C46" s="47"/>
      <c r="D46" s="47"/>
      <c r="E46" s="46"/>
      <c r="F46" s="8"/>
      <c r="G46" s="8"/>
      <c r="H46" s="8"/>
      <c r="I46" s="9"/>
      <c r="J46" s="9"/>
      <c r="K46" s="9"/>
      <c r="L46" s="9"/>
      <c r="M46" s="9"/>
      <c r="N46" s="9"/>
    </row>
    <row r="47" spans="1:14" ht="12.75" customHeight="1">
      <c r="A47" s="47"/>
      <c r="B47" s="47"/>
      <c r="C47" s="47"/>
      <c r="D47" s="47"/>
      <c r="E47" s="46"/>
      <c r="F47" s="8"/>
      <c r="G47" s="8"/>
      <c r="H47" s="8"/>
      <c r="I47" s="9"/>
      <c r="J47" s="9"/>
      <c r="K47" s="9"/>
      <c r="L47" s="9"/>
      <c r="M47" s="9"/>
      <c r="N47" s="9"/>
    </row>
    <row r="48" spans="1:14" ht="15" customHeight="1">
      <c r="A48" s="47"/>
      <c r="B48" s="47"/>
      <c r="C48" s="47"/>
      <c r="D48" s="47"/>
      <c r="E48" s="46"/>
      <c r="F48" s="8"/>
      <c r="G48" s="8"/>
      <c r="H48" s="8"/>
      <c r="I48" s="9"/>
      <c r="J48" s="9"/>
      <c r="K48" s="9"/>
      <c r="L48" s="9"/>
      <c r="M48" s="9"/>
      <c r="N48" s="9"/>
    </row>
    <row r="49" spans="1:14" ht="15" customHeight="1">
      <c r="A49" s="47"/>
      <c r="B49" s="47"/>
      <c r="C49" s="47"/>
      <c r="D49" s="47"/>
      <c r="E49" s="47"/>
      <c r="F49" s="8"/>
      <c r="G49" s="8"/>
      <c r="H49" s="8"/>
      <c r="I49" s="9"/>
      <c r="J49" s="9"/>
      <c r="K49" s="9"/>
      <c r="L49" s="9"/>
      <c r="M49" s="9"/>
      <c r="N49" s="9"/>
    </row>
    <row r="50" spans="1:14" ht="15" customHeight="1">
      <c r="A50" s="77"/>
      <c r="B50" s="77"/>
      <c r="C50" s="77"/>
      <c r="D50" s="77"/>
      <c r="E50" s="8"/>
      <c r="F50" s="8"/>
      <c r="G50" s="8"/>
      <c r="H50" s="8"/>
      <c r="I50" s="9"/>
      <c r="J50" s="9"/>
      <c r="K50" s="9"/>
      <c r="L50" s="9"/>
      <c r="M50" s="9"/>
      <c r="N50" s="9"/>
    </row>
    <row r="51" spans="1:14" ht="15" customHeight="1">
      <c r="A51" s="39"/>
      <c r="B51" s="39"/>
      <c r="C51" s="39"/>
      <c r="D51" s="39"/>
      <c r="E51" s="8"/>
      <c r="F51" s="8"/>
      <c r="G51" s="8"/>
      <c r="H51" s="8"/>
      <c r="I51" s="9"/>
      <c r="J51" s="9"/>
      <c r="K51" s="9"/>
      <c r="L51" s="9"/>
      <c r="M51" s="9"/>
      <c r="N51" s="9"/>
    </row>
    <row r="52" spans="1:14" ht="15" customHeight="1">
      <c r="A52" s="39"/>
      <c r="B52" s="39"/>
      <c r="C52" s="39"/>
      <c r="D52" s="39"/>
      <c r="E52" s="8"/>
      <c r="F52" s="8"/>
      <c r="G52" s="8"/>
      <c r="H52" s="8"/>
      <c r="I52" s="9"/>
      <c r="J52" s="9"/>
      <c r="K52" s="9"/>
      <c r="L52" s="9"/>
      <c r="M52" s="9"/>
      <c r="N52" s="9"/>
    </row>
    <row r="53" spans="1:14" ht="15" customHeight="1">
      <c r="A53" s="198"/>
      <c r="B53" s="199"/>
      <c r="C53" s="199"/>
      <c r="D53" s="199"/>
      <c r="E53" s="8"/>
      <c r="F53" s="8"/>
      <c r="G53" s="8"/>
      <c r="H53" s="8"/>
      <c r="I53" s="9"/>
      <c r="J53" s="9"/>
      <c r="K53" s="9"/>
      <c r="L53" s="9"/>
      <c r="M53" s="9"/>
      <c r="N53" s="9"/>
    </row>
    <row r="54" spans="1:14">
      <c r="I54" s="9"/>
      <c r="J54" s="9"/>
      <c r="K54" s="9"/>
      <c r="L54" s="9"/>
      <c r="M54" s="9"/>
      <c r="N54" s="9"/>
    </row>
    <row r="55" spans="1:14">
      <c r="I55" s="9"/>
      <c r="J55" s="9"/>
      <c r="K55" s="9"/>
      <c r="L55" s="9"/>
      <c r="M55" s="9"/>
      <c r="N55" s="9"/>
    </row>
    <row r="56" spans="1:14">
      <c r="I56" s="9"/>
      <c r="J56" s="9"/>
      <c r="K56" s="9"/>
      <c r="L56" s="9"/>
      <c r="M56" s="9"/>
      <c r="N56" s="9"/>
    </row>
    <row r="57" spans="1:14">
      <c r="I57" s="9"/>
      <c r="J57" s="9"/>
      <c r="K57" s="9"/>
      <c r="L57" s="9"/>
      <c r="M57" s="9"/>
      <c r="N57" s="9"/>
    </row>
  </sheetData>
  <mergeCells count="30">
    <mergeCell ref="A53:D53"/>
    <mergeCell ref="M29:N29"/>
    <mergeCell ref="A45:C45"/>
    <mergeCell ref="A39:C39"/>
    <mergeCell ref="A40:C40"/>
    <mergeCell ref="D39:H39"/>
    <mergeCell ref="H26:H27"/>
    <mergeCell ref="M26:N26"/>
    <mergeCell ref="I27:K27"/>
    <mergeCell ref="M27:N27"/>
    <mergeCell ref="A34:H35"/>
    <mergeCell ref="L1:N1"/>
    <mergeCell ref="F4:G4"/>
    <mergeCell ref="E6:H6"/>
    <mergeCell ref="B15:D15"/>
    <mergeCell ref="I15:K15"/>
    <mergeCell ref="B19:D19"/>
    <mergeCell ref="A1:C5"/>
    <mergeCell ref="F1:H1"/>
    <mergeCell ref="B16:D16"/>
    <mergeCell ref="B17:D17"/>
    <mergeCell ref="B18:D18"/>
    <mergeCell ref="F2:H2"/>
    <mergeCell ref="B25:D25"/>
    <mergeCell ref="G26:G27"/>
    <mergeCell ref="B20:D20"/>
    <mergeCell ref="B21:D21"/>
    <mergeCell ref="B22:D22"/>
    <mergeCell ref="B23:D23"/>
    <mergeCell ref="B24:D24"/>
  </mergeCells>
  <dataValidations count="4">
    <dataValidation type="list" allowBlank="1" showInputMessage="1" showErrorMessage="1" sqref="B11">
      <formula1>"Mr DRAULT Thierry, Mr DOS SANTOS Sébastien, Mr PHILIPPONNEAU Luc"</formula1>
    </dataValidation>
    <dataValidation type="list" allowBlank="1" showInputMessage="1" showErrorMessage="1" sqref="B13:B14">
      <formula1>"luc.philipponneau@grand-chatellerault.fr,sebastien.dos santos@grand-chatellerault.fr,thierry.drault@grand-chatellerault.fr"</formula1>
    </dataValidation>
    <dataValidation type="list" allowBlank="1" showInputMessage="1" showErrorMessage="1" sqref="F1:H1">
      <formula1>" Devis pour Titre, Devis"</formula1>
    </dataValidation>
    <dataValidation type="list" allowBlank="1" showInputMessage="1" showErrorMessage="1" sqref="B12">
      <formula1>"Numéro pro"</formula1>
    </dataValidation>
  </dataValidations>
  <printOptions horizontalCentered="1"/>
  <pageMargins left="0.19685039370078741" right="0.19685039370078741" top="0.74803149606299213" bottom="0.35433070866141736" header="0.31496062992125984" footer="0.31496062992125984"/>
  <pageSetup paperSize="9" orientation="portrait"/>
  <headerFooter alignWithMargins="0">
    <oddHeader>&amp;CRégie Chantier d'Insertion GRAND CHÂTELLERAULT n° 253037 
créée par l'arrêté n° 2016/31 de la Communauté d'Agglomération de GRAND CHÂTELLERAULT</oddHeader>
    <oddFooter>&amp;CCommunauté d'Agglomération de GRAND CHÂTELLERAULT 
Régie de recettes du Chantier d'Insertion Site de PLEUMARTIN
27 Avenue jourde 86450 PLEUMARTIN
Tel: 05 49 20 15 64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L10"/>
  <sheetViews>
    <sheetView workbookViewId="0">
      <selection activeCell="I24" sqref="I24"/>
    </sheetView>
  </sheetViews>
  <sheetFormatPr baseColWidth="10" defaultRowHeight="14" x14ac:dyDescent="0"/>
  <sheetData>
    <row r="1" spans="1:12">
      <c r="A1" s="175" t="s">
        <v>362</v>
      </c>
      <c r="B1" s="174"/>
      <c r="C1" s="174"/>
      <c r="D1" s="174"/>
      <c r="E1" s="174"/>
      <c r="F1" s="174"/>
      <c r="G1" s="174"/>
      <c r="H1" s="174"/>
      <c r="I1" s="174"/>
      <c r="J1" s="174"/>
      <c r="K1" s="174"/>
      <c r="L1" s="174"/>
    </row>
    <row r="2" spans="1:12">
      <c r="A2" s="174" t="s">
        <v>363</v>
      </c>
      <c r="B2" s="174"/>
      <c r="C2" s="174"/>
      <c r="D2" s="174"/>
      <c r="E2" s="174"/>
      <c r="F2" s="174"/>
      <c r="G2" s="174"/>
      <c r="H2" s="174"/>
      <c r="I2" s="174"/>
      <c r="J2" s="174"/>
      <c r="K2" s="174"/>
      <c r="L2" s="174"/>
    </row>
    <row r="3" spans="1:12">
      <c r="A3" s="174" t="s">
        <v>366</v>
      </c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</row>
    <row r="4" spans="1:12">
      <c r="A4" s="175" t="s">
        <v>367</v>
      </c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</row>
    <row r="5" spans="1:12">
      <c r="A5" s="174" t="s">
        <v>365</v>
      </c>
      <c r="B5" s="174"/>
      <c r="C5" s="174"/>
      <c r="D5" s="174"/>
      <c r="E5" s="174"/>
      <c r="F5" s="174"/>
      <c r="G5" s="174"/>
      <c r="H5" s="174"/>
      <c r="I5" s="174"/>
      <c r="J5" s="174"/>
      <c r="K5" s="174"/>
      <c r="L5" s="174"/>
    </row>
    <row r="6" spans="1:12">
      <c r="A6" s="174" t="s">
        <v>364</v>
      </c>
      <c r="B6" s="174"/>
      <c r="C6" s="174"/>
      <c r="D6" s="174"/>
      <c r="E6" s="174"/>
      <c r="F6" s="174"/>
      <c r="G6" s="174"/>
      <c r="H6" s="174"/>
      <c r="I6" s="174"/>
      <c r="J6" s="174"/>
      <c r="K6" s="174"/>
      <c r="L6" s="174"/>
    </row>
    <row r="7" spans="1:12">
      <c r="A7" s="174"/>
      <c r="B7" s="174"/>
      <c r="C7" s="174"/>
      <c r="D7" s="174"/>
      <c r="E7" s="174"/>
      <c r="F7" s="174"/>
      <c r="G7" s="174"/>
      <c r="H7" s="174"/>
      <c r="I7" s="174"/>
      <c r="J7" s="174"/>
      <c r="K7" s="174"/>
      <c r="L7" s="174"/>
    </row>
    <row r="8" spans="1:12">
      <c r="A8" s="175" t="s">
        <v>368</v>
      </c>
      <c r="B8" s="174"/>
      <c r="C8" s="174"/>
      <c r="D8" s="174"/>
      <c r="E8" s="174"/>
      <c r="F8" s="174"/>
      <c r="G8" s="174"/>
      <c r="H8" s="174"/>
      <c r="I8" s="174"/>
      <c r="J8" s="174"/>
      <c r="K8" s="174"/>
      <c r="L8" s="174"/>
    </row>
    <row r="9" spans="1:12">
      <c r="A9" s="176" t="s">
        <v>369</v>
      </c>
      <c r="B9" s="174"/>
      <c r="C9" s="174"/>
      <c r="D9" s="174"/>
      <c r="E9" s="174"/>
      <c r="F9" s="174"/>
      <c r="G9" s="174"/>
      <c r="H9" s="174"/>
      <c r="I9" s="174"/>
      <c r="J9" s="174"/>
      <c r="K9" s="174"/>
      <c r="L9" s="174"/>
    </row>
    <row r="10" spans="1:12">
      <c r="A10" s="176" t="s">
        <v>370</v>
      </c>
      <c r="B10" s="174"/>
      <c r="C10" s="174"/>
      <c r="D10" s="174"/>
      <c r="E10" s="174"/>
      <c r="F10" s="174"/>
      <c r="G10" s="174"/>
      <c r="H10" s="174"/>
      <c r="I10" s="174"/>
      <c r="J10" s="174"/>
      <c r="K10" s="174"/>
      <c r="L10" s="174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Articles</vt:lpstr>
      <vt:lpstr>Clients</vt:lpstr>
      <vt:lpstr>Facture</vt:lpstr>
      <vt:lpstr>Paramétres</vt:lpstr>
      <vt:lpstr>H_Facture</vt:lpstr>
      <vt:lpstr>Devis</vt:lpstr>
      <vt:lpstr>H_Devis</vt:lpstr>
      <vt:lpstr>gardé pour logo mais a suppr</vt:lpstr>
      <vt:lpstr>RQS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philipponneau</dc:creator>
  <cp:lastModifiedBy>Guillaume Beth</cp:lastModifiedBy>
  <cp:lastPrinted>2020-10-01T12:45:04Z</cp:lastPrinted>
  <dcterms:created xsi:type="dcterms:W3CDTF">2020-09-25T09:08:05Z</dcterms:created>
  <dcterms:modified xsi:type="dcterms:W3CDTF">2020-10-01T13:12:50Z</dcterms:modified>
</cp:coreProperties>
</file>