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ocuments\Excel\XLD\nautes\"/>
    </mc:Choice>
  </mc:AlternateContent>
  <xr:revisionPtr revIDLastSave="0" documentId="13_ncr:1_{9ACA8503-7719-4AF1-AC8B-5805C15282F9}" xr6:coauthVersionLast="47" xr6:coauthVersionMax="47" xr10:uidLastSave="{00000000-0000-0000-0000-000000000000}"/>
  <bookViews>
    <workbookView xWindow="-108" yWindow="-108" windowWidth="23256" windowHeight="12720" activeTab="2" xr2:uid="{00000000-000D-0000-FFFF-FFFF00000000}"/>
  </bookViews>
  <sheets>
    <sheet name="Accueil" sheetId="4" r:id="rId1"/>
    <sheet name="Source" sheetId="1" r:id="rId2"/>
    <sheet name="Organisation" sheetId="3" r:id="rId3"/>
    <sheet name="Tablée du vendredi" sheetId="5" r:id="rId4"/>
    <sheet name="Tablée du samedi" sheetId="6" state="hidden" r:id="rId5"/>
    <sheet name="Tableau croisés" sheetId="7" state="hidden" r:id="rId6"/>
    <sheet name="TableauSource vendredi" sheetId="17" r:id="rId7"/>
    <sheet name="Bilan" sheetId="8" r:id="rId8"/>
    <sheet name="Données" sheetId="2" state="hidden" r:id="rId9"/>
  </sheets>
  <definedNames>
    <definedName name="_xlpm.CCols" hidden="1" xlm="1">#NAME?</definedName>
    <definedName name="_xlpm.Cnt" hidden="1" xlm="1">#NAME?</definedName>
    <definedName name="_xlpm.CoCols" hidden="1" xlm="1">#NAME?</definedName>
    <definedName name="_xlpm.ColCols" hidden="1" xlm="1">#NAME?</definedName>
    <definedName name="_xlpm.ColDCols" hidden="1" xlm="1">#NAME?</definedName>
    <definedName name="_xlpm.ColDeCols" hidden="1" xlm="1">#NAME?</definedName>
    <definedName name="_xlpm.ColDep" hidden="1" xlm="1">#NAME?</definedName>
    <definedName name="_xlpm.ColDepCols" hidden="1" xlm="1">#NAME?</definedName>
    <definedName name="_xlpm.ColPaires" hidden="1" xlm="1">#NAME?</definedName>
    <definedName name="_xlpm.Cols" hidden="1" xlm="1">#NAME?</definedName>
    <definedName name="_xlpm.ColsPaires" hidden="1" xlm="1">#NAME?</definedName>
    <definedName name="_xlpm.CoPaires" hidden="1" xlm="1">#NAME?</definedName>
    <definedName name="_xlpm.CPaires" hidden="1" xlm="1">#NAME?</definedName>
    <definedName name="_xlpm.DCols" hidden="1" xlm="1">#NAME?</definedName>
    <definedName name="_xlpm.DeCols" hidden="1" xlm="1">#NAME?</definedName>
    <definedName name="_xlpm.DepaCols" hidden="1" xlm="1">#NAME?</definedName>
    <definedName name="_xlpm.DeparCols" hidden="1" xlm="1">#NAME?</definedName>
    <definedName name="_xlpm.DepCols" hidden="1" xlm="1">#NAME?</definedName>
    <definedName name="_xlpm.Lgs" hidden="1" xlm="1">#NAME?</definedName>
    <definedName name="_xlpm.Paires" hidden="1" xlm="1">#NAME?</definedName>
    <definedName name="_xlpm.Uniques" hidden="1" xlm="1">#NAME?</definedName>
    <definedName name="DonnéesExternes_1" localSheetId="5" hidden="1">'Tableau croisés'!#REF!</definedName>
    <definedName name="DonnéesExternes_1" localSheetId="6" hidden="1">'TableauSource vendredi'!$A$1:$O$12</definedName>
    <definedName name="jour">Tableau5[Résa pour]</definedName>
    <definedName name="Nom">#REF!</definedName>
    <definedName name="NomPren">TSource[Nom+Prénom]</definedName>
    <definedName name="Non_Placés">_xlfn.ANCHORARRAY(Organisation!$Q$2)</definedName>
    <definedName name="paiement">Tableau2[Moyen de paiement]</definedName>
    <definedName name="payé">Tableau1[Payé ?]</definedName>
    <definedName name="resa">Organisation!$C$8:$C$9</definedName>
    <definedName name="Segment_Etat_paiement">#N/A</definedName>
    <definedName name="Segment_Réservation_pour_le">#N/A</definedName>
    <definedName name="tablée">Source!$M$9:$M$14</definedName>
    <definedName name="Typeresa">Données!$G$2:$G$6</definedName>
  </definedNames>
  <calcPr calcId="191029"/>
  <pivotCaches>
    <pivotCache cacheId="2" r:id="rId10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1"/>
        <x14:slicerCache r:id="rId1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" i="3" l="1" a="1"/>
  <c r="O2" i="3"/>
  <c r="F13" i="5"/>
  <c r="F14" i="5"/>
  <c r="F15" i="5"/>
  <c r="F16" i="5"/>
  <c r="F17" i="5"/>
  <c r="F18" i="5"/>
  <c r="F19" i="5"/>
  <c r="F20" i="5"/>
  <c r="F21" i="5"/>
  <c r="H13" i="5"/>
  <c r="H14" i="5"/>
  <c r="D13" i="5"/>
  <c r="D14" i="5"/>
  <c r="D15" i="5"/>
  <c r="D16" i="5"/>
  <c r="D17" i="5"/>
  <c r="D18" i="5"/>
  <c r="D19" i="5"/>
  <c r="D20" i="5"/>
  <c r="D21" i="5"/>
  <c r="B13" i="5"/>
  <c r="B14" i="5"/>
  <c r="B15" i="5"/>
  <c r="B16" i="5"/>
  <c r="B17" i="5"/>
  <c r="B18" i="5"/>
  <c r="B19" i="5"/>
  <c r="B20" i="5"/>
  <c r="B21" i="5"/>
  <c r="Q2" i="3" l="1" a="1"/>
  <c r="Q2" i="3" s="1"/>
  <c r="K22" i="1"/>
  <c r="L22" i="1"/>
  <c r="M22" i="1"/>
  <c r="N22" i="1"/>
  <c r="O22" i="1"/>
  <c r="B22" i="5" l="1"/>
  <c r="K21" i="1"/>
  <c r="L21" i="1" s="1"/>
  <c r="M21" i="1"/>
  <c r="N21" i="1"/>
  <c r="J13" i="5"/>
  <c r="L13" i="5"/>
  <c r="N13" i="5"/>
  <c r="P13" i="5"/>
  <c r="R13" i="5"/>
  <c r="T13" i="5"/>
  <c r="V13" i="5"/>
  <c r="J14" i="5"/>
  <c r="L14" i="5"/>
  <c r="N14" i="5"/>
  <c r="P14" i="5"/>
  <c r="R14" i="5"/>
  <c r="T14" i="5"/>
  <c r="V14" i="5"/>
  <c r="H15" i="5"/>
  <c r="J15" i="5"/>
  <c r="L15" i="5"/>
  <c r="N15" i="5"/>
  <c r="P15" i="5"/>
  <c r="R15" i="5"/>
  <c r="T15" i="5"/>
  <c r="V15" i="5"/>
  <c r="H16" i="5"/>
  <c r="J16" i="5"/>
  <c r="L16" i="5"/>
  <c r="N16" i="5"/>
  <c r="P16" i="5"/>
  <c r="R16" i="5"/>
  <c r="T16" i="5"/>
  <c r="V16" i="5"/>
  <c r="H17" i="5"/>
  <c r="J17" i="5"/>
  <c r="L17" i="5"/>
  <c r="N17" i="5"/>
  <c r="P17" i="5"/>
  <c r="R17" i="5"/>
  <c r="T17" i="5"/>
  <c r="V17" i="5"/>
  <c r="H18" i="5"/>
  <c r="J18" i="5"/>
  <c r="L18" i="5"/>
  <c r="N18" i="5"/>
  <c r="P18" i="5"/>
  <c r="R18" i="5"/>
  <c r="T18" i="5"/>
  <c r="V18" i="5"/>
  <c r="H19" i="5"/>
  <c r="J19" i="5"/>
  <c r="L19" i="5"/>
  <c r="N19" i="5"/>
  <c r="P19" i="5"/>
  <c r="R19" i="5"/>
  <c r="T19" i="5"/>
  <c r="V19" i="5"/>
  <c r="H20" i="5"/>
  <c r="J20" i="5"/>
  <c r="L20" i="5"/>
  <c r="N20" i="5"/>
  <c r="P20" i="5"/>
  <c r="R20" i="5"/>
  <c r="T20" i="5"/>
  <c r="V20" i="5"/>
  <c r="H21" i="5"/>
  <c r="J21" i="5"/>
  <c r="L21" i="5"/>
  <c r="N21" i="5"/>
  <c r="P21" i="5"/>
  <c r="R21" i="5"/>
  <c r="T21" i="5"/>
  <c r="V21" i="5"/>
  <c r="B27" i="5"/>
  <c r="D27" i="5"/>
  <c r="F27" i="5"/>
  <c r="H27" i="5"/>
  <c r="J27" i="5"/>
  <c r="L27" i="5"/>
  <c r="N27" i="5"/>
  <c r="P27" i="5"/>
  <c r="R27" i="5"/>
  <c r="T27" i="5"/>
  <c r="V27" i="5"/>
  <c r="B28" i="5"/>
  <c r="D28" i="5"/>
  <c r="F28" i="5"/>
  <c r="H28" i="5"/>
  <c r="J28" i="5"/>
  <c r="L28" i="5"/>
  <c r="N28" i="5"/>
  <c r="P28" i="5"/>
  <c r="R28" i="5"/>
  <c r="T28" i="5"/>
  <c r="V28" i="5"/>
  <c r="B29" i="5"/>
  <c r="D29" i="5"/>
  <c r="F29" i="5"/>
  <c r="H29" i="5"/>
  <c r="J29" i="5"/>
  <c r="L29" i="5"/>
  <c r="N29" i="5"/>
  <c r="P29" i="5"/>
  <c r="R29" i="5"/>
  <c r="T29" i="5"/>
  <c r="V29" i="5"/>
  <c r="B30" i="5"/>
  <c r="D30" i="5"/>
  <c r="F30" i="5"/>
  <c r="H30" i="5"/>
  <c r="J30" i="5"/>
  <c r="L30" i="5"/>
  <c r="N30" i="5"/>
  <c r="P30" i="5"/>
  <c r="R30" i="5"/>
  <c r="T30" i="5"/>
  <c r="V30" i="5"/>
  <c r="B31" i="5"/>
  <c r="D31" i="5"/>
  <c r="F31" i="5"/>
  <c r="H31" i="5"/>
  <c r="J31" i="5"/>
  <c r="L31" i="5"/>
  <c r="N31" i="5"/>
  <c r="P31" i="5"/>
  <c r="R31" i="5"/>
  <c r="T31" i="5"/>
  <c r="V31" i="5"/>
  <c r="B32" i="5"/>
  <c r="D32" i="5"/>
  <c r="F32" i="5"/>
  <c r="H32" i="5"/>
  <c r="J32" i="5"/>
  <c r="L32" i="5"/>
  <c r="N32" i="5"/>
  <c r="P32" i="5"/>
  <c r="R32" i="5"/>
  <c r="T32" i="5"/>
  <c r="V32" i="5"/>
  <c r="B33" i="5"/>
  <c r="D33" i="5"/>
  <c r="F33" i="5"/>
  <c r="H33" i="5"/>
  <c r="J33" i="5"/>
  <c r="L33" i="5"/>
  <c r="N33" i="5"/>
  <c r="P33" i="5"/>
  <c r="R33" i="5"/>
  <c r="T33" i="5"/>
  <c r="V33" i="5"/>
  <c r="B34" i="5"/>
  <c r="D34" i="5"/>
  <c r="F34" i="5"/>
  <c r="H34" i="5"/>
  <c r="J34" i="5"/>
  <c r="L34" i="5"/>
  <c r="N34" i="5"/>
  <c r="P34" i="5"/>
  <c r="R34" i="5"/>
  <c r="T34" i="5"/>
  <c r="V34" i="5"/>
  <c r="B35" i="5"/>
  <c r="D35" i="5"/>
  <c r="F35" i="5"/>
  <c r="H35" i="5"/>
  <c r="J35" i="5"/>
  <c r="L35" i="5"/>
  <c r="N35" i="5"/>
  <c r="P35" i="5"/>
  <c r="R35" i="5"/>
  <c r="T35" i="5"/>
  <c r="V35" i="5"/>
  <c r="O21" i="1" l="1"/>
  <c r="B36" i="5"/>
  <c r="J36" i="5"/>
  <c r="R36" i="5"/>
  <c r="D36" i="5"/>
  <c r="L36" i="5"/>
  <c r="T36" i="5"/>
  <c r="F36" i="5"/>
  <c r="N36" i="5"/>
  <c r="V36" i="5"/>
  <c r="H36" i="5"/>
  <c r="P36" i="5"/>
  <c r="K8" i="5"/>
  <c r="L5" i="5" l="1"/>
  <c r="P22" i="5"/>
  <c r="R22" i="5"/>
  <c r="H22" i="5"/>
  <c r="J22" i="5"/>
  <c r="D22" i="5"/>
  <c r="L22" i="5"/>
  <c r="T22" i="5"/>
  <c r="F22" i="5"/>
  <c r="N22" i="5"/>
  <c r="V22" i="5"/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K20" i="1"/>
  <c r="L20" i="1" s="1"/>
  <c r="M20" i="1"/>
  <c r="K19" i="1"/>
  <c r="L19" i="1" s="1"/>
  <c r="M19" i="1"/>
  <c r="K18" i="1"/>
  <c r="L18" i="1" s="1"/>
  <c r="M18" i="1"/>
  <c r="K17" i="1"/>
  <c r="L17" i="1" s="1"/>
  <c r="M17" i="1"/>
  <c r="K16" i="1"/>
  <c r="L16" i="1" s="1"/>
  <c r="M16" i="1"/>
  <c r="K15" i="1"/>
  <c r="O15" i="1" s="1"/>
  <c r="M15" i="1"/>
  <c r="O20" i="1" l="1"/>
  <c r="O19" i="1"/>
  <c r="O18" i="1"/>
  <c r="O17" i="1"/>
  <c r="O16" i="1"/>
  <c r="L15" i="1"/>
  <c r="K14" i="1"/>
  <c r="L14" i="1" s="1"/>
  <c r="M14" i="1"/>
  <c r="K13" i="1"/>
  <c r="L13" i="1" s="1"/>
  <c r="M13" i="1"/>
  <c r="K12" i="1"/>
  <c r="L12" i="1" s="1"/>
  <c r="M12" i="1"/>
  <c r="K3" i="1"/>
  <c r="O3" i="1" s="1"/>
  <c r="K4" i="1"/>
  <c r="O4" i="1" s="1"/>
  <c r="K5" i="1"/>
  <c r="O5" i="1" s="1"/>
  <c r="K6" i="1"/>
  <c r="O6" i="1" s="1"/>
  <c r="K7" i="1"/>
  <c r="O7" i="1" s="1"/>
  <c r="K8" i="1"/>
  <c r="O8" i="1" s="1"/>
  <c r="K11" i="1"/>
  <c r="L11" i="1" s="1"/>
  <c r="M11" i="1"/>
  <c r="K10" i="1"/>
  <c r="L10" i="1" s="1"/>
  <c r="M10" i="1"/>
  <c r="K9" i="1"/>
  <c r="L9" i="1" s="1"/>
  <c r="M9" i="1"/>
  <c r="H31" i="4"/>
  <c r="B5" i="8"/>
  <c r="C5" i="8"/>
  <c r="C4" i="8"/>
  <c r="B4" i="8"/>
  <c r="H34" i="4"/>
  <c r="O14" i="1" l="1"/>
  <c r="O13" i="1"/>
  <c r="O12" i="1"/>
  <c r="O11" i="1"/>
  <c r="O10" i="1"/>
  <c r="O9" i="1"/>
  <c r="Q34" i="4"/>
  <c r="Q31" i="4"/>
  <c r="O30" i="4"/>
  <c r="L30" i="4"/>
  <c r="J34" i="4"/>
  <c r="J31" i="4"/>
  <c r="H30" i="4"/>
  <c r="E30" i="4"/>
  <c r="O34" i="4"/>
  <c r="O31" i="4"/>
  <c r="L6" i="1" l="1"/>
  <c r="L5" i="1"/>
  <c r="L8" i="1"/>
  <c r="L4" i="1"/>
  <c r="L7" i="1"/>
  <c r="L3" i="1"/>
  <c r="J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</author>
    <author>arnaudp</author>
  </authors>
  <commentList>
    <comment ref="O1" authorId="0" shapeId="0" xr:uid="{6336778E-49C3-4FC9-95AB-11A53AB0A450}">
      <text>
        <r>
          <rPr>
            <b/>
            <sz val="9"/>
            <color indexed="81"/>
            <rFont val="Tahoma"/>
            <family val="2"/>
          </rPr>
          <t>Lui: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Ne rien inscrire dans les lignes 2 à 200 qui pourront être occupées par la liste des nons placés
</t>
        </r>
      </text>
    </comment>
    <comment ref="A7" authorId="1" shapeId="0" xr:uid="{00000000-0006-0000-0200-000001000000}">
      <text>
        <r>
          <rPr>
            <b/>
            <sz val="9"/>
            <color indexed="81"/>
            <rFont val="Tahoma"/>
            <family val="2"/>
          </rPr>
          <t>arnaudp:</t>
        </r>
        <r>
          <rPr>
            <sz val="9"/>
            <color indexed="81"/>
            <rFont val="Tahoma"/>
            <family val="2"/>
          </rPr>
          <t xml:space="preserve">
Noter les dates d'ouverture de la salle pour la vente de billets</t>
        </r>
      </text>
    </comment>
    <comment ref="C7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arnaudp:</t>
        </r>
        <r>
          <rPr>
            <sz val="9"/>
            <color indexed="81"/>
            <rFont val="Tahoma"/>
            <family val="2"/>
          </rPr>
          <t xml:space="preserve">
Equipes qui sera présente pour la vente de billets</t>
        </r>
      </text>
    </comment>
    <comment ref="F7" authorId="1" shapeId="0" xr:uid="{00000000-0006-0000-0200-000003000000}">
      <text>
        <r>
          <rPr>
            <b/>
            <sz val="9"/>
            <color indexed="81"/>
            <rFont val="Tahoma"/>
            <family val="2"/>
          </rPr>
          <t>arnaudp:</t>
        </r>
        <r>
          <rPr>
            <sz val="9"/>
            <color indexed="81"/>
            <rFont val="Tahoma"/>
            <family val="2"/>
          </rPr>
          <t xml:space="preserve">
Quantité d'entrée seul disponible pour le vendredi, sans compter les entrées du repas.</t>
        </r>
      </text>
    </comment>
    <comment ref="G7" authorId="1" shapeId="0" xr:uid="{00000000-0006-0000-0200-000004000000}">
      <text>
        <r>
          <rPr>
            <b/>
            <sz val="9"/>
            <color indexed="81"/>
            <rFont val="Tahoma"/>
            <family val="2"/>
          </rPr>
          <t>arnaudp:</t>
        </r>
        <r>
          <rPr>
            <sz val="9"/>
            <color indexed="81"/>
            <rFont val="Tahoma"/>
            <family val="2"/>
          </rPr>
          <t xml:space="preserve">
Quantité d'entrée seul disponible pour le vendredi, sans compter les entrées du repas.</t>
        </r>
      </text>
    </comment>
    <comment ref="J7" authorId="1" shapeId="0" xr:uid="{00000000-0006-0000-0200-000005000000}">
      <text>
        <r>
          <rPr>
            <b/>
            <sz val="9"/>
            <color indexed="81"/>
            <rFont val="Tahoma"/>
            <family val="2"/>
          </rPr>
          <t>arnaudp:</t>
        </r>
        <r>
          <rPr>
            <sz val="9"/>
            <color indexed="81"/>
            <rFont val="Tahoma"/>
            <family val="2"/>
          </rPr>
          <t xml:space="preserve">
Places offertes par le comité des fêtes pour vendredi</t>
        </r>
      </text>
    </comment>
    <comment ref="K7" authorId="1" shapeId="0" xr:uid="{00000000-0006-0000-0200-000006000000}">
      <text>
        <r>
          <rPr>
            <b/>
            <sz val="9"/>
            <color indexed="81"/>
            <rFont val="Tahoma"/>
            <family val="2"/>
          </rPr>
          <t>arnaudp:</t>
        </r>
        <r>
          <rPr>
            <sz val="9"/>
            <color indexed="81"/>
            <rFont val="Tahoma"/>
            <family val="2"/>
          </rPr>
          <t xml:space="preserve">
Places offertes par le comité des fêtes pour samedi</t>
        </r>
      </text>
    </comment>
    <comment ref="L7" authorId="1" shapeId="0" xr:uid="{00000000-0006-0000-0200-000007000000}">
      <text>
        <r>
          <rPr>
            <b/>
            <sz val="9"/>
            <color indexed="81"/>
            <rFont val="Tahoma"/>
            <family val="2"/>
          </rPr>
          <t>arnaudp:</t>
        </r>
        <r>
          <rPr>
            <sz val="9"/>
            <color indexed="81"/>
            <rFont val="Tahoma"/>
            <family val="2"/>
          </rPr>
          <t xml:space="preserve">
Places offertes par le comité des fêtes pour vendredi
</t>
        </r>
      </text>
    </comment>
    <comment ref="M7" authorId="1" shapeId="0" xr:uid="{00000000-0006-0000-0200-000008000000}">
      <text>
        <r>
          <rPr>
            <b/>
            <sz val="9"/>
            <color indexed="81"/>
            <rFont val="Tahoma"/>
            <family val="2"/>
          </rPr>
          <t>arnaudp:</t>
        </r>
        <r>
          <rPr>
            <sz val="9"/>
            <color indexed="81"/>
            <rFont val="Tahoma"/>
            <family val="2"/>
          </rPr>
          <t xml:space="preserve">
Places offertes par le comité des fêtes pour samedi</t>
        </r>
      </text>
    </comment>
    <comment ref="G8" authorId="1" shapeId="0" xr:uid="{00000000-0006-0000-0200-000009000000}">
      <text>
        <r>
          <rPr>
            <b/>
            <sz val="9"/>
            <color indexed="81"/>
            <rFont val="Tahoma"/>
            <family val="2"/>
          </rPr>
          <t>arnaudp:</t>
        </r>
        <r>
          <rPr>
            <sz val="9"/>
            <color indexed="81"/>
            <rFont val="Tahoma"/>
            <family val="2"/>
          </rPr>
          <t xml:space="preserve">
Quantité de place disponible pour le samedi
</t>
        </r>
      </text>
    </comment>
    <comment ref="F12" authorId="1" shapeId="0" xr:uid="{00000000-0006-0000-0200-00000A000000}">
      <text>
        <r>
          <rPr>
            <b/>
            <sz val="9"/>
            <color indexed="81"/>
            <rFont val="Tahoma"/>
            <family val="2"/>
          </rPr>
          <t>arnaudp:</t>
        </r>
        <r>
          <rPr>
            <sz val="9"/>
            <color indexed="81"/>
            <rFont val="Tahoma"/>
            <family val="2"/>
          </rPr>
          <t xml:space="preserve">
Indiquer le seuil critique d'alerte</t>
        </r>
      </text>
    </comment>
    <comment ref="G12" authorId="1" shapeId="0" xr:uid="{00000000-0006-0000-0200-00000B000000}">
      <text>
        <r>
          <rPr>
            <b/>
            <sz val="9"/>
            <color indexed="81"/>
            <rFont val="Tahoma"/>
            <family val="2"/>
          </rPr>
          <t>arnaudp:</t>
        </r>
        <r>
          <rPr>
            <sz val="9"/>
            <color indexed="81"/>
            <rFont val="Tahoma"/>
            <family val="2"/>
          </rPr>
          <t xml:space="preserve">
Indiquer le seuil critique d'alerte</t>
        </r>
      </text>
    </comment>
    <comment ref="H12" authorId="1" shapeId="0" xr:uid="{00000000-0006-0000-0200-00000C000000}">
      <text>
        <r>
          <rPr>
            <b/>
            <sz val="9"/>
            <color indexed="81"/>
            <rFont val="Tahoma"/>
            <family val="2"/>
          </rPr>
          <t>arnaudp:</t>
        </r>
        <r>
          <rPr>
            <sz val="9"/>
            <color indexed="81"/>
            <rFont val="Tahoma"/>
            <family val="2"/>
          </rPr>
          <t xml:space="preserve">
Indiquer le seuil critique d'alerte</t>
        </r>
      </text>
    </comment>
    <comment ref="I12" authorId="1" shapeId="0" xr:uid="{00000000-0006-0000-0200-00000D000000}">
      <text>
        <r>
          <rPr>
            <b/>
            <sz val="9"/>
            <color indexed="81"/>
            <rFont val="Tahoma"/>
            <family val="2"/>
          </rPr>
          <t>arnaudp:</t>
        </r>
        <r>
          <rPr>
            <sz val="9"/>
            <color indexed="81"/>
            <rFont val="Tahoma"/>
            <family val="2"/>
          </rPr>
          <t xml:space="preserve">
Indiquer le seuil critique d'alerte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Source" description="Connexion à la requête « TableauSource » dans le classeur." type="5" refreshedVersion="0" background="1" saveData="1">
    <dbPr connection="Provider=Microsoft.Mashup.OleDb.1;Data Source=$Workbook$;Location=TableauSource;Extended Properties=&quot;&quot;" command="SELECT * FROM [TableauSource]"/>
  </connection>
  <connection id="2" xr16:uid="{00000000-0015-0000-FFFF-FFFF01000000}" keepAlive="1" name="Requête - TableauSource (2)" description="Connexion à la requête « TableauSource (2) » dans le classeur." type="5" refreshedVersion="7" background="1" saveData="1">
    <dbPr connection="Provider=Microsoft.Mashup.OleDb.1;Data Source=$Workbook$;Location=&quot;TableauSource (2)&quot;;Extended Properties=&quot;&quot;" command="SELECT * FROM [TableauSource (2)]"/>
  </connection>
  <connection id="3" xr16:uid="{00000000-0015-0000-FFFF-FFFF02000000}" keepAlive="1" name="Requête - TableauSource (3)" description="Connexion à la requête « TableauSource (3) » dans le classeur." type="5" refreshedVersion="7" background="1" saveData="1">
    <dbPr connection="Provider=Microsoft.Mashup.OleDb.1;Data Source=$Workbook$;Location=&quot;TableauSource (3)&quot;;Extended Properties=&quot;&quot;" command="SELECT * FROM [TableauSource (3)]"/>
  </connection>
  <connection id="4" xr16:uid="{00000000-0015-0000-FFFF-FFFF03000000}" keepAlive="1" name="Requête - TableauSource (4)" description="Connexion à la requête « TableauSource (4) » dans le classeur." type="5" refreshedVersion="7" background="1" saveData="1">
    <dbPr connection="Provider=Microsoft.Mashup.OleDb.1;Data Source=$Workbook$;Location=&quot;TableauSource (4)&quot;;Extended Properties=&quot;&quot;" command="SELECT * FROM [TableauSource (4)]"/>
  </connection>
  <connection id="5" xr16:uid="{00000000-0015-0000-FFFF-FFFF04000000}" keepAlive="1" name="Requête - TableauSource (5)" description="Connexion à la requête « TableauSource (5) » dans le classeur." type="5" refreshedVersion="0" background="1">
    <dbPr connection="Provider=Microsoft.Mashup.OleDb.1;Data Source=$Workbook$;Location=&quot;TableauSource (5)&quot;;Extended Properties=&quot;&quot;" command="SELECT * FROM [TableauSource (5)]"/>
  </connection>
  <connection id="6" xr16:uid="{00000000-0015-0000-FFFF-FFFF05000000}" keepAlive="1" name="Requête - TableauSource (6)" description="Connexion à la requête « TableauSource (6) » dans le classeur." type="5" refreshedVersion="6" background="1" saveData="1">
    <dbPr connection="Provider=Microsoft.Mashup.OleDb.1;Data Source=$Workbook$;Location=TableauSource (6);Extended Properties=&quot;&quot;" command="SELECT * FROM [TableauSource (6)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<sst xmlns="http://schemas.openxmlformats.org/spreadsheetml/2006/main" count="509" uniqueCount="195">
  <si>
    <t>Nom</t>
  </si>
  <si>
    <t>Prénom</t>
  </si>
  <si>
    <t>Date de réservation</t>
  </si>
  <si>
    <t>Payé ?</t>
  </si>
  <si>
    <t>Moyen de paiement</t>
  </si>
  <si>
    <t>OUI</t>
  </si>
  <si>
    <t>Sur place</t>
  </si>
  <si>
    <t>Liquide</t>
  </si>
  <si>
    <t>Chèque</t>
  </si>
  <si>
    <t>Chèque / Liquide</t>
  </si>
  <si>
    <t>Yanick / Virginie</t>
  </si>
  <si>
    <t>Réservation faite par</t>
  </si>
  <si>
    <t>Résa pour</t>
  </si>
  <si>
    <t>Vendredi</t>
  </si>
  <si>
    <t>Samedi</t>
  </si>
  <si>
    <t>Réservation pour le</t>
  </si>
  <si>
    <t>Entrée</t>
  </si>
  <si>
    <t>Reste à payé</t>
  </si>
  <si>
    <t>Somme versée</t>
  </si>
  <si>
    <t>Repas / Entrée</t>
  </si>
  <si>
    <t>Repas</t>
  </si>
  <si>
    <t>Somme à payer</t>
  </si>
  <si>
    <t>Pass entrée</t>
  </si>
  <si>
    <t>Pass repas</t>
  </si>
  <si>
    <t>vendredi</t>
  </si>
  <si>
    <t>Vendredi_Samedi</t>
  </si>
  <si>
    <t>Billet récupéré</t>
  </si>
  <si>
    <t>Nb de billets</t>
  </si>
  <si>
    <t>######</t>
  </si>
  <si>
    <t>date d'ouverture pour réservation</t>
  </si>
  <si>
    <t>Présence se jour là</t>
  </si>
  <si>
    <t>Tarifs des billets</t>
  </si>
  <si>
    <t>Nombre d'entrée total pour vendredi</t>
  </si>
  <si>
    <t>Nombre d'entrée total pour samedi</t>
  </si>
  <si>
    <t>Nb de repas vendredi</t>
  </si>
  <si>
    <t>Nb de repas samedi</t>
  </si>
  <si>
    <t>ENTRÉE</t>
  </si>
  <si>
    <t>REPAS</t>
  </si>
  <si>
    <t>Étiquettes de lignes</t>
  </si>
  <si>
    <t>Total général</t>
  </si>
  <si>
    <t>Somme de Nb de billets</t>
  </si>
  <si>
    <t xml:space="preserve"> total samedi</t>
  </si>
  <si>
    <t xml:space="preserve"> total vendredi</t>
  </si>
  <si>
    <t>Places restantes</t>
  </si>
  <si>
    <t xml:space="preserve"> total Pass entrée</t>
  </si>
  <si>
    <t xml:space="preserve"> total Pass repas</t>
  </si>
  <si>
    <t>Seuil critique</t>
  </si>
  <si>
    <t>Dates de la Saint Patrick</t>
  </si>
  <si>
    <t>/</t>
  </si>
  <si>
    <t>Colonne1</t>
  </si>
  <si>
    <t>→</t>
  </si>
  <si>
    <t>Nombre d'entrée offerte vendredi</t>
  </si>
  <si>
    <t>Nombre d'entrée offerte samedi</t>
  </si>
  <si>
    <t>Nombre de repas offert vendredi</t>
  </si>
  <si>
    <t>Nombre Repas offert samedi</t>
  </si>
  <si>
    <t>Type de reservation</t>
  </si>
  <si>
    <t>Table N° 1</t>
  </si>
  <si>
    <t>Table N° 2</t>
  </si>
  <si>
    <t>Table N° 3</t>
  </si>
  <si>
    <t>Table N° 4</t>
  </si>
  <si>
    <t>Table N° 5</t>
  </si>
  <si>
    <t>Table N° 6</t>
  </si>
  <si>
    <t>Table N° 7</t>
  </si>
  <si>
    <t>Table N° 8</t>
  </si>
  <si>
    <t>Table N° 9</t>
  </si>
  <si>
    <t>Table N° 10</t>
  </si>
  <si>
    <t>Table N° 11</t>
  </si>
  <si>
    <t>Table N° 12</t>
  </si>
  <si>
    <t>Table N° 13</t>
  </si>
  <si>
    <t>Table N° 14</t>
  </si>
  <si>
    <t>Table N° 15</t>
  </si>
  <si>
    <t>Table N° 16</t>
  </si>
  <si>
    <t>Table N° 17</t>
  </si>
  <si>
    <t>Table N° 18</t>
  </si>
  <si>
    <t>Table N° 19</t>
  </si>
  <si>
    <t>Table N° 20</t>
  </si>
  <si>
    <t>Table N° 21</t>
  </si>
  <si>
    <t>Table N° 22</t>
  </si>
  <si>
    <t>SCENE</t>
  </si>
  <si>
    <t>Nom+Prénom</t>
  </si>
  <si>
    <t>Etat paiement</t>
  </si>
  <si>
    <t>21/02/2023</t>
  </si>
  <si>
    <t>arnaud</t>
  </si>
  <si>
    <t>patrice</t>
  </si>
  <si>
    <t>rudy</t>
  </si>
  <si>
    <t>fdsf</t>
  </si>
  <si>
    <t>22/02/2023</t>
  </si>
  <si>
    <t>b,jn,jhf</t>
  </si>
  <si>
    <t>gjhfh</t>
  </si>
  <si>
    <t>BILAN DE DE L'ÉVÈNEMENT</t>
  </si>
  <si>
    <t>Nb de d'entrée vendus</t>
  </si>
  <si>
    <t>Quatité</t>
  </si>
  <si>
    <t>Recette</t>
  </si>
  <si>
    <t>Nb de repas vendus</t>
  </si>
  <si>
    <t>23/02/2023</t>
  </si>
  <si>
    <t>Pass Repas</t>
  </si>
  <si>
    <t>gfgggg</t>
  </si>
  <si>
    <t>hhhhh</t>
  </si>
  <si>
    <t>Pass Entrée</t>
  </si>
  <si>
    <t>ytty</t>
  </si>
  <si>
    <t>tyr</t>
  </si>
  <si>
    <t>hjgfj</t>
  </si>
  <si>
    <t>hdgj</t>
  </si>
  <si>
    <t>ARNAUD P.</t>
  </si>
  <si>
    <t>YTTY T.</t>
  </si>
  <si>
    <t>HJGFJ H.</t>
  </si>
  <si>
    <t>Doit encore</t>
  </si>
  <si>
    <t>Trop payé</t>
  </si>
  <si>
    <t>riri</t>
  </si>
  <si>
    <t>roro</t>
  </si>
  <si>
    <t>RIRI R.</t>
  </si>
  <si>
    <t>lulu</t>
  </si>
  <si>
    <t>lolo</t>
  </si>
  <si>
    <t>LULU L.</t>
  </si>
  <si>
    <t>toto</t>
  </si>
  <si>
    <t>titi</t>
  </si>
  <si>
    <t>TOTO T.</t>
  </si>
  <si>
    <t>popo</t>
  </si>
  <si>
    <t>pipi</t>
  </si>
  <si>
    <t>rrrrrrrrrrrrrrr</t>
  </si>
  <si>
    <t>tttttttttttttt</t>
  </si>
  <si>
    <t>POPO P.</t>
  </si>
  <si>
    <t>RRRRRRRRRRRRRRR T.</t>
  </si>
  <si>
    <t>gggggggg</t>
  </si>
  <si>
    <t>ggggg</t>
  </si>
  <si>
    <t>GGGGGGGG G.</t>
  </si>
  <si>
    <t>RESERVATIONS du</t>
  </si>
  <si>
    <r>
      <t>NOM</t>
    </r>
    <r>
      <rPr>
        <b/>
        <sz val="11"/>
        <color rgb="FF7030A0"/>
        <rFont val="Calibri"/>
        <family val="2"/>
        <scheme val="minor"/>
      </rPr>
      <t xml:space="preserve"> 1</t>
    </r>
  </si>
  <si>
    <r>
      <t xml:space="preserve">Nb </t>
    </r>
    <r>
      <rPr>
        <b/>
        <sz val="11"/>
        <color rgb="FF7030A0"/>
        <rFont val="Calibri"/>
        <family val="2"/>
        <scheme val="minor"/>
      </rPr>
      <t>1</t>
    </r>
  </si>
  <si>
    <r>
      <t xml:space="preserve">NOM </t>
    </r>
    <r>
      <rPr>
        <b/>
        <sz val="11"/>
        <color rgb="FF7030A0"/>
        <rFont val="Calibri"/>
        <family val="2"/>
        <scheme val="minor"/>
      </rPr>
      <t>2</t>
    </r>
  </si>
  <si>
    <r>
      <t xml:space="preserve">Nb </t>
    </r>
    <r>
      <rPr>
        <b/>
        <sz val="11"/>
        <color rgb="FF7030A0"/>
        <rFont val="Calibri"/>
        <family val="2"/>
        <scheme val="minor"/>
      </rPr>
      <t>2</t>
    </r>
  </si>
  <si>
    <r>
      <t xml:space="preserve">NOM </t>
    </r>
    <r>
      <rPr>
        <b/>
        <sz val="11"/>
        <color rgb="FF7030A0"/>
        <rFont val="Calibri"/>
        <family val="2"/>
        <scheme val="minor"/>
      </rPr>
      <t>3</t>
    </r>
  </si>
  <si>
    <r>
      <t xml:space="preserve">Nb </t>
    </r>
    <r>
      <rPr>
        <b/>
        <sz val="11"/>
        <color rgb="FF7030A0"/>
        <rFont val="Calibri"/>
        <family val="2"/>
        <scheme val="minor"/>
      </rPr>
      <t>3</t>
    </r>
  </si>
  <si>
    <r>
      <t xml:space="preserve">NOM </t>
    </r>
    <r>
      <rPr>
        <b/>
        <sz val="11"/>
        <color rgb="FF7030A0"/>
        <rFont val="Calibri"/>
        <family val="2"/>
        <scheme val="minor"/>
      </rPr>
      <t>4</t>
    </r>
  </si>
  <si>
    <r>
      <t xml:space="preserve">Nb </t>
    </r>
    <r>
      <rPr>
        <b/>
        <sz val="11"/>
        <color rgb="FF7030A0"/>
        <rFont val="Calibri"/>
        <family val="2"/>
        <scheme val="minor"/>
      </rPr>
      <t>4</t>
    </r>
  </si>
  <si>
    <r>
      <t xml:space="preserve">NOM </t>
    </r>
    <r>
      <rPr>
        <b/>
        <sz val="11"/>
        <color rgb="FF7030A0"/>
        <rFont val="Calibri"/>
        <family val="2"/>
        <scheme val="minor"/>
      </rPr>
      <t>5</t>
    </r>
  </si>
  <si>
    <r>
      <t xml:space="preserve">Nb </t>
    </r>
    <r>
      <rPr>
        <b/>
        <sz val="11"/>
        <color rgb="FF7030A0"/>
        <rFont val="Calibri"/>
        <family val="2"/>
        <scheme val="minor"/>
      </rPr>
      <t>5</t>
    </r>
  </si>
  <si>
    <r>
      <t xml:space="preserve">NOM </t>
    </r>
    <r>
      <rPr>
        <b/>
        <sz val="11"/>
        <color rgb="FF7030A0"/>
        <rFont val="Calibri"/>
        <family val="2"/>
        <scheme val="minor"/>
      </rPr>
      <t>6</t>
    </r>
  </si>
  <si>
    <r>
      <t xml:space="preserve">Nb </t>
    </r>
    <r>
      <rPr>
        <b/>
        <sz val="11"/>
        <color rgb="FF7030A0"/>
        <rFont val="Calibri"/>
        <family val="2"/>
        <scheme val="minor"/>
      </rPr>
      <t>6</t>
    </r>
  </si>
  <si>
    <r>
      <t xml:space="preserve">NOM </t>
    </r>
    <r>
      <rPr>
        <b/>
        <sz val="11"/>
        <color rgb="FF7030A0"/>
        <rFont val="Calibri"/>
        <family val="2"/>
        <scheme val="minor"/>
      </rPr>
      <t>7</t>
    </r>
  </si>
  <si>
    <r>
      <t xml:space="preserve">Nb </t>
    </r>
    <r>
      <rPr>
        <b/>
        <sz val="11"/>
        <color rgb="FF7030A0"/>
        <rFont val="Calibri"/>
        <family val="2"/>
        <scheme val="minor"/>
      </rPr>
      <t>7</t>
    </r>
  </si>
  <si>
    <r>
      <t xml:space="preserve">NOM </t>
    </r>
    <r>
      <rPr>
        <b/>
        <sz val="11"/>
        <color rgb="FF7030A0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/>
    </r>
  </si>
  <si>
    <r>
      <t xml:space="preserve">Nb </t>
    </r>
    <r>
      <rPr>
        <b/>
        <sz val="11"/>
        <color rgb="FF7030A0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/>
    </r>
  </si>
  <si>
    <r>
      <t xml:space="preserve">NOM </t>
    </r>
    <r>
      <rPr>
        <b/>
        <sz val="11"/>
        <color rgb="FF7030A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/>
    </r>
  </si>
  <si>
    <r>
      <t xml:space="preserve">Nb </t>
    </r>
    <r>
      <rPr>
        <b/>
        <sz val="11"/>
        <color rgb="FF7030A0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/>
    </r>
  </si>
  <si>
    <r>
      <t xml:space="preserve">NOM </t>
    </r>
    <r>
      <rPr>
        <b/>
        <sz val="11"/>
        <color rgb="FF7030A0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/>
    </r>
  </si>
  <si>
    <r>
      <t xml:space="preserve">Nb </t>
    </r>
    <r>
      <rPr>
        <b/>
        <sz val="11"/>
        <color rgb="FF7030A0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/>
    </r>
  </si>
  <si>
    <r>
      <t xml:space="preserve">NOM </t>
    </r>
    <r>
      <rPr>
        <b/>
        <sz val="11"/>
        <color rgb="FF7030A0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/>
    </r>
  </si>
  <si>
    <r>
      <t xml:space="preserve">Nb </t>
    </r>
    <r>
      <rPr>
        <b/>
        <sz val="11"/>
        <color rgb="FF7030A0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/>
    </r>
  </si>
  <si>
    <r>
      <t>NOM</t>
    </r>
    <r>
      <rPr>
        <b/>
        <sz val="11"/>
        <color rgb="FF7030A0"/>
        <rFont val="Calibri"/>
        <family val="2"/>
        <scheme val="minor"/>
      </rPr>
      <t xml:space="preserve"> 2</t>
    </r>
  </si>
  <si>
    <r>
      <t xml:space="preserve">Nb </t>
    </r>
    <r>
      <rPr>
        <b/>
        <sz val="11"/>
        <color rgb="FF7030A0"/>
        <rFont val="Calibri"/>
        <family val="2"/>
        <scheme val="minor"/>
      </rPr>
      <t>12</t>
    </r>
  </si>
  <si>
    <r>
      <t>NOM</t>
    </r>
    <r>
      <rPr>
        <b/>
        <sz val="11"/>
        <color rgb="FF7030A0"/>
        <rFont val="Calibri"/>
        <family val="2"/>
        <scheme val="minor"/>
      </rPr>
      <t xml:space="preserve"> 3</t>
    </r>
    <r>
      <rPr>
        <sz val="11"/>
        <color theme="1"/>
        <rFont val="Calibri"/>
        <family val="2"/>
        <scheme val="minor"/>
      </rPr>
      <t/>
    </r>
  </si>
  <si>
    <r>
      <t xml:space="preserve">Nb </t>
    </r>
    <r>
      <rPr>
        <b/>
        <sz val="11"/>
        <color rgb="FF7030A0"/>
        <rFont val="Calibri"/>
        <family val="2"/>
        <scheme val="minor"/>
      </rPr>
      <t>13</t>
    </r>
    <r>
      <rPr>
        <sz val="11"/>
        <color theme="1"/>
        <rFont val="Calibri"/>
        <family val="2"/>
        <scheme val="minor"/>
      </rPr>
      <t/>
    </r>
  </si>
  <si>
    <r>
      <t>NOM</t>
    </r>
    <r>
      <rPr>
        <b/>
        <sz val="11"/>
        <color rgb="FF7030A0"/>
        <rFont val="Calibri"/>
        <family val="2"/>
        <scheme val="minor"/>
      </rPr>
      <t xml:space="preserve"> 4</t>
    </r>
    <r>
      <rPr>
        <sz val="11"/>
        <color theme="1"/>
        <rFont val="Calibri"/>
        <family val="2"/>
        <scheme val="minor"/>
      </rPr>
      <t/>
    </r>
  </si>
  <si>
    <r>
      <t xml:space="preserve">Nb </t>
    </r>
    <r>
      <rPr>
        <b/>
        <sz val="11"/>
        <color rgb="FF7030A0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/>
    </r>
  </si>
  <si>
    <r>
      <t>NOM</t>
    </r>
    <r>
      <rPr>
        <b/>
        <sz val="11"/>
        <color rgb="FF7030A0"/>
        <rFont val="Calibri"/>
        <family val="2"/>
        <scheme val="minor"/>
      </rPr>
      <t xml:space="preserve"> 5</t>
    </r>
    <r>
      <rPr>
        <sz val="11"/>
        <color theme="1"/>
        <rFont val="Calibri"/>
        <family val="2"/>
        <scheme val="minor"/>
      </rPr>
      <t/>
    </r>
  </si>
  <si>
    <r>
      <t xml:space="preserve">Nb </t>
    </r>
    <r>
      <rPr>
        <b/>
        <sz val="11"/>
        <color rgb="FF7030A0"/>
        <rFont val="Calibri"/>
        <family val="2"/>
        <scheme val="minor"/>
      </rPr>
      <t>15</t>
    </r>
    <r>
      <rPr>
        <sz val="11"/>
        <color theme="1"/>
        <rFont val="Calibri"/>
        <family val="2"/>
        <scheme val="minor"/>
      </rPr>
      <t/>
    </r>
  </si>
  <si>
    <r>
      <t>NOM</t>
    </r>
    <r>
      <rPr>
        <b/>
        <sz val="11"/>
        <color rgb="FF7030A0"/>
        <rFont val="Calibri"/>
        <family val="2"/>
        <scheme val="minor"/>
      </rPr>
      <t xml:space="preserve"> 6</t>
    </r>
    <r>
      <rPr>
        <sz val="11"/>
        <color theme="1"/>
        <rFont val="Calibri"/>
        <family val="2"/>
        <scheme val="minor"/>
      </rPr>
      <t/>
    </r>
  </si>
  <si>
    <r>
      <t xml:space="preserve">Nb </t>
    </r>
    <r>
      <rPr>
        <b/>
        <sz val="11"/>
        <color rgb="FF7030A0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/>
    </r>
  </si>
  <si>
    <r>
      <t>NOM</t>
    </r>
    <r>
      <rPr>
        <b/>
        <sz val="11"/>
        <color rgb="FF7030A0"/>
        <rFont val="Calibri"/>
        <family val="2"/>
        <scheme val="minor"/>
      </rPr>
      <t xml:space="preserve"> 7</t>
    </r>
    <r>
      <rPr>
        <sz val="11"/>
        <color theme="1"/>
        <rFont val="Calibri"/>
        <family val="2"/>
        <scheme val="minor"/>
      </rPr>
      <t/>
    </r>
  </si>
  <si>
    <r>
      <t xml:space="preserve">Nb </t>
    </r>
    <r>
      <rPr>
        <b/>
        <sz val="11"/>
        <color rgb="FF7030A0"/>
        <rFont val="Calibri"/>
        <family val="2"/>
        <scheme val="minor"/>
      </rPr>
      <t>17</t>
    </r>
    <r>
      <rPr>
        <sz val="11"/>
        <color theme="1"/>
        <rFont val="Calibri"/>
        <family val="2"/>
        <scheme val="minor"/>
      </rPr>
      <t/>
    </r>
  </si>
  <si>
    <r>
      <t>NOM</t>
    </r>
    <r>
      <rPr>
        <b/>
        <sz val="11"/>
        <color rgb="FF7030A0"/>
        <rFont val="Calibri"/>
        <family val="2"/>
        <scheme val="minor"/>
      </rPr>
      <t xml:space="preserve"> 8</t>
    </r>
    <r>
      <rPr>
        <sz val="11"/>
        <color theme="1"/>
        <rFont val="Calibri"/>
        <family val="2"/>
        <scheme val="minor"/>
      </rPr>
      <t/>
    </r>
  </si>
  <si>
    <r>
      <t xml:space="preserve">Nb </t>
    </r>
    <r>
      <rPr>
        <b/>
        <sz val="11"/>
        <color rgb="FF7030A0"/>
        <rFont val="Calibri"/>
        <family val="2"/>
        <scheme val="minor"/>
      </rPr>
      <t>18</t>
    </r>
    <r>
      <rPr>
        <sz val="11"/>
        <color theme="1"/>
        <rFont val="Calibri"/>
        <family val="2"/>
        <scheme val="minor"/>
      </rPr>
      <t/>
    </r>
  </si>
  <si>
    <r>
      <t>NOM</t>
    </r>
    <r>
      <rPr>
        <b/>
        <sz val="11"/>
        <color rgb="FF7030A0"/>
        <rFont val="Calibri"/>
        <family val="2"/>
        <scheme val="minor"/>
      </rPr>
      <t xml:space="preserve"> 9</t>
    </r>
    <r>
      <rPr>
        <sz val="11"/>
        <color theme="1"/>
        <rFont val="Calibri"/>
        <family val="2"/>
        <scheme val="minor"/>
      </rPr>
      <t/>
    </r>
  </si>
  <si>
    <r>
      <t xml:space="preserve">Nb </t>
    </r>
    <r>
      <rPr>
        <b/>
        <sz val="11"/>
        <color rgb="FF7030A0"/>
        <rFont val="Calibri"/>
        <family val="2"/>
        <scheme val="minor"/>
      </rPr>
      <t>19</t>
    </r>
    <r>
      <rPr>
        <sz val="11"/>
        <color theme="1"/>
        <rFont val="Calibri"/>
        <family val="2"/>
        <scheme val="minor"/>
      </rPr>
      <t/>
    </r>
  </si>
  <si>
    <r>
      <t>NOM</t>
    </r>
    <r>
      <rPr>
        <b/>
        <sz val="11"/>
        <color rgb="FF7030A0"/>
        <rFont val="Calibri"/>
        <family val="2"/>
        <scheme val="minor"/>
      </rPr>
      <t xml:space="preserve"> 10</t>
    </r>
    <r>
      <rPr>
        <sz val="11"/>
        <color theme="1"/>
        <rFont val="Calibri"/>
        <family val="2"/>
        <scheme val="minor"/>
      </rPr>
      <t/>
    </r>
  </si>
  <si>
    <r>
      <t xml:space="preserve">Nb </t>
    </r>
    <r>
      <rPr>
        <b/>
        <sz val="11"/>
        <color rgb="FF7030A0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/>
    </r>
  </si>
  <si>
    <r>
      <t>NOM</t>
    </r>
    <r>
      <rPr>
        <b/>
        <sz val="11"/>
        <color rgb="FF7030A0"/>
        <rFont val="Calibri"/>
        <family val="2"/>
        <scheme val="minor"/>
      </rPr>
      <t xml:space="preserve"> 11</t>
    </r>
    <r>
      <rPr>
        <sz val="11"/>
        <color theme="1"/>
        <rFont val="Calibri"/>
        <family val="2"/>
        <scheme val="minor"/>
      </rPr>
      <t/>
    </r>
  </si>
  <si>
    <r>
      <t xml:space="preserve">Nb </t>
    </r>
    <r>
      <rPr>
        <b/>
        <sz val="11"/>
        <color rgb="FF7030A0"/>
        <rFont val="Calibri"/>
        <family val="2"/>
        <scheme val="minor"/>
      </rPr>
      <t>21</t>
    </r>
    <r>
      <rPr>
        <sz val="11"/>
        <color theme="1"/>
        <rFont val="Calibri"/>
        <family val="2"/>
        <scheme val="minor"/>
      </rPr>
      <t/>
    </r>
  </si>
  <si>
    <r>
      <t>NOM</t>
    </r>
    <r>
      <rPr>
        <b/>
        <sz val="11"/>
        <color rgb="FF7030A0"/>
        <rFont val="Calibri"/>
        <family val="2"/>
        <scheme val="minor"/>
      </rPr>
      <t xml:space="preserve"> 12</t>
    </r>
    <r>
      <rPr>
        <sz val="11"/>
        <color theme="1"/>
        <rFont val="Calibri"/>
        <family val="2"/>
        <scheme val="minor"/>
      </rPr>
      <t/>
    </r>
  </si>
  <si>
    <r>
      <t xml:space="preserve">Nb </t>
    </r>
    <r>
      <rPr>
        <b/>
        <sz val="11"/>
        <color rgb="FF7030A0"/>
        <rFont val="Calibri"/>
        <family val="2"/>
        <scheme val="minor"/>
      </rPr>
      <t>22</t>
    </r>
    <r>
      <rPr>
        <sz val="11"/>
        <color theme="1"/>
        <rFont val="Calibri"/>
        <family val="2"/>
        <scheme val="minor"/>
      </rPr>
      <t/>
    </r>
  </si>
  <si>
    <t>PARTIE HAUTE</t>
  </si>
  <si>
    <t>PARTIE BASSE</t>
  </si>
  <si>
    <t xml:space="preserve">Nb de  </t>
  </si>
  <si>
    <t>tablée</t>
  </si>
  <si>
    <t>Nb</t>
  </si>
  <si>
    <t xml:space="preserve"> de place</t>
  </si>
  <si>
    <t xml:space="preserve"> au total</t>
  </si>
  <si>
    <t>Places</t>
  </si>
  <si>
    <t xml:space="preserve"> restantes</t>
  </si>
  <si>
    <t xml:space="preserve">partie </t>
  </si>
  <si>
    <t xml:space="preserve"> HAUTE </t>
  </si>
  <si>
    <t xml:space="preserve"> BASSE </t>
  </si>
  <si>
    <t xml:space="preserve"> par</t>
  </si>
  <si>
    <t xml:space="preserve">place </t>
  </si>
  <si>
    <t>24/02/2023</t>
  </si>
  <si>
    <t>fofo</t>
  </si>
  <si>
    <t>fufu</t>
  </si>
  <si>
    <t>FOFO F.</t>
  </si>
  <si>
    <t>yan</t>
  </si>
  <si>
    <t>bert</t>
  </si>
  <si>
    <t>YAN B.</t>
  </si>
  <si>
    <t>discussion XLD</t>
  </si>
  <si>
    <t>Placés</t>
  </si>
  <si>
    <t>non placés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</si>
</sst>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  <numFmt numFmtId="166" formatCode="[$-F800]dddd\,\ mmmm\ dd\,\ yyyy"/>
    <numFmt numFmtId="167" formatCode="m/d/yyyy"/>
    <numFmt numFmtId="168" formatCode="#,##0.00\ &quot;€&quot;"/>
    <numFmt numFmtId="169" formatCode="0&quot; Places&quot;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 tint="4.9989318521683403E-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b/>
      <sz val="14"/>
      <color theme="1" tint="4.9989318521683403E-2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4" tint="0.59999389629810485"/>
      <name val="Calibri"/>
      <family val="2"/>
      <scheme val="minor"/>
    </font>
    <font>
      <b/>
      <sz val="12"/>
      <color theme="4" tint="0.59999389629810485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2"/>
      <color theme="4" tint="0.79998168889431442"/>
      <name val="Calibri"/>
      <family val="2"/>
      <scheme val="minor"/>
    </font>
    <font>
      <b/>
      <sz val="12"/>
      <color theme="4" tint="0.7999816888943144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499984740745262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/>
      <right style="medium">
        <color indexed="64"/>
      </right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medium">
        <color indexed="64"/>
      </left>
      <right style="medium">
        <color theme="0"/>
      </right>
      <top style="medium">
        <color indexed="64"/>
      </top>
      <bottom/>
      <diagonal/>
    </border>
    <border>
      <left style="medium">
        <color indexed="64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indexed="64"/>
      </top>
      <bottom/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 style="medium">
        <color theme="1"/>
      </right>
      <top style="medium">
        <color indexed="64"/>
      </top>
      <bottom/>
      <diagonal/>
    </border>
    <border>
      <left style="medium">
        <color theme="0"/>
      </left>
      <right style="medium">
        <color theme="1"/>
      </right>
      <top/>
      <bottom/>
      <diagonal/>
    </border>
    <border>
      <left style="medium">
        <color theme="0"/>
      </left>
      <right style="medium">
        <color theme="1"/>
      </right>
      <top/>
      <bottom style="medium">
        <color indexed="64"/>
      </bottom>
      <diagonal/>
    </border>
    <border>
      <left style="medium">
        <color theme="0"/>
      </left>
      <right style="medium">
        <color theme="1"/>
      </right>
      <top/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indexed="64"/>
      </right>
      <top/>
      <bottom style="medium">
        <color indexed="64"/>
      </bottom>
      <diagonal/>
    </border>
    <border>
      <left style="medium">
        <color theme="0"/>
      </left>
      <right/>
      <top/>
      <bottom style="medium">
        <color indexed="64"/>
      </bottom>
      <diagonal/>
    </border>
    <border>
      <left style="medium">
        <color theme="1"/>
      </left>
      <right style="medium">
        <color theme="0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42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164" fontId="0" fillId="0" borderId="0" xfId="1" applyFont="1"/>
    <xf numFmtId="0" fontId="0" fillId="2" borderId="0" xfId="0" applyFill="1"/>
    <xf numFmtId="164" fontId="0" fillId="2" borderId="0" xfId="1" applyFont="1" applyFill="1"/>
    <xf numFmtId="164" fontId="0" fillId="2" borderId="0" xfId="1" applyFont="1" applyFill="1" applyAlignment="1">
      <alignment horizontal="right"/>
    </xf>
    <xf numFmtId="14" fontId="4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3" fillId="2" borderId="0" xfId="0" applyFont="1" applyFill="1"/>
    <xf numFmtId="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/>
    <xf numFmtId="164" fontId="0" fillId="2" borderId="0" xfId="1" applyFont="1" applyFill="1" applyBorder="1" applyAlignment="1">
      <alignment horizontal="left" indent="1"/>
    </xf>
    <xf numFmtId="0" fontId="0" fillId="2" borderId="0" xfId="0" applyFill="1" applyAlignment="1">
      <alignment horizontal="left" indent="1"/>
    </xf>
    <xf numFmtId="0" fontId="0" fillId="2" borderId="0" xfId="0" applyFill="1" applyAlignment="1">
      <alignment horizontal="centerContinuous"/>
    </xf>
    <xf numFmtId="0" fontId="0" fillId="7" borderId="0" xfId="0" applyFill="1" applyAlignment="1">
      <alignment horizontal="left"/>
    </xf>
    <xf numFmtId="0" fontId="0" fillId="7" borderId="0" xfId="0" applyFill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top"/>
    </xf>
    <xf numFmtId="0" fontId="7" fillId="3" borderId="6" xfId="0" applyFont="1" applyFill="1" applyBorder="1" applyAlignment="1">
      <alignment horizontal="center" vertical="top" wrapText="1"/>
    </xf>
    <xf numFmtId="0" fontId="0" fillId="0" borderId="11" xfId="0" applyBorder="1"/>
    <xf numFmtId="0" fontId="0" fillId="0" borderId="12" xfId="0" applyBorder="1"/>
    <xf numFmtId="0" fontId="7" fillId="4" borderId="5" xfId="0" applyFont="1" applyFill="1" applyBorder="1" applyAlignment="1">
      <alignment horizontal="center" vertical="top" wrapText="1"/>
    </xf>
    <xf numFmtId="0" fontId="7" fillId="4" borderId="6" xfId="0" applyFont="1" applyFill="1" applyBorder="1" applyAlignment="1">
      <alignment horizontal="center" vertical="top" wrapText="1"/>
    </xf>
    <xf numFmtId="0" fontId="7" fillId="6" borderId="5" xfId="0" applyFont="1" applyFill="1" applyBorder="1" applyAlignment="1">
      <alignment horizontal="center" vertical="top" wrapText="1"/>
    </xf>
    <xf numFmtId="0" fontId="7" fillId="6" borderId="6" xfId="0" applyFont="1" applyFill="1" applyBorder="1" applyAlignment="1">
      <alignment horizontal="center" vertical="top" wrapText="1"/>
    </xf>
    <xf numFmtId="0" fontId="7" fillId="5" borderId="5" xfId="0" applyFont="1" applyFill="1" applyBorder="1" applyAlignment="1">
      <alignment horizontal="center" vertical="top" wrapText="1"/>
    </xf>
    <xf numFmtId="0" fontId="0" fillId="8" borderId="11" xfId="0" applyFill="1" applyBorder="1"/>
    <xf numFmtId="0" fontId="0" fillId="8" borderId="5" xfId="0" applyFill="1" applyBorder="1"/>
    <xf numFmtId="164" fontId="0" fillId="8" borderId="6" xfId="1" applyFont="1" applyFill="1" applyBorder="1"/>
    <xf numFmtId="164" fontId="0" fillId="8" borderId="0" xfId="1" applyFont="1" applyFill="1" applyBorder="1"/>
    <xf numFmtId="0" fontId="0" fillId="8" borderId="0" xfId="0" applyFill="1"/>
    <xf numFmtId="0" fontId="11" fillId="12" borderId="5" xfId="0" applyFont="1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11" fillId="13" borderId="13" xfId="0" applyFont="1" applyFill="1" applyBorder="1" applyAlignment="1">
      <alignment horizontal="center" vertical="center"/>
    </xf>
    <xf numFmtId="0" fontId="11" fillId="13" borderId="14" xfId="0" applyFont="1" applyFill="1" applyBorder="1" applyAlignment="1">
      <alignment horizontal="center" vertical="center"/>
    </xf>
    <xf numFmtId="0" fontId="0" fillId="14" borderId="11" xfId="0" applyFill="1" applyBorder="1"/>
    <xf numFmtId="164" fontId="0" fillId="14" borderId="12" xfId="1" applyFont="1" applyFill="1" applyBorder="1"/>
    <xf numFmtId="0" fontId="0" fillId="14" borderId="13" xfId="0" applyFill="1" applyBorder="1"/>
    <xf numFmtId="164" fontId="0" fillId="14" borderId="14" xfId="1" applyFont="1" applyFill="1" applyBorder="1"/>
    <xf numFmtId="14" fontId="0" fillId="15" borderId="9" xfId="0" applyNumberFormat="1" applyFill="1" applyBorder="1" applyAlignment="1">
      <alignment horizontal="center"/>
    </xf>
    <xf numFmtId="0" fontId="0" fillId="15" borderId="10" xfId="0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15" borderId="14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27" xfId="0" applyBorder="1" applyAlignment="1">
      <alignment horizontal="center"/>
    </xf>
    <xf numFmtId="14" fontId="0" fillId="15" borderId="4" xfId="0" applyNumberFormat="1" applyFill="1" applyBorder="1" applyAlignment="1">
      <alignment horizontal="center"/>
    </xf>
    <xf numFmtId="0" fontId="14" fillId="0" borderId="15" xfId="0" applyFont="1" applyBorder="1" applyAlignment="1">
      <alignment horizontal="center" vertical="top" wrapText="1"/>
    </xf>
    <xf numFmtId="14" fontId="0" fillId="15" borderId="28" xfId="0" applyNumberFormat="1" applyFill="1" applyBorder="1" applyAlignment="1">
      <alignment horizontal="center"/>
    </xf>
    <xf numFmtId="0" fontId="7" fillId="17" borderId="5" xfId="0" applyFont="1" applyFill="1" applyBorder="1" applyAlignment="1">
      <alignment horizontal="center" vertical="top" wrapText="1"/>
    </xf>
    <xf numFmtId="0" fontId="0" fillId="18" borderId="14" xfId="0" applyFill="1" applyBorder="1" applyAlignment="1">
      <alignment horizontal="center" vertical="center"/>
    </xf>
    <xf numFmtId="0" fontId="12" fillId="16" borderId="0" xfId="0" applyFont="1" applyFill="1"/>
    <xf numFmtId="14" fontId="12" fillId="16" borderId="0" xfId="0" applyNumberFormat="1" applyFont="1" applyFill="1"/>
    <xf numFmtId="14" fontId="0" fillId="15" borderId="11" xfId="0" applyNumberFormat="1" applyFill="1" applyBorder="1" applyAlignment="1">
      <alignment horizontal="center"/>
    </xf>
    <xf numFmtId="14" fontId="0" fillId="15" borderId="13" xfId="0" applyNumberFormat="1" applyFill="1" applyBorder="1" applyAlignment="1">
      <alignment horizontal="center"/>
    </xf>
    <xf numFmtId="0" fontId="15" fillId="0" borderId="5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19" fillId="0" borderId="0" xfId="2" applyFont="1" applyAlignment="1">
      <alignment horizontal="center"/>
    </xf>
    <xf numFmtId="0" fontId="1" fillId="0" borderId="0" xfId="2"/>
    <xf numFmtId="0" fontId="12" fillId="0" borderId="0" xfId="2" applyFont="1" applyAlignment="1">
      <alignment horizontal="center"/>
    </xf>
    <xf numFmtId="0" fontId="1" fillId="0" borderId="0" xfId="2" applyAlignment="1">
      <alignment horizontal="center"/>
    </xf>
    <xf numFmtId="165" fontId="0" fillId="0" borderId="0" xfId="1" applyNumberFormat="1" applyFont="1" applyAlignment="1">
      <alignment horizontal="center"/>
    </xf>
    <xf numFmtId="164" fontId="0" fillId="0" borderId="0" xfId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165" fontId="26" fillId="0" borderId="0" xfId="1" applyNumberFormat="1" applyFont="1" applyAlignment="1">
      <alignment horizontal="center"/>
    </xf>
    <xf numFmtId="164" fontId="26" fillId="0" borderId="0" xfId="1" applyFont="1" applyAlignment="1">
      <alignment horizontal="center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165" fontId="29" fillId="0" borderId="0" xfId="1" applyNumberFormat="1" applyFont="1" applyAlignment="1">
      <alignment horizontal="center"/>
    </xf>
    <xf numFmtId="164" fontId="29" fillId="0" borderId="0" xfId="1" applyFont="1" applyAlignment="1">
      <alignment horizontal="center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7" fillId="0" borderId="0" xfId="0" applyFont="1"/>
    <xf numFmtId="14" fontId="27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1" fontId="2" fillId="0" borderId="0" xfId="0" applyNumberFormat="1" applyFont="1" applyAlignment="1">
      <alignment horizontal="center" vertical="top" wrapText="1"/>
    </xf>
    <xf numFmtId="164" fontId="2" fillId="0" borderId="0" xfId="1" applyFont="1" applyAlignment="1">
      <alignment horizontal="center" vertical="top" wrapText="1"/>
    </xf>
    <xf numFmtId="0" fontId="2" fillId="0" borderId="0" xfId="0" applyFont="1" applyAlignment="1">
      <alignment vertical="top"/>
    </xf>
    <xf numFmtId="167" fontId="0" fillId="0" borderId="0" xfId="0" applyNumberFormat="1" applyAlignment="1">
      <alignment horizontal="center" vertical="center"/>
    </xf>
    <xf numFmtId="165" fontId="30" fillId="0" borderId="0" xfId="1" applyNumberFormat="1" applyFont="1" applyFill="1" applyAlignment="1">
      <alignment horizontal="center" vertical="center" wrapText="1"/>
    </xf>
    <xf numFmtId="165" fontId="31" fillId="0" borderId="0" xfId="1" applyNumberFormat="1" applyFont="1" applyFill="1" applyAlignment="1">
      <alignment horizontal="center" vertical="center" wrapText="1"/>
    </xf>
    <xf numFmtId="165" fontId="22" fillId="0" borderId="0" xfId="1" applyNumberFormat="1" applyFont="1" applyFill="1" applyAlignment="1">
      <alignment horizontal="center" vertical="center" wrapText="1"/>
    </xf>
    <xf numFmtId="165" fontId="3" fillId="0" borderId="0" xfId="1" applyNumberFormat="1" applyFont="1" applyFill="1" applyAlignment="1">
      <alignment horizontal="center"/>
    </xf>
    <xf numFmtId="0" fontId="32" fillId="0" borderId="0" xfId="0" applyFont="1" applyAlignment="1">
      <alignment horizontal="center" vertical="top" wrapText="1"/>
    </xf>
    <xf numFmtId="0" fontId="25" fillId="0" borderId="0" xfId="0" applyFont="1"/>
    <xf numFmtId="0" fontId="32" fillId="0" borderId="0" xfId="0" applyFont="1"/>
    <xf numFmtId="165" fontId="33" fillId="0" borderId="0" xfId="1" applyNumberFormat="1" applyFont="1" applyFill="1" applyAlignment="1">
      <alignment horizontal="center"/>
    </xf>
    <xf numFmtId="1" fontId="26" fillId="0" borderId="0" xfId="0" applyNumberFormat="1" applyFont="1" applyAlignment="1">
      <alignment horizontal="center"/>
    </xf>
    <xf numFmtId="165" fontId="4" fillId="0" borderId="0" xfId="1" applyNumberFormat="1" applyFont="1" applyAlignment="1">
      <alignment horizontal="center"/>
    </xf>
    <xf numFmtId="0" fontId="26" fillId="0" borderId="0" xfId="0" applyFont="1"/>
    <xf numFmtId="1" fontId="29" fillId="0" borderId="0" xfId="0" applyNumberFormat="1" applyFont="1" applyAlignment="1">
      <alignment horizontal="center"/>
    </xf>
    <xf numFmtId="165" fontId="27" fillId="0" borderId="0" xfId="1" applyNumberFormat="1" applyFont="1" applyAlignment="1">
      <alignment horizontal="center"/>
    </xf>
    <xf numFmtId="0" fontId="28" fillId="0" borderId="0" xfId="0" applyFont="1"/>
    <xf numFmtId="0" fontId="29" fillId="0" borderId="0" xfId="0" applyFont="1"/>
    <xf numFmtId="0" fontId="34" fillId="0" borderId="0" xfId="0" applyFont="1"/>
    <xf numFmtId="169" fontId="32" fillId="0" borderId="0" xfId="0" applyNumberFormat="1" applyFont="1"/>
    <xf numFmtId="0" fontId="18" fillId="0" borderId="0" xfId="0" applyFont="1" applyAlignment="1">
      <alignment horizontal="center" vertical="center"/>
    </xf>
    <xf numFmtId="168" fontId="32" fillId="0" borderId="0" xfId="1" applyNumberFormat="1" applyFont="1" applyAlignment="1">
      <alignment horizontal="right"/>
    </xf>
    <xf numFmtId="0" fontId="3" fillId="0" borderId="0" xfId="0" applyFont="1" applyAlignment="1">
      <alignment horizontal="center" vertical="top"/>
    </xf>
    <xf numFmtId="0" fontId="20" fillId="0" borderId="1" xfId="2" applyFont="1" applyBorder="1" applyAlignment="1">
      <alignment vertical="center"/>
    </xf>
    <xf numFmtId="1" fontId="32" fillId="0" borderId="0" xfId="0" applyNumberFormat="1" applyFont="1"/>
    <xf numFmtId="1" fontId="25" fillId="0" borderId="0" xfId="0" applyNumberFormat="1" applyFont="1"/>
    <xf numFmtId="1" fontId="28" fillId="0" borderId="0" xfId="0" applyNumberFormat="1" applyFont="1"/>
    <xf numFmtId="0" fontId="2" fillId="0" borderId="0" xfId="2" applyFont="1" applyAlignment="1">
      <alignment horizontal="center" vertical="center"/>
    </xf>
    <xf numFmtId="0" fontId="21" fillId="20" borderId="31" xfId="2" applyFont="1" applyFill="1" applyBorder="1" applyAlignment="1">
      <alignment horizontal="center" vertical="center"/>
    </xf>
    <xf numFmtId="0" fontId="21" fillId="20" borderId="32" xfId="2" applyFont="1" applyFill="1" applyBorder="1" applyAlignment="1">
      <alignment horizontal="center" vertical="center"/>
    </xf>
    <xf numFmtId="0" fontId="21" fillId="20" borderId="33" xfId="2" applyFont="1" applyFill="1" applyBorder="1" applyAlignment="1">
      <alignment horizontal="center" vertical="center"/>
    </xf>
    <xf numFmtId="14" fontId="0" fillId="0" borderId="0" xfId="0" applyNumberFormat="1"/>
    <xf numFmtId="0" fontId="22" fillId="5" borderId="29" xfId="2" applyFont="1" applyFill="1" applyBorder="1" applyAlignment="1">
      <alignment horizontal="center" vertical="center" wrapText="1"/>
    </xf>
    <xf numFmtId="0" fontId="11" fillId="12" borderId="36" xfId="2" applyFont="1" applyFill="1" applyBorder="1" applyAlignment="1">
      <alignment horizontal="center" vertical="top"/>
    </xf>
    <xf numFmtId="0" fontId="11" fillId="12" borderId="37" xfId="2" applyFont="1" applyFill="1" applyBorder="1" applyAlignment="1">
      <alignment horizontal="center" vertical="top"/>
    </xf>
    <xf numFmtId="0" fontId="36" fillId="5" borderId="30" xfId="2" applyFont="1" applyFill="1" applyBorder="1" applyAlignment="1">
      <alignment horizontal="center" vertical="center" wrapText="1"/>
    </xf>
    <xf numFmtId="0" fontId="0" fillId="0" borderId="0" xfId="0" pivotButton="1"/>
    <xf numFmtId="0" fontId="2" fillId="0" borderId="0" xfId="0" applyFont="1" applyAlignment="1">
      <alignment vertical="center"/>
    </xf>
    <xf numFmtId="0" fontId="39" fillId="23" borderId="35" xfId="0" applyFont="1" applyFill="1" applyBorder="1" applyAlignment="1">
      <alignment horizontal="center" vertical="center" wrapText="1"/>
    </xf>
    <xf numFmtId="0" fontId="10" fillId="22" borderId="38" xfId="0" applyFont="1" applyFill="1" applyBorder="1" applyAlignment="1">
      <alignment horizontal="center" vertical="center"/>
    </xf>
    <xf numFmtId="0" fontId="39" fillId="23" borderId="40" xfId="0" applyFont="1" applyFill="1" applyBorder="1" applyAlignment="1">
      <alignment horizontal="center" vertical="center" wrapText="1"/>
    </xf>
    <xf numFmtId="0" fontId="11" fillId="12" borderId="53" xfId="2" applyFont="1" applyFill="1" applyBorder="1" applyAlignment="1">
      <alignment horizontal="center" vertical="top"/>
    </xf>
    <xf numFmtId="0" fontId="11" fillId="12" borderId="54" xfId="2" applyFont="1" applyFill="1" applyBorder="1" applyAlignment="1">
      <alignment horizontal="center" vertical="top"/>
    </xf>
    <xf numFmtId="0" fontId="11" fillId="12" borderId="55" xfId="2" applyFont="1" applyFill="1" applyBorder="1" applyAlignment="1">
      <alignment horizontal="center" vertical="top"/>
    </xf>
    <xf numFmtId="0" fontId="11" fillId="12" borderId="56" xfId="2" applyFont="1" applyFill="1" applyBorder="1" applyAlignment="1">
      <alignment horizontal="center" vertical="top"/>
    </xf>
    <xf numFmtId="0" fontId="11" fillId="12" borderId="48" xfId="2" applyFont="1" applyFill="1" applyBorder="1" applyAlignment="1">
      <alignment horizontal="center" vertical="top"/>
    </xf>
    <xf numFmtId="0" fontId="10" fillId="0" borderId="0" xfId="2" applyFont="1" applyAlignment="1">
      <alignment vertical="center"/>
    </xf>
    <xf numFmtId="165" fontId="40" fillId="0" borderId="0" xfId="1" applyNumberFormat="1" applyFont="1" applyFill="1" applyAlignment="1">
      <alignment horizontal="center"/>
    </xf>
    <xf numFmtId="0" fontId="41" fillId="0" borderId="0" xfId="0" applyFont="1"/>
    <xf numFmtId="1" fontId="41" fillId="0" borderId="0" xfId="0" applyNumberFormat="1" applyFont="1"/>
    <xf numFmtId="0" fontId="42" fillId="0" borderId="0" xfId="3"/>
    <xf numFmtId="0" fontId="17" fillId="0" borderId="25" xfId="1" applyNumberFormat="1" applyFont="1" applyFill="1" applyBorder="1" applyAlignment="1">
      <alignment horizontal="left" vertical="center"/>
    </xf>
    <xf numFmtId="0" fontId="17" fillId="0" borderId="26" xfId="1" applyNumberFormat="1" applyFont="1" applyFill="1" applyBorder="1" applyAlignment="1">
      <alignment horizontal="left" vertical="center"/>
    </xf>
    <xf numFmtId="0" fontId="18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1" fontId="17" fillId="0" borderId="21" xfId="0" applyNumberFormat="1" applyFont="1" applyBorder="1" applyAlignment="1">
      <alignment horizontal="right" vertical="center"/>
    </xf>
    <xf numFmtId="14" fontId="10" fillId="0" borderId="18" xfId="0" applyNumberFormat="1" applyFont="1" applyBorder="1" applyAlignment="1">
      <alignment horizontal="left" vertical="center"/>
    </xf>
    <xf numFmtId="14" fontId="10" fillId="0" borderId="17" xfId="0" applyNumberFormat="1" applyFont="1" applyBorder="1" applyAlignment="1">
      <alignment horizontal="left" vertical="center"/>
    </xf>
    <xf numFmtId="166" fontId="10" fillId="0" borderId="16" xfId="0" applyNumberFormat="1" applyFont="1" applyBorder="1" applyAlignment="1">
      <alignment horizontal="center"/>
    </xf>
    <xf numFmtId="166" fontId="10" fillId="0" borderId="18" xfId="0" applyNumberFormat="1" applyFont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1" fontId="17" fillId="0" borderId="19" xfId="0" applyNumberFormat="1" applyFont="1" applyBorder="1" applyAlignment="1">
      <alignment horizontal="right" vertical="center"/>
    </xf>
    <xf numFmtId="0" fontId="13" fillId="0" borderId="20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35" fillId="12" borderId="35" xfId="2" applyFont="1" applyFill="1" applyBorder="1" applyAlignment="1">
      <alignment horizontal="center" vertical="center"/>
    </xf>
    <xf numFmtId="0" fontId="35" fillId="12" borderId="34" xfId="2" applyFont="1" applyFill="1" applyBorder="1" applyAlignment="1">
      <alignment horizontal="center" vertical="center"/>
    </xf>
    <xf numFmtId="0" fontId="35" fillId="12" borderId="50" xfId="2" applyFont="1" applyFill="1" applyBorder="1" applyAlignment="1">
      <alignment horizontal="center" vertical="center"/>
    </xf>
    <xf numFmtId="0" fontId="35" fillId="12" borderId="51" xfId="2" applyFont="1" applyFill="1" applyBorder="1" applyAlignment="1">
      <alignment horizontal="center" vertical="center"/>
    </xf>
    <xf numFmtId="0" fontId="38" fillId="19" borderId="16" xfId="2" applyFont="1" applyFill="1" applyBorder="1" applyAlignment="1">
      <alignment horizontal="center" vertical="center"/>
    </xf>
    <xf numFmtId="0" fontId="38" fillId="19" borderId="18" xfId="2" applyFont="1" applyFill="1" applyBorder="1" applyAlignment="1">
      <alignment horizontal="center" vertical="center"/>
    </xf>
    <xf numFmtId="0" fontId="38" fillId="19" borderId="17" xfId="2" applyFont="1" applyFill="1" applyBorder="1" applyAlignment="1">
      <alignment horizontal="center" vertical="center"/>
    </xf>
    <xf numFmtId="0" fontId="39" fillId="23" borderId="34" xfId="0" applyFont="1" applyFill="1" applyBorder="1" applyAlignment="1">
      <alignment horizontal="center" vertical="center" wrapText="1"/>
    </xf>
    <xf numFmtId="0" fontId="39" fillId="23" borderId="43" xfId="0" applyFont="1" applyFill="1" applyBorder="1" applyAlignment="1">
      <alignment horizontal="center" vertical="center" wrapText="1"/>
    </xf>
    <xf numFmtId="0" fontId="10" fillId="22" borderId="39" xfId="0" applyFont="1" applyFill="1" applyBorder="1" applyAlignment="1">
      <alignment horizontal="center" vertical="center"/>
    </xf>
    <xf numFmtId="0" fontId="39" fillId="23" borderId="46" xfId="0" applyFont="1" applyFill="1" applyBorder="1" applyAlignment="1">
      <alignment horizontal="center" vertical="center" wrapText="1"/>
    </xf>
    <xf numFmtId="0" fontId="10" fillId="22" borderId="37" xfId="2" applyFont="1" applyFill="1" applyBorder="1" applyAlignment="1">
      <alignment horizontal="center" vertical="center"/>
    </xf>
    <xf numFmtId="0" fontId="10" fillId="22" borderId="48" xfId="2" applyFont="1" applyFill="1" applyBorder="1" applyAlignment="1">
      <alignment horizontal="center" vertical="center"/>
    </xf>
    <xf numFmtId="0" fontId="39" fillId="23" borderId="41" xfId="0" applyFont="1" applyFill="1" applyBorder="1" applyAlignment="1">
      <alignment horizontal="center" vertical="center" wrapText="1"/>
    </xf>
    <xf numFmtId="0" fontId="39" fillId="23" borderId="44" xfId="0" applyFont="1" applyFill="1" applyBorder="1" applyAlignment="1">
      <alignment horizontal="center" vertical="center" wrapText="1"/>
    </xf>
    <xf numFmtId="0" fontId="39" fillId="23" borderId="42" xfId="0" applyFont="1" applyFill="1" applyBorder="1" applyAlignment="1">
      <alignment horizontal="center" vertical="center" wrapText="1"/>
    </xf>
    <xf numFmtId="0" fontId="39" fillId="23" borderId="45" xfId="0" applyFont="1" applyFill="1" applyBorder="1" applyAlignment="1">
      <alignment horizontal="center" vertical="center" wrapText="1"/>
    </xf>
    <xf numFmtId="0" fontId="35" fillId="12" borderId="52" xfId="2" applyFont="1" applyFill="1" applyBorder="1" applyAlignment="1">
      <alignment horizontal="center" vertical="center"/>
    </xf>
    <xf numFmtId="0" fontId="24" fillId="21" borderId="16" xfId="2" applyFont="1" applyFill="1" applyBorder="1" applyAlignment="1">
      <alignment horizontal="center" vertical="center"/>
    </xf>
    <xf numFmtId="0" fontId="24" fillId="21" borderId="18" xfId="2" applyFont="1" applyFill="1" applyBorder="1" applyAlignment="1">
      <alignment horizontal="center" vertical="center"/>
    </xf>
    <xf numFmtId="0" fontId="24" fillId="21" borderId="17" xfId="2" applyFont="1" applyFill="1" applyBorder="1" applyAlignment="1">
      <alignment horizontal="center" vertical="center"/>
    </xf>
    <xf numFmtId="0" fontId="10" fillId="22" borderId="39" xfId="2" applyFont="1" applyFill="1" applyBorder="1" applyAlignment="1">
      <alignment horizontal="center" vertical="center"/>
    </xf>
    <xf numFmtId="0" fontId="39" fillId="23" borderId="47" xfId="0" applyFont="1" applyFill="1" applyBorder="1" applyAlignment="1">
      <alignment horizontal="center" vertical="center" wrapText="1"/>
    </xf>
    <xf numFmtId="0" fontId="39" fillId="23" borderId="49" xfId="0" applyFont="1" applyFill="1" applyBorder="1" applyAlignment="1">
      <alignment horizontal="center" vertical="center" wrapText="1"/>
    </xf>
    <xf numFmtId="0" fontId="23" fillId="0" borderId="16" xfId="2" applyFont="1" applyBorder="1" applyAlignment="1">
      <alignment horizontal="right" vertical="center"/>
    </xf>
    <xf numFmtId="0" fontId="23" fillId="0" borderId="18" xfId="2" applyFont="1" applyBorder="1" applyAlignment="1">
      <alignment horizontal="right" vertical="center"/>
    </xf>
    <xf numFmtId="166" fontId="23" fillId="0" borderId="18" xfId="2" applyNumberFormat="1" applyFont="1" applyBorder="1" applyAlignment="1">
      <alignment horizontal="left" vertical="center"/>
    </xf>
    <xf numFmtId="166" fontId="23" fillId="0" borderId="17" xfId="2" applyNumberFormat="1" applyFont="1" applyBorder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0" fillId="0" borderId="0" xfId="0" pivotButton="1"/>
    <xf numFmtId="0" fontId="0" fillId="0" borderId="0" xfId="0"/>
  </cellXfs>
  <cellStyles count="4">
    <cellStyle name="Lien hypertexte" xfId="3" builtinId="8"/>
    <cellStyle name="Monétaire" xfId="1" builtinId="4"/>
    <cellStyle name="Normal" xfId="0" builtinId="0"/>
    <cellStyle name="Normal 2" xfId="2" xr:uid="{00000000-0005-0000-0000-000002000000}"/>
  </cellStyles>
  <dxfs count="12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7" formatCode="m/d/yyyy"/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</dxf>
    <dxf>
      <fill>
        <patternFill patternType="none">
          <fgColor indexed="64"/>
          <bgColor auto="1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vertical/>
      </border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vertical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top" textRotation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_-* #,##0.00\ [$€-40C]_-;\-* #,##0.00\ [$€-40C]_-;_-* &quot;-&quot;??\ [$€-40C]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(&quot;€&quot;* #,##0.00_);_(&quot;€&quot;* \(#,##0.00\);_(&quot;€&quot;* &quot;-&quot;??_);_(@_)"/>
      <alignment horizontal="center" vertical="bottom" textRotation="0" wrapText="0" indent="0" justifyLastLine="0" shrinkToFit="0" readingOrder="0"/>
    </dxf>
    <dxf>
      <numFmt numFmtId="165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numFmt numFmtId="165" formatCode="_-* #,##0.00\ [$€-40C]_-;\-* #,##0.00\ [$€-40C]_-;_-* &quot;-&quot;??\ [$€-40C]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67" formatCode="m/d/yyyy"/>
      <alignment horizontal="center" vertical="center" textRotation="0" wrapText="0" indent="0" justifyLastLine="0" shrinkToFit="0" readingOrder="0"/>
    </dxf>
    <dxf>
      <numFmt numFmtId="167" formatCode="m/d/yyyy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top" textRotation="0" wrapText="1" indent="0" justifyLastLine="0" shrinkToFit="0" readingOrder="0"/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CC66FF"/>
      <color rgb="FF0000CC"/>
      <color rgb="FFFF0000"/>
      <color rgb="FF66CCFF"/>
      <color rgb="FF00FFFF"/>
      <color rgb="FF00CCFF"/>
      <color rgb="FFFF3300"/>
      <color rgb="FFFFCC99"/>
      <color rgb="FFCC33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pivotCacheDefinition" Target="pivotCache/pivotCacheDefinition1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339969</xdr:colOff>
      <xdr:row>2</xdr:row>
      <xdr:rowOff>48359</xdr:rowOff>
    </xdr:from>
    <xdr:to>
      <xdr:col>5</xdr:col>
      <xdr:colOff>573969</xdr:colOff>
      <xdr:row>9</xdr:row>
      <xdr:rowOff>154859</xdr:rowOff>
    </xdr:to>
    <xdr:sp macro="[0]!ouvre_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63969" y="429359"/>
          <a:ext cx="2520000" cy="1440000"/>
        </a:xfrm>
        <a:prstGeom prst="roundRect">
          <a:avLst/>
        </a:prstGeom>
        <a:solidFill>
          <a:srgbClr val="00FF00"/>
        </a:solidFill>
        <a:ln>
          <a:solidFill>
            <a:srgbClr val="92D050"/>
          </a:solidFill>
        </a:ln>
        <a:effectLst>
          <a:outerShdw blurRad="50800" dist="165100" dir="2700000" algn="tl" rotWithShape="0">
            <a:prstClr val="black">
              <a:alpha val="62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  <a:effectLst>
                <a:outerShdw blurRad="50800" dir="5400000" algn="ctr" rotWithShape="0">
                  <a:srgbClr val="000000">
                    <a:alpha val="43137"/>
                  </a:srgbClr>
                </a:outerShdw>
              </a:effectLst>
            </a:rPr>
            <a:t>Formulaire         d' inscription</a:t>
          </a:r>
        </a:p>
      </xdr:txBody>
    </xdr:sp>
    <xdr:clientData/>
  </xdr:twoCellAnchor>
  <xdr:twoCellAnchor>
    <xdr:from>
      <xdr:col>8</xdr:col>
      <xdr:colOff>93434</xdr:colOff>
      <xdr:row>2</xdr:row>
      <xdr:rowOff>53137</xdr:rowOff>
    </xdr:from>
    <xdr:to>
      <xdr:col>12</xdr:col>
      <xdr:colOff>165509</xdr:colOff>
      <xdr:row>9</xdr:row>
      <xdr:rowOff>159637</xdr:rowOff>
    </xdr:to>
    <xdr:sp macro="[0]!ouvre_feuille_source_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341834" y="434137"/>
          <a:ext cx="2520000" cy="1440000"/>
        </a:xfrm>
        <a:prstGeom prst="roundRect">
          <a:avLst/>
        </a:prstGeom>
        <a:solidFill>
          <a:schemeClr val="accent4"/>
        </a:solidFill>
        <a:ln>
          <a:solidFill>
            <a:srgbClr val="92D050"/>
          </a:solidFill>
        </a:ln>
        <a:effectLst>
          <a:outerShdw blurRad="50800" dist="165100" dir="2700000" algn="tl" rotWithShape="0">
            <a:prstClr val="black">
              <a:alpha val="62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  <a:effectLst>
                <a:outerShdw blurRad="50800" dir="5400000" algn="ctr" rotWithShape="0">
                  <a:srgbClr val="000000">
                    <a:alpha val="43137"/>
                  </a:srgbClr>
                </a:outerShdw>
              </a:effectLst>
            </a:rPr>
            <a:t>Accéder</a:t>
          </a:r>
          <a:r>
            <a:rPr lang="fr-FR" sz="2400" b="1" baseline="0">
              <a:solidFill>
                <a:schemeClr val="tx1"/>
              </a:solidFill>
              <a:effectLst>
                <a:outerShdw blurRad="50800" dir="5400000" algn="ctr" rotWithShape="0">
                  <a:srgbClr val="000000">
                    <a:alpha val="43137"/>
                  </a:srgbClr>
                </a:outerShdw>
              </a:effectLst>
            </a:rPr>
            <a:t> feuille source</a:t>
          </a:r>
          <a:endParaRPr lang="fr-FR" sz="2400" b="1">
            <a:solidFill>
              <a:schemeClr val="tx1"/>
            </a:solidFill>
            <a:effectLst>
              <a:outerShdw blurRad="50800" dir="5400000" algn="ctr" rotWithShape="0">
                <a:srgbClr val="000000">
                  <a:alpha val="43137"/>
                </a:srgbClr>
              </a:outerShdw>
            </a:effectLst>
          </a:endParaRPr>
        </a:p>
      </xdr:txBody>
    </xdr:sp>
    <xdr:clientData/>
  </xdr:twoCellAnchor>
  <xdr:twoCellAnchor>
    <xdr:from>
      <xdr:col>14</xdr:col>
      <xdr:colOff>413239</xdr:colOff>
      <xdr:row>2</xdr:row>
      <xdr:rowOff>51224</xdr:rowOff>
    </xdr:from>
    <xdr:to>
      <xdr:col>18</xdr:col>
      <xdr:colOff>494839</xdr:colOff>
      <xdr:row>9</xdr:row>
      <xdr:rowOff>157724</xdr:rowOff>
    </xdr:to>
    <xdr:sp macro="[0]!ouvre_feuille_organisation_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643089" y="432224"/>
          <a:ext cx="2520000" cy="144000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rgbClr val="92D050"/>
          </a:solidFill>
        </a:ln>
        <a:effectLst>
          <a:outerShdw blurRad="50800" dist="165100" dir="2700000" algn="tl" rotWithShape="0">
            <a:prstClr val="black">
              <a:alpha val="62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  <a:effectLst>
                <a:outerShdw blurRad="50800" dir="5400000" algn="ctr" rotWithShape="0">
                  <a:srgbClr val="000000">
                    <a:alpha val="43137"/>
                  </a:srgbClr>
                </a:outerShdw>
              </a:effectLst>
            </a:rPr>
            <a:t>Accéder à             l'</a:t>
          </a:r>
          <a:r>
            <a:rPr lang="fr-FR" sz="2400" b="1" baseline="0">
              <a:solidFill>
                <a:schemeClr val="tx1"/>
              </a:solidFill>
              <a:effectLst>
                <a:outerShdw blurRad="50800" dir="5400000" algn="ctr" rotWithShape="0">
                  <a:srgbClr val="000000">
                    <a:alpha val="43137"/>
                  </a:srgbClr>
                </a:outerShdw>
              </a:effectLst>
            </a:rPr>
            <a:t>organisation de la Saint Patrick</a:t>
          </a:r>
          <a:endParaRPr lang="fr-FR" sz="2400" b="1">
            <a:solidFill>
              <a:schemeClr val="tx1"/>
            </a:solidFill>
            <a:effectLst>
              <a:outerShdw blurRad="50800" dir="5400000" algn="ctr" rotWithShape="0">
                <a:srgbClr val="000000">
                  <a:alpha val="43137"/>
                </a:srgbClr>
              </a:outerShdw>
            </a:effectLst>
          </a:endParaRPr>
        </a:p>
      </xdr:txBody>
    </xdr:sp>
    <xdr:clientData/>
  </xdr:twoCellAnchor>
  <xdr:twoCellAnchor>
    <xdr:from>
      <xdr:col>5</xdr:col>
      <xdr:colOff>316524</xdr:colOff>
      <xdr:row>14</xdr:row>
      <xdr:rowOff>146539</xdr:rowOff>
    </xdr:from>
    <xdr:to>
      <xdr:col>9</xdr:col>
      <xdr:colOff>245724</xdr:colOff>
      <xdr:row>21</xdr:row>
      <xdr:rowOff>81589</xdr:rowOff>
    </xdr:to>
    <xdr:sp macro="[0]!ouvre_feuille_table_vendredi_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126524" y="2813539"/>
          <a:ext cx="2520000" cy="1440000"/>
        </a:xfrm>
        <a:prstGeom prst="roundRect">
          <a:avLst/>
        </a:prstGeom>
        <a:solidFill>
          <a:srgbClr val="FF00FF"/>
        </a:solidFill>
        <a:ln>
          <a:solidFill>
            <a:srgbClr val="92D050"/>
          </a:solidFill>
        </a:ln>
        <a:effectLst>
          <a:outerShdw blurRad="50800" dist="165100" dir="2700000" algn="tl" rotWithShape="0">
            <a:prstClr val="black">
              <a:alpha val="62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  <a:effectLst>
                <a:outerShdw blurRad="50800" dir="5400000" algn="ctr" rotWithShape="0">
                  <a:srgbClr val="000000">
                    <a:alpha val="43137"/>
                  </a:srgbClr>
                </a:outerShdw>
              </a:effectLst>
            </a:rPr>
            <a:t>Accéder</a:t>
          </a:r>
          <a:r>
            <a:rPr lang="fr-FR" sz="2400" b="1" baseline="0">
              <a:solidFill>
                <a:schemeClr val="tx1"/>
              </a:solidFill>
              <a:effectLst>
                <a:outerShdw blurRad="50800" dir="5400000" algn="ctr" rotWithShape="0">
                  <a:srgbClr val="000000">
                    <a:alpha val="43137"/>
                  </a:srgbClr>
                </a:outerShdw>
              </a:effectLst>
            </a:rPr>
            <a:t> tablée du vendredi</a:t>
          </a:r>
          <a:endParaRPr lang="fr-FR" sz="2400" b="1">
            <a:solidFill>
              <a:schemeClr val="tx1"/>
            </a:solidFill>
            <a:effectLst>
              <a:outerShdw blurRad="50800" dir="5400000" algn="ctr" rotWithShape="0">
                <a:srgbClr val="000000">
                  <a:alpha val="43137"/>
                </a:srgbClr>
              </a:outerShdw>
            </a:effectLst>
          </a:endParaRPr>
        </a:p>
      </xdr:txBody>
    </xdr:sp>
    <xdr:clientData/>
  </xdr:twoCellAnchor>
  <xdr:twoCellAnchor>
    <xdr:from>
      <xdr:col>11</xdr:col>
      <xdr:colOff>449899</xdr:colOff>
      <xdr:row>14</xdr:row>
      <xdr:rowOff>150806</xdr:rowOff>
    </xdr:from>
    <xdr:to>
      <xdr:col>14</xdr:col>
      <xdr:colOff>664849</xdr:colOff>
      <xdr:row>21</xdr:row>
      <xdr:rowOff>85856</xdr:rowOff>
    </xdr:to>
    <xdr:sp macro="[0]!ouvre_feuille_table_samedi_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374699" y="2817806"/>
          <a:ext cx="2520000" cy="1440000"/>
        </a:xfrm>
        <a:prstGeom prst="roundRect">
          <a:avLst/>
        </a:prstGeom>
        <a:solidFill>
          <a:srgbClr val="00FFFF"/>
        </a:solidFill>
        <a:ln>
          <a:solidFill>
            <a:srgbClr val="92D050"/>
          </a:solidFill>
        </a:ln>
        <a:effectLst>
          <a:outerShdw blurRad="50800" dist="165100" dir="2700000" algn="tl" rotWithShape="0">
            <a:prstClr val="black">
              <a:alpha val="62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  <a:effectLst>
                <a:outerShdw blurRad="50800" dir="5400000" algn="ctr" rotWithShape="0">
                  <a:srgbClr val="000000">
                    <a:alpha val="43137"/>
                  </a:srgbClr>
                </a:outerShdw>
              </a:effectLst>
            </a:rPr>
            <a:t>Accéder</a:t>
          </a:r>
          <a:r>
            <a:rPr lang="fr-FR" sz="2400" b="1" baseline="0">
              <a:solidFill>
                <a:schemeClr val="tx1"/>
              </a:solidFill>
              <a:effectLst>
                <a:outerShdw blurRad="50800" dir="5400000" algn="ctr" rotWithShape="0">
                  <a:srgbClr val="000000">
                    <a:alpha val="43137"/>
                  </a:srgbClr>
                </a:outerShdw>
              </a:effectLst>
            </a:rPr>
            <a:t> tablée du samedi</a:t>
          </a:r>
          <a:endParaRPr lang="fr-FR" sz="2400" b="1">
            <a:solidFill>
              <a:schemeClr val="tx1"/>
            </a:solidFill>
            <a:effectLst>
              <a:outerShdw blurRad="50800" dir="5400000" algn="ctr" rotWithShape="0">
                <a:srgbClr val="000000">
                  <a:alpha val="43137"/>
                </a:srgbClr>
              </a:outerShdw>
            </a:effectLst>
          </a:endParaRPr>
        </a:p>
      </xdr:txBody>
    </xdr:sp>
    <xdr:clientData/>
  </xdr:twoCellAnchor>
  <xdr:twoCellAnchor>
    <xdr:from>
      <xdr:col>17</xdr:col>
      <xdr:colOff>581024</xdr:colOff>
      <xdr:row>29</xdr:row>
      <xdr:rowOff>219075</xdr:rowOff>
    </xdr:from>
    <xdr:to>
      <xdr:col>20</xdr:col>
      <xdr:colOff>207647</xdr:colOff>
      <xdr:row>34</xdr:row>
      <xdr:rowOff>114431</xdr:rowOff>
    </xdr:to>
    <xdr:sp macro="[0]!Sorti_plein_ecran" textlink="">
      <xdr:nvSpPr>
        <xdr:cNvPr id="7" name="Rectangle à coins arrondis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2487274" y="5924550"/>
          <a:ext cx="1912623" cy="962156"/>
        </a:xfrm>
        <a:prstGeom prst="roundRect">
          <a:avLst/>
        </a:prstGeom>
        <a:solidFill>
          <a:srgbClr val="0000CC"/>
        </a:solidFill>
        <a:ln>
          <a:solidFill>
            <a:srgbClr val="92D050"/>
          </a:solidFill>
        </a:ln>
        <a:effectLst>
          <a:outerShdw blurRad="50800" dist="165100" dir="2700000" algn="tl" rotWithShape="0">
            <a:prstClr val="black">
              <a:alpha val="62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bg1"/>
              </a:solidFill>
              <a:effectLst>
                <a:outerShdw blurRad="50800" dir="5400000" algn="ctr" rotWithShape="0">
                  <a:srgbClr val="000000">
                    <a:alpha val="43137"/>
                  </a:srgbClr>
                </a:outerShdw>
              </a:effectLst>
            </a:rPr>
            <a:t>Enlever le Plein écran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66675</xdr:rowOff>
    </xdr:from>
    <xdr:to>
      <xdr:col>2</xdr:col>
      <xdr:colOff>180976</xdr:colOff>
      <xdr:row>0</xdr:row>
      <xdr:rowOff>747346</xdr:rowOff>
    </xdr:to>
    <xdr:sp macro="[0]!ouvre_feuille_Accueil_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95251" y="66675"/>
          <a:ext cx="2166571" cy="680671"/>
        </a:xfrm>
        <a:prstGeom prst="roundRect">
          <a:avLst/>
        </a:prstGeom>
        <a:solidFill>
          <a:srgbClr val="FFFF00"/>
        </a:solidFill>
        <a:ln>
          <a:solidFill>
            <a:srgbClr val="92D050"/>
          </a:solidFill>
        </a:ln>
        <a:effectLst>
          <a:outerShdw blurRad="50800" dist="88900" dir="2700000" algn="tl" rotWithShape="0">
            <a:prstClr val="black">
              <a:alpha val="77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Retour accueil</a:t>
          </a:r>
        </a:p>
      </xdr:txBody>
    </xdr:sp>
    <xdr:clientData/>
  </xdr:twoCellAnchor>
  <xdr:twoCellAnchor editAs="absolute">
    <xdr:from>
      <xdr:col>3</xdr:col>
      <xdr:colOff>12456</xdr:colOff>
      <xdr:row>0</xdr:row>
      <xdr:rowOff>92319</xdr:rowOff>
    </xdr:from>
    <xdr:to>
      <xdr:col>5</xdr:col>
      <xdr:colOff>309929</xdr:colOff>
      <xdr:row>0</xdr:row>
      <xdr:rowOff>1304192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Réservation pour le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servation pour 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16494" y="92319"/>
              <a:ext cx="1828800" cy="12118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437417</xdr:colOff>
      <xdr:row>0</xdr:row>
      <xdr:rowOff>99646</xdr:rowOff>
    </xdr:from>
    <xdr:to>
      <xdr:col>7</xdr:col>
      <xdr:colOff>734890</xdr:colOff>
      <xdr:row>0</xdr:row>
      <xdr:rowOff>1311519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Etat paiement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t paie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72782" y="99646"/>
              <a:ext cx="1828800" cy="12118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76200</xdr:rowOff>
    </xdr:from>
    <xdr:to>
      <xdr:col>3</xdr:col>
      <xdr:colOff>161925</xdr:colOff>
      <xdr:row>4</xdr:row>
      <xdr:rowOff>85725</xdr:rowOff>
    </xdr:to>
    <xdr:sp macro="[0]!ouvre_feuille_Accueil_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33350" y="76200"/>
          <a:ext cx="3314700" cy="885825"/>
        </a:xfrm>
        <a:prstGeom prst="roundRect">
          <a:avLst/>
        </a:prstGeom>
        <a:solidFill>
          <a:srgbClr val="FFFF00"/>
        </a:solidFill>
        <a:ln>
          <a:solidFill>
            <a:srgbClr val="92D050"/>
          </a:solidFill>
        </a:ln>
        <a:effectLst>
          <a:outerShdw blurRad="50800" dist="88900" dir="2700000" algn="tl" rotWithShape="0">
            <a:prstClr val="black">
              <a:alpha val="77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Retour acceuil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38100</xdr:rowOff>
    </xdr:from>
    <xdr:to>
      <xdr:col>4</xdr:col>
      <xdr:colOff>428625</xdr:colOff>
      <xdr:row>2</xdr:row>
      <xdr:rowOff>276225</xdr:rowOff>
    </xdr:to>
    <xdr:sp macro="[0]!ouvre_feuille_Accueil_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66675" y="38100"/>
          <a:ext cx="2800350" cy="809625"/>
        </a:xfrm>
        <a:prstGeom prst="roundRect">
          <a:avLst/>
        </a:prstGeom>
        <a:solidFill>
          <a:srgbClr val="FFFF00"/>
        </a:solidFill>
        <a:ln>
          <a:solidFill>
            <a:srgbClr val="92D050"/>
          </a:solidFill>
        </a:ln>
        <a:effectLst>
          <a:outerShdw blurRad="50800" dist="88900" dir="2700000" algn="tl" rotWithShape="0">
            <a:prstClr val="black">
              <a:alpha val="77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Retour acceuil</a:t>
          </a:r>
        </a:p>
      </xdr:txBody>
    </xdr:sp>
    <xdr:clientData/>
  </xdr:twoCellAnchor>
  <xdr:twoCellAnchor>
    <xdr:from>
      <xdr:col>0</xdr:col>
      <xdr:colOff>57150</xdr:colOff>
      <xdr:row>3</xdr:row>
      <xdr:rowOff>152400</xdr:rowOff>
    </xdr:from>
    <xdr:to>
      <xdr:col>4</xdr:col>
      <xdr:colOff>409575</xdr:colOff>
      <xdr:row>6</xdr:row>
      <xdr:rowOff>123825</xdr:rowOff>
    </xdr:to>
    <xdr:sp macro="[0]!Effacer_Tableau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57150" y="1009650"/>
          <a:ext cx="2790825" cy="828675"/>
        </a:xfrm>
        <a:prstGeom prst="roundRect">
          <a:avLst/>
        </a:prstGeom>
        <a:solidFill>
          <a:srgbClr val="CC66FF"/>
        </a:solidFill>
        <a:ln>
          <a:solidFill>
            <a:srgbClr val="92D050"/>
          </a:solidFill>
        </a:ln>
        <a:effectLst>
          <a:outerShdw blurRad="50800" dist="88900" dir="2700000" algn="tl" rotWithShape="0">
            <a:prstClr val="black">
              <a:alpha val="77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Effacer les tablées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57150</xdr:rowOff>
    </xdr:from>
    <xdr:to>
      <xdr:col>3</xdr:col>
      <xdr:colOff>142875</xdr:colOff>
      <xdr:row>3</xdr:row>
      <xdr:rowOff>28575</xdr:rowOff>
    </xdr:to>
    <xdr:sp macro="[0]!ouvre_feuille_Accueil_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66675" y="57150"/>
          <a:ext cx="2362200" cy="542925"/>
        </a:xfrm>
        <a:prstGeom prst="roundRect">
          <a:avLst/>
        </a:prstGeom>
        <a:solidFill>
          <a:srgbClr val="FFFF00"/>
        </a:solidFill>
        <a:ln>
          <a:solidFill>
            <a:srgbClr val="92D050"/>
          </a:solidFill>
        </a:ln>
        <a:effectLst>
          <a:outerShdw blurRad="50800" dist="88900" dir="2700000" algn="tl" rotWithShape="0">
            <a:prstClr val="black">
              <a:alpha val="77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Retour acceuil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iviepat" refreshedDate="44981.424975578702" createdVersion="7" refreshedVersion="6" minRefreshableVersion="3" recordCount="19" xr:uid="{00000000-000A-0000-FFFF-FFFF00000000}">
  <cacheSource type="worksheet">
    <worksheetSource name="TableauSource"/>
  </cacheSource>
  <cacheFields count="15">
    <cacheField name="Date de réservation" numFmtId="0">
      <sharedItems/>
    </cacheField>
    <cacheField name="Nom" numFmtId="0">
      <sharedItems containsBlank="1"/>
    </cacheField>
    <cacheField name="Prénom" numFmtId="0">
      <sharedItems containsBlank="1"/>
    </cacheField>
    <cacheField name="Nb de billets" numFmtId="1">
      <sharedItems containsSemiMixedTypes="0" containsString="0" containsNumber="1" containsInteger="1" minValue="1" maxValue="20"/>
    </cacheField>
    <cacheField name="Réservation pour le" numFmtId="0">
      <sharedItems containsBlank="1" count="5">
        <s v="Vendredi"/>
        <s v="Samedi"/>
        <s v="Vendredi_Samedi"/>
        <s v="" u="1"/>
        <m u="1"/>
      </sharedItems>
    </cacheField>
    <cacheField name="Repas / Entrée" numFmtId="0">
      <sharedItems containsBlank="1" count="6">
        <s v="Repas"/>
        <s v="Entrée"/>
        <s v="Pass Entrée"/>
        <s v="Pass Repas"/>
        <s v="" u="1"/>
        <m u="1"/>
      </sharedItems>
    </cacheField>
    <cacheField name="Somme versée" numFmtId="165">
      <sharedItems containsString="0" containsBlank="1" containsNumber="1" containsInteger="1" minValue="10" maxValue="1000"/>
    </cacheField>
    <cacheField name="Moyen de paiement" numFmtId="164">
      <sharedItems containsBlank="1"/>
    </cacheField>
    <cacheField name="Billet récupéré" numFmtId="0">
      <sharedItems containsBlank="1"/>
    </cacheField>
    <cacheField name="Réservation faite par" numFmtId="0">
      <sharedItems containsBlank="1"/>
    </cacheField>
    <cacheField name="Somme à payer" numFmtId="165">
      <sharedItems containsSemiMixedTypes="0" containsString="0" containsNumber="1" containsInteger="1" minValue="25" maxValue="500"/>
    </cacheField>
    <cacheField name="Reste à payé" numFmtId="165">
      <sharedItems containsSemiMixedTypes="0" containsString="0" containsNumber="1" containsInteger="1" minValue="-700" maxValue="500"/>
    </cacheField>
    <cacheField name="Nom+Prénom" numFmtId="0">
      <sharedItems containsBlank="1"/>
    </cacheField>
    <cacheField name="Colonne1" numFmtId="1">
      <sharedItems containsSemiMixedTypes="0" containsString="0" containsNumber="1" containsInteger="1" minValue="1" maxValue="20"/>
    </cacheField>
    <cacheField name="Etat paiemen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s v="######"/>
    <m/>
    <m/>
    <n v="10"/>
    <x v="0"/>
    <x v="0"/>
    <n v="300"/>
    <m/>
    <m/>
    <m/>
    <n v="300"/>
    <n v="0"/>
    <m/>
    <n v="10"/>
    <s v="Acquitté"/>
  </r>
  <r>
    <s v="######"/>
    <m/>
    <m/>
    <n v="10"/>
    <x v="0"/>
    <x v="1"/>
    <n v="200"/>
    <m/>
    <m/>
    <m/>
    <n v="150"/>
    <n v="-50"/>
    <m/>
    <n v="10"/>
    <s v="Trop payé"/>
  </r>
  <r>
    <s v="######"/>
    <m/>
    <m/>
    <n v="10"/>
    <x v="1"/>
    <x v="0"/>
    <n v="200"/>
    <m/>
    <m/>
    <m/>
    <n v="300"/>
    <n v="100"/>
    <m/>
    <n v="10"/>
    <s v="Doit encore"/>
  </r>
  <r>
    <s v="######"/>
    <m/>
    <m/>
    <n v="10"/>
    <x v="1"/>
    <x v="1"/>
    <m/>
    <m/>
    <m/>
    <m/>
    <n v="150"/>
    <n v="150"/>
    <m/>
    <n v="10"/>
    <s v="Doit encore"/>
  </r>
  <r>
    <s v="######"/>
    <m/>
    <m/>
    <n v="10"/>
    <x v="2"/>
    <x v="2"/>
    <m/>
    <m/>
    <m/>
    <m/>
    <n v="250"/>
    <n v="250"/>
    <m/>
    <n v="10"/>
    <s v="Doit encore"/>
  </r>
  <r>
    <s v="######"/>
    <m/>
    <m/>
    <n v="10"/>
    <x v="2"/>
    <x v="3"/>
    <m/>
    <m/>
    <m/>
    <m/>
    <n v="500"/>
    <n v="500"/>
    <m/>
    <n v="10"/>
    <s v="Doit encore"/>
  </r>
  <r>
    <s v="21/02/2023"/>
    <s v="arnaud"/>
    <s v="patrice"/>
    <n v="1"/>
    <x v="0"/>
    <x v="0"/>
    <n v="50"/>
    <s v="Liquide"/>
    <s v="OUI"/>
    <s v="Yanick / Virginie"/>
    <n v="30"/>
    <n v="-20"/>
    <s v="ARNAUD P."/>
    <n v="1"/>
    <s v="Trop payé"/>
  </r>
  <r>
    <s v="21/02/2023"/>
    <s v="rudy"/>
    <s v="fdsf"/>
    <n v="20"/>
    <x v="0"/>
    <x v="1"/>
    <n v="100"/>
    <s v="Liquide"/>
    <s v="OUI"/>
    <s v="Yanick / Virginie"/>
    <n v="300"/>
    <n v="200"/>
    <s v="RUDY F."/>
    <n v="20"/>
    <s v="Doit encore"/>
  </r>
  <r>
    <s v="22/02/2023"/>
    <s v="b,jn,jhf"/>
    <s v="gjhfh"/>
    <n v="1"/>
    <x v="1"/>
    <x v="0"/>
    <n v="30"/>
    <s v="Liquide"/>
    <s v="OUI"/>
    <s v="Yanick / Virginie"/>
    <n v="30"/>
    <n v="0"/>
    <s v="B,JN,JHF G."/>
    <n v="1"/>
    <s v="Acquitté"/>
  </r>
  <r>
    <s v="23/02/2023"/>
    <s v="gfgggg"/>
    <s v="hhhhh"/>
    <n v="1"/>
    <x v="2"/>
    <x v="2"/>
    <n v="50"/>
    <s v="Liquide"/>
    <s v="OUI"/>
    <s v="Yanick / Virginie"/>
    <n v="25"/>
    <n v="-25"/>
    <s v="GFGGGG H."/>
    <n v="1"/>
    <s v="Trop payé"/>
  </r>
  <r>
    <s v="23/02/2023"/>
    <s v="ytty"/>
    <s v="tyr"/>
    <n v="2"/>
    <x v="2"/>
    <x v="3"/>
    <n v="300"/>
    <s v="Liquide"/>
    <s v="Sur place"/>
    <s v="Yanick / Virginie"/>
    <n v="100"/>
    <n v="-200"/>
    <s v="YTTY T."/>
    <n v="2"/>
    <s v="Trop payé"/>
  </r>
  <r>
    <s v="23/02/2023"/>
    <s v="hjgfj"/>
    <s v="hdgj"/>
    <n v="3"/>
    <x v="0"/>
    <x v="0"/>
    <n v="10"/>
    <s v="Liquide"/>
    <s v="Sur place"/>
    <s v="Yanick / Virginie"/>
    <n v="90"/>
    <n v="80"/>
    <s v="HJGFJ H."/>
    <n v="3"/>
    <s v="Doit encore"/>
  </r>
  <r>
    <s v="23/02/2023"/>
    <s v="riri"/>
    <s v="roro"/>
    <n v="1"/>
    <x v="0"/>
    <x v="0"/>
    <n v="50"/>
    <s v="Liquide"/>
    <s v="OUI"/>
    <s v="Yanick / Virginie"/>
    <n v="30"/>
    <n v="-20"/>
    <s v="RIRI R."/>
    <n v="1"/>
    <s v="Trop payé"/>
  </r>
  <r>
    <s v="23/02/2023"/>
    <s v="lulu"/>
    <s v="lolo"/>
    <n v="2"/>
    <x v="0"/>
    <x v="0"/>
    <n v="100"/>
    <s v="Liquide"/>
    <s v="Sur place"/>
    <s v="Yanick / Virginie"/>
    <n v="60"/>
    <n v="-40"/>
    <s v="LULU L."/>
    <n v="2"/>
    <s v="Trop payé"/>
  </r>
  <r>
    <s v="23/02/2023"/>
    <s v="toto"/>
    <s v="titi"/>
    <n v="1"/>
    <x v="0"/>
    <x v="0"/>
    <n v="10"/>
    <s v="Liquide"/>
    <s v="OUI"/>
    <s v="Yanick / Virginie"/>
    <n v="30"/>
    <n v="20"/>
    <s v="TOTO T."/>
    <n v="1"/>
    <s v="Doit encore"/>
  </r>
  <r>
    <s v="23/02/2023"/>
    <s v="popo"/>
    <s v="pipi"/>
    <n v="1"/>
    <x v="0"/>
    <x v="0"/>
    <n v="10"/>
    <s v="Liquide"/>
    <s v="OUI"/>
    <s v="Yanick / Virginie"/>
    <n v="30"/>
    <n v="20"/>
    <s v="POPO P."/>
    <n v="1"/>
    <s v="Doit encore"/>
  </r>
  <r>
    <s v="23/02/2023"/>
    <s v="rrrrrrrrrrrrrrr"/>
    <s v="tttttttttttttt"/>
    <n v="1"/>
    <x v="0"/>
    <x v="0"/>
    <n v="10"/>
    <s v="Liquide"/>
    <s v="OUI"/>
    <s v="Yanick / Virginie"/>
    <n v="30"/>
    <n v="20"/>
    <s v="RRRRRRRRRRRRRRR T."/>
    <n v="1"/>
    <s v="Doit encore"/>
  </r>
  <r>
    <s v="23/02/2023"/>
    <s v="gggggggg"/>
    <s v="ggggg"/>
    <n v="1"/>
    <x v="0"/>
    <x v="0"/>
    <n v="10"/>
    <s v="Liquide"/>
    <s v="Sur place"/>
    <s v="Yanick / Virginie"/>
    <n v="30"/>
    <n v="20"/>
    <s v="GGGGGGGG G."/>
    <n v="1"/>
    <s v="Doit encore"/>
  </r>
  <r>
    <s v="24/02/2023"/>
    <s v="fofo"/>
    <s v="fufu"/>
    <n v="10"/>
    <x v="0"/>
    <x v="0"/>
    <n v="1000"/>
    <s v="Chèque"/>
    <s v="OUI"/>
    <s v="Yanick / Virginie"/>
    <n v="300"/>
    <n v="-700"/>
    <s v="FOFO F."/>
    <n v="10"/>
    <s v="Trop payé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2000000}" name="Tableau croisé dynamique4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7" indent="0" outline="1" outlineData="1" multipleFieldFilters="0">
  <location ref="A10:B12" firstHeaderRow="1" firstDataRow="1" firstDataCol="1" rowPageCount="1" colPageCount="1"/>
  <pivotFields count="15">
    <pivotField showAll="0"/>
    <pivotField showAll="0"/>
    <pivotField showAll="0"/>
    <pivotField dataField="1" numFmtId="1" showAll="0"/>
    <pivotField axis="axisPage" showAll="0">
      <items count="6">
        <item x="0"/>
        <item x="1"/>
        <item m="1" x="3"/>
        <item x="2"/>
        <item m="1" x="4"/>
        <item t="default"/>
      </items>
    </pivotField>
    <pivotField axis="axisRow" showAll="0">
      <items count="7">
        <item h="1" x="1"/>
        <item h="1" x="2"/>
        <item h="1" x="3"/>
        <item x="0"/>
        <item h="1" m="1" x="5"/>
        <item h="1" m="1" x="4"/>
        <item t="default"/>
      </items>
    </pivotField>
    <pivotField showAll="0"/>
    <pivotField showAll="0"/>
    <pivotField showAll="0"/>
    <pivotField showAll="0"/>
    <pivotField numFmtId="164" showAll="0"/>
    <pivotField numFmtId="164" showAll="0"/>
    <pivotField showAll="0"/>
    <pivotField numFmtId="1" showAll="0" defaultSubtotal="0"/>
    <pivotField showAll="0"/>
  </pivotFields>
  <rowFields count="1">
    <field x="5"/>
  </rowFields>
  <rowItems count="2">
    <i>
      <x v="3"/>
    </i>
    <i t="grand">
      <x/>
    </i>
  </rowItems>
  <colItems count="1">
    <i/>
  </colItems>
  <pageFields count="1">
    <pageField fld="4" item="0" hier="-1"/>
  </pageFields>
  <dataFields count="1">
    <dataField name="Somme de Nb de billets" fld="3" baseField="0" baseItem="0"/>
  </dataFields>
  <formats count="2">
    <format dxfId="11">
      <pivotArea grandRow="1" outline="0" collapsedLevelsAreSubtotals="1" fieldPosition="0"/>
    </format>
    <format dxfId="1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1000000}" name="Tableau croisé dynamique3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7" indent="0" outline="1" outlineData="1" multipleFieldFilters="0">
  <location ref="D4:E6" firstHeaderRow="1" firstDataRow="1" firstDataCol="1" rowPageCount="1" colPageCount="1"/>
  <pivotFields count="15">
    <pivotField showAll="0"/>
    <pivotField showAll="0"/>
    <pivotField showAll="0"/>
    <pivotField dataField="1" showAll="0"/>
    <pivotField axis="axisPage" showAll="0">
      <items count="6">
        <item x="0"/>
        <item x="1"/>
        <item x="2"/>
        <item m="1" x="4"/>
        <item m="1" x="3"/>
        <item t="default"/>
      </items>
    </pivotField>
    <pivotField axis="axisRow" showAll="0">
      <items count="7">
        <item x="1"/>
        <item h="1" x="2"/>
        <item h="1" x="0"/>
        <item h="1" m="1" x="5"/>
        <item h="1" x="3"/>
        <item h="1" m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1" showAll="0" defaultSubtotal="0"/>
    <pivotField showAll="0"/>
  </pivotFields>
  <rowFields count="1">
    <field x="5"/>
  </rowFields>
  <rowItems count="2">
    <i>
      <x/>
    </i>
    <i t="grand">
      <x/>
    </i>
  </rowItems>
  <colItems count="1">
    <i/>
  </colItems>
  <pageFields count="1">
    <pageField fld="4" item="1" hier="-1"/>
  </pageFields>
  <dataFields count="1">
    <dataField name="Somme de Nb de billets" fld="3" baseField="0" baseItem="0"/>
  </dataFields>
  <formats count="2">
    <format dxfId="13">
      <pivotArea grandRow="1" outline="0" collapsedLevelsAreSubtotals="1" fieldPosition="0"/>
    </format>
    <format dxfId="12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7" indent="0" outline="1" outlineData="1" multipleFieldFilters="0">
  <location ref="A4:B6" firstHeaderRow="1" firstDataRow="1" firstDataCol="1" rowPageCount="1" colPageCount="1"/>
  <pivotFields count="15">
    <pivotField showAll="0"/>
    <pivotField showAll="0"/>
    <pivotField showAll="0"/>
    <pivotField dataField="1" showAll="0"/>
    <pivotField axis="axisPage" showAll="0">
      <items count="6">
        <item x="0"/>
        <item m="1" x="4"/>
        <item x="1"/>
        <item x="2"/>
        <item m="1" x="3"/>
        <item t="default"/>
      </items>
    </pivotField>
    <pivotField axis="axisRow" showAll="0">
      <items count="7">
        <item h="1" x="0"/>
        <item h="1" m="1" x="5"/>
        <item x="1"/>
        <item h="1" x="2"/>
        <item h="1" x="3"/>
        <item h="1" m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1" showAll="0" defaultSubtotal="0"/>
    <pivotField showAll="0"/>
  </pivotFields>
  <rowFields count="1">
    <field x="5"/>
  </rowFields>
  <rowItems count="2">
    <i>
      <x v="2"/>
    </i>
    <i t="grand">
      <x/>
    </i>
  </rowItems>
  <colItems count="1">
    <i/>
  </colItems>
  <pageFields count="1">
    <pageField fld="4" item="0" hier="-1"/>
  </pageFields>
  <dataFields count="1">
    <dataField name="Somme de Nb de billets" fld="3" baseField="0" baseItem="0"/>
  </dataFields>
  <formats count="3">
    <format dxfId="16">
      <pivotArea grandRow="1" outline="0" collapsedLevelsAreSubtotals="1" fieldPosition="0"/>
    </format>
    <format dxfId="15">
      <pivotArea grandRow="1" outline="0" collapsedLevelsAreSubtotals="1" fieldPosition="0"/>
    </format>
    <format dxfId="14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5000000}" name="Tableau croisé dynamique7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7" indent="0" outline="1" outlineData="1" multipleFieldFilters="0">
  <location ref="G4:H6" firstHeaderRow="1" firstDataRow="1" firstDataCol="1" rowPageCount="1" colPageCount="1"/>
  <pivotFields count="15">
    <pivotField showAll="0"/>
    <pivotField showAll="0"/>
    <pivotField showAll="0"/>
    <pivotField dataField="1" showAll="0"/>
    <pivotField axis="axisPage" showAll="0">
      <items count="6">
        <item x="0"/>
        <item m="1" x="4"/>
        <item x="1"/>
        <item x="2"/>
        <item m="1" x="3"/>
        <item t="default"/>
      </items>
    </pivotField>
    <pivotField axis="axisRow" showAll="0">
      <items count="7">
        <item h="1" x="0"/>
        <item h="1" m="1" x="5"/>
        <item h="1" x="1"/>
        <item x="2"/>
        <item h="1" x="3"/>
        <item h="1" m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1" showAll="0" defaultSubtotal="0"/>
    <pivotField showAll="0"/>
  </pivotFields>
  <rowFields count="1">
    <field x="5"/>
  </rowFields>
  <rowItems count="2">
    <i>
      <x v="3"/>
    </i>
    <i t="grand">
      <x/>
    </i>
  </rowItems>
  <colItems count="1">
    <i/>
  </colItems>
  <pageFields count="1">
    <pageField fld="4" item="3" hier="-1"/>
  </pageFields>
  <dataFields count="1">
    <dataField name="Somme de Nb de billets" fld="3" baseField="0" baseItem="0"/>
  </dataFields>
  <formats count="3">
    <format dxfId="19">
      <pivotArea grandRow="1" outline="0" collapsedLevelsAreSubtotals="1" fieldPosition="0"/>
    </format>
    <format dxfId="18">
      <pivotArea grandRow="1" outline="0" collapsedLevelsAreSubtotals="1" fieldPosition="0"/>
    </format>
    <format dxfId="17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4000000}" name="Tableau croisé dynamique6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7" indent="0" outline="1" outlineData="1" multipleFieldFilters="0">
  <location ref="J4:K6" firstHeaderRow="1" firstDataRow="1" firstDataCol="1" rowPageCount="1" colPageCount="1"/>
  <pivotFields count="15">
    <pivotField showAll="0"/>
    <pivotField showAll="0"/>
    <pivotField showAll="0"/>
    <pivotField dataField="1" showAll="0"/>
    <pivotField axis="axisPage" showAll="0">
      <items count="6">
        <item x="0"/>
        <item x="1"/>
        <item x="2"/>
        <item m="1" x="4"/>
        <item m="1" x="3"/>
        <item t="default"/>
      </items>
    </pivotField>
    <pivotField axis="axisRow" showAll="0">
      <items count="7">
        <item h="1" x="1"/>
        <item h="1" x="2"/>
        <item x="0"/>
        <item h="1" m="1" x="5"/>
        <item x="3"/>
        <item h="1" m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1" showAll="0" defaultSubtotal="0"/>
    <pivotField showAll="0"/>
  </pivotFields>
  <rowFields count="1">
    <field x="5"/>
  </rowFields>
  <rowItems count="2">
    <i>
      <x v="4"/>
    </i>
    <i t="grand">
      <x/>
    </i>
  </rowItems>
  <colItems count="1">
    <i/>
  </colItems>
  <pageFields count="1">
    <pageField fld="4" item="2" hier="-1"/>
  </pageFields>
  <dataFields count="1">
    <dataField name="Somme de Nb de billets" fld="3" baseField="0" baseItem="0"/>
  </dataFields>
  <formats count="2">
    <format dxfId="21">
      <pivotArea grandRow="1" outline="0" collapsedLevelsAreSubtotals="1" fieldPosition="0"/>
    </format>
    <format dxfId="2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3000000}" name="Tableau croisé dynamique5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7" indent="0" outline="1" outlineData="1" multipleFieldFilters="0">
  <location ref="D10:E12" firstHeaderRow="1" firstDataRow="1" firstDataCol="1" rowPageCount="1" colPageCount="1"/>
  <pivotFields count="15">
    <pivotField showAll="0"/>
    <pivotField showAll="0"/>
    <pivotField showAll="0"/>
    <pivotField dataField="1" showAll="0"/>
    <pivotField axis="axisPage" showAll="0">
      <items count="6">
        <item x="0"/>
        <item x="1"/>
        <item x="2"/>
        <item m="1" x="4"/>
        <item m="1" x="3"/>
        <item t="default"/>
      </items>
    </pivotField>
    <pivotField axis="axisRow" showAll="0">
      <items count="7">
        <item h="1" x="1"/>
        <item h="1" x="2"/>
        <item x="0"/>
        <item h="1" m="1" x="5"/>
        <item h="1" x="3"/>
        <item h="1" m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1" showAll="0" defaultSubtotal="0"/>
    <pivotField showAll="0"/>
  </pivotFields>
  <rowFields count="1">
    <field x="5"/>
  </rowFields>
  <rowItems count="2">
    <i>
      <x v="2"/>
    </i>
    <i t="grand">
      <x/>
    </i>
  </rowItems>
  <colItems count="1">
    <i/>
  </colItems>
  <pageFields count="1">
    <pageField fld="4" item="1" hier="-1"/>
  </pageFields>
  <dataFields count="1">
    <dataField name="Somme de Nb de billets" fld="3" baseField="0" baseItem="0"/>
  </dataFields>
  <formats count="2">
    <format dxfId="23">
      <pivotArea grandRow="1" outline="0" collapsedLevelsAreSubtotals="1" fieldPosition="0"/>
    </format>
    <format dxfId="22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6" xr16:uid="{00000000-0016-0000-0600-000000000000}" autoFormatId="16" applyNumberFormats="0" applyBorderFormats="0" applyFontFormats="0" applyPatternFormats="0" applyAlignmentFormats="0" applyWidthHeightFormats="0">
  <queryTableRefresh nextId="16">
    <queryTableFields count="15">
      <queryTableField id="1" name="Date de réservation" tableColumnId="1"/>
      <queryTableField id="2" name="Nom" tableColumnId="2"/>
      <queryTableField id="3" name="Prénom" tableColumnId="3"/>
      <queryTableField id="4" name="Nb de billets" tableColumnId="4"/>
      <queryTableField id="5" name="Réservation pour le" tableColumnId="5"/>
      <queryTableField id="6" name="Repas / Entrée" tableColumnId="6"/>
      <queryTableField id="7" name="Somme versée" tableColumnId="7"/>
      <queryTableField id="8" name="Moyen de paiement" tableColumnId="8"/>
      <queryTableField id="9" name="Billet récupéré" tableColumnId="9"/>
      <queryTableField id="10" name="Réservation faite par" tableColumnId="10"/>
      <queryTableField id="11" name="Somme à payer" tableColumnId="11"/>
      <queryTableField id="12" name="Reste à payé" tableColumnId="12"/>
      <queryTableField id="13" name="Nom+Prénom" tableColumnId="13"/>
      <queryTableField id="14" name="Colonne1" tableColumnId="14"/>
      <queryTableField id="15" name="Etat paiement" tableColumnId="15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éservation_pour_le" xr10:uid="{00000000-0013-0000-FFFF-FFFF01000000}" sourceName="Réservation pour le">
  <extLst>
    <x:ext xmlns:x15="http://schemas.microsoft.com/office/spreadsheetml/2010/11/main" uri="{2F2917AC-EB37-4324-AD4E-5DD8C200BD13}">
      <x15:tableSlicerCache tableId="3" column="8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tat_paiement" xr10:uid="{00000000-0013-0000-FFFF-FFFF02000000}" sourceName="Etat paiement">
  <extLst>
    <x:ext xmlns:x15="http://schemas.microsoft.com/office/spreadsheetml/2010/11/main" uri="{2F2917AC-EB37-4324-AD4E-5DD8C200BD13}">
      <x15:tableSlicerCache tableId="3" column="1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éservation pour le" xr10:uid="{00000000-0014-0000-FFFF-FFFF01000000}" cache="Segment_Réservation_pour_le" caption="Réservation pour le" rowHeight="241300"/>
  <slicer name="Etat paiement" xr10:uid="{00000000-0014-0000-FFFF-FFFF02000000}" cache="Segment_Etat_paiement" caption="Etat paiement" rowHeight="241300"/>
</slicer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Source" displayName="TableauSource" ref="A2:O22" totalsRowShown="0" headerRowDxfId="119">
  <autoFilter ref="A2:O22" xr:uid="{00000000-0009-0000-0100-000003000000}">
    <filterColumn colId="0">
      <filters>
        <filter val="21/02/2023"/>
        <filter val="22/02/2023"/>
        <filter val="23/02/2023"/>
      </filters>
    </filterColumn>
  </autoFilter>
  <tableColumns count="15">
    <tableColumn id="4" xr3:uid="{00000000-0010-0000-0000-000004000000}" name="Date de réservation" dataDxfId="118" totalsRowDxfId="117"/>
    <tableColumn id="1" xr3:uid="{00000000-0010-0000-0000-000001000000}" name="Nom"/>
    <tableColumn id="2" xr3:uid="{00000000-0010-0000-0000-000002000000}" name="Prénom"/>
    <tableColumn id="3" xr3:uid="{00000000-0010-0000-0000-000003000000}" name="Nb de billets" dataDxfId="116" totalsRowDxfId="115"/>
    <tableColumn id="8" xr3:uid="{00000000-0010-0000-0000-000008000000}" name="Réservation pour le" dataDxfId="114" totalsRowDxfId="113"/>
    <tableColumn id="13" xr3:uid="{00000000-0010-0000-0000-00000D000000}" name="Repas / Entrée" dataDxfId="112" totalsRowDxfId="111"/>
    <tableColumn id="11" xr3:uid="{00000000-0010-0000-0000-00000B000000}" name="Somme versée" dataDxfId="110" totalsRowDxfId="109" dataCellStyle="Monétaire"/>
    <tableColumn id="7" xr3:uid="{00000000-0010-0000-0000-000007000000}" name="Moyen de paiement" dataDxfId="108" totalsRowDxfId="107" dataCellStyle="Monétaire"/>
    <tableColumn id="6" xr3:uid="{00000000-0010-0000-0000-000006000000}" name="Billet récupéré" dataDxfId="106" totalsRowDxfId="105"/>
    <tableColumn id="5" xr3:uid="{00000000-0010-0000-0000-000005000000}" name="Réservation faite par" dataDxfId="104" totalsRowDxfId="103"/>
    <tableColumn id="14" xr3:uid="{00000000-0010-0000-0000-00000E000000}" name="Somme à payer" dataDxfId="102" totalsRowDxfId="101" dataCellStyle="Monétaire">
      <calculatedColumnFormula>VLOOKUP(TableauSource[[#This Row],[Repas / Entrée]],Tableau4[[#All],[Type de reservation]:[Tarifs des billets]],2,FALSE)*TableauSource[[#This Row],[Nb de billets]]</calculatedColumnFormula>
    </tableColumn>
    <tableColumn id="12" xr3:uid="{00000000-0010-0000-0000-00000C000000}" name="Reste à payé" dataDxfId="100" totalsRowDxfId="99" dataCellStyle="Monétaire">
      <calculatedColumnFormula>TableauSource[[#This Row],[Somme à payer]]-TableauSource[[#This Row],[Somme versée]]</calculatedColumnFormula>
    </tableColumn>
    <tableColumn id="9" xr3:uid="{00000000-0010-0000-0000-000009000000}" name="Nom+Prénom" dataDxfId="98">
      <calculatedColumnFormula>UPPER(SUBSTITUTE(TableauSource[[#This Row],[Nom]],1,1))&amp;" "&amp;UPPER(MID(TableauSource[[#This Row],[Prénom]],1,1))&amp;"."</calculatedColumnFormula>
    </tableColumn>
    <tableColumn id="10" xr3:uid="{00000000-0010-0000-0000-00000A000000}" name="Colonne1" dataDxfId="97">
      <calculatedColumnFormula>TableauSource[[#This Row],[Nb de billets]]</calculatedColumnFormula>
    </tableColumn>
    <tableColumn id="15" xr3:uid="{00000000-0010-0000-0000-00000F000000}" name="Etat paiement" dataDxfId="96">
      <calculatedColumnFormula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calculatedColumnFormula>
    </tableColumn>
  </tableColumns>
  <tableStyleInfo name="TableStyleDark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A7:M25" totalsRowShown="0" headerRowDxfId="95" dataDxfId="94">
  <autoFilter ref="A7:M25" xr:uid="{00000000-0009-0000-0100-000004000000}"/>
  <tableColumns count="13">
    <tableColumn id="1" xr3:uid="{00000000-0010-0000-0100-000001000000}" name="date d'ouverture pour réservation" dataDxfId="93"/>
    <tableColumn id="11" xr3:uid="{00000000-0010-0000-0100-00000B000000}" name="Colonne1" dataDxfId="92"/>
    <tableColumn id="2" xr3:uid="{00000000-0010-0000-0100-000002000000}" name="Présence se jour là" dataDxfId="91"/>
    <tableColumn id="3" xr3:uid="{00000000-0010-0000-0100-000003000000}" name="Type de reservation" dataDxfId="90"/>
    <tableColumn id="4" xr3:uid="{00000000-0010-0000-0100-000004000000}" name="Tarifs des billets" dataDxfId="89"/>
    <tableColumn id="5" xr3:uid="{00000000-0010-0000-0100-000005000000}" name="Nombre d'entrée total pour vendredi" dataDxfId="88"/>
    <tableColumn id="7" xr3:uid="{00000000-0010-0000-0100-000007000000}" name="Nombre d'entrée total pour samedi" dataDxfId="87"/>
    <tableColumn id="9" xr3:uid="{00000000-0010-0000-0100-000009000000}" name="Nb de repas vendredi" dataDxfId="86"/>
    <tableColumn id="10" xr3:uid="{00000000-0010-0000-0100-00000A000000}" name="Nb de repas samedi" dataDxfId="85"/>
    <tableColumn id="6" xr3:uid="{00000000-0010-0000-0100-000006000000}" name="Nombre d'entrée offerte vendredi" dataDxfId="84"/>
    <tableColumn id="12" xr3:uid="{00000000-0010-0000-0100-00000C000000}" name="Nombre d'entrée offerte samedi" dataDxfId="83"/>
    <tableColumn id="8" xr3:uid="{00000000-0010-0000-0100-000008000000}" name="Nombre de repas offert vendredi" dataDxfId="82"/>
    <tableColumn id="13" xr3:uid="{00000000-0010-0000-0100-00000D000000}" name="Nombre Repas offert samedi" dataDxfId="8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2000000}" name="TVendredi" displayName="TVendredi" ref="A12:V21" totalsRowShown="0" headerRowDxfId="73" headerRowBorderDxfId="72" tableBorderDxfId="71">
  <autoFilter ref="A12:V21" xr:uid="{00000000-0009-0000-0100-000008000000}"/>
  <tableColumns count="22">
    <tableColumn id="1" xr3:uid="{00000000-0010-0000-0200-000001000000}" name="NOM 1" dataDxfId="70" dataCellStyle="Normal 2"/>
    <tableColumn id="2" xr3:uid="{00000000-0010-0000-0200-000002000000}" name="Nb 1" dataDxfId="69" dataCellStyle="Normal 2">
      <calculatedColumnFormula>IF(TVendredi[[#This Row],[NOM 1]]&lt;&gt;0,MIN($G$5-SUM(B$12:B12),SUMIF(TSource[Nom+Prénom],TVendredi[[#This Row],[NOM 1]],TSource[Places])),0)</calculatedColumnFormula>
    </tableColumn>
    <tableColumn id="3" xr3:uid="{00000000-0010-0000-0200-000003000000}" name="NOM 2" dataDxfId="68" dataCellStyle="Normal 2"/>
    <tableColumn id="4" xr3:uid="{00000000-0010-0000-0200-000004000000}" name="Nb 2" dataDxfId="67" dataCellStyle="Normal 2">
      <calculatedColumnFormula>IF(TVendredi[[#This Row],[NOM 2]]&lt;&gt;0,MIN($G$5-SUM(D$12:D12),SUMIF(TSource[Nom+Prénom],TVendredi[[#This Row],[NOM 2]],TSource[Places])-SUMIF(TVendredi[NOM 1],TVendredi[[#This Row],[NOM 2]],TVendredi[Nb 1])),0)</calculatedColumnFormula>
    </tableColumn>
    <tableColumn id="5" xr3:uid="{00000000-0010-0000-0200-000005000000}" name="NOM 3" dataDxfId="66" dataCellStyle="Normal 2"/>
    <tableColumn id="6" xr3:uid="{00000000-0010-0000-0200-000006000000}" name="Nb 3" dataDxfId="65" dataCellStyle="Normal 2">
      <calculatedColumnFormula>SUMIF(TSource[Nom+Prénom],TVendredi[[#This Row],[NOM 4]],TSource[Places])</calculatedColumnFormula>
    </tableColumn>
    <tableColumn id="7" xr3:uid="{00000000-0010-0000-0200-000007000000}" name="NOM 4" dataDxfId="64" dataCellStyle="Normal 2"/>
    <tableColumn id="8" xr3:uid="{00000000-0010-0000-0200-000008000000}" name="Nb 4" dataDxfId="63" dataCellStyle="Normal 2">
      <calculatedColumnFormula>IFERROR(VLOOKUP(TVendredi[[#This Row],[NOM 4]],TSource[[Nom+Prénom]:[Places]],2,FALSE),0)</calculatedColumnFormula>
    </tableColumn>
    <tableColumn id="9" xr3:uid="{00000000-0010-0000-0200-000009000000}" name="NOM 5" dataDxfId="62" dataCellStyle="Normal 2"/>
    <tableColumn id="10" xr3:uid="{00000000-0010-0000-0200-00000A000000}" name="Nb 5" dataDxfId="61" dataCellStyle="Normal 2">
      <calculatedColumnFormula>IFERROR(VLOOKUP(TVendredi[[#This Row],[NOM 5]],TSource[[Nom+Prénom]:[Places]],2,FALSE),0)</calculatedColumnFormula>
    </tableColumn>
    <tableColumn id="11" xr3:uid="{00000000-0010-0000-0200-00000B000000}" name="NOM 6" dataDxfId="60" dataCellStyle="Normal 2"/>
    <tableColumn id="12" xr3:uid="{00000000-0010-0000-0200-00000C000000}" name="Nb 6" dataDxfId="59" dataCellStyle="Normal 2">
      <calculatedColumnFormula>IFERROR(VLOOKUP(TVendredi[[#This Row],[NOM 6]],TSource[[Nom+Prénom]:[Places]],2,FALSE),0)</calculatedColumnFormula>
    </tableColumn>
    <tableColumn id="13" xr3:uid="{00000000-0010-0000-0200-00000D000000}" name="NOM 7" dataDxfId="58" dataCellStyle="Normal 2"/>
    <tableColumn id="14" xr3:uid="{00000000-0010-0000-0200-00000E000000}" name="Nb 7" dataDxfId="57" dataCellStyle="Normal 2">
      <calculatedColumnFormula>IFERROR(VLOOKUP(TVendredi[[#This Row],[NOM 7]],TSource[[Nom+Prénom]:[Places]],2,FALSE),0)</calculatedColumnFormula>
    </tableColumn>
    <tableColumn id="15" xr3:uid="{00000000-0010-0000-0200-00000F000000}" name="NOM 8" dataDxfId="56" dataCellStyle="Normal 2"/>
    <tableColumn id="16" xr3:uid="{00000000-0010-0000-0200-000010000000}" name="Nb 8" dataDxfId="55" dataCellStyle="Normal 2">
      <calculatedColumnFormula>IFERROR(VLOOKUP(TVendredi[[#This Row],[NOM 8]],TSource[[Nom+Prénom]:[Places]],2,FALSE),0)</calculatedColumnFormula>
    </tableColumn>
    <tableColumn id="17" xr3:uid="{00000000-0010-0000-0200-000011000000}" name="NOM 9" dataDxfId="54" dataCellStyle="Normal 2"/>
    <tableColumn id="18" xr3:uid="{00000000-0010-0000-0200-000012000000}" name="Nb 9" dataDxfId="53" dataCellStyle="Normal 2">
      <calculatedColumnFormula>IFERROR(VLOOKUP(TVendredi[[#This Row],[NOM 9]],TSource[[Nom+Prénom]:[Places]],2,FALSE),0)</calculatedColumnFormula>
    </tableColumn>
    <tableColumn id="19" xr3:uid="{00000000-0010-0000-0200-000013000000}" name="NOM 10" dataDxfId="52" dataCellStyle="Normal 2"/>
    <tableColumn id="20" xr3:uid="{00000000-0010-0000-0200-000014000000}" name="Nb 10" dataDxfId="51" dataCellStyle="Normal 2">
      <calculatedColumnFormula>IFERROR(VLOOKUP(TVendredi[[#This Row],[NOM 10]],TSource[[Nom+Prénom]:[Places]],2,FALSE),0)</calculatedColumnFormula>
    </tableColumn>
    <tableColumn id="21" xr3:uid="{00000000-0010-0000-0200-000015000000}" name="NOM 11" dataDxfId="50" dataCellStyle="Normal 2"/>
    <tableColumn id="22" xr3:uid="{00000000-0010-0000-0200-000016000000}" name="Nb 11" dataDxfId="49" dataCellStyle="Normal 2">
      <calculatedColumnFormula>IFERROR(VLOOKUP(TVendredi[[#This Row],[NOM 11]],TSource[[Nom+Prénom]:[Places]],2,FALSE),0)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ableau88" displayName="Tableau88" ref="A26:V35" totalsRowShown="0" headerRowDxfId="48" headerRowBorderDxfId="47" tableBorderDxfId="46">
  <autoFilter ref="A26:V35" xr:uid="{00000000-0009-0000-0100-000007000000}"/>
  <tableColumns count="22">
    <tableColumn id="1" xr3:uid="{00000000-0010-0000-0300-000001000000}" name="NOM 2" dataDxfId="45" dataCellStyle="Normal 2"/>
    <tableColumn id="2" xr3:uid="{00000000-0010-0000-0300-000002000000}" name="Nb 12" dataDxfId="44" dataCellStyle="Normal 2">
      <calculatedColumnFormula>IFERROR(VLOOKUP(Tableau88[[#This Row],[NOM 2]],TSource[[Nom+Prénom]:[Places]],2,FALSE),0)</calculatedColumnFormula>
    </tableColumn>
    <tableColumn id="3" xr3:uid="{00000000-0010-0000-0300-000003000000}" name="NOM 3" dataDxfId="43" dataCellStyle="Normal 2"/>
    <tableColumn id="4" xr3:uid="{00000000-0010-0000-0300-000004000000}" name="Nb 13" dataDxfId="42" dataCellStyle="Normal 2">
      <calculatedColumnFormula>IFERROR(VLOOKUP(Tableau88[[#This Row],[NOM 3]],TSource[[Nom+Prénom]:[Places]],2,FALSE),0)</calculatedColumnFormula>
    </tableColumn>
    <tableColumn id="5" xr3:uid="{00000000-0010-0000-0300-000005000000}" name="NOM 4" dataDxfId="41" dataCellStyle="Normal 2"/>
    <tableColumn id="6" xr3:uid="{00000000-0010-0000-0300-000006000000}" name="Nb 14" dataDxfId="40" dataCellStyle="Normal 2">
      <calculatedColumnFormula>IFERROR(VLOOKUP(Tableau88[[#This Row],[NOM 4]],TSource[[Nom+Prénom]:[Places]],2,FALSE),0)</calculatedColumnFormula>
    </tableColumn>
    <tableColumn id="7" xr3:uid="{00000000-0010-0000-0300-000007000000}" name="NOM 5" dataDxfId="39" dataCellStyle="Normal 2"/>
    <tableColumn id="8" xr3:uid="{00000000-0010-0000-0300-000008000000}" name="Nb 15" dataDxfId="38" dataCellStyle="Normal 2">
      <calculatedColumnFormula>IFERROR(VLOOKUP(Tableau88[[#This Row],[NOM 5]],TSource[[Nom+Prénom]:[Places]],2,FALSE),0)</calculatedColumnFormula>
    </tableColumn>
    <tableColumn id="9" xr3:uid="{00000000-0010-0000-0300-000009000000}" name="NOM 6" dataDxfId="37" dataCellStyle="Normal 2"/>
    <tableColumn id="10" xr3:uid="{00000000-0010-0000-0300-00000A000000}" name="Nb 16" dataDxfId="36" dataCellStyle="Normal 2">
      <calculatedColumnFormula>IFERROR(VLOOKUP(Tableau88[[#This Row],[NOM 6]],TSource[[Nom+Prénom]:[Places]],2,FALSE),0)</calculatedColumnFormula>
    </tableColumn>
    <tableColumn id="11" xr3:uid="{00000000-0010-0000-0300-00000B000000}" name="NOM 7" dataDxfId="35" dataCellStyle="Normal 2"/>
    <tableColumn id="12" xr3:uid="{00000000-0010-0000-0300-00000C000000}" name="Nb 17" dataDxfId="34" dataCellStyle="Normal 2">
      <calculatedColumnFormula>IFERROR(VLOOKUP(Tableau88[[#This Row],[NOM 7]],TSource[[Nom+Prénom]:[Places]],2,FALSE),0)</calculatedColumnFormula>
    </tableColumn>
    <tableColumn id="13" xr3:uid="{00000000-0010-0000-0300-00000D000000}" name="NOM 8" dataDxfId="33" dataCellStyle="Normal 2"/>
    <tableColumn id="14" xr3:uid="{00000000-0010-0000-0300-00000E000000}" name="Nb 18" dataDxfId="32" dataCellStyle="Normal 2">
      <calculatedColumnFormula>IFERROR(VLOOKUP(Tableau88[[#This Row],[NOM 8]],TSource[[Nom+Prénom]:[Places]],2,FALSE),0)</calculatedColumnFormula>
    </tableColumn>
    <tableColumn id="15" xr3:uid="{00000000-0010-0000-0300-00000F000000}" name="NOM 9" dataDxfId="31" dataCellStyle="Normal 2"/>
    <tableColumn id="16" xr3:uid="{00000000-0010-0000-0300-000010000000}" name="Nb 19" dataDxfId="30" dataCellStyle="Normal 2">
      <calculatedColumnFormula>IFERROR(VLOOKUP(Tableau88[[#This Row],[NOM 9]],TSource[[Nom+Prénom]:[Places]],2,FALSE),0)</calculatedColumnFormula>
    </tableColumn>
    <tableColumn id="17" xr3:uid="{00000000-0010-0000-0300-000011000000}" name="NOM 10" dataDxfId="29" dataCellStyle="Normal 2"/>
    <tableColumn id="18" xr3:uid="{00000000-0010-0000-0300-000012000000}" name="Nb 20" dataDxfId="28" dataCellStyle="Normal 2">
      <calculatedColumnFormula>IFERROR(VLOOKUP(Tableau88[[#This Row],[NOM 10]],TSource[[Nom+Prénom]:[Places]],2,FALSE),0)</calculatedColumnFormula>
    </tableColumn>
    <tableColumn id="19" xr3:uid="{00000000-0010-0000-0300-000013000000}" name="NOM 11" dataDxfId="27" dataCellStyle="Normal 2"/>
    <tableColumn id="20" xr3:uid="{00000000-0010-0000-0300-000014000000}" name="Nb 21" dataDxfId="26" dataCellStyle="Normal 2">
      <calculatedColumnFormula>IFERROR(VLOOKUP(Tableau88[[#This Row],[NOM 11]],TSource[[Nom+Prénom]:[Places]],2,FALSE),0)</calculatedColumnFormula>
    </tableColumn>
    <tableColumn id="21" xr3:uid="{00000000-0010-0000-0300-000015000000}" name="NOM 12" dataDxfId="25" dataCellStyle="Normal 2"/>
    <tableColumn id="22" xr3:uid="{00000000-0010-0000-0300-000016000000}" name="Nb 22" dataDxfId="24" dataCellStyle="Normal 2">
      <calculatedColumnFormula>IFERROR(VLOOKUP(Tableau88[[#This Row],[NOM 12]],TSource[[Nom+Prénom]:[Places]],2,FALSE),0)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4000000}" name="TSource" displayName="TSource" ref="A1:O12" tableType="queryTable" totalsRowShown="0">
  <autoFilter ref="A1:O12" xr:uid="{00000000-0009-0000-0100-00000E000000}"/>
  <tableColumns count="15">
    <tableColumn id="1" xr3:uid="{00000000-0010-0000-0400-000001000000}" uniqueName="1" name="Date de réservation" queryTableFieldId="1" dataDxfId="9"/>
    <tableColumn id="2" xr3:uid="{00000000-0010-0000-0400-000002000000}" uniqueName="2" name="Nom" queryTableFieldId="2" dataDxfId="8"/>
    <tableColumn id="3" xr3:uid="{00000000-0010-0000-0400-000003000000}" uniqueName="3" name="Prénom" queryTableFieldId="3" dataDxfId="7"/>
    <tableColumn id="4" xr3:uid="{00000000-0010-0000-0400-000004000000}" uniqueName="4" name="Nb de billets" queryTableFieldId="4"/>
    <tableColumn id="5" xr3:uid="{00000000-0010-0000-0400-000005000000}" uniqueName="5" name="Réservation pour le" queryTableFieldId="5" dataDxfId="6"/>
    <tableColumn id="6" xr3:uid="{00000000-0010-0000-0400-000006000000}" uniqueName="6" name="Repas / Entrée" queryTableFieldId="6" dataDxfId="5"/>
    <tableColumn id="7" xr3:uid="{00000000-0010-0000-0400-000007000000}" uniqueName="7" name="Somme versée" queryTableFieldId="7"/>
    <tableColumn id="8" xr3:uid="{00000000-0010-0000-0400-000008000000}" uniqueName="8" name="Moyen de paiement" queryTableFieldId="8" dataDxfId="4"/>
    <tableColumn id="9" xr3:uid="{00000000-0010-0000-0400-000009000000}" uniqueName="9" name="Billet récupéré" queryTableFieldId="9" dataDxfId="3"/>
    <tableColumn id="10" xr3:uid="{00000000-0010-0000-0400-00000A000000}" uniqueName="10" name="Réservation faite par" queryTableFieldId="10" dataDxfId="2"/>
    <tableColumn id="11" xr3:uid="{00000000-0010-0000-0400-00000B000000}" uniqueName="11" name="Somme à payer" queryTableFieldId="11"/>
    <tableColumn id="12" xr3:uid="{00000000-0010-0000-0400-00000C000000}" uniqueName="12" name="Reste à payé" queryTableFieldId="12"/>
    <tableColumn id="13" xr3:uid="{00000000-0010-0000-0400-00000D000000}" uniqueName="13" name="Nom+Prénom" queryTableFieldId="13" dataDxfId="1"/>
    <tableColumn id="14" xr3:uid="{00000000-0010-0000-0400-00000E000000}" uniqueName="14" name="Places" queryTableFieldId="14"/>
    <tableColumn id="15" xr3:uid="{00000000-0010-0000-0400-00000F000000}" uniqueName="15" name="Etat paiement" queryTableFieldId="15" dataDxfId="0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5000000}" name="Tableau1" displayName="Tableau1" ref="A1:A4" totalsRowShown="0">
  <autoFilter ref="A1:A4" xr:uid="{00000000-0009-0000-0100-000001000000}"/>
  <tableColumns count="1">
    <tableColumn id="1" xr3:uid="{00000000-0010-0000-0500-000001000000}" name="Payé ?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6000000}" name="Tableau2" displayName="Tableau2" ref="C1:C5" totalsRowShown="0">
  <autoFilter ref="C1:C5" xr:uid="{00000000-0009-0000-0100-000002000000}"/>
  <tableColumns count="1">
    <tableColumn id="1" xr3:uid="{00000000-0010-0000-0600-000001000000}" name="Moyen de paiement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7000000}" name="Tableau5" displayName="Tableau5" ref="E1:E5" totalsRowShown="0">
  <autoFilter ref="E1:E5" xr:uid="{00000000-0009-0000-0100-000005000000}"/>
  <tableColumns count="1">
    <tableColumn id="1" xr3:uid="{00000000-0010-0000-0700-000001000000}" name="Résa pour"/>
  </tableColumns>
  <tableStyleInfo name="TableStyleLight1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8000000}" name="Tableau6" displayName="Tableau6" ref="G1:G6" totalsRowShown="0">
  <autoFilter ref="G1:G6" xr:uid="{00000000-0009-0000-0100-000006000000}"/>
  <tableColumns count="1">
    <tableColumn id="1" xr3:uid="{00000000-0010-0000-0800-000001000000}" name="vendredi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excel-downloads.com/threads/afficher-des-doublons-selon-des-criteres.20074565/" TargetMode="Externa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D5:Q36"/>
  <sheetViews>
    <sheetView zoomScale="85" zoomScaleNormal="85" workbookViewId="0">
      <selection activeCell="S24" sqref="S24"/>
    </sheetView>
  </sheetViews>
  <sheetFormatPr baseColWidth="10" defaultColWidth="11.44140625" defaultRowHeight="14.4" x14ac:dyDescent="0.3"/>
  <cols>
    <col min="1" max="5" width="11.44140625" style="4"/>
    <col min="6" max="6" width="11.5546875" style="4" customWidth="1"/>
    <col min="7" max="7" width="13.5546875" style="5" customWidth="1"/>
    <col min="8" max="8" width="11.44140625" style="4" customWidth="1"/>
    <col min="9" max="9" width="2.33203125" style="4" customWidth="1"/>
    <col min="10" max="11" width="11.44140625" style="4"/>
    <col min="12" max="13" width="11.5546875" style="4" customWidth="1"/>
    <col min="14" max="15" width="11.44140625" style="4"/>
    <col min="16" max="16" width="2.33203125" style="4" customWidth="1"/>
    <col min="17" max="16384" width="11.44140625" style="4"/>
  </cols>
  <sheetData>
    <row r="5" spans="4:11" x14ac:dyDescent="0.3">
      <c r="G5" s="6"/>
    </row>
    <row r="6" spans="4:11" x14ac:dyDescent="0.3">
      <c r="D6" s="10"/>
    </row>
    <row r="14" spans="4:11" x14ac:dyDescent="0.3">
      <c r="G14" s="14"/>
      <c r="H14" s="15"/>
      <c r="I14" s="15"/>
      <c r="J14" s="15"/>
      <c r="K14" s="15"/>
    </row>
    <row r="16" spans="4:11" ht="27" customHeight="1" x14ac:dyDescent="0.3"/>
    <row r="17" spans="5:17" ht="15" customHeight="1" x14ac:dyDescent="0.3"/>
    <row r="18" spans="5:17" ht="15.75" customHeight="1" x14ac:dyDescent="0.3"/>
    <row r="19" spans="5:17" ht="15" customHeight="1" x14ac:dyDescent="0.3"/>
    <row r="20" spans="5:17" ht="15.75" customHeight="1" x14ac:dyDescent="0.3"/>
    <row r="21" spans="5:17" ht="15" customHeight="1" x14ac:dyDescent="0.3"/>
    <row r="22" spans="5:17" x14ac:dyDescent="0.3">
      <c r="G22" s="14"/>
      <c r="I22" s="16"/>
      <c r="J22" s="16"/>
    </row>
    <row r="23" spans="5:17" x14ac:dyDescent="0.3">
      <c r="G23" s="15"/>
      <c r="H23" s="15"/>
      <c r="J23" s="15"/>
      <c r="K23" s="15"/>
    </row>
    <row r="29" spans="5:17" ht="15" thickBot="1" x14ac:dyDescent="0.35"/>
    <row r="30" spans="5:17" ht="24" thickBot="1" x14ac:dyDescent="0.5">
      <c r="E30" s="156" t="str">
        <f>Organisation!F2</f>
        <v>Vendredi</v>
      </c>
      <c r="F30" s="157"/>
      <c r="G30" s="157"/>
      <c r="H30" s="154">
        <f>Organisation!G2</f>
        <v>44995</v>
      </c>
      <c r="I30" s="154"/>
      <c r="J30" s="155"/>
      <c r="K30" s="59"/>
      <c r="L30" s="156" t="str">
        <f>Organisation!F3</f>
        <v>Samedi</v>
      </c>
      <c r="M30" s="157"/>
      <c r="N30" s="157"/>
      <c r="O30" s="154">
        <f>Organisation!G3</f>
        <v>44996</v>
      </c>
      <c r="P30" s="154"/>
      <c r="Q30" s="155"/>
    </row>
    <row r="31" spans="5:17" x14ac:dyDescent="0.3">
      <c r="E31" s="158" t="s">
        <v>36</v>
      </c>
      <c r="F31" s="160" t="s">
        <v>43</v>
      </c>
      <c r="G31" s="160"/>
      <c r="H31" s="161">
        <f>Organisation!F9-(Organisation!J9+GETPIVOTDATA("Nb de billets",'Tableau croisés'!$A$4)+GETPIVOTDATA("Nb de billets",'Tableau croisés'!$G$4))</f>
        <v>149</v>
      </c>
      <c r="I31" s="162" t="s">
        <v>48</v>
      </c>
      <c r="J31" s="149">
        <f>Organisation!F9</f>
        <v>200</v>
      </c>
      <c r="L31" s="158" t="s">
        <v>36</v>
      </c>
      <c r="M31" s="160" t="s">
        <v>43</v>
      </c>
      <c r="N31" s="160"/>
      <c r="O31" s="161">
        <f>Organisation!G9-(Organisation!K9+GETPIVOTDATA("Nb de billets",'Tableau croisés'!$D$4)+GETPIVOTDATA("Nb de billets",'Tableau croisés'!$G$4))</f>
        <v>169</v>
      </c>
      <c r="P31" s="162" t="s">
        <v>48</v>
      </c>
      <c r="Q31" s="149">
        <f>Organisation!G9</f>
        <v>200</v>
      </c>
    </row>
    <row r="32" spans="5:17" x14ac:dyDescent="0.3">
      <c r="E32" s="159"/>
      <c r="F32" s="152"/>
      <c r="G32" s="152"/>
      <c r="H32" s="153"/>
      <c r="I32" s="163"/>
      <c r="J32" s="150"/>
      <c r="L32" s="159"/>
      <c r="M32" s="152"/>
      <c r="N32" s="152"/>
      <c r="O32" s="153"/>
      <c r="P32" s="163"/>
      <c r="Q32" s="150"/>
    </row>
    <row r="33" spans="5:17" x14ac:dyDescent="0.3">
      <c r="E33" s="159"/>
      <c r="F33" s="152"/>
      <c r="G33" s="152"/>
      <c r="H33" s="153"/>
      <c r="I33" s="163"/>
      <c r="J33" s="150"/>
      <c r="L33" s="159"/>
      <c r="M33" s="152"/>
      <c r="N33" s="152"/>
      <c r="O33" s="153"/>
      <c r="P33" s="163"/>
      <c r="Q33" s="150"/>
    </row>
    <row r="34" spans="5:17" x14ac:dyDescent="0.3">
      <c r="E34" s="159" t="s">
        <v>37</v>
      </c>
      <c r="F34" s="151" t="s">
        <v>43</v>
      </c>
      <c r="G34" s="151"/>
      <c r="H34" s="153">
        <f>Organisation!H9-(Organisation!L9+GETPIVOTDATA("Nb de billets",'Tableau croisés'!$A$12)+GETPIVOTDATA("Nb de billets",'Tableau croisés'!$J$4))</f>
        <v>247</v>
      </c>
      <c r="I34" s="163" t="s">
        <v>48</v>
      </c>
      <c r="J34" s="150">
        <f>Organisation!H9</f>
        <v>300</v>
      </c>
      <c r="L34" s="159" t="s">
        <v>37</v>
      </c>
      <c r="M34" s="151" t="s">
        <v>43</v>
      </c>
      <c r="N34" s="151"/>
      <c r="O34" s="153">
        <f>Organisation!I9-(Organisation!M9+GETPIVOTDATA("Nb de billets",'Tableau croisés'!$D$10)+GETPIVOTDATA("Nb de billets",'Tableau croisés'!$J$4))</f>
        <v>267</v>
      </c>
      <c r="P34" s="163" t="s">
        <v>48</v>
      </c>
      <c r="Q34" s="150">
        <f>Organisation!I9</f>
        <v>300</v>
      </c>
    </row>
    <row r="35" spans="5:17" x14ac:dyDescent="0.3">
      <c r="E35" s="159"/>
      <c r="F35" s="152"/>
      <c r="G35" s="152"/>
      <c r="H35" s="153"/>
      <c r="I35" s="163"/>
      <c r="J35" s="150"/>
      <c r="L35" s="159"/>
      <c r="M35" s="152"/>
      <c r="N35" s="152"/>
      <c r="O35" s="153"/>
      <c r="P35" s="163"/>
      <c r="Q35" s="150"/>
    </row>
    <row r="36" spans="5:17" x14ac:dyDescent="0.3">
      <c r="E36" s="159"/>
      <c r="F36" s="152"/>
      <c r="G36" s="152"/>
      <c r="H36" s="153"/>
      <c r="I36" s="163"/>
      <c r="J36" s="150"/>
      <c r="L36" s="159"/>
      <c r="M36" s="152"/>
      <c r="N36" s="152"/>
      <c r="O36" s="153"/>
      <c r="P36" s="163"/>
      <c r="Q36" s="150"/>
    </row>
  </sheetData>
  <mergeCells count="24">
    <mergeCell ref="L30:N30"/>
    <mergeCell ref="O30:Q30"/>
    <mergeCell ref="L31:L33"/>
    <mergeCell ref="M31:N33"/>
    <mergeCell ref="O31:O33"/>
    <mergeCell ref="P31:P33"/>
    <mergeCell ref="Q31:Q33"/>
    <mergeCell ref="L34:L36"/>
    <mergeCell ref="M34:N36"/>
    <mergeCell ref="O34:O36"/>
    <mergeCell ref="P34:P36"/>
    <mergeCell ref="Q34:Q36"/>
    <mergeCell ref="J31:J33"/>
    <mergeCell ref="J34:J36"/>
    <mergeCell ref="F34:G36"/>
    <mergeCell ref="H34:H36"/>
    <mergeCell ref="H30:J30"/>
    <mergeCell ref="E30:G30"/>
    <mergeCell ref="E31:E33"/>
    <mergeCell ref="E34:E36"/>
    <mergeCell ref="F31:G33"/>
    <mergeCell ref="H31:H33"/>
    <mergeCell ref="I31:I33"/>
    <mergeCell ref="I34:I36"/>
  </mergeCell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lessThanOrEqual" id="{8B4BF652-A406-494E-8343-DB4853EAFFA7}">
            <xm:f>Organisation!$F$13</xm:f>
            <x14:dxf>
              <font>
                <b/>
                <i val="0"/>
                <color rgb="FFFF0000"/>
              </font>
            </x14:dxf>
          </x14:cfRule>
          <xm:sqref>H31</xm:sqref>
        </x14:conditionalFormatting>
        <x14:conditionalFormatting xmlns:xm="http://schemas.microsoft.com/office/excel/2006/main">
          <x14:cfRule type="cellIs" priority="4" operator="lessThanOrEqual" id="{6C7408E4-F922-4E38-A811-EAF6F6DCDDBB}">
            <xm:f>Organisation!$G$13</xm:f>
            <x14:dxf>
              <font>
                <b/>
                <i val="0"/>
                <color rgb="FFFF0000"/>
              </font>
            </x14:dxf>
          </x14:cfRule>
          <xm:sqref>O31</xm:sqref>
        </x14:conditionalFormatting>
        <x14:conditionalFormatting xmlns:xm="http://schemas.microsoft.com/office/excel/2006/main">
          <x14:cfRule type="cellIs" priority="2" operator="lessThanOrEqual" id="{BFD4B9E2-00A9-4BFA-A3C8-5A630F848612}">
            <xm:f>Organisation!$H$13</xm:f>
            <x14:dxf>
              <font>
                <b/>
                <i val="0"/>
                <color rgb="FFFF0000"/>
              </font>
            </x14:dxf>
          </x14:cfRule>
          <xm:sqref>H34</xm:sqref>
        </x14:conditionalFormatting>
        <x14:conditionalFormatting xmlns:xm="http://schemas.microsoft.com/office/excel/2006/main">
          <x14:cfRule type="cellIs" priority="1" operator="lessThanOrEqual" id="{DCC3B8B3-7868-42A7-8A09-690CEE0FF10A}">
            <xm:f>Organisation!$I$13</xm:f>
            <x14:dxf>
              <font>
                <b/>
                <i val="0"/>
                <color rgb="FFFF0000"/>
              </font>
            </x14:dxf>
          </x14:cfRule>
          <xm:sqref>O34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O22"/>
  <sheetViews>
    <sheetView zoomScale="130" zoomScaleNormal="130" workbookViewId="0">
      <pane ySplit="8" topLeftCell="A18" activePane="bottomLeft" state="frozen"/>
      <selection pane="bottomLeft" activeCell="E26" sqref="E26"/>
    </sheetView>
  </sheetViews>
  <sheetFormatPr baseColWidth="10" defaultRowHeight="14.4" x14ac:dyDescent="0.3"/>
  <cols>
    <col min="1" max="1" width="15.5546875" style="2" customWidth="1"/>
    <col min="2" max="2" width="15.5546875" customWidth="1"/>
    <col min="3" max="3" width="13.88671875" customWidth="1"/>
    <col min="4" max="4" width="7.88671875" style="11" customWidth="1"/>
    <col min="5" max="5" width="15" style="1" customWidth="1"/>
    <col min="6" max="6" width="11.5546875" customWidth="1"/>
    <col min="7" max="7" width="11.44140625" style="3"/>
    <col min="8" max="8" width="15" style="1" customWidth="1"/>
    <col min="9" max="9" width="10.33203125" customWidth="1"/>
    <col min="10" max="10" width="18.88671875" customWidth="1"/>
    <col min="11" max="11" width="15.109375" style="3" bestFit="1" customWidth="1"/>
    <col min="12" max="12" width="15.88671875" style="77" customWidth="1"/>
    <col min="13" max="13" width="16" bestFit="1" customWidth="1"/>
    <col min="14" max="14" width="5.5546875" customWidth="1"/>
    <col min="16" max="16" width="19.44140625" bestFit="1" customWidth="1"/>
  </cols>
  <sheetData>
    <row r="1" spans="1:15" ht="105" customHeight="1" x14ac:dyDescent="0.3">
      <c r="I1" s="1"/>
      <c r="K1" s="77"/>
    </row>
    <row r="2" spans="1:15" s="99" customFormat="1" ht="46.8" x14ac:dyDescent="0.3">
      <c r="A2" s="95" t="s">
        <v>2</v>
      </c>
      <c r="B2" s="96" t="s">
        <v>0</v>
      </c>
      <c r="C2" s="96" t="s">
        <v>1</v>
      </c>
      <c r="D2" s="97" t="s">
        <v>27</v>
      </c>
      <c r="E2" s="96" t="s">
        <v>15</v>
      </c>
      <c r="F2" s="96" t="s">
        <v>19</v>
      </c>
      <c r="G2" s="98" t="s">
        <v>18</v>
      </c>
      <c r="H2" s="96" t="s">
        <v>4</v>
      </c>
      <c r="I2" s="96" t="s">
        <v>26</v>
      </c>
      <c r="J2" s="96" t="s">
        <v>11</v>
      </c>
      <c r="K2" s="98" t="s">
        <v>21</v>
      </c>
      <c r="L2" s="98" t="s">
        <v>17</v>
      </c>
      <c r="M2" s="105" t="s">
        <v>79</v>
      </c>
      <c r="N2" s="105" t="s">
        <v>49</v>
      </c>
      <c r="O2" s="96" t="s">
        <v>80</v>
      </c>
    </row>
    <row r="3" spans="1:15" s="111" customFormat="1" ht="15.6" hidden="1" x14ac:dyDescent="0.3">
      <c r="A3" s="7" t="s">
        <v>28</v>
      </c>
      <c r="B3" s="82"/>
      <c r="C3" s="82"/>
      <c r="D3" s="109">
        <v>10</v>
      </c>
      <c r="E3" s="78" t="s">
        <v>13</v>
      </c>
      <c r="F3" s="79" t="s">
        <v>20</v>
      </c>
      <c r="G3" s="80">
        <v>300</v>
      </c>
      <c r="H3" s="81"/>
      <c r="I3" s="82"/>
      <c r="J3" s="83"/>
      <c r="K3" s="110">
        <f>VLOOKUP(TableauSource[[#This Row],[Repas / Entrée]],Tableau4[[#All],[Type de reservation]:[Tarifs des billets]],2,FALSE)*TableauSource[[#This Row],[Nb de billets]]</f>
        <v>300</v>
      </c>
      <c r="L3" s="101">
        <f>TableauSource[[#This Row],[Somme à payer]]-TableauSource[[#This Row],[Somme versée]]</f>
        <v>0</v>
      </c>
      <c r="M3" s="106"/>
      <c r="N3" s="123">
        <f>TableauSource[[#This Row],[Nb de billets]]</f>
        <v>10</v>
      </c>
      <c r="O3" s="111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Acquitté</v>
      </c>
    </row>
    <row r="4" spans="1:15" s="115" customFormat="1" ht="15.6" hidden="1" x14ac:dyDescent="0.3">
      <c r="A4" s="94" t="s">
        <v>28</v>
      </c>
      <c r="B4" s="90"/>
      <c r="C4" s="90"/>
      <c r="D4" s="112">
        <v>10</v>
      </c>
      <c r="E4" s="86" t="s">
        <v>13</v>
      </c>
      <c r="F4" s="87" t="s">
        <v>16</v>
      </c>
      <c r="G4" s="88">
        <v>200</v>
      </c>
      <c r="H4" s="89"/>
      <c r="I4" s="90"/>
      <c r="J4" s="91"/>
      <c r="K4" s="113">
        <f>VLOOKUP(TableauSource[[#This Row],[Repas / Entrée]],Tableau4[[#All],[Type de reservation]:[Tarifs des billets]],2,FALSE)*TableauSource[[#This Row],[Nb de billets]]</f>
        <v>150</v>
      </c>
      <c r="L4" s="102">
        <f>TableauSource[[#This Row],[Somme à payer]]-TableauSource[[#This Row],[Somme versée]]</f>
        <v>-50</v>
      </c>
      <c r="M4" s="114"/>
      <c r="N4" s="124">
        <f>TableauSource[[#This Row],[Nb de billets]]</f>
        <v>10</v>
      </c>
      <c r="O4" s="115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Trop payé</v>
      </c>
    </row>
    <row r="5" spans="1:15" s="111" customFormat="1" ht="15.6" hidden="1" x14ac:dyDescent="0.3">
      <c r="A5" s="7" t="s">
        <v>28</v>
      </c>
      <c r="B5" s="82"/>
      <c r="C5" s="82"/>
      <c r="D5" s="109">
        <v>10</v>
      </c>
      <c r="E5" s="84" t="s">
        <v>14</v>
      </c>
      <c r="F5" s="79" t="s">
        <v>20</v>
      </c>
      <c r="G5" s="80">
        <v>200</v>
      </c>
      <c r="H5" s="81"/>
      <c r="I5" s="82"/>
      <c r="J5" s="83"/>
      <c r="K5" s="110">
        <f>VLOOKUP(TableauSource[[#This Row],[Repas / Entrée]],Tableau4[[#All],[Type de reservation]:[Tarifs des billets]],2,FALSE)*TableauSource[[#This Row],[Nb de billets]]</f>
        <v>300</v>
      </c>
      <c r="L5" s="103">
        <f>TableauSource[[#This Row],[Somme à payer]]-TableauSource[[#This Row],[Somme versée]]</f>
        <v>100</v>
      </c>
      <c r="M5" s="106"/>
      <c r="N5" s="123">
        <f>TableauSource[[#This Row],[Nb de billets]]</f>
        <v>10</v>
      </c>
      <c r="O5" s="111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Doit encore</v>
      </c>
    </row>
    <row r="6" spans="1:15" s="115" customFormat="1" ht="15.6" hidden="1" x14ac:dyDescent="0.3">
      <c r="A6" s="94" t="s">
        <v>28</v>
      </c>
      <c r="B6" s="90"/>
      <c r="C6" s="90"/>
      <c r="D6" s="112">
        <v>10</v>
      </c>
      <c r="E6" s="92" t="s">
        <v>14</v>
      </c>
      <c r="F6" s="87" t="s">
        <v>16</v>
      </c>
      <c r="G6" s="88"/>
      <c r="H6" s="89"/>
      <c r="I6" s="90"/>
      <c r="J6" s="91"/>
      <c r="K6" s="113">
        <f>VLOOKUP(TableauSource[[#This Row],[Repas / Entrée]],Tableau4[[#All],[Type de reservation]:[Tarifs des billets]],2,FALSE)*TableauSource[[#This Row],[Nb de billets]]</f>
        <v>150</v>
      </c>
      <c r="L6" s="103">
        <f>TableauSource[[#This Row],[Somme à payer]]-TableauSource[[#This Row],[Somme versée]]</f>
        <v>150</v>
      </c>
      <c r="M6" s="114"/>
      <c r="N6" s="124">
        <f>TableauSource[[#This Row],[Nb de billets]]</f>
        <v>10</v>
      </c>
      <c r="O6" s="115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Doit encore</v>
      </c>
    </row>
    <row r="7" spans="1:15" s="111" customFormat="1" ht="15.6" hidden="1" x14ac:dyDescent="0.3">
      <c r="A7" s="7" t="s">
        <v>28</v>
      </c>
      <c r="B7" s="82"/>
      <c r="C7" s="82"/>
      <c r="D7" s="109">
        <v>10</v>
      </c>
      <c r="E7" s="78" t="s">
        <v>25</v>
      </c>
      <c r="F7" s="85" t="s">
        <v>98</v>
      </c>
      <c r="G7" s="80"/>
      <c r="H7" s="81"/>
      <c r="I7" s="82"/>
      <c r="J7" s="83"/>
      <c r="K7" s="110">
        <f>VLOOKUP(TableauSource[[#This Row],[Repas / Entrée]],Tableau4[[#All],[Type de reservation]:[Tarifs des billets]],2,FALSE)*TableauSource[[#This Row],[Nb de billets]]</f>
        <v>250</v>
      </c>
      <c r="L7" s="103">
        <f>TableauSource[[#This Row],[Somme à payer]]-TableauSource[[#This Row],[Somme versée]]</f>
        <v>250</v>
      </c>
      <c r="M7" s="106"/>
      <c r="N7" s="123">
        <f>TableauSource[[#This Row],[Nb de billets]]</f>
        <v>10</v>
      </c>
      <c r="O7" s="111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Doit encore</v>
      </c>
    </row>
    <row r="8" spans="1:15" s="115" customFormat="1" ht="15.6" hidden="1" x14ac:dyDescent="0.3">
      <c r="A8" s="94" t="s">
        <v>28</v>
      </c>
      <c r="B8" s="90"/>
      <c r="C8" s="90"/>
      <c r="D8" s="112">
        <v>10</v>
      </c>
      <c r="E8" s="86" t="s">
        <v>25</v>
      </c>
      <c r="F8" s="93" t="s">
        <v>95</v>
      </c>
      <c r="G8" s="88"/>
      <c r="H8" s="89"/>
      <c r="I8" s="90"/>
      <c r="J8" s="91"/>
      <c r="K8" s="113">
        <f>VLOOKUP(TableauSource[[#This Row],[Repas / Entrée]],Tableau4[[#All],[Type de reservation]:[Tarifs des billets]],2,FALSE)*TableauSource[[#This Row],[Nb de billets]]</f>
        <v>500</v>
      </c>
      <c r="L8" s="103">
        <f>TableauSource[[#This Row],[Somme à payer]]-TableauSource[[#This Row],[Somme versée]]</f>
        <v>500</v>
      </c>
      <c r="M8" s="114"/>
      <c r="N8" s="124">
        <f>TableauSource[[#This Row],[Nb de billets]]</f>
        <v>10</v>
      </c>
      <c r="O8" s="115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Doit encore</v>
      </c>
    </row>
    <row r="9" spans="1:15" ht="15.6" x14ac:dyDescent="0.3">
      <c r="A9" s="100" t="s">
        <v>81</v>
      </c>
      <c r="B9" t="s">
        <v>82</v>
      </c>
      <c r="C9" t="s">
        <v>83</v>
      </c>
      <c r="D9" s="11">
        <v>1</v>
      </c>
      <c r="E9" s="1" t="s">
        <v>13</v>
      </c>
      <c r="F9" s="1" t="s">
        <v>20</v>
      </c>
      <c r="G9" s="76">
        <v>50</v>
      </c>
      <c r="H9" s="77" t="s">
        <v>7</v>
      </c>
      <c r="I9" s="1" t="s">
        <v>5</v>
      </c>
      <c r="J9" s="1" t="s">
        <v>10</v>
      </c>
      <c r="K9" s="76">
        <f>VLOOKUP(TableauSource[[#This Row],[Repas / Entrée]],Tableau4[[#All],[Type de reservation]:[Tarifs des billets]],2,FALSE)*TableauSource[[#This Row],[Nb de billets]]</f>
        <v>30</v>
      </c>
      <c r="L9" s="104">
        <f>TableauSource[[#This Row],[Somme à payer]]-TableauSource[[#This Row],[Somme versée]]</f>
        <v>-20</v>
      </c>
      <c r="M9" s="107" t="str">
        <f>UPPER(SUBSTITUTE(TableauSource[[#This Row],[Nom]],1,1))&amp;" "&amp;UPPER(MID(TableauSource[[#This Row],[Prénom]],1,1))&amp;"."</f>
        <v>ARNAUD P.</v>
      </c>
      <c r="N9" s="122">
        <f>TableauSource[[#This Row],[Nb de billets]]</f>
        <v>1</v>
      </c>
      <c r="O9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Trop payé</v>
      </c>
    </row>
    <row r="10" spans="1:15" ht="15.6" x14ac:dyDescent="0.3">
      <c r="A10" s="100" t="s">
        <v>81</v>
      </c>
      <c r="B10" t="s">
        <v>84</v>
      </c>
      <c r="C10" t="s">
        <v>85</v>
      </c>
      <c r="D10" s="11">
        <v>20</v>
      </c>
      <c r="E10" s="1" t="s">
        <v>13</v>
      </c>
      <c r="F10" s="1" t="s">
        <v>16</v>
      </c>
      <c r="G10" s="76">
        <v>100</v>
      </c>
      <c r="H10" s="77" t="s">
        <v>7</v>
      </c>
      <c r="I10" s="1" t="s">
        <v>5</v>
      </c>
      <c r="J10" s="1" t="s">
        <v>10</v>
      </c>
      <c r="K10" s="76">
        <f>VLOOKUP(TableauSource[[#This Row],[Repas / Entrée]],Tableau4[[#All],[Type de reservation]:[Tarifs des billets]],2,FALSE)*TableauSource[[#This Row],[Nb de billets]]</f>
        <v>300</v>
      </c>
      <c r="L10" s="104">
        <f>TableauSource[[#This Row],[Somme à payer]]-TableauSource[[#This Row],[Somme versée]]</f>
        <v>200</v>
      </c>
      <c r="M10" s="107" t="str">
        <f>UPPER(SUBSTITUTE(TableauSource[[#This Row],[Nom]],1,1))&amp;" "&amp;UPPER(MID(TableauSource[[#This Row],[Prénom]],1,1))&amp;"."</f>
        <v>RUDY F.</v>
      </c>
      <c r="N10" s="122">
        <f>TableauSource[[#This Row],[Nb de billets]]</f>
        <v>20</v>
      </c>
      <c r="O10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Doit encore</v>
      </c>
    </row>
    <row r="11" spans="1:15" ht="15.6" x14ac:dyDescent="0.3">
      <c r="A11" s="100" t="s">
        <v>86</v>
      </c>
      <c r="B11" t="s">
        <v>87</v>
      </c>
      <c r="C11" t="s">
        <v>88</v>
      </c>
      <c r="D11" s="11">
        <v>1</v>
      </c>
      <c r="E11" s="1" t="s">
        <v>14</v>
      </c>
      <c r="F11" s="1" t="s">
        <v>20</v>
      </c>
      <c r="G11" s="76">
        <v>30</v>
      </c>
      <c r="H11" s="77" t="s">
        <v>7</v>
      </c>
      <c r="I11" s="1" t="s">
        <v>5</v>
      </c>
      <c r="J11" s="1" t="s">
        <v>10</v>
      </c>
      <c r="K11" s="76">
        <f>VLOOKUP(TableauSource[[#This Row],[Repas / Entrée]],Tableau4[[#All],[Type de reservation]:[Tarifs des billets]],2,FALSE)*TableauSource[[#This Row],[Nb de billets]]</f>
        <v>30</v>
      </c>
      <c r="L11" s="108">
        <f>TableauSource[[#This Row],[Somme à payer]]-TableauSource[[#This Row],[Somme versée]]</f>
        <v>0</v>
      </c>
      <c r="M11" s="107" t="str">
        <f>UPPER(SUBSTITUTE(TableauSource[[#This Row],[Nom]],1,1))&amp;" "&amp;UPPER(MID(TableauSource[[#This Row],[Prénom]],1,1))&amp;"."</f>
        <v>B,JN,JHF G.</v>
      </c>
      <c r="N11" s="122">
        <f>TableauSource[[#This Row],[Nb de billets]]</f>
        <v>1</v>
      </c>
      <c r="O11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Acquitté</v>
      </c>
    </row>
    <row r="12" spans="1:15" ht="15.6" x14ac:dyDescent="0.3">
      <c r="A12" s="100" t="s">
        <v>94</v>
      </c>
      <c r="B12" t="s">
        <v>96</v>
      </c>
      <c r="C12" t="s">
        <v>97</v>
      </c>
      <c r="D12" s="11">
        <v>1</v>
      </c>
      <c r="E12" s="1" t="s">
        <v>25</v>
      </c>
      <c r="F12" s="1" t="s">
        <v>98</v>
      </c>
      <c r="G12" s="76">
        <v>50</v>
      </c>
      <c r="H12" s="77" t="s">
        <v>7</v>
      </c>
      <c r="I12" s="1" t="s">
        <v>5</v>
      </c>
      <c r="J12" s="1" t="s">
        <v>10</v>
      </c>
      <c r="K12" s="76">
        <f>VLOOKUP(TableauSource[[#This Row],[Repas / Entrée]],Tableau4[[#All],[Type de reservation]:[Tarifs des billets]],2,FALSE)*TableauSource[[#This Row],[Nb de billets]]</f>
        <v>25</v>
      </c>
      <c r="L12" s="108">
        <f>TableauSource[[#This Row],[Somme à payer]]-TableauSource[[#This Row],[Somme versée]]</f>
        <v>-25</v>
      </c>
      <c r="M12" s="107" t="str">
        <f>UPPER(SUBSTITUTE(TableauSource[[#This Row],[Nom]],1,1))&amp;" "&amp;UPPER(MID(TableauSource[[#This Row],[Prénom]],1,1))&amp;"."</f>
        <v>GFGGGG H.</v>
      </c>
      <c r="N12" s="122">
        <f>TableauSource[[#This Row],[Nb de billets]]</f>
        <v>1</v>
      </c>
      <c r="O12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Trop payé</v>
      </c>
    </row>
    <row r="13" spans="1:15" ht="15.6" x14ac:dyDescent="0.3">
      <c r="A13" s="100" t="s">
        <v>94</v>
      </c>
      <c r="B13" t="s">
        <v>99</v>
      </c>
      <c r="C13" t="s">
        <v>100</v>
      </c>
      <c r="D13" s="11">
        <v>2</v>
      </c>
      <c r="E13" s="1" t="s">
        <v>25</v>
      </c>
      <c r="F13" s="1" t="s">
        <v>95</v>
      </c>
      <c r="G13" s="76">
        <v>300</v>
      </c>
      <c r="H13" s="77" t="s">
        <v>7</v>
      </c>
      <c r="I13" s="1" t="s">
        <v>6</v>
      </c>
      <c r="J13" s="1" t="s">
        <v>10</v>
      </c>
      <c r="K13" s="76">
        <f>VLOOKUP(TableauSource[[#This Row],[Repas / Entrée]],Tableau4[[#All],[Type de reservation]:[Tarifs des billets]],2,FALSE)*TableauSource[[#This Row],[Nb de billets]]</f>
        <v>100</v>
      </c>
      <c r="L13" s="108">
        <f>TableauSource[[#This Row],[Somme à payer]]-TableauSource[[#This Row],[Somme versée]]</f>
        <v>-200</v>
      </c>
      <c r="M13" s="107" t="str">
        <f>UPPER(SUBSTITUTE(TableauSource[[#This Row],[Nom]],1,1))&amp;" "&amp;UPPER(MID(TableauSource[[#This Row],[Prénom]],1,1))&amp;"."</f>
        <v>YTTY T.</v>
      </c>
      <c r="N13" s="122">
        <f>TableauSource[[#This Row],[Nb de billets]]</f>
        <v>2</v>
      </c>
      <c r="O13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Trop payé</v>
      </c>
    </row>
    <row r="14" spans="1:15" ht="15.6" x14ac:dyDescent="0.3">
      <c r="A14" s="100" t="s">
        <v>94</v>
      </c>
      <c r="B14" t="s">
        <v>101</v>
      </c>
      <c r="C14" t="s">
        <v>102</v>
      </c>
      <c r="D14" s="11">
        <v>3</v>
      </c>
      <c r="E14" s="1" t="s">
        <v>13</v>
      </c>
      <c r="F14" s="1" t="s">
        <v>20</v>
      </c>
      <c r="G14" s="76">
        <v>10</v>
      </c>
      <c r="H14" s="77" t="s">
        <v>7</v>
      </c>
      <c r="I14" s="1" t="s">
        <v>6</v>
      </c>
      <c r="J14" s="1" t="s">
        <v>10</v>
      </c>
      <c r="K14" s="76">
        <f>VLOOKUP(TableauSource[[#This Row],[Repas / Entrée]],Tableau4[[#All],[Type de reservation]:[Tarifs des billets]],2,FALSE)*TableauSource[[#This Row],[Nb de billets]]</f>
        <v>90</v>
      </c>
      <c r="L14" s="108">
        <f>TableauSource[[#This Row],[Somme à payer]]-TableauSource[[#This Row],[Somme versée]]</f>
        <v>80</v>
      </c>
      <c r="M14" s="107" t="str">
        <f>UPPER(SUBSTITUTE(TableauSource[[#This Row],[Nom]],1,1))&amp;" "&amp;UPPER(MID(TableauSource[[#This Row],[Prénom]],1,1))&amp;"."</f>
        <v>HJGFJ H.</v>
      </c>
      <c r="N14" s="122">
        <f>TableauSource[[#This Row],[Nb de billets]]</f>
        <v>3</v>
      </c>
      <c r="O14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Doit encore</v>
      </c>
    </row>
    <row r="15" spans="1:15" ht="15.6" x14ac:dyDescent="0.3">
      <c r="A15" s="100" t="s">
        <v>94</v>
      </c>
      <c r="B15" t="s">
        <v>108</v>
      </c>
      <c r="C15" t="s">
        <v>109</v>
      </c>
      <c r="D15" s="11">
        <v>1</v>
      </c>
      <c r="E15" s="1" t="s">
        <v>13</v>
      </c>
      <c r="F15" s="1" t="s">
        <v>20</v>
      </c>
      <c r="G15" s="76">
        <v>50</v>
      </c>
      <c r="H15" s="77" t="s">
        <v>7</v>
      </c>
      <c r="I15" s="1" t="s">
        <v>5</v>
      </c>
      <c r="J15" s="1" t="s">
        <v>10</v>
      </c>
      <c r="K15" s="76">
        <f>VLOOKUP(TableauSource[[#This Row],[Repas / Entrée]],Tableau4[[#All],[Type de reservation]:[Tarifs des billets]],2,FALSE)*TableauSource[[#This Row],[Nb de billets]]</f>
        <v>30</v>
      </c>
      <c r="L15" s="108">
        <f>TableauSource[[#This Row],[Somme à payer]]-TableauSource[[#This Row],[Somme versée]]</f>
        <v>-20</v>
      </c>
      <c r="M15" s="107" t="str">
        <f>UPPER(SUBSTITUTE(TableauSource[[#This Row],[Nom]],1,1))&amp;" "&amp;UPPER(MID(TableauSource[[#This Row],[Prénom]],1,1))&amp;"."</f>
        <v>RIRI R.</v>
      </c>
      <c r="N15" s="122">
        <f>TableauSource[[#This Row],[Nb de billets]]</f>
        <v>1</v>
      </c>
      <c r="O15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Trop payé</v>
      </c>
    </row>
    <row r="16" spans="1:15" ht="15.6" x14ac:dyDescent="0.3">
      <c r="A16" s="100" t="s">
        <v>94</v>
      </c>
      <c r="B16" t="s">
        <v>111</v>
      </c>
      <c r="C16" t="s">
        <v>112</v>
      </c>
      <c r="D16" s="11">
        <v>2</v>
      </c>
      <c r="E16" s="1" t="s">
        <v>13</v>
      </c>
      <c r="F16" s="1" t="s">
        <v>20</v>
      </c>
      <c r="G16" s="76">
        <v>100</v>
      </c>
      <c r="H16" s="77" t="s">
        <v>7</v>
      </c>
      <c r="I16" s="1" t="s">
        <v>6</v>
      </c>
      <c r="J16" s="1" t="s">
        <v>10</v>
      </c>
      <c r="K16" s="76">
        <f>VLOOKUP(TableauSource[[#This Row],[Repas / Entrée]],Tableau4[[#All],[Type de reservation]:[Tarifs des billets]],2,FALSE)*TableauSource[[#This Row],[Nb de billets]]</f>
        <v>60</v>
      </c>
      <c r="L16" s="108">
        <f>TableauSource[[#This Row],[Somme à payer]]-TableauSource[[#This Row],[Somme versée]]</f>
        <v>-40</v>
      </c>
      <c r="M16" s="107" t="str">
        <f>UPPER(SUBSTITUTE(TableauSource[[#This Row],[Nom]],1,1))&amp;" "&amp;UPPER(MID(TableauSource[[#This Row],[Prénom]],1,1))&amp;"."</f>
        <v>LULU L.</v>
      </c>
      <c r="N16" s="122">
        <f>TableauSource[[#This Row],[Nb de billets]]</f>
        <v>2</v>
      </c>
      <c r="O16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Trop payé</v>
      </c>
    </row>
    <row r="17" spans="1:15" ht="15.6" x14ac:dyDescent="0.3">
      <c r="A17" s="100" t="s">
        <v>94</v>
      </c>
      <c r="B17" t="s">
        <v>114</v>
      </c>
      <c r="C17" t="s">
        <v>115</v>
      </c>
      <c r="D17" s="11">
        <v>1</v>
      </c>
      <c r="E17" s="1" t="s">
        <v>13</v>
      </c>
      <c r="F17" s="1" t="s">
        <v>20</v>
      </c>
      <c r="G17" s="76">
        <v>10</v>
      </c>
      <c r="H17" s="77" t="s">
        <v>7</v>
      </c>
      <c r="I17" s="1" t="s">
        <v>5</v>
      </c>
      <c r="J17" s="1" t="s">
        <v>10</v>
      </c>
      <c r="K17" s="76">
        <f>VLOOKUP(TableauSource[[#This Row],[Repas / Entrée]],Tableau4[[#All],[Type de reservation]:[Tarifs des billets]],2,FALSE)*TableauSource[[#This Row],[Nb de billets]]</f>
        <v>30</v>
      </c>
      <c r="L17" s="108">
        <f>TableauSource[[#This Row],[Somme à payer]]-TableauSource[[#This Row],[Somme versée]]</f>
        <v>20</v>
      </c>
      <c r="M17" s="107" t="str">
        <f>UPPER(SUBSTITUTE(TableauSource[[#This Row],[Nom]],1,1))&amp;" "&amp;UPPER(MID(TableauSource[[#This Row],[Prénom]],1,1))&amp;"."</f>
        <v>TOTO T.</v>
      </c>
      <c r="N17" s="122">
        <f>TableauSource[[#This Row],[Nb de billets]]</f>
        <v>1</v>
      </c>
      <c r="O17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Doit encore</v>
      </c>
    </row>
    <row r="18" spans="1:15" ht="15.6" x14ac:dyDescent="0.3">
      <c r="A18" s="100" t="s">
        <v>94</v>
      </c>
      <c r="B18" t="s">
        <v>117</v>
      </c>
      <c r="C18" t="s">
        <v>118</v>
      </c>
      <c r="D18" s="11">
        <v>1</v>
      </c>
      <c r="E18" s="1" t="s">
        <v>13</v>
      </c>
      <c r="F18" s="1" t="s">
        <v>20</v>
      </c>
      <c r="G18" s="76">
        <v>10</v>
      </c>
      <c r="H18" s="77" t="s">
        <v>7</v>
      </c>
      <c r="I18" s="1" t="s">
        <v>5</v>
      </c>
      <c r="J18" s="1" t="s">
        <v>10</v>
      </c>
      <c r="K18" s="76">
        <f>VLOOKUP(TableauSource[[#This Row],[Repas / Entrée]],Tableau4[[#All],[Type de reservation]:[Tarifs des billets]],2,FALSE)*TableauSource[[#This Row],[Nb de billets]]</f>
        <v>30</v>
      </c>
      <c r="L18" s="108">
        <f>TableauSource[[#This Row],[Somme à payer]]-TableauSource[[#This Row],[Somme versée]]</f>
        <v>20</v>
      </c>
      <c r="M18" s="107" t="str">
        <f>UPPER(SUBSTITUTE(TableauSource[[#This Row],[Nom]],1,1))&amp;" "&amp;UPPER(MID(TableauSource[[#This Row],[Prénom]],1,1))&amp;"."</f>
        <v>POPO P.</v>
      </c>
      <c r="N18" s="122">
        <f>TableauSource[[#This Row],[Nb de billets]]</f>
        <v>1</v>
      </c>
      <c r="O18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Doit encore</v>
      </c>
    </row>
    <row r="19" spans="1:15" ht="15.6" x14ac:dyDescent="0.3">
      <c r="A19" s="100" t="s">
        <v>94</v>
      </c>
      <c r="B19" t="s">
        <v>119</v>
      </c>
      <c r="C19" t="s">
        <v>120</v>
      </c>
      <c r="D19" s="11">
        <v>1</v>
      </c>
      <c r="E19" s="1" t="s">
        <v>13</v>
      </c>
      <c r="F19" s="1" t="s">
        <v>20</v>
      </c>
      <c r="G19" s="76">
        <v>10</v>
      </c>
      <c r="H19" s="77" t="s">
        <v>7</v>
      </c>
      <c r="I19" s="1" t="s">
        <v>5</v>
      </c>
      <c r="J19" s="1" t="s">
        <v>10</v>
      </c>
      <c r="K19" s="76">
        <f>VLOOKUP(TableauSource[[#This Row],[Repas / Entrée]],Tableau4[[#All],[Type de reservation]:[Tarifs des billets]],2,FALSE)*TableauSource[[#This Row],[Nb de billets]]</f>
        <v>30</v>
      </c>
      <c r="L19" s="108">
        <f>TableauSource[[#This Row],[Somme à payer]]-TableauSource[[#This Row],[Somme versée]]</f>
        <v>20</v>
      </c>
      <c r="M19" s="107" t="str">
        <f>UPPER(SUBSTITUTE(TableauSource[[#This Row],[Nom]],1,1))&amp;" "&amp;UPPER(MID(TableauSource[[#This Row],[Prénom]],1,1))&amp;"."</f>
        <v>RRRRRRRRRRRRRRR T.</v>
      </c>
      <c r="N19" s="122">
        <f>TableauSource[[#This Row],[Nb de billets]]</f>
        <v>1</v>
      </c>
      <c r="O19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Doit encore</v>
      </c>
    </row>
    <row r="20" spans="1:15" ht="15.6" x14ac:dyDescent="0.3">
      <c r="A20" s="100" t="s">
        <v>94</v>
      </c>
      <c r="B20" t="s">
        <v>123</v>
      </c>
      <c r="C20" t="s">
        <v>124</v>
      </c>
      <c r="D20" s="11">
        <v>1</v>
      </c>
      <c r="E20" s="1" t="s">
        <v>13</v>
      </c>
      <c r="F20" s="1" t="s">
        <v>20</v>
      </c>
      <c r="G20" s="76">
        <v>10</v>
      </c>
      <c r="H20" s="77" t="s">
        <v>7</v>
      </c>
      <c r="I20" s="1" t="s">
        <v>6</v>
      </c>
      <c r="J20" s="1" t="s">
        <v>10</v>
      </c>
      <c r="K20" s="76">
        <f>VLOOKUP(TableauSource[[#This Row],[Repas / Entrée]],Tableau4[[#All],[Type de reservation]:[Tarifs des billets]],2,FALSE)*TableauSource[[#This Row],[Nb de billets]]</f>
        <v>30</v>
      </c>
      <c r="L20" s="104">
        <f>TableauSource[[#This Row],[Somme à payer]]-TableauSource[[#This Row],[Somme versée]]</f>
        <v>20</v>
      </c>
      <c r="M20" s="107" t="str">
        <f>UPPER(SUBSTITUTE(TableauSource[[#This Row],[Nom]],1,1))&amp;" "&amp;UPPER(MID(TableauSource[[#This Row],[Prénom]],1,1))&amp;"."</f>
        <v>GGGGGGGG G.</v>
      </c>
      <c r="N20" s="122">
        <f>TableauSource[[#This Row],[Nb de billets]]</f>
        <v>1</v>
      </c>
      <c r="O20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Doit encore</v>
      </c>
    </row>
    <row r="21" spans="1:15" ht="15.6" x14ac:dyDescent="0.3">
      <c r="A21" s="100" t="s">
        <v>185</v>
      </c>
      <c r="B21" t="s">
        <v>186</v>
      </c>
      <c r="C21" t="s">
        <v>187</v>
      </c>
      <c r="D21" s="11">
        <v>10</v>
      </c>
      <c r="E21" s="1" t="s">
        <v>13</v>
      </c>
      <c r="F21" s="1" t="s">
        <v>20</v>
      </c>
      <c r="G21" s="76">
        <v>1000</v>
      </c>
      <c r="H21" s="77" t="s">
        <v>8</v>
      </c>
      <c r="I21" s="1" t="s">
        <v>5</v>
      </c>
      <c r="J21" s="1" t="s">
        <v>10</v>
      </c>
      <c r="K21" s="76">
        <f>VLOOKUP(TableauSource[[#This Row],[Repas / Entrée]],Tableau4[[#All],[Type de reservation]:[Tarifs des billets]],2,FALSE)*TableauSource[[#This Row],[Nb de billets]]</f>
        <v>300</v>
      </c>
      <c r="L21" s="104">
        <f>TableauSource[[#This Row],[Somme à payer]]-TableauSource[[#This Row],[Somme versée]]</f>
        <v>-700</v>
      </c>
      <c r="M21" s="107" t="str">
        <f>UPPER(SUBSTITUTE(TableauSource[[#This Row],[Nom]],1,1))&amp;" "&amp;UPPER(MID(TableauSource[[#This Row],[Prénom]],1,1))&amp;"."</f>
        <v>FOFO F.</v>
      </c>
      <c r="N21" s="122">
        <f>TableauSource[[#This Row],[Nb de billets]]</f>
        <v>10</v>
      </c>
      <c r="O21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Trop payé</v>
      </c>
    </row>
    <row r="22" spans="1:15" ht="15.6" x14ac:dyDescent="0.3">
      <c r="A22" s="100" t="s">
        <v>185</v>
      </c>
      <c r="B22" t="s">
        <v>189</v>
      </c>
      <c r="C22" t="s">
        <v>190</v>
      </c>
      <c r="D22" s="11">
        <v>10</v>
      </c>
      <c r="E22" s="1" t="s">
        <v>13</v>
      </c>
      <c r="F22" s="1" t="s">
        <v>20</v>
      </c>
      <c r="G22" s="76">
        <v>1000</v>
      </c>
      <c r="H22" s="77" t="s">
        <v>8</v>
      </c>
      <c r="I22" s="1" t="s">
        <v>5</v>
      </c>
      <c r="J22" s="1" t="s">
        <v>10</v>
      </c>
      <c r="K22" s="76">
        <f>VLOOKUP(TableauSource[[#This Row],[Repas / Entrée]],Tableau4[[#All],[Type de reservation]:[Tarifs des billets]],2,FALSE)*TableauSource[[#This Row],[Nb de billets]]</f>
        <v>300</v>
      </c>
      <c r="L22" s="145">
        <f>TableauSource[[#This Row],[Somme à payer]]-TableauSource[[#This Row],[Somme versée]]</f>
        <v>-700</v>
      </c>
      <c r="M22" s="146" t="str">
        <f>UPPER(SUBSTITUTE(TableauSource[[#This Row],[Nom]],1,1))&amp;" "&amp;UPPER(MID(TableauSource[[#This Row],[Prénom]],1,1))&amp;"."</f>
        <v>YAN B.</v>
      </c>
      <c r="N22" s="147">
        <f>TableauSource[[#This Row],[Nb de billets]]</f>
        <v>10</v>
      </c>
      <c r="O22" t="str">
        <f>IF(TableauSource[[#This Row],[Somme versée]]&gt;TableauSource[[#This Row],[Somme à payer]],"Trop payé",IF(TableauSource[[#This Row],[Somme versée]]&lt;TableauSource[[#This Row],[Somme à payer]],"Doit encore",IF(TableauSource[[#This Row],[Somme versée]]=TableauSource[[#This Row],[Somme à payer]],"Acquitté",FALSE)))</f>
        <v>Trop payé</v>
      </c>
    </row>
  </sheetData>
  <conditionalFormatting sqref="L3:L22">
    <cfRule type="cellIs" dxfId="122" priority="1" operator="equal">
      <formula>0</formula>
    </cfRule>
    <cfRule type="cellIs" dxfId="121" priority="3" operator="lessThan">
      <formula>0</formula>
    </cfRule>
    <cfRule type="cellIs" dxfId="120" priority="4" operator="greater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25"/>
  <sheetViews>
    <sheetView tabSelected="1" topLeftCell="F1" zoomScale="85" zoomScaleNormal="85" workbookViewId="0">
      <selection activeCell="O2" sqref="O2"/>
    </sheetView>
  </sheetViews>
  <sheetFormatPr baseColWidth="10" defaultRowHeight="14.4" x14ac:dyDescent="0.3"/>
  <cols>
    <col min="1" max="1" width="20.33203125" style="1" customWidth="1"/>
    <col min="2" max="2" width="4.33203125" style="1" customWidth="1"/>
    <col min="3" max="3" width="21.44140625" style="8" customWidth="1"/>
    <col min="4" max="4" width="18.6640625" customWidth="1"/>
    <col min="5" max="5" width="11.44140625" customWidth="1"/>
    <col min="6" max="6" width="16.6640625" customWidth="1"/>
    <col min="7" max="7" width="16.109375" customWidth="1"/>
    <col min="8" max="9" width="15.5546875" customWidth="1"/>
    <col min="10" max="14" width="17" customWidth="1"/>
  </cols>
  <sheetData>
    <row r="1" spans="1:17" ht="17.25" customHeight="1" x14ac:dyDescent="0.35">
      <c r="F1" s="164" t="s">
        <v>47</v>
      </c>
      <c r="G1" s="164"/>
      <c r="O1" t="s">
        <v>193</v>
      </c>
      <c r="Q1" t="s">
        <v>194</v>
      </c>
    </row>
    <row r="2" spans="1:17" ht="17.25" customHeight="1" x14ac:dyDescent="0.3">
      <c r="F2" s="66" t="s">
        <v>13</v>
      </c>
      <c r="G2" s="67">
        <v>44995</v>
      </c>
      <c r="O2" t="str" cm="1">
        <f t="array" ref="O2:O5">_xlfn.LET(_xlpm.Lgs,ROWS(TVendredi[]),_xlpm.Cols,COLUMNS(TVendredi[]),_xlpm.Cnt,_xlfn.SEQUENCE(_xlpm.Lgs*_xlpm.Cols),_xlpm.Uniques,_xlfn.UNIQUE(INDEX(TVendredi[],1+INT(_xlpm.Cnt/_xlpm.Cols),MOD(_xlpm.Cnt-1,_xlpm.Cols)+1)),_xlfn._xlws.FILTER(_xlpm.Uniques,ISTEXT(_xlpm.Uniques),""))</f>
        <v>ARNAUD P.</v>
      </c>
      <c r="Q2" t="str" cm="1">
        <f t="array" ref="Q2:Q8">_xlfn._xlws.FILTER(TSource[Nom+Prénom],COUNTIF(_xlfn.ANCHORARRAY(O2),TSource[Nom+Prénom])=0,"tous placés")</f>
        <v>YTTY T.</v>
      </c>
    </row>
    <row r="3" spans="1:17" ht="17.25" customHeight="1" x14ac:dyDescent="0.3">
      <c r="F3" s="66" t="s">
        <v>14</v>
      </c>
      <c r="G3" s="67">
        <v>44996</v>
      </c>
      <c r="O3" t="str">
        <v>YAN B.</v>
      </c>
      <c r="Q3" t="str">
        <v>RIRI R.</v>
      </c>
    </row>
    <row r="4" spans="1:17" ht="17.25" customHeight="1" x14ac:dyDescent="0.3">
      <c r="O4" t="str">
        <v>HJGFJ H.</v>
      </c>
      <c r="Q4" t="str">
        <v>LULU L.</v>
      </c>
    </row>
    <row r="5" spans="1:17" ht="17.25" customHeight="1" x14ac:dyDescent="0.3">
      <c r="O5" t="str">
        <v>FOFO F.</v>
      </c>
      <c r="Q5" t="str">
        <v>TOTO T.</v>
      </c>
    </row>
    <row r="6" spans="1:17" ht="15" thickBot="1" x14ac:dyDescent="0.35">
      <c r="Q6" t="str">
        <v>POPO P.</v>
      </c>
    </row>
    <row r="7" spans="1:17" s="9" customFormat="1" ht="43.2" x14ac:dyDescent="0.3">
      <c r="A7" s="70" t="s">
        <v>29</v>
      </c>
      <c r="B7" s="62" t="s">
        <v>49</v>
      </c>
      <c r="C7" s="71" t="s">
        <v>30</v>
      </c>
      <c r="D7" s="22" t="s">
        <v>55</v>
      </c>
      <c r="E7" s="23" t="s">
        <v>31</v>
      </c>
      <c r="F7" s="26" t="s">
        <v>32</v>
      </c>
      <c r="G7" s="27" t="s">
        <v>33</v>
      </c>
      <c r="H7" s="28" t="s">
        <v>34</v>
      </c>
      <c r="I7" s="29" t="s">
        <v>35</v>
      </c>
      <c r="J7" s="30" t="s">
        <v>51</v>
      </c>
      <c r="K7" s="30" t="s">
        <v>52</v>
      </c>
      <c r="L7" s="64" t="s">
        <v>53</v>
      </c>
      <c r="M7" s="64" t="s">
        <v>54</v>
      </c>
      <c r="Q7" s="9" t="str">
        <v>RRRRRRRRRRRRRRR T.</v>
      </c>
    </row>
    <row r="8" spans="1:17" hidden="1" x14ac:dyDescent="0.3">
      <c r="A8" s="19"/>
      <c r="B8" s="60"/>
      <c r="C8" s="20"/>
      <c r="D8" s="24"/>
      <c r="E8" s="25"/>
      <c r="F8" s="24"/>
      <c r="G8" s="25"/>
      <c r="H8" s="24"/>
      <c r="I8" s="25"/>
      <c r="J8" s="24"/>
      <c r="L8" s="25"/>
      <c r="Q8" t="str">
        <v>GGGGGGGG G.</v>
      </c>
    </row>
    <row r="9" spans="1:17" ht="15" thickBot="1" x14ac:dyDescent="0.35">
      <c r="A9" s="55">
        <v>44976</v>
      </c>
      <c r="B9" s="61" t="s">
        <v>50</v>
      </c>
      <c r="C9" s="56" t="s">
        <v>10</v>
      </c>
      <c r="D9" s="51" t="s">
        <v>22</v>
      </c>
      <c r="E9" s="52">
        <v>25</v>
      </c>
      <c r="F9" s="37">
        <v>200</v>
      </c>
      <c r="G9" s="38">
        <v>200</v>
      </c>
      <c r="H9" s="39">
        <v>300</v>
      </c>
      <c r="I9" s="40">
        <v>300</v>
      </c>
      <c r="J9" s="41">
        <v>10</v>
      </c>
      <c r="K9" s="42">
        <v>10</v>
      </c>
      <c r="L9" s="65">
        <v>10</v>
      </c>
      <c r="M9" s="65">
        <v>10</v>
      </c>
    </row>
    <row r="10" spans="1:17" x14ac:dyDescent="0.3">
      <c r="A10" s="68"/>
      <c r="B10" s="61" t="s">
        <v>50</v>
      </c>
      <c r="C10" s="57"/>
      <c r="D10" s="51" t="s">
        <v>23</v>
      </c>
      <c r="E10" s="52">
        <v>50</v>
      </c>
      <c r="F10" s="43"/>
      <c r="G10" s="21"/>
      <c r="H10" s="43"/>
      <c r="I10" s="21"/>
      <c r="J10" s="44"/>
      <c r="K10" s="45"/>
      <c r="L10" s="45"/>
      <c r="M10" s="35"/>
    </row>
    <row r="11" spans="1:17" ht="15" thickBot="1" x14ac:dyDescent="0.35">
      <c r="A11" s="68"/>
      <c r="B11" s="61" t="s">
        <v>50</v>
      </c>
      <c r="C11" s="57"/>
      <c r="D11" s="51" t="s">
        <v>16</v>
      </c>
      <c r="E11" s="52">
        <v>15</v>
      </c>
      <c r="F11" s="46"/>
      <c r="G11" s="47"/>
      <c r="H11" s="46"/>
      <c r="I11" s="47"/>
      <c r="J11" s="46"/>
      <c r="K11" s="48"/>
      <c r="L11" s="48"/>
      <c r="M11" s="35"/>
    </row>
    <row r="12" spans="1:17" ht="15" thickBot="1" x14ac:dyDescent="0.35">
      <c r="A12" s="68"/>
      <c r="B12" s="61" t="s">
        <v>50</v>
      </c>
      <c r="C12" s="57"/>
      <c r="D12" s="53" t="s">
        <v>20</v>
      </c>
      <c r="E12" s="54">
        <v>30</v>
      </c>
      <c r="F12" s="36" t="s">
        <v>46</v>
      </c>
      <c r="G12" s="36" t="s">
        <v>46</v>
      </c>
      <c r="H12" s="36" t="s">
        <v>46</v>
      </c>
      <c r="I12" s="36" t="s">
        <v>46</v>
      </c>
      <c r="J12" s="46"/>
      <c r="K12" s="48"/>
      <c r="L12" s="48"/>
      <c r="M12" s="35"/>
    </row>
    <row r="13" spans="1:17" ht="15" thickBot="1" x14ac:dyDescent="0.35">
      <c r="A13" s="68"/>
      <c r="B13" s="61" t="s">
        <v>50</v>
      </c>
      <c r="C13" s="57"/>
      <c r="D13" s="32"/>
      <c r="E13" s="33"/>
      <c r="F13" s="49">
        <v>50</v>
      </c>
      <c r="G13" s="50">
        <v>50</v>
      </c>
      <c r="H13" s="49">
        <v>50</v>
      </c>
      <c r="I13" s="50">
        <v>50</v>
      </c>
      <c r="J13" s="46"/>
      <c r="K13" s="48"/>
      <c r="L13" s="48"/>
      <c r="M13" s="35"/>
    </row>
    <row r="14" spans="1:17" x14ac:dyDescent="0.3">
      <c r="A14" s="68"/>
      <c r="B14" s="61" t="s">
        <v>50</v>
      </c>
      <c r="C14" s="57"/>
      <c r="D14" s="31"/>
      <c r="E14" s="34"/>
      <c r="F14" s="35"/>
      <c r="G14" s="35"/>
      <c r="H14" s="35"/>
      <c r="I14" s="35"/>
      <c r="J14" s="35"/>
      <c r="K14" s="35"/>
      <c r="L14" s="35"/>
      <c r="M14" s="35"/>
    </row>
    <row r="15" spans="1:17" x14ac:dyDescent="0.3">
      <c r="A15" s="68"/>
      <c r="B15" s="61" t="s">
        <v>50</v>
      </c>
      <c r="C15" s="57"/>
      <c r="D15" s="31"/>
      <c r="E15" s="34"/>
      <c r="F15" s="35"/>
      <c r="G15" s="35"/>
      <c r="H15" s="35"/>
      <c r="I15" s="35"/>
      <c r="J15" s="35"/>
      <c r="K15" s="35"/>
      <c r="L15" s="35"/>
      <c r="M15" s="35"/>
    </row>
    <row r="16" spans="1:17" x14ac:dyDescent="0.3">
      <c r="A16" s="68"/>
      <c r="B16" s="61" t="s">
        <v>50</v>
      </c>
      <c r="C16" s="57"/>
      <c r="D16" s="31"/>
      <c r="E16" s="34"/>
      <c r="F16" s="35"/>
      <c r="G16" s="35"/>
      <c r="H16" s="35"/>
      <c r="I16" s="35"/>
      <c r="J16" s="35"/>
      <c r="K16" s="35"/>
      <c r="L16" s="35"/>
      <c r="M16" s="35"/>
    </row>
    <row r="17" spans="1:13" x14ac:dyDescent="0.3">
      <c r="A17" s="68"/>
      <c r="B17" s="61" t="s">
        <v>50</v>
      </c>
      <c r="C17" s="57"/>
      <c r="D17" s="31"/>
      <c r="E17" s="34"/>
      <c r="F17" s="35"/>
      <c r="G17" s="35"/>
      <c r="H17" s="35"/>
      <c r="I17" s="35"/>
      <c r="J17" s="35"/>
      <c r="K17" s="35"/>
      <c r="L17" s="35"/>
      <c r="M17" s="35"/>
    </row>
    <row r="18" spans="1:13" x14ac:dyDescent="0.3">
      <c r="A18" s="68"/>
      <c r="B18" s="61" t="s">
        <v>50</v>
      </c>
      <c r="C18" s="57"/>
      <c r="D18" s="31"/>
      <c r="E18" s="34"/>
      <c r="F18" s="35"/>
      <c r="G18" s="35"/>
      <c r="H18" s="35"/>
      <c r="I18" s="35"/>
      <c r="J18" s="35"/>
      <c r="K18" s="35"/>
      <c r="L18" s="35"/>
      <c r="M18" s="35"/>
    </row>
    <row r="19" spans="1:13" x14ac:dyDescent="0.3">
      <c r="A19" s="68"/>
      <c r="B19" s="61" t="s">
        <v>50</v>
      </c>
      <c r="C19" s="57"/>
      <c r="D19" s="31"/>
      <c r="E19" s="34"/>
      <c r="F19" s="35"/>
      <c r="G19" s="35"/>
      <c r="H19" s="35"/>
      <c r="I19" s="35"/>
      <c r="J19" s="35"/>
      <c r="K19" s="35"/>
      <c r="L19" s="35"/>
      <c r="M19" s="35"/>
    </row>
    <row r="20" spans="1:13" x14ac:dyDescent="0.3">
      <c r="A20" s="68"/>
      <c r="B20" s="61" t="s">
        <v>50</v>
      </c>
      <c r="C20" s="57"/>
      <c r="D20" s="31"/>
      <c r="E20" s="34"/>
      <c r="F20" s="35"/>
      <c r="G20" s="35"/>
      <c r="H20" s="35"/>
      <c r="I20" s="35"/>
      <c r="J20" s="35"/>
      <c r="K20" s="35"/>
      <c r="L20" s="35"/>
      <c r="M20" s="35"/>
    </row>
    <row r="21" spans="1:13" x14ac:dyDescent="0.3">
      <c r="A21" s="68"/>
      <c r="B21" s="61" t="s">
        <v>50</v>
      </c>
      <c r="C21" s="57"/>
      <c r="D21" s="31"/>
      <c r="E21" s="34"/>
      <c r="F21" s="35"/>
      <c r="G21" s="35"/>
      <c r="H21" s="35"/>
      <c r="I21" s="35"/>
      <c r="J21" s="35"/>
      <c r="K21" s="35"/>
      <c r="L21" s="35"/>
      <c r="M21" s="35"/>
    </row>
    <row r="22" spans="1:13" x14ac:dyDescent="0.3">
      <c r="A22" s="68"/>
      <c r="B22" s="61" t="s">
        <v>50</v>
      </c>
      <c r="C22" s="57"/>
      <c r="D22" s="31"/>
      <c r="E22" s="34"/>
      <c r="F22" s="35"/>
      <c r="G22" s="35"/>
      <c r="H22" s="35"/>
      <c r="I22" s="35"/>
      <c r="J22" s="35"/>
      <c r="K22" s="35"/>
      <c r="L22" s="35"/>
      <c r="M22" s="35"/>
    </row>
    <row r="23" spans="1:13" x14ac:dyDescent="0.3">
      <c r="A23" s="68"/>
      <c r="B23" s="61" t="s">
        <v>50</v>
      </c>
      <c r="C23" s="57"/>
      <c r="D23" s="31"/>
      <c r="E23" s="34"/>
      <c r="F23" s="35"/>
      <c r="G23" s="35"/>
      <c r="H23" s="35"/>
      <c r="I23" s="35"/>
      <c r="J23" s="35"/>
      <c r="K23" s="35"/>
      <c r="L23" s="35"/>
      <c r="M23" s="35"/>
    </row>
    <row r="24" spans="1:13" x14ac:dyDescent="0.3">
      <c r="A24" s="68"/>
      <c r="B24" s="61" t="s">
        <v>50</v>
      </c>
      <c r="C24" s="57"/>
      <c r="D24" s="31"/>
      <c r="E24" s="34"/>
      <c r="F24" s="35"/>
      <c r="G24" s="35"/>
      <c r="H24" s="35"/>
      <c r="I24" s="35"/>
      <c r="J24" s="35"/>
      <c r="K24" s="35"/>
      <c r="L24" s="35"/>
      <c r="M24" s="35"/>
    </row>
    <row r="25" spans="1:13" ht="15" thickBot="1" x14ac:dyDescent="0.35">
      <c r="A25" s="69"/>
      <c r="B25" s="63" t="s">
        <v>50</v>
      </c>
      <c r="C25" s="58"/>
      <c r="D25" s="31"/>
      <c r="E25" s="34"/>
      <c r="F25" s="35"/>
      <c r="G25" s="35"/>
      <c r="H25" s="35"/>
      <c r="I25" s="35"/>
      <c r="J25" s="35"/>
      <c r="K25" s="35"/>
      <c r="L25" s="35"/>
      <c r="M25" s="35"/>
    </row>
  </sheetData>
  <mergeCells count="1">
    <mergeCell ref="F1:G1"/>
  </mergeCells>
  <phoneticPr fontId="9" type="noConversion"/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V39"/>
  <sheetViews>
    <sheetView topLeftCell="A3" workbookViewId="0">
      <selection activeCell="C14" sqref="C14"/>
    </sheetView>
  </sheetViews>
  <sheetFormatPr baseColWidth="10" defaultRowHeight="14.4" x14ac:dyDescent="0.3"/>
  <cols>
    <col min="1" max="1" width="11.88671875" customWidth="1"/>
    <col min="2" max="2" width="7.21875" customWidth="1"/>
    <col min="3" max="3" width="11.88671875" customWidth="1"/>
    <col min="4" max="4" width="6.44140625" customWidth="1"/>
    <col min="5" max="5" width="11.88671875" customWidth="1"/>
    <col min="6" max="6" width="6.44140625" customWidth="1"/>
    <col min="7" max="7" width="11.88671875" customWidth="1"/>
    <col min="8" max="8" width="6.44140625" customWidth="1"/>
    <col min="9" max="9" width="11.88671875" customWidth="1"/>
    <col min="10" max="10" width="6.44140625" customWidth="1"/>
    <col min="11" max="11" width="11.88671875" customWidth="1"/>
    <col min="12" max="12" width="6.44140625" customWidth="1"/>
    <col min="13" max="13" width="11.88671875" customWidth="1"/>
    <col min="14" max="14" width="6.44140625" customWidth="1"/>
    <col min="15" max="15" width="11.88671875" customWidth="1"/>
    <col min="16" max="16" width="6.44140625" customWidth="1"/>
    <col min="17" max="17" width="11.88671875" customWidth="1"/>
    <col min="18" max="18" width="6.44140625" customWidth="1"/>
    <col min="19" max="19" width="11.88671875" customWidth="1"/>
    <col min="20" max="20" width="6.44140625" customWidth="1"/>
    <col min="21" max="21" width="11.88671875" customWidth="1"/>
    <col min="22" max="22" width="6.44140625" customWidth="1"/>
    <col min="26" max="26" width="11.5546875" customWidth="1"/>
  </cols>
  <sheetData>
    <row r="1" spans="1:22" ht="21.75" customHeight="1" x14ac:dyDescent="0.3">
      <c r="G1" s="136" t="s">
        <v>173</v>
      </c>
      <c r="H1" s="172" t="s">
        <v>175</v>
      </c>
      <c r="I1" s="173"/>
      <c r="J1" s="172" t="s">
        <v>178</v>
      </c>
      <c r="K1" s="172"/>
      <c r="L1" s="172" t="s">
        <v>178</v>
      </c>
      <c r="M1" s="175"/>
    </row>
    <row r="2" spans="1:22" ht="21.75" customHeight="1" x14ac:dyDescent="0.3">
      <c r="G2" s="138" t="s">
        <v>184</v>
      </c>
      <c r="H2" s="178" t="s">
        <v>176</v>
      </c>
      <c r="I2" s="179"/>
      <c r="J2" s="178" t="s">
        <v>179</v>
      </c>
      <c r="K2" s="178"/>
      <c r="L2" s="178" t="s">
        <v>179</v>
      </c>
      <c r="M2" s="187"/>
    </row>
    <row r="3" spans="1:22" ht="21.75" customHeight="1" x14ac:dyDescent="0.3">
      <c r="G3" s="138" t="s">
        <v>183</v>
      </c>
      <c r="H3" s="178" t="s">
        <v>177</v>
      </c>
      <c r="I3" s="179"/>
      <c r="J3" s="178" t="s">
        <v>180</v>
      </c>
      <c r="K3" s="178"/>
      <c r="L3" s="178" t="s">
        <v>180</v>
      </c>
      <c r="M3" s="187"/>
    </row>
    <row r="4" spans="1:22" ht="21.75" customHeight="1" thickBot="1" x14ac:dyDescent="0.35">
      <c r="G4" s="138" t="s">
        <v>174</v>
      </c>
      <c r="H4" s="180"/>
      <c r="I4" s="181"/>
      <c r="J4" s="180" t="s">
        <v>181</v>
      </c>
      <c r="K4" s="180"/>
      <c r="L4" s="180" t="s">
        <v>182</v>
      </c>
      <c r="M4" s="188"/>
    </row>
    <row r="5" spans="1:22" ht="21.75" customHeight="1" thickBot="1" x14ac:dyDescent="0.35">
      <c r="G5" s="137">
        <v>16</v>
      </c>
      <c r="H5" s="174">
        <v>352</v>
      </c>
      <c r="I5" s="174"/>
      <c r="J5" s="186">
        <f>B22+D22+F22+H22+J22+L22+N22+P22+R22+T22+V22</f>
        <v>152</v>
      </c>
      <c r="K5" s="186"/>
      <c r="L5" s="176">
        <f>B36+D36+F36+H36+J36+L36+N36+P36+R36+T36+V36</f>
        <v>176</v>
      </c>
      <c r="M5" s="177"/>
      <c r="N5" s="135"/>
      <c r="O5" s="144"/>
      <c r="P5" s="144"/>
    </row>
    <row r="6" spans="1:22" ht="21.75" customHeight="1" x14ac:dyDescent="0.3">
      <c r="L6" s="135"/>
      <c r="M6" s="135"/>
      <c r="N6" s="135"/>
    </row>
    <row r="7" spans="1:22" ht="22.5" customHeight="1" thickBot="1" x14ac:dyDescent="0.35">
      <c r="G7" s="148" t="s">
        <v>192</v>
      </c>
    </row>
    <row r="8" spans="1:22" ht="26.4" thickBot="1" x14ac:dyDescent="0.35">
      <c r="A8" s="189" t="s">
        <v>126</v>
      </c>
      <c r="B8" s="190"/>
      <c r="C8" s="190"/>
      <c r="D8" s="190"/>
      <c r="E8" s="190"/>
      <c r="F8" s="190"/>
      <c r="G8" s="190"/>
      <c r="H8" s="190"/>
      <c r="I8" s="190"/>
      <c r="J8" s="190"/>
      <c r="K8" s="191">
        <f>Organisation!G2</f>
        <v>44995</v>
      </c>
      <c r="L8" s="191"/>
      <c r="M8" s="191"/>
      <c r="N8" s="191"/>
      <c r="O8" s="191"/>
      <c r="P8" s="191"/>
      <c r="Q8" s="191"/>
      <c r="R8" s="191"/>
      <c r="S8" s="191"/>
      <c r="T8" s="191"/>
      <c r="U8" s="191"/>
      <c r="V8" s="192"/>
    </row>
    <row r="9" spans="1:22" ht="16.2" thickBot="1" x14ac:dyDescent="0.35">
      <c r="A9" s="72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</row>
    <row r="10" spans="1:22" ht="26.4" thickBot="1" x14ac:dyDescent="0.35">
      <c r="A10" s="169" t="s">
        <v>171</v>
      </c>
      <c r="B10" s="170"/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71"/>
    </row>
    <row r="11" spans="1:22" ht="21" x14ac:dyDescent="0.3">
      <c r="A11" s="182" t="s">
        <v>56</v>
      </c>
      <c r="B11" s="182"/>
      <c r="C11" s="182" t="s">
        <v>57</v>
      </c>
      <c r="D11" s="182"/>
      <c r="E11" s="182" t="s">
        <v>58</v>
      </c>
      <c r="F11" s="182"/>
      <c r="G11" s="182" t="s">
        <v>59</v>
      </c>
      <c r="H11" s="182"/>
      <c r="I11" s="182" t="s">
        <v>60</v>
      </c>
      <c r="J11" s="182"/>
      <c r="K11" s="182" t="s">
        <v>61</v>
      </c>
      <c r="L11" s="182"/>
      <c r="M11" s="182" t="s">
        <v>62</v>
      </c>
      <c r="N11" s="182"/>
      <c r="O11" s="182" t="s">
        <v>63</v>
      </c>
      <c r="P11" s="182"/>
      <c r="Q11" s="182" t="s">
        <v>64</v>
      </c>
      <c r="R11" s="182"/>
      <c r="S11" s="182" t="s">
        <v>65</v>
      </c>
      <c r="T11" s="182"/>
      <c r="U11" s="182" t="s">
        <v>66</v>
      </c>
      <c r="V11" s="182"/>
    </row>
    <row r="12" spans="1:22" s="120" customFormat="1" ht="30" customHeight="1" thickBot="1" x14ac:dyDescent="0.35">
      <c r="A12" s="131" t="s">
        <v>127</v>
      </c>
      <c r="B12" s="140" t="s">
        <v>128</v>
      </c>
      <c r="C12" s="139" t="s">
        <v>129</v>
      </c>
      <c r="D12" s="141" t="s">
        <v>130</v>
      </c>
      <c r="E12" s="142" t="s">
        <v>131</v>
      </c>
      <c r="F12" s="143" t="s">
        <v>132</v>
      </c>
      <c r="G12" s="139" t="s">
        <v>133</v>
      </c>
      <c r="H12" s="141" t="s">
        <v>134</v>
      </c>
      <c r="I12" s="131" t="s">
        <v>135</v>
      </c>
      <c r="J12" s="140" t="s">
        <v>136</v>
      </c>
      <c r="K12" s="139" t="s">
        <v>137</v>
      </c>
      <c r="L12" s="141" t="s">
        <v>138</v>
      </c>
      <c r="M12" s="131" t="s">
        <v>139</v>
      </c>
      <c r="N12" s="140" t="s">
        <v>140</v>
      </c>
      <c r="O12" s="139" t="s">
        <v>141</v>
      </c>
      <c r="P12" s="141" t="s">
        <v>142</v>
      </c>
      <c r="Q12" s="131" t="s">
        <v>143</v>
      </c>
      <c r="R12" s="140" t="s">
        <v>144</v>
      </c>
      <c r="S12" s="139" t="s">
        <v>145</v>
      </c>
      <c r="T12" s="141" t="s">
        <v>146</v>
      </c>
      <c r="U12" s="131" t="s">
        <v>147</v>
      </c>
      <c r="V12" s="140" t="s">
        <v>148</v>
      </c>
    </row>
    <row r="13" spans="1:22" x14ac:dyDescent="0.3">
      <c r="A13" s="121" t="s">
        <v>103</v>
      </c>
      <c r="B13" s="127">
        <f>IF(TVendredi[[#This Row],[NOM 1]]&lt;&gt;0,MIN($G$5-SUM(B$12:B12),SUMIF(TSource[Nom+Prénom],TVendredi[[#This Row],[NOM 1]],TSource[Places])),0)</f>
        <v>1</v>
      </c>
      <c r="C13" s="121" t="s">
        <v>191</v>
      </c>
      <c r="D13" s="126">
        <f>IF(TVendredi[[#This Row],[NOM 2]]&lt;&gt;0,MIN($G$5-SUM(D$12:D12),SUMIF(TSource[Nom+Prénom],TVendredi[[#This Row],[NOM 2]],TSource[Places])-SUMIF(TVendredi[NOM 1],TVendredi[[#This Row],[NOM 2]],TVendredi[Nb 1])),0)</f>
        <v>8</v>
      </c>
      <c r="E13" s="121"/>
      <c r="F13" s="126">
        <f>SUMIF(TSource[Nom+Prénom],TVendredi[[#This Row],[NOM 4]],TSource[Places])</f>
        <v>0</v>
      </c>
      <c r="G13" s="121"/>
      <c r="H13" s="126">
        <f>SUMIF(TSource[Nom+Prénom],TVendredi[[#This Row],[NOM 4]],TSource[Places])</f>
        <v>0</v>
      </c>
      <c r="I13" s="121"/>
      <c r="J13" s="126">
        <f>IFERROR(VLOOKUP(TVendredi[[#This Row],[NOM 5]],TSource[[Nom+Prénom]:[Places]],2,FALSE),0)</f>
        <v>0</v>
      </c>
      <c r="K13" s="121"/>
      <c r="L13" s="126">
        <f>IFERROR(VLOOKUP(TVendredi[[#This Row],[NOM 6]],TSource[[Nom+Prénom]:[Places]],2,FALSE),0)</f>
        <v>0</v>
      </c>
      <c r="M13" s="121"/>
      <c r="N13" s="126">
        <f>IFERROR(VLOOKUP(TVendredi[[#This Row],[NOM 7]],TSource[[Nom+Prénom]:[Places]],2,FALSE),0)</f>
        <v>0</v>
      </c>
      <c r="O13" s="121"/>
      <c r="P13" s="126">
        <f>IFERROR(VLOOKUP(TVendredi[[#This Row],[NOM 8]],TSource[[Nom+Prénom]:[Places]],2,FALSE),0)</f>
        <v>0</v>
      </c>
      <c r="Q13" s="121"/>
      <c r="R13" s="126">
        <f>IFERROR(VLOOKUP(TVendredi[[#This Row],[NOM 9]],TSource[[Nom+Prénom]:[Places]],2,FALSE),0)</f>
        <v>0</v>
      </c>
      <c r="S13" s="121"/>
      <c r="T13" s="126">
        <f>IFERROR(VLOOKUP(TVendredi[[#This Row],[NOM 10]],TSource[[Nom+Prénom]:[Places]],2,FALSE),0)</f>
        <v>0</v>
      </c>
      <c r="U13" s="121"/>
      <c r="V13" s="126">
        <f>IFERROR(VLOOKUP(TVendredi[[#This Row],[NOM 11]],TSource[[Nom+Prénom]:[Places]],2,FALSE),0)</f>
        <v>0</v>
      </c>
    </row>
    <row r="14" spans="1:22" x14ac:dyDescent="0.3">
      <c r="A14" s="121" t="s">
        <v>105</v>
      </c>
      <c r="B14" s="127">
        <f>IF(TVendredi[[#This Row],[NOM 1]]&lt;&gt;0,MIN($G$5-SUM(B$12:B13),SUMIF(TSource[Nom+Prénom],TVendredi[[#This Row],[NOM 1]],TSource[Places])),0)</f>
        <v>3</v>
      </c>
      <c r="C14" s="121"/>
      <c r="D14" s="127">
        <f>IF(TVendredi[[#This Row],[NOM 2]]&lt;&gt;0,MIN($G$5-SUM(D$12:D13),SUMIF(TSource[Nom+Prénom],TVendredi[[#This Row],[NOM 2]],TSource[Places])-SUMIF(TVendredi[NOM 1],TVendredi[[#This Row],[NOM 2]],TVendredi[Nb 1])),0)</f>
        <v>0</v>
      </c>
      <c r="E14" s="121"/>
      <c r="F14" s="127">
        <f>SUMIF(TSource[Nom+Prénom],TVendredi[[#This Row],[NOM 4]],TSource[Places])</f>
        <v>0</v>
      </c>
      <c r="G14" s="121"/>
      <c r="H14" s="127">
        <f>IFERROR(VLOOKUP(TVendredi[[#This Row],[NOM 4]],TSource[[Nom+Prénom]:[Places]],2,FALSE),0)</f>
        <v>0</v>
      </c>
      <c r="I14" s="121"/>
      <c r="J14" s="127">
        <f>IFERROR(VLOOKUP(TVendredi[[#This Row],[NOM 5]],TSource[[Nom+Prénom]:[Places]],2,FALSE),0)</f>
        <v>0</v>
      </c>
      <c r="K14" s="121"/>
      <c r="L14" s="127">
        <f>IFERROR(VLOOKUP(TVendredi[[#This Row],[NOM 6]],TSource[[Nom+Prénom]:[Places]],2,FALSE),0)</f>
        <v>0</v>
      </c>
      <c r="M14" s="121"/>
      <c r="N14" s="127">
        <f>IFERROR(VLOOKUP(TVendredi[[#This Row],[NOM 7]],TSource[[Nom+Prénom]:[Places]],2,FALSE),0)</f>
        <v>0</v>
      </c>
      <c r="O14" s="121"/>
      <c r="P14" s="127">
        <f>IFERROR(VLOOKUP(TVendredi[[#This Row],[NOM 8]],TSource[[Nom+Prénom]:[Places]],2,FALSE),0)</f>
        <v>0</v>
      </c>
      <c r="Q14" s="121"/>
      <c r="R14" s="127">
        <f>IFERROR(VLOOKUP(TVendredi[[#This Row],[NOM 9]],TSource[[Nom+Prénom]:[Places]],2,FALSE),0)</f>
        <v>0</v>
      </c>
      <c r="S14" s="121"/>
      <c r="T14" s="127">
        <f>IFERROR(VLOOKUP(TVendredi[[#This Row],[NOM 10]],TSource[[Nom+Prénom]:[Places]],2,FALSE),0)</f>
        <v>0</v>
      </c>
      <c r="U14" s="121"/>
      <c r="V14" s="127">
        <f>IFERROR(VLOOKUP(TVendredi[[#This Row],[NOM 11]],TSource[[Nom+Prénom]:[Places]],2,FALSE),0)</f>
        <v>0</v>
      </c>
    </row>
    <row r="15" spans="1:22" x14ac:dyDescent="0.3">
      <c r="A15" s="121" t="s">
        <v>188</v>
      </c>
      <c r="B15" s="127">
        <f>IF(TVendredi[[#This Row],[NOM 1]]&lt;&gt;0,MIN($G$5-SUM(B$12:B14),SUMIF(TSource[Nom+Prénom],TVendredi[[#This Row],[NOM 1]],TSource[Places])),0)</f>
        <v>10</v>
      </c>
      <c r="C15" s="121"/>
      <c r="D15" s="127">
        <f>IF(TVendredi[[#This Row],[NOM 2]]&lt;&gt;0,MIN($G$5-SUM(D$12:D14),SUMIF(TSource[Nom+Prénom],TVendredi[[#This Row],[NOM 2]],TSource[Places])-SUMIF(TVendredi[NOM 1],TVendredi[[#This Row],[NOM 2]],TVendredi[Nb 1])),0)</f>
        <v>0</v>
      </c>
      <c r="E15" s="121"/>
      <c r="F15" s="127">
        <f>SUMIF(TSource[Nom+Prénom],TVendredi[[#This Row],[NOM 4]],TSource[Places])</f>
        <v>0</v>
      </c>
      <c r="G15" s="121"/>
      <c r="H15" s="127">
        <f>IFERROR(VLOOKUP(TVendredi[[#This Row],[NOM 4]],TSource[[Nom+Prénom]:[Places]],2,FALSE),0)</f>
        <v>0</v>
      </c>
      <c r="I15" s="121"/>
      <c r="J15" s="127">
        <f>IFERROR(VLOOKUP(TVendredi[[#This Row],[NOM 5]],TSource[[Nom+Prénom]:[Places]],2,FALSE),0)</f>
        <v>0</v>
      </c>
      <c r="K15" s="121"/>
      <c r="L15" s="127">
        <f>IFERROR(VLOOKUP(TVendredi[[#This Row],[NOM 6]],TSource[[Nom+Prénom]:[Places]],2,FALSE),0)</f>
        <v>0</v>
      </c>
      <c r="M15" s="121"/>
      <c r="N15" s="127">
        <f>IFERROR(VLOOKUP(TVendredi[[#This Row],[NOM 7]],TSource[[Nom+Prénom]:[Places]],2,FALSE),0)</f>
        <v>0</v>
      </c>
      <c r="O15" s="121"/>
      <c r="P15" s="127">
        <f>IFERROR(VLOOKUP(TVendredi[[#This Row],[NOM 8]],TSource[[Nom+Prénom]:[Places]],2,FALSE),0)</f>
        <v>0</v>
      </c>
      <c r="Q15" s="121"/>
      <c r="R15" s="127">
        <f>IFERROR(VLOOKUP(TVendredi[[#This Row],[NOM 9]],TSource[[Nom+Prénom]:[Places]],2,FALSE),0)</f>
        <v>0</v>
      </c>
      <c r="S15" s="121"/>
      <c r="T15" s="127">
        <f>IFERROR(VLOOKUP(TVendredi[[#This Row],[NOM 10]],TSource[[Nom+Prénom]:[Places]],2,FALSE),0)</f>
        <v>0</v>
      </c>
      <c r="U15" s="121"/>
      <c r="V15" s="127">
        <f>IFERROR(VLOOKUP(TVendredi[[#This Row],[NOM 11]],TSource[[Nom+Prénom]:[Places]],2,FALSE),0)</f>
        <v>0</v>
      </c>
    </row>
    <row r="16" spans="1:22" x14ac:dyDescent="0.3">
      <c r="A16" s="121" t="s">
        <v>191</v>
      </c>
      <c r="B16" s="127">
        <f>IF(TVendredi[[#This Row],[NOM 1]]&lt;&gt;0,MIN($G$5-SUM(B$12:B15),SUMIF(TSource[Nom+Prénom],TVendredi[[#This Row],[NOM 1]],TSource[Places])),0)</f>
        <v>2</v>
      </c>
      <c r="C16" s="121"/>
      <c r="D16" s="127">
        <f>IF(TVendredi[[#This Row],[NOM 2]]&lt;&gt;0,MIN($G$5-SUM(D$12:D15),SUMIF(TSource[Nom+Prénom],TVendredi[[#This Row],[NOM 2]],TSource[Places])-SUMIF(TVendredi[NOM 1],TVendredi[[#This Row],[NOM 2]],TVendredi[Nb 1])),0)</f>
        <v>0</v>
      </c>
      <c r="E16" s="121"/>
      <c r="F16" s="127">
        <f>SUMIF(TSource[Nom+Prénom],TVendredi[[#This Row],[NOM 4]],TSource[Places])</f>
        <v>0</v>
      </c>
      <c r="G16" s="121"/>
      <c r="H16" s="127">
        <f>IFERROR(VLOOKUP(TVendredi[[#This Row],[NOM 4]],TSource[[Nom+Prénom]:[Places]],2,FALSE),0)</f>
        <v>0</v>
      </c>
      <c r="I16" s="121"/>
      <c r="J16" s="127">
        <f>IFERROR(VLOOKUP(TVendredi[[#This Row],[NOM 5]],TSource[[Nom+Prénom]:[Places]],2,FALSE),0)</f>
        <v>0</v>
      </c>
      <c r="K16" s="121"/>
      <c r="L16" s="127">
        <f>IFERROR(VLOOKUP(TVendredi[[#This Row],[NOM 6]],TSource[[Nom+Prénom]:[Places]],2,FALSE),0)</f>
        <v>0</v>
      </c>
      <c r="M16" s="121"/>
      <c r="N16" s="127">
        <f>IFERROR(VLOOKUP(TVendredi[[#This Row],[NOM 7]],TSource[[Nom+Prénom]:[Places]],2,FALSE),0)</f>
        <v>0</v>
      </c>
      <c r="O16" s="121"/>
      <c r="P16" s="127">
        <f>IFERROR(VLOOKUP(TVendredi[[#This Row],[NOM 8]],TSource[[Nom+Prénom]:[Places]],2,FALSE),0)</f>
        <v>0</v>
      </c>
      <c r="Q16" s="121"/>
      <c r="R16" s="127">
        <f>IFERROR(VLOOKUP(TVendredi[[#This Row],[NOM 9]],TSource[[Nom+Prénom]:[Places]],2,FALSE),0)</f>
        <v>0</v>
      </c>
      <c r="S16" s="121"/>
      <c r="T16" s="127">
        <f>IFERROR(VLOOKUP(TVendredi[[#This Row],[NOM 10]],TSource[[Nom+Prénom]:[Places]],2,FALSE),0)</f>
        <v>0</v>
      </c>
      <c r="U16" s="121"/>
      <c r="V16" s="127">
        <f>IFERROR(VLOOKUP(TVendredi[[#This Row],[NOM 11]],TSource[[Nom+Prénom]:[Places]],2,FALSE),0)</f>
        <v>0</v>
      </c>
    </row>
    <row r="17" spans="1:22" x14ac:dyDescent="0.3">
      <c r="A17" s="121"/>
      <c r="B17" s="127">
        <f>IF(TVendredi[[#This Row],[NOM 1]]&lt;&gt;0,MIN($G$5-SUM(B$12:B16),SUMIF(TSource[Nom+Prénom],TVendredi[[#This Row],[NOM 1]],TSource[Places])),0)</f>
        <v>0</v>
      </c>
      <c r="C17" s="121"/>
      <c r="D17" s="127">
        <f>IF(TVendredi[[#This Row],[NOM 2]]&lt;&gt;0,MIN($G$5-SUM(D$12:D16),SUMIF(TSource[Nom+Prénom],TVendredi[[#This Row],[NOM 2]],TSource[Places])-SUMIF(TVendredi[NOM 1],TVendredi[[#This Row],[NOM 2]],TVendredi[Nb 1])),0)</f>
        <v>0</v>
      </c>
      <c r="E17" s="121"/>
      <c r="F17" s="127">
        <f>SUMIF(TSource[Nom+Prénom],TVendredi[[#This Row],[NOM 4]],TSource[Places])</f>
        <v>0</v>
      </c>
      <c r="G17" s="121"/>
      <c r="H17" s="127">
        <f>IFERROR(VLOOKUP(TVendredi[[#This Row],[NOM 4]],TSource[[Nom+Prénom]:[Places]],2,FALSE),0)</f>
        <v>0</v>
      </c>
      <c r="I17" s="121"/>
      <c r="J17" s="127">
        <f>IFERROR(VLOOKUP(TVendredi[[#This Row],[NOM 5]],TSource[[Nom+Prénom]:[Places]],2,FALSE),0)</f>
        <v>0</v>
      </c>
      <c r="K17" s="121"/>
      <c r="L17" s="127">
        <f>IFERROR(VLOOKUP(TVendredi[[#This Row],[NOM 6]],TSource[[Nom+Prénom]:[Places]],2,FALSE),0)</f>
        <v>0</v>
      </c>
      <c r="M17" s="121"/>
      <c r="N17" s="127">
        <f>IFERROR(VLOOKUP(TVendredi[[#This Row],[NOM 7]],TSource[[Nom+Prénom]:[Places]],2,FALSE),0)</f>
        <v>0</v>
      </c>
      <c r="O17" s="121"/>
      <c r="P17" s="127">
        <f>IFERROR(VLOOKUP(TVendredi[[#This Row],[NOM 8]],TSource[[Nom+Prénom]:[Places]],2,FALSE),0)</f>
        <v>0</v>
      </c>
      <c r="Q17" s="121"/>
      <c r="R17" s="127">
        <f>IFERROR(VLOOKUP(TVendredi[[#This Row],[NOM 9]],TSource[[Nom+Prénom]:[Places]],2,FALSE),0)</f>
        <v>0</v>
      </c>
      <c r="S17" s="121"/>
      <c r="T17" s="127">
        <f>IFERROR(VLOOKUP(TVendredi[[#This Row],[NOM 10]],TSource[[Nom+Prénom]:[Places]],2,FALSE),0)</f>
        <v>0</v>
      </c>
      <c r="U17" s="121"/>
      <c r="V17" s="127">
        <f>IFERROR(VLOOKUP(TVendredi[[#This Row],[NOM 11]],TSource[[Nom+Prénom]:[Places]],2,FALSE),0)</f>
        <v>0</v>
      </c>
    </row>
    <row r="18" spans="1:22" x14ac:dyDescent="0.3">
      <c r="A18" s="121"/>
      <c r="B18" s="127">
        <f>IF(TVendredi[[#This Row],[NOM 1]]&lt;&gt;0,MIN($G$5-SUM(B$12:B17),SUMIF(TSource[Nom+Prénom],TVendredi[[#This Row],[NOM 1]],TSource[Places])),0)</f>
        <v>0</v>
      </c>
      <c r="C18" s="121"/>
      <c r="D18" s="127">
        <f>IF(TVendredi[[#This Row],[NOM 2]]&lt;&gt;0,MIN($G$5-SUM(D$12:D17),SUMIF(TSource[Nom+Prénom],TVendredi[[#This Row],[NOM 2]],TSource[Places])-SUMIF(TVendredi[NOM 1],TVendredi[[#This Row],[NOM 2]],TVendredi[Nb 1])),0)</f>
        <v>0</v>
      </c>
      <c r="E18" s="121"/>
      <c r="F18" s="127">
        <f>SUMIF(TSource[Nom+Prénom],TVendredi[[#This Row],[NOM 4]],TSource[Places])</f>
        <v>0</v>
      </c>
      <c r="G18" s="121"/>
      <c r="H18" s="127">
        <f>IFERROR(VLOOKUP(TVendredi[[#This Row],[NOM 4]],TSource[[Nom+Prénom]:[Places]],2,FALSE),0)</f>
        <v>0</v>
      </c>
      <c r="I18" s="121"/>
      <c r="J18" s="127">
        <f>IFERROR(VLOOKUP(TVendredi[[#This Row],[NOM 5]],TSource[[Nom+Prénom]:[Places]],2,FALSE),0)</f>
        <v>0</v>
      </c>
      <c r="K18" s="121"/>
      <c r="L18" s="127">
        <f>IFERROR(VLOOKUP(TVendredi[[#This Row],[NOM 6]],TSource[[Nom+Prénom]:[Places]],2,FALSE),0)</f>
        <v>0</v>
      </c>
      <c r="M18" s="121"/>
      <c r="N18" s="127">
        <f>IFERROR(VLOOKUP(TVendredi[[#This Row],[NOM 7]],TSource[[Nom+Prénom]:[Places]],2,FALSE),0)</f>
        <v>0</v>
      </c>
      <c r="O18" s="121"/>
      <c r="P18" s="127">
        <f>IFERROR(VLOOKUP(TVendredi[[#This Row],[NOM 8]],TSource[[Nom+Prénom]:[Places]],2,FALSE),0)</f>
        <v>0</v>
      </c>
      <c r="Q18" s="121"/>
      <c r="R18" s="127">
        <f>IFERROR(VLOOKUP(TVendredi[[#This Row],[NOM 9]],TSource[[Nom+Prénom]:[Places]],2,FALSE),0)</f>
        <v>0</v>
      </c>
      <c r="S18" s="121"/>
      <c r="T18" s="127">
        <f>IFERROR(VLOOKUP(TVendredi[[#This Row],[NOM 10]],TSource[[Nom+Prénom]:[Places]],2,FALSE),0)</f>
        <v>0</v>
      </c>
      <c r="U18" s="121"/>
      <c r="V18" s="127">
        <f>IFERROR(VLOOKUP(TVendredi[[#This Row],[NOM 11]],TSource[[Nom+Prénom]:[Places]],2,FALSE),0)</f>
        <v>0</v>
      </c>
    </row>
    <row r="19" spans="1:22" x14ac:dyDescent="0.3">
      <c r="A19" s="121"/>
      <c r="B19" s="127">
        <f>IF(TVendredi[[#This Row],[NOM 1]]&lt;&gt;0,MIN($G$5-SUM(B$12:B18),SUMIF(TSource[Nom+Prénom],TVendredi[[#This Row],[NOM 1]],TSource[Places])),0)</f>
        <v>0</v>
      </c>
      <c r="C19" s="121"/>
      <c r="D19" s="127">
        <f>IF(TVendredi[[#This Row],[NOM 2]]&lt;&gt;0,MIN($G$5-SUM(D$12:D18),SUMIF(TSource[Nom+Prénom],TVendredi[[#This Row],[NOM 2]],TSource[Places])-SUMIF(TVendredi[NOM 1],TVendredi[[#This Row],[NOM 2]],TVendredi[Nb 1])),0)</f>
        <v>0</v>
      </c>
      <c r="E19" s="121"/>
      <c r="F19" s="127">
        <f>SUMIF(TSource[Nom+Prénom],TVendredi[[#This Row],[NOM 4]],TSource[Places])</f>
        <v>0</v>
      </c>
      <c r="G19" s="121"/>
      <c r="H19" s="127">
        <f>IFERROR(VLOOKUP(TVendredi[[#This Row],[NOM 4]],TSource[[Nom+Prénom]:[Places]],2,FALSE),0)</f>
        <v>0</v>
      </c>
      <c r="I19" s="121"/>
      <c r="J19" s="127">
        <f>IFERROR(VLOOKUP(TVendredi[[#This Row],[NOM 5]],TSource[[Nom+Prénom]:[Places]],2,FALSE),0)</f>
        <v>0</v>
      </c>
      <c r="K19" s="121"/>
      <c r="L19" s="127">
        <f>IFERROR(VLOOKUP(TVendredi[[#This Row],[NOM 6]],TSource[[Nom+Prénom]:[Places]],2,FALSE),0)</f>
        <v>0</v>
      </c>
      <c r="M19" s="121"/>
      <c r="N19" s="127">
        <f>IFERROR(VLOOKUP(TVendredi[[#This Row],[NOM 7]],TSource[[Nom+Prénom]:[Places]],2,FALSE),0)</f>
        <v>0</v>
      </c>
      <c r="O19" s="121"/>
      <c r="P19" s="127">
        <f>IFERROR(VLOOKUP(TVendredi[[#This Row],[NOM 8]],TSource[[Nom+Prénom]:[Places]],2,FALSE),0)</f>
        <v>0</v>
      </c>
      <c r="Q19" s="121"/>
      <c r="R19" s="127">
        <f>IFERROR(VLOOKUP(TVendredi[[#This Row],[NOM 9]],TSource[[Nom+Prénom]:[Places]],2,FALSE),0)</f>
        <v>0</v>
      </c>
      <c r="S19" s="121"/>
      <c r="T19" s="127">
        <f>IFERROR(VLOOKUP(TVendredi[[#This Row],[NOM 10]],TSource[[Nom+Prénom]:[Places]],2,FALSE),0)</f>
        <v>0</v>
      </c>
      <c r="U19" s="121"/>
      <c r="V19" s="127">
        <f>IFERROR(VLOOKUP(TVendredi[[#This Row],[NOM 11]],TSource[[Nom+Prénom]:[Places]],2,FALSE),0)</f>
        <v>0</v>
      </c>
    </row>
    <row r="20" spans="1:22" x14ac:dyDescent="0.3">
      <c r="A20" s="121"/>
      <c r="B20" s="127">
        <f>IF(TVendredi[[#This Row],[NOM 1]]&lt;&gt;0,MIN($G$5-SUM(B$12:B19),SUMIF(TSource[Nom+Prénom],TVendredi[[#This Row],[NOM 1]],TSource[Places])),0)</f>
        <v>0</v>
      </c>
      <c r="C20" s="121"/>
      <c r="D20" s="127">
        <f>IF(TVendredi[[#This Row],[NOM 2]]&lt;&gt;0,MIN($G$5-SUM(D$12:D19),SUMIF(TSource[Nom+Prénom],TVendredi[[#This Row],[NOM 2]],TSource[Places])-SUMIF(TVendredi[NOM 1],TVendredi[[#This Row],[NOM 2]],TVendredi[Nb 1])),0)</f>
        <v>0</v>
      </c>
      <c r="E20" s="121"/>
      <c r="F20" s="127">
        <f>SUMIF(TSource[Nom+Prénom],TVendredi[[#This Row],[NOM 4]],TSource[Places])</f>
        <v>0</v>
      </c>
      <c r="G20" s="121"/>
      <c r="H20" s="127">
        <f>IFERROR(VLOOKUP(TVendredi[[#This Row],[NOM 4]],TSource[[Nom+Prénom]:[Places]],2,FALSE),0)</f>
        <v>0</v>
      </c>
      <c r="I20" s="121"/>
      <c r="J20" s="127">
        <f>IFERROR(VLOOKUP(TVendredi[[#This Row],[NOM 5]],TSource[[Nom+Prénom]:[Places]],2,FALSE),0)</f>
        <v>0</v>
      </c>
      <c r="K20" s="121"/>
      <c r="L20" s="127">
        <f>IFERROR(VLOOKUP(TVendredi[[#This Row],[NOM 6]],TSource[[Nom+Prénom]:[Places]],2,FALSE),0)</f>
        <v>0</v>
      </c>
      <c r="M20" s="121"/>
      <c r="N20" s="127">
        <f>IFERROR(VLOOKUP(TVendredi[[#This Row],[NOM 7]],TSource[[Nom+Prénom]:[Places]],2,FALSE),0)</f>
        <v>0</v>
      </c>
      <c r="O20" s="121"/>
      <c r="P20" s="127">
        <f>IFERROR(VLOOKUP(TVendredi[[#This Row],[NOM 8]],TSource[[Nom+Prénom]:[Places]],2,FALSE),0)</f>
        <v>0</v>
      </c>
      <c r="Q20" s="121"/>
      <c r="R20" s="127">
        <f>IFERROR(VLOOKUP(TVendredi[[#This Row],[NOM 9]],TSource[[Nom+Prénom]:[Places]],2,FALSE),0)</f>
        <v>0</v>
      </c>
      <c r="S20" s="121"/>
      <c r="T20" s="127">
        <f>IFERROR(VLOOKUP(TVendredi[[#This Row],[NOM 10]],TSource[[Nom+Prénom]:[Places]],2,FALSE),0)</f>
        <v>0</v>
      </c>
      <c r="U20" s="121"/>
      <c r="V20" s="127">
        <f>IFERROR(VLOOKUP(TVendredi[[#This Row],[NOM 11]],TSource[[Nom+Prénom]:[Places]],2,FALSE),0)</f>
        <v>0</v>
      </c>
    </row>
    <row r="21" spans="1:22" ht="15" thickBot="1" x14ac:dyDescent="0.35">
      <c r="A21" s="121"/>
      <c r="B21" s="128">
        <f>IF(TVendredi[[#This Row],[NOM 1]]&lt;&gt;0,MIN($G$5-SUM(B$12:B20),SUMIF(TSource[Nom+Prénom],TVendredi[[#This Row],[NOM 1]],TSource[Places])),0)</f>
        <v>0</v>
      </c>
      <c r="C21" s="121"/>
      <c r="D21" s="128">
        <f>IF(TVendredi[[#This Row],[NOM 2]]&lt;&gt;0,MIN($G$5-SUM(D$12:D20),SUMIF(TSource[Nom+Prénom],TVendredi[[#This Row],[NOM 2]],TSource[Places])-SUMIF(TVendredi[NOM 1],TVendredi[[#This Row],[NOM 2]],TVendredi[Nb 1])),0)</f>
        <v>0</v>
      </c>
      <c r="E21" s="121"/>
      <c r="F21" s="128">
        <f>SUMIF(TSource[Nom+Prénom],TVendredi[[#This Row],[NOM 4]],TSource[Places])</f>
        <v>0</v>
      </c>
      <c r="G21" s="121"/>
      <c r="H21" s="128">
        <f>IFERROR(VLOOKUP(TVendredi[[#This Row],[NOM 4]],TSource[[Nom+Prénom]:[Places]],2,FALSE),0)</f>
        <v>0</v>
      </c>
      <c r="I21" s="121"/>
      <c r="J21" s="128">
        <f>IFERROR(VLOOKUP(TVendredi[[#This Row],[NOM 5]],TSource[[Nom+Prénom]:[Places]],2,FALSE),0)</f>
        <v>0</v>
      </c>
      <c r="K21" s="121"/>
      <c r="L21" s="128">
        <f>IFERROR(VLOOKUP(TVendredi[[#This Row],[NOM 6]],TSource[[Nom+Prénom]:[Places]],2,FALSE),0)</f>
        <v>0</v>
      </c>
      <c r="M21" s="121"/>
      <c r="N21" s="128">
        <f>IFERROR(VLOOKUP(TVendredi[[#This Row],[NOM 7]],TSource[[Nom+Prénom]:[Places]],2,FALSE),0)</f>
        <v>0</v>
      </c>
      <c r="O21" s="121"/>
      <c r="P21" s="128">
        <f>IFERROR(VLOOKUP(TVendredi[[#This Row],[NOM 8]],TSource[[Nom+Prénom]:[Places]],2,FALSE),0)</f>
        <v>0</v>
      </c>
      <c r="Q21" s="121"/>
      <c r="R21" s="128">
        <f>IFERROR(VLOOKUP(TVendredi[[#This Row],[NOM 9]],TSource[[Nom+Prénom]:[Places]],2,FALSE),0)</f>
        <v>0</v>
      </c>
      <c r="S21" s="121"/>
      <c r="T21" s="128">
        <f>IFERROR(VLOOKUP(TVendredi[[#This Row],[NOM 10]],TSource[[Nom+Prénom]:[Places]],2,FALSE),0)</f>
        <v>0</v>
      </c>
      <c r="U21" s="121"/>
      <c r="V21" s="128">
        <f>IFERROR(VLOOKUP(TVendredi[[#This Row],[NOM 11]],TSource[[Nom+Prénom]:[Places]],2,FALSE),0)</f>
        <v>0</v>
      </c>
    </row>
    <row r="22" spans="1:22" ht="29.4" thickBot="1" x14ac:dyDescent="0.35">
      <c r="A22" s="130" t="s">
        <v>43</v>
      </c>
      <c r="B22" s="133">
        <f>$G$5-SUM((B$13:B$21))</f>
        <v>0</v>
      </c>
      <c r="C22" s="130" t="s">
        <v>43</v>
      </c>
      <c r="D22" s="133">
        <f>$G$5-(D13+D14+D15+D16+D17+D18+D19+D20+D21)</f>
        <v>8</v>
      </c>
      <c r="E22" s="130" t="s">
        <v>43</v>
      </c>
      <c r="F22" s="133">
        <f>$G$5-(F13+F14+F15+F16+F17+F18+F19+F20+F21)</f>
        <v>16</v>
      </c>
      <c r="G22" s="130" t="s">
        <v>43</v>
      </c>
      <c r="H22" s="133">
        <f>$G$5-(H13+H14+H15+H16+H17+H18+H19+H20+H21)</f>
        <v>16</v>
      </c>
      <c r="I22" s="130" t="s">
        <v>43</v>
      </c>
      <c r="J22" s="133">
        <f>$G$5-(J13+J14+J15+J16+J17+J18+J19+J20+J21)</f>
        <v>16</v>
      </c>
      <c r="K22" s="130" t="s">
        <v>43</v>
      </c>
      <c r="L22" s="133">
        <f>$G$5-(L13+L14+L15+L16+L17+L18+L19+L20+L21)</f>
        <v>16</v>
      </c>
      <c r="M22" s="130" t="s">
        <v>43</v>
      </c>
      <c r="N22" s="133">
        <f>$G$5-(N13+N14+N15+N16+N17+N18+N19+N20+N21)</f>
        <v>16</v>
      </c>
      <c r="O22" s="130" t="s">
        <v>43</v>
      </c>
      <c r="P22" s="133">
        <f>$G$5-(P13+P14+P15+P16+P17+P18+P19+P20+P21)</f>
        <v>16</v>
      </c>
      <c r="Q22" s="130" t="s">
        <v>43</v>
      </c>
      <c r="R22" s="133">
        <f>$G$5-(R13+R14+R15+R16+R17+R18+R19+R20+R21)</f>
        <v>16</v>
      </c>
      <c r="S22" s="130" t="s">
        <v>43</v>
      </c>
      <c r="T22" s="133">
        <f>$G$5-(T13+T14+T15+T16+T17+T18+T19+T20+T21)</f>
        <v>16</v>
      </c>
      <c r="U22" s="130" t="s">
        <v>43</v>
      </c>
      <c r="V22" s="133">
        <f>$G$5-(V13+V14+V15+V16+V17+V18+V19+V20+V21)</f>
        <v>16</v>
      </c>
    </row>
    <row r="23" spans="1:22" ht="24" customHeight="1" thickBot="1" x14ac:dyDescent="0.35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</row>
    <row r="24" spans="1:22" ht="26.4" thickBot="1" x14ac:dyDescent="0.35">
      <c r="A24" s="169" t="s">
        <v>172</v>
      </c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  <c r="Q24" s="170"/>
      <c r="R24" s="170"/>
      <c r="S24" s="170"/>
      <c r="T24" s="170"/>
      <c r="U24" s="170"/>
      <c r="V24" s="171"/>
    </row>
    <row r="25" spans="1:22" ht="21.6" thickBot="1" x14ac:dyDescent="0.35">
      <c r="A25" s="165" t="s">
        <v>67</v>
      </c>
      <c r="B25" s="166"/>
      <c r="C25" s="165" t="s">
        <v>68</v>
      </c>
      <c r="D25" s="166"/>
      <c r="E25" s="165" t="s">
        <v>69</v>
      </c>
      <c r="F25" s="166"/>
      <c r="G25" s="165" t="s">
        <v>70</v>
      </c>
      <c r="H25" s="166"/>
      <c r="I25" s="165" t="s">
        <v>71</v>
      </c>
      <c r="J25" s="166"/>
      <c r="K25" s="165" t="s">
        <v>72</v>
      </c>
      <c r="L25" s="166"/>
      <c r="M25" s="165" t="s">
        <v>73</v>
      </c>
      <c r="N25" s="166"/>
      <c r="O25" s="165" t="s">
        <v>74</v>
      </c>
      <c r="P25" s="166"/>
      <c r="Q25" s="165" t="s">
        <v>75</v>
      </c>
      <c r="R25" s="166"/>
      <c r="S25" s="165" t="s">
        <v>76</v>
      </c>
      <c r="T25" s="166"/>
      <c r="U25" s="167" t="s">
        <v>77</v>
      </c>
      <c r="V25" s="168"/>
    </row>
    <row r="26" spans="1:22" s="120" customFormat="1" ht="30" customHeight="1" thickBot="1" x14ac:dyDescent="0.35">
      <c r="A26" s="131" t="s">
        <v>149</v>
      </c>
      <c r="B26" s="132" t="s">
        <v>150</v>
      </c>
      <c r="C26" s="131" t="s">
        <v>151</v>
      </c>
      <c r="D26" s="132" t="s">
        <v>152</v>
      </c>
      <c r="E26" s="131" t="s">
        <v>153</v>
      </c>
      <c r="F26" s="132" t="s">
        <v>154</v>
      </c>
      <c r="G26" s="131" t="s">
        <v>155</v>
      </c>
      <c r="H26" s="132" t="s">
        <v>156</v>
      </c>
      <c r="I26" s="131" t="s">
        <v>157</v>
      </c>
      <c r="J26" s="132" t="s">
        <v>158</v>
      </c>
      <c r="K26" s="131" t="s">
        <v>159</v>
      </c>
      <c r="L26" s="132" t="s">
        <v>160</v>
      </c>
      <c r="M26" s="131" t="s">
        <v>161</v>
      </c>
      <c r="N26" s="132" t="s">
        <v>162</v>
      </c>
      <c r="O26" s="131" t="s">
        <v>163</v>
      </c>
      <c r="P26" s="132" t="s">
        <v>164</v>
      </c>
      <c r="Q26" s="131" t="s">
        <v>165</v>
      </c>
      <c r="R26" s="132" t="s">
        <v>166</v>
      </c>
      <c r="S26" s="131" t="s">
        <v>167</v>
      </c>
      <c r="T26" s="132" t="s">
        <v>168</v>
      </c>
      <c r="U26" s="131" t="s">
        <v>169</v>
      </c>
      <c r="V26" s="132" t="s">
        <v>170</v>
      </c>
    </row>
    <row r="27" spans="1:22" x14ac:dyDescent="0.3">
      <c r="A27" s="121"/>
      <c r="B27" s="126">
        <f>IFERROR(VLOOKUP(Tableau88[[#This Row],[NOM 2]],TSource[[Nom+Prénom]:[Places]],2,FALSE),0)</f>
        <v>0</v>
      </c>
      <c r="C27" s="121"/>
      <c r="D27" s="126">
        <f>IFERROR(VLOOKUP(Tableau88[[#This Row],[NOM 3]],TSource[[Nom+Prénom]:[Places]],2,FALSE),0)</f>
        <v>0</v>
      </c>
      <c r="E27" s="121"/>
      <c r="F27" s="126">
        <f>IFERROR(VLOOKUP(Tableau88[[#This Row],[NOM 4]],TSource[[Nom+Prénom]:[Places]],2,FALSE),0)</f>
        <v>0</v>
      </c>
      <c r="G27" s="121"/>
      <c r="H27" s="126">
        <f>IFERROR(VLOOKUP(Tableau88[[#This Row],[NOM 5]],TSource[[Nom+Prénom]:[Places]],2,FALSE),0)</f>
        <v>0</v>
      </c>
      <c r="I27" s="121"/>
      <c r="J27" s="126">
        <f>IFERROR(VLOOKUP(Tableau88[[#This Row],[NOM 6]],TSource[[Nom+Prénom]:[Places]],2,FALSE),0)</f>
        <v>0</v>
      </c>
      <c r="K27" s="121"/>
      <c r="L27" s="126">
        <f>IFERROR(VLOOKUP(Tableau88[[#This Row],[NOM 7]],TSource[[Nom+Prénom]:[Places]],2,FALSE),0)</f>
        <v>0</v>
      </c>
      <c r="M27" s="121"/>
      <c r="N27" s="126">
        <f>IFERROR(VLOOKUP(Tableau88[[#This Row],[NOM 8]],TSource[[Nom+Prénom]:[Places]],2,FALSE),0)</f>
        <v>0</v>
      </c>
      <c r="O27" s="121"/>
      <c r="P27" s="126">
        <f>IFERROR(VLOOKUP(Tableau88[[#This Row],[NOM 9]],TSource[[Nom+Prénom]:[Places]],2,FALSE),0)</f>
        <v>0</v>
      </c>
      <c r="Q27" s="121"/>
      <c r="R27" s="126">
        <f>IFERROR(VLOOKUP(Tableau88[[#This Row],[NOM 10]],TSource[[Nom+Prénom]:[Places]],2,FALSE),0)</f>
        <v>0</v>
      </c>
      <c r="S27" s="121"/>
      <c r="T27" s="126">
        <f>IFERROR(VLOOKUP(Tableau88[[#This Row],[NOM 11]],TSource[[Nom+Prénom]:[Places]],2,FALSE),0)</f>
        <v>0</v>
      </c>
      <c r="U27" s="121"/>
      <c r="V27" s="126">
        <f>IFERROR(VLOOKUP(Tableau88[[#This Row],[NOM 12]],TSource[[Nom+Prénom]:[Places]],2,FALSE),0)</f>
        <v>0</v>
      </c>
    </row>
    <row r="28" spans="1:22" x14ac:dyDescent="0.3">
      <c r="A28" s="121"/>
      <c r="B28" s="127">
        <f>IFERROR(VLOOKUP(Tableau88[[#This Row],[NOM 2]],TSource[[Nom+Prénom]:[Places]],2,FALSE),0)</f>
        <v>0</v>
      </c>
      <c r="C28" s="121"/>
      <c r="D28" s="127">
        <f>IFERROR(VLOOKUP(Tableau88[[#This Row],[NOM 3]],TSource[[Nom+Prénom]:[Places]],2,FALSE),0)</f>
        <v>0</v>
      </c>
      <c r="E28" s="121"/>
      <c r="F28" s="127">
        <f>IFERROR(VLOOKUP(Tableau88[[#This Row],[NOM 4]],TSource[[Nom+Prénom]:[Places]],2,FALSE),0)</f>
        <v>0</v>
      </c>
      <c r="G28" s="121"/>
      <c r="H28" s="127">
        <f>IFERROR(VLOOKUP(Tableau88[[#This Row],[NOM 5]],TSource[[Nom+Prénom]:[Places]],2,FALSE),0)</f>
        <v>0</v>
      </c>
      <c r="I28" s="121"/>
      <c r="J28" s="127">
        <f>IFERROR(VLOOKUP(Tableau88[[#This Row],[NOM 6]],TSource[[Nom+Prénom]:[Places]],2,FALSE),0)</f>
        <v>0</v>
      </c>
      <c r="K28" s="121"/>
      <c r="L28" s="127">
        <f>IFERROR(VLOOKUP(Tableau88[[#This Row],[NOM 7]],TSource[[Nom+Prénom]:[Places]],2,FALSE),0)</f>
        <v>0</v>
      </c>
      <c r="M28" s="121"/>
      <c r="N28" s="127">
        <f>IFERROR(VLOOKUP(Tableau88[[#This Row],[NOM 8]],TSource[[Nom+Prénom]:[Places]],2,FALSE),0)</f>
        <v>0</v>
      </c>
      <c r="O28" s="121"/>
      <c r="P28" s="127">
        <f>IFERROR(VLOOKUP(Tableau88[[#This Row],[NOM 9]],TSource[[Nom+Prénom]:[Places]],2,FALSE),0)</f>
        <v>0</v>
      </c>
      <c r="Q28" s="121"/>
      <c r="R28" s="127">
        <f>IFERROR(VLOOKUP(Tableau88[[#This Row],[NOM 10]],TSource[[Nom+Prénom]:[Places]],2,FALSE),0)</f>
        <v>0</v>
      </c>
      <c r="S28" s="121"/>
      <c r="T28" s="127">
        <f>IFERROR(VLOOKUP(Tableau88[[#This Row],[NOM 11]],TSource[[Nom+Prénom]:[Places]],2,FALSE),0)</f>
        <v>0</v>
      </c>
      <c r="U28" s="121"/>
      <c r="V28" s="127">
        <f>IFERROR(VLOOKUP(Tableau88[[#This Row],[NOM 12]],TSource[[Nom+Prénom]:[Places]],2,FALSE),0)</f>
        <v>0</v>
      </c>
    </row>
    <row r="29" spans="1:22" x14ac:dyDescent="0.3">
      <c r="A29" s="121"/>
      <c r="B29" s="127">
        <f>IFERROR(VLOOKUP(Tableau88[[#This Row],[NOM 2]],TSource[[Nom+Prénom]:[Places]],2,FALSE),0)</f>
        <v>0</v>
      </c>
      <c r="C29" s="121"/>
      <c r="D29" s="127">
        <f>IFERROR(VLOOKUP(Tableau88[[#This Row],[NOM 3]],TSource[[Nom+Prénom]:[Places]],2,FALSE),0)</f>
        <v>0</v>
      </c>
      <c r="E29" s="121"/>
      <c r="F29" s="127">
        <f>IFERROR(VLOOKUP(Tableau88[[#This Row],[NOM 4]],TSource[[Nom+Prénom]:[Places]],2,FALSE),0)</f>
        <v>0</v>
      </c>
      <c r="G29" s="121"/>
      <c r="H29" s="127">
        <f>IFERROR(VLOOKUP(Tableau88[[#This Row],[NOM 5]],TSource[[Nom+Prénom]:[Places]],2,FALSE),0)</f>
        <v>0</v>
      </c>
      <c r="I29" s="121"/>
      <c r="J29" s="127">
        <f>IFERROR(VLOOKUP(Tableau88[[#This Row],[NOM 6]],TSource[[Nom+Prénom]:[Places]],2,FALSE),0)</f>
        <v>0</v>
      </c>
      <c r="K29" s="121"/>
      <c r="L29" s="127">
        <f>IFERROR(VLOOKUP(Tableau88[[#This Row],[NOM 7]],TSource[[Nom+Prénom]:[Places]],2,FALSE),0)</f>
        <v>0</v>
      </c>
      <c r="M29" s="121"/>
      <c r="N29" s="127">
        <f>IFERROR(VLOOKUP(Tableau88[[#This Row],[NOM 8]],TSource[[Nom+Prénom]:[Places]],2,FALSE),0)</f>
        <v>0</v>
      </c>
      <c r="O29" s="121"/>
      <c r="P29" s="127">
        <f>IFERROR(VLOOKUP(Tableau88[[#This Row],[NOM 9]],TSource[[Nom+Prénom]:[Places]],2,FALSE),0)</f>
        <v>0</v>
      </c>
      <c r="Q29" s="121"/>
      <c r="R29" s="127">
        <f>IFERROR(VLOOKUP(Tableau88[[#This Row],[NOM 10]],TSource[[Nom+Prénom]:[Places]],2,FALSE),0)</f>
        <v>0</v>
      </c>
      <c r="S29" s="121"/>
      <c r="T29" s="127">
        <f>IFERROR(VLOOKUP(Tableau88[[#This Row],[NOM 11]],TSource[[Nom+Prénom]:[Places]],2,FALSE),0)</f>
        <v>0</v>
      </c>
      <c r="U29" s="121"/>
      <c r="V29" s="127">
        <f>IFERROR(VLOOKUP(Tableau88[[#This Row],[NOM 12]],TSource[[Nom+Prénom]:[Places]],2,FALSE),0)</f>
        <v>0</v>
      </c>
    </row>
    <row r="30" spans="1:22" x14ac:dyDescent="0.3">
      <c r="A30" s="121"/>
      <c r="B30" s="127">
        <f>IFERROR(VLOOKUP(Tableau88[[#This Row],[NOM 2]],TSource[[Nom+Prénom]:[Places]],2,FALSE),0)</f>
        <v>0</v>
      </c>
      <c r="C30" s="121"/>
      <c r="D30" s="127">
        <f>IFERROR(VLOOKUP(Tableau88[[#This Row],[NOM 3]],TSource[[Nom+Prénom]:[Places]],2,FALSE),0)</f>
        <v>0</v>
      </c>
      <c r="E30" s="121"/>
      <c r="F30" s="127">
        <f>IFERROR(VLOOKUP(Tableau88[[#This Row],[NOM 4]],TSource[[Nom+Prénom]:[Places]],2,FALSE),0)</f>
        <v>0</v>
      </c>
      <c r="G30" s="121"/>
      <c r="H30" s="127">
        <f>IFERROR(VLOOKUP(Tableau88[[#This Row],[NOM 5]],TSource[[Nom+Prénom]:[Places]],2,FALSE),0)</f>
        <v>0</v>
      </c>
      <c r="I30" s="121"/>
      <c r="J30" s="127">
        <f>IFERROR(VLOOKUP(Tableau88[[#This Row],[NOM 6]],TSource[[Nom+Prénom]:[Places]],2,FALSE),0)</f>
        <v>0</v>
      </c>
      <c r="K30" s="121"/>
      <c r="L30" s="127">
        <f>IFERROR(VLOOKUP(Tableau88[[#This Row],[NOM 7]],TSource[[Nom+Prénom]:[Places]],2,FALSE),0)</f>
        <v>0</v>
      </c>
      <c r="M30" s="121"/>
      <c r="N30" s="127">
        <f>IFERROR(VLOOKUP(Tableau88[[#This Row],[NOM 8]],TSource[[Nom+Prénom]:[Places]],2,FALSE),0)</f>
        <v>0</v>
      </c>
      <c r="O30" s="121"/>
      <c r="P30" s="127">
        <f>IFERROR(VLOOKUP(Tableau88[[#This Row],[NOM 9]],TSource[[Nom+Prénom]:[Places]],2,FALSE),0)</f>
        <v>0</v>
      </c>
      <c r="Q30" s="121"/>
      <c r="R30" s="127">
        <f>IFERROR(VLOOKUP(Tableau88[[#This Row],[NOM 10]],TSource[[Nom+Prénom]:[Places]],2,FALSE),0)</f>
        <v>0</v>
      </c>
      <c r="S30" s="121"/>
      <c r="T30" s="127">
        <f>IFERROR(VLOOKUP(Tableau88[[#This Row],[NOM 11]],TSource[[Nom+Prénom]:[Places]],2,FALSE),0)</f>
        <v>0</v>
      </c>
      <c r="U30" s="121"/>
      <c r="V30" s="127">
        <f>IFERROR(VLOOKUP(Tableau88[[#This Row],[NOM 12]],TSource[[Nom+Prénom]:[Places]],2,FALSE),0)</f>
        <v>0</v>
      </c>
    </row>
    <row r="31" spans="1:22" x14ac:dyDescent="0.3">
      <c r="A31" s="121"/>
      <c r="B31" s="127">
        <f>IFERROR(VLOOKUP(Tableau88[[#This Row],[NOM 2]],TSource[[Nom+Prénom]:[Places]],2,FALSE),0)</f>
        <v>0</v>
      </c>
      <c r="C31" s="121"/>
      <c r="D31" s="127">
        <f>IFERROR(VLOOKUP(Tableau88[[#This Row],[NOM 3]],TSource[[Nom+Prénom]:[Places]],2,FALSE),0)</f>
        <v>0</v>
      </c>
      <c r="E31" s="121"/>
      <c r="F31" s="127">
        <f>IFERROR(VLOOKUP(Tableau88[[#This Row],[NOM 4]],TSource[[Nom+Prénom]:[Places]],2,FALSE),0)</f>
        <v>0</v>
      </c>
      <c r="G31" s="121"/>
      <c r="H31" s="127">
        <f>IFERROR(VLOOKUP(Tableau88[[#This Row],[NOM 5]],TSource[[Nom+Prénom]:[Places]],2,FALSE),0)</f>
        <v>0</v>
      </c>
      <c r="I31" s="121"/>
      <c r="J31" s="127">
        <f>IFERROR(VLOOKUP(Tableau88[[#This Row],[NOM 6]],TSource[[Nom+Prénom]:[Places]],2,FALSE),0)</f>
        <v>0</v>
      </c>
      <c r="K31" s="121"/>
      <c r="L31" s="127">
        <f>IFERROR(VLOOKUP(Tableau88[[#This Row],[NOM 7]],TSource[[Nom+Prénom]:[Places]],2,FALSE),0)</f>
        <v>0</v>
      </c>
      <c r="M31" s="121"/>
      <c r="N31" s="127">
        <f>IFERROR(VLOOKUP(Tableau88[[#This Row],[NOM 8]],TSource[[Nom+Prénom]:[Places]],2,FALSE),0)</f>
        <v>0</v>
      </c>
      <c r="O31" s="121"/>
      <c r="P31" s="127">
        <f>IFERROR(VLOOKUP(Tableau88[[#This Row],[NOM 9]],TSource[[Nom+Prénom]:[Places]],2,FALSE),0)</f>
        <v>0</v>
      </c>
      <c r="Q31" s="121"/>
      <c r="R31" s="127">
        <f>IFERROR(VLOOKUP(Tableau88[[#This Row],[NOM 10]],TSource[[Nom+Prénom]:[Places]],2,FALSE),0)</f>
        <v>0</v>
      </c>
      <c r="S31" s="121"/>
      <c r="T31" s="127">
        <f>IFERROR(VLOOKUP(Tableau88[[#This Row],[NOM 11]],TSource[[Nom+Prénom]:[Places]],2,FALSE),0)</f>
        <v>0</v>
      </c>
      <c r="U31" s="121"/>
      <c r="V31" s="127">
        <f>IFERROR(VLOOKUP(Tableau88[[#This Row],[NOM 12]],TSource[[Nom+Prénom]:[Places]],2,FALSE),0)</f>
        <v>0</v>
      </c>
    </row>
    <row r="32" spans="1:22" x14ac:dyDescent="0.3">
      <c r="A32" s="121"/>
      <c r="B32" s="127">
        <f>IFERROR(VLOOKUP(Tableau88[[#This Row],[NOM 2]],TSource[[Nom+Prénom]:[Places]],2,FALSE),0)</f>
        <v>0</v>
      </c>
      <c r="C32" s="121"/>
      <c r="D32" s="127">
        <f>IFERROR(VLOOKUP(Tableau88[[#This Row],[NOM 3]],TSource[[Nom+Prénom]:[Places]],2,FALSE),0)</f>
        <v>0</v>
      </c>
      <c r="E32" s="121"/>
      <c r="F32" s="127">
        <f>IFERROR(VLOOKUP(Tableau88[[#This Row],[NOM 4]],TSource[[Nom+Prénom]:[Places]],2,FALSE),0)</f>
        <v>0</v>
      </c>
      <c r="G32" s="121"/>
      <c r="H32" s="127">
        <f>IFERROR(VLOOKUP(Tableau88[[#This Row],[NOM 5]],TSource[[Nom+Prénom]:[Places]],2,FALSE),0)</f>
        <v>0</v>
      </c>
      <c r="I32" s="121"/>
      <c r="J32" s="127">
        <f>IFERROR(VLOOKUP(Tableau88[[#This Row],[NOM 6]],TSource[[Nom+Prénom]:[Places]],2,FALSE),0)</f>
        <v>0</v>
      </c>
      <c r="K32" s="121"/>
      <c r="L32" s="127">
        <f>IFERROR(VLOOKUP(Tableau88[[#This Row],[NOM 7]],TSource[[Nom+Prénom]:[Places]],2,FALSE),0)</f>
        <v>0</v>
      </c>
      <c r="M32" s="121"/>
      <c r="N32" s="127">
        <f>IFERROR(VLOOKUP(Tableau88[[#This Row],[NOM 8]],TSource[[Nom+Prénom]:[Places]],2,FALSE),0)</f>
        <v>0</v>
      </c>
      <c r="O32" s="121"/>
      <c r="P32" s="127">
        <f>IFERROR(VLOOKUP(Tableau88[[#This Row],[NOM 9]],TSource[[Nom+Prénom]:[Places]],2,FALSE),0)</f>
        <v>0</v>
      </c>
      <c r="Q32" s="121"/>
      <c r="R32" s="127">
        <f>IFERROR(VLOOKUP(Tableau88[[#This Row],[NOM 10]],TSource[[Nom+Prénom]:[Places]],2,FALSE),0)</f>
        <v>0</v>
      </c>
      <c r="S32" s="121"/>
      <c r="T32" s="127">
        <f>IFERROR(VLOOKUP(Tableau88[[#This Row],[NOM 11]],TSource[[Nom+Prénom]:[Places]],2,FALSE),0)</f>
        <v>0</v>
      </c>
      <c r="U32" s="121"/>
      <c r="V32" s="127">
        <f>IFERROR(VLOOKUP(Tableau88[[#This Row],[NOM 12]],TSource[[Nom+Prénom]:[Places]],2,FALSE),0)</f>
        <v>0</v>
      </c>
    </row>
    <row r="33" spans="1:22" x14ac:dyDescent="0.3">
      <c r="A33" s="121"/>
      <c r="B33" s="127">
        <f>IFERROR(VLOOKUP(Tableau88[[#This Row],[NOM 2]],TSource[[Nom+Prénom]:[Places]],2,FALSE),0)</f>
        <v>0</v>
      </c>
      <c r="C33" s="121"/>
      <c r="D33" s="127">
        <f>IFERROR(VLOOKUP(Tableau88[[#This Row],[NOM 3]],TSource[[Nom+Prénom]:[Places]],2,FALSE),0)</f>
        <v>0</v>
      </c>
      <c r="E33" s="121"/>
      <c r="F33" s="127">
        <f>IFERROR(VLOOKUP(Tableau88[[#This Row],[NOM 4]],TSource[[Nom+Prénom]:[Places]],2,FALSE),0)</f>
        <v>0</v>
      </c>
      <c r="G33" s="121"/>
      <c r="H33" s="127">
        <f>IFERROR(VLOOKUP(Tableau88[[#This Row],[NOM 5]],TSource[[Nom+Prénom]:[Places]],2,FALSE),0)</f>
        <v>0</v>
      </c>
      <c r="I33" s="121"/>
      <c r="J33" s="127">
        <f>IFERROR(VLOOKUP(Tableau88[[#This Row],[NOM 6]],TSource[[Nom+Prénom]:[Places]],2,FALSE),0)</f>
        <v>0</v>
      </c>
      <c r="K33" s="121"/>
      <c r="L33" s="127">
        <f>IFERROR(VLOOKUP(Tableau88[[#This Row],[NOM 7]],TSource[[Nom+Prénom]:[Places]],2,FALSE),0)</f>
        <v>0</v>
      </c>
      <c r="M33" s="121"/>
      <c r="N33" s="127">
        <f>IFERROR(VLOOKUP(Tableau88[[#This Row],[NOM 8]],TSource[[Nom+Prénom]:[Places]],2,FALSE),0)</f>
        <v>0</v>
      </c>
      <c r="O33" s="121"/>
      <c r="P33" s="127">
        <f>IFERROR(VLOOKUP(Tableau88[[#This Row],[NOM 9]],TSource[[Nom+Prénom]:[Places]],2,FALSE),0)</f>
        <v>0</v>
      </c>
      <c r="Q33" s="121"/>
      <c r="R33" s="127">
        <f>IFERROR(VLOOKUP(Tableau88[[#This Row],[NOM 10]],TSource[[Nom+Prénom]:[Places]],2,FALSE),0)</f>
        <v>0</v>
      </c>
      <c r="S33" s="121"/>
      <c r="T33" s="127">
        <f>IFERROR(VLOOKUP(Tableau88[[#This Row],[NOM 11]],TSource[[Nom+Prénom]:[Places]],2,FALSE),0)</f>
        <v>0</v>
      </c>
      <c r="U33" s="121"/>
      <c r="V33" s="127">
        <f>IFERROR(VLOOKUP(Tableau88[[#This Row],[NOM 12]],TSource[[Nom+Prénom]:[Places]],2,FALSE),0)</f>
        <v>0</v>
      </c>
    </row>
    <row r="34" spans="1:22" x14ac:dyDescent="0.3">
      <c r="A34" s="121"/>
      <c r="B34" s="127">
        <f>IFERROR(VLOOKUP(Tableau88[[#This Row],[NOM 2]],TSource[[Nom+Prénom]:[Places]],2,FALSE),0)</f>
        <v>0</v>
      </c>
      <c r="C34" s="121"/>
      <c r="D34" s="127">
        <f>IFERROR(VLOOKUP(Tableau88[[#This Row],[NOM 3]],TSource[[Nom+Prénom]:[Places]],2,FALSE),0)</f>
        <v>0</v>
      </c>
      <c r="E34" s="121"/>
      <c r="F34" s="127">
        <f>IFERROR(VLOOKUP(Tableau88[[#This Row],[NOM 4]],TSource[[Nom+Prénom]:[Places]],2,FALSE),0)</f>
        <v>0</v>
      </c>
      <c r="G34" s="121"/>
      <c r="H34" s="127">
        <f>IFERROR(VLOOKUP(Tableau88[[#This Row],[NOM 5]],TSource[[Nom+Prénom]:[Places]],2,FALSE),0)</f>
        <v>0</v>
      </c>
      <c r="I34" s="121"/>
      <c r="J34" s="127">
        <f>IFERROR(VLOOKUP(Tableau88[[#This Row],[NOM 6]],TSource[[Nom+Prénom]:[Places]],2,FALSE),0)</f>
        <v>0</v>
      </c>
      <c r="K34" s="121"/>
      <c r="L34" s="127">
        <f>IFERROR(VLOOKUP(Tableau88[[#This Row],[NOM 7]],TSource[[Nom+Prénom]:[Places]],2,FALSE),0)</f>
        <v>0</v>
      </c>
      <c r="M34" s="121"/>
      <c r="N34" s="127">
        <f>IFERROR(VLOOKUP(Tableau88[[#This Row],[NOM 8]],TSource[[Nom+Prénom]:[Places]],2,FALSE),0)</f>
        <v>0</v>
      </c>
      <c r="O34" s="121"/>
      <c r="P34" s="127">
        <f>IFERROR(VLOOKUP(Tableau88[[#This Row],[NOM 9]],TSource[[Nom+Prénom]:[Places]],2,FALSE),0)</f>
        <v>0</v>
      </c>
      <c r="Q34" s="121"/>
      <c r="R34" s="127">
        <f>IFERROR(VLOOKUP(Tableau88[[#This Row],[NOM 10]],TSource[[Nom+Prénom]:[Places]],2,FALSE),0)</f>
        <v>0</v>
      </c>
      <c r="S34" s="121"/>
      <c r="T34" s="127">
        <f>IFERROR(VLOOKUP(Tableau88[[#This Row],[NOM 11]],TSource[[Nom+Prénom]:[Places]],2,FALSE),0)</f>
        <v>0</v>
      </c>
      <c r="U34" s="121"/>
      <c r="V34" s="127">
        <f>IFERROR(VLOOKUP(Tableau88[[#This Row],[NOM 12]],TSource[[Nom+Prénom]:[Places]],2,FALSE),0)</f>
        <v>0</v>
      </c>
    </row>
    <row r="35" spans="1:22" ht="15" thickBot="1" x14ac:dyDescent="0.35">
      <c r="A35" s="121"/>
      <c r="B35" s="128">
        <f>IFERROR(VLOOKUP(Tableau88[[#This Row],[NOM 2]],TSource[[Nom+Prénom]:[Places]],2,FALSE),0)</f>
        <v>0</v>
      </c>
      <c r="C35" s="121"/>
      <c r="D35" s="128">
        <f>IFERROR(VLOOKUP(Tableau88[[#This Row],[NOM 3]],TSource[[Nom+Prénom]:[Places]],2,FALSE),0)</f>
        <v>0</v>
      </c>
      <c r="E35" s="121"/>
      <c r="F35" s="128">
        <f>IFERROR(VLOOKUP(Tableau88[[#This Row],[NOM 4]],TSource[[Nom+Prénom]:[Places]],2,FALSE),0)</f>
        <v>0</v>
      </c>
      <c r="G35" s="121"/>
      <c r="H35" s="128">
        <f>IFERROR(VLOOKUP(Tableau88[[#This Row],[NOM 5]],TSource[[Nom+Prénom]:[Places]],2,FALSE),0)</f>
        <v>0</v>
      </c>
      <c r="I35" s="121"/>
      <c r="J35" s="128">
        <f>IFERROR(VLOOKUP(Tableau88[[#This Row],[NOM 6]],TSource[[Nom+Prénom]:[Places]],2,FALSE),0)</f>
        <v>0</v>
      </c>
      <c r="K35" s="121"/>
      <c r="L35" s="128">
        <f>IFERROR(VLOOKUP(Tableau88[[#This Row],[NOM 7]],TSource[[Nom+Prénom]:[Places]],2,FALSE),0)</f>
        <v>0</v>
      </c>
      <c r="M35" s="121"/>
      <c r="N35" s="128">
        <f>IFERROR(VLOOKUP(Tableau88[[#This Row],[NOM 8]],TSource[[Nom+Prénom]:[Places]],2,FALSE),0)</f>
        <v>0</v>
      </c>
      <c r="O35" s="121"/>
      <c r="P35" s="128">
        <f>IFERROR(VLOOKUP(Tableau88[[#This Row],[NOM 9]],TSource[[Nom+Prénom]:[Places]],2,FALSE),0)</f>
        <v>0</v>
      </c>
      <c r="Q35" s="121"/>
      <c r="R35" s="128">
        <f>IFERROR(VLOOKUP(Tableau88[[#This Row],[NOM 10]],TSource[[Nom+Prénom]:[Places]],2,FALSE),0)</f>
        <v>0</v>
      </c>
      <c r="S35" s="121"/>
      <c r="T35" s="128">
        <f>IFERROR(VLOOKUP(Tableau88[[#This Row],[NOM 11]],TSource[[Nom+Prénom]:[Places]],2,FALSE),0)</f>
        <v>0</v>
      </c>
      <c r="U35" s="121"/>
      <c r="V35" s="128">
        <f>IFERROR(VLOOKUP(Tableau88[[#This Row],[NOM 12]],TSource[[Nom+Prénom]:[Places]],2,FALSE),0)</f>
        <v>0</v>
      </c>
    </row>
    <row r="36" spans="1:22" ht="29.4" thickBot="1" x14ac:dyDescent="0.35">
      <c r="A36" s="130" t="s">
        <v>43</v>
      </c>
      <c r="B36" s="133">
        <f>$G$5-(B27+B28+B29+B30+B31+B32+B33+B34+B35)</f>
        <v>16</v>
      </c>
      <c r="C36" s="130" t="s">
        <v>43</v>
      </c>
      <c r="D36" s="133">
        <f>$G$5-(D27+D28+D29+D30+D31+D32+D33+D34+D35)</f>
        <v>16</v>
      </c>
      <c r="E36" s="130" t="s">
        <v>43</v>
      </c>
      <c r="F36" s="133">
        <f>$G$5-(F27+F28+F29+F30+F31+F32+F33+F34+F35)</f>
        <v>16</v>
      </c>
      <c r="G36" s="130" t="s">
        <v>43</v>
      </c>
      <c r="H36" s="133">
        <f>$G$5-(H27+H28+H29+H30+H31+H32+H33+H34+H35)</f>
        <v>16</v>
      </c>
      <c r="I36" s="130" t="s">
        <v>43</v>
      </c>
      <c r="J36" s="133">
        <f>$G$5-(J27+J28+J29+J30+J31+J32+J33+J34+J35)</f>
        <v>16</v>
      </c>
      <c r="K36" s="130" t="s">
        <v>43</v>
      </c>
      <c r="L36" s="133">
        <f>$G$5-(L27+L28+L29+L30+L31+L32+L33+L34+L35)</f>
        <v>16</v>
      </c>
      <c r="M36" s="130" t="s">
        <v>43</v>
      </c>
      <c r="N36" s="133">
        <f>$G$5-(N27+N28+N29+N30+N31+N32+N33+N34+N35)</f>
        <v>16</v>
      </c>
      <c r="O36" s="130" t="s">
        <v>43</v>
      </c>
      <c r="P36" s="133">
        <f>$G$5-(P27+P28+P29+P30+P31+P32+P33+P34+P35)</f>
        <v>16</v>
      </c>
      <c r="Q36" s="130" t="s">
        <v>43</v>
      </c>
      <c r="R36" s="133">
        <f>$G$5-(R27+R28+R29+R30+R31+R32+R33+R34+R35)</f>
        <v>16</v>
      </c>
      <c r="S36" s="130" t="s">
        <v>43</v>
      </c>
      <c r="T36" s="133">
        <f>$G$5-(T27+T28+T29+T30+T31+T32+T33+T34+T35)</f>
        <v>16</v>
      </c>
      <c r="U36" s="130" t="s">
        <v>43</v>
      </c>
      <c r="V36" s="133">
        <f>$G$5-(V27+V28+V29+V30+V31+V32+V33+V34+V35)</f>
        <v>16</v>
      </c>
    </row>
    <row r="37" spans="1:22" ht="15.6" x14ac:dyDescent="0.3">
      <c r="A37" s="125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</row>
    <row r="38" spans="1:22" ht="15" thickBot="1" x14ac:dyDescent="0.35">
      <c r="A38" s="73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</row>
    <row r="39" spans="1:22" ht="98.25" customHeight="1" thickBot="1" x14ac:dyDescent="0.35">
      <c r="A39" s="73"/>
      <c r="B39" s="73"/>
      <c r="C39" s="73"/>
      <c r="D39" s="73"/>
      <c r="E39" s="183" t="s">
        <v>78</v>
      </c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5"/>
      <c r="R39" s="74"/>
      <c r="S39" s="73"/>
      <c r="T39" s="73"/>
      <c r="U39" s="75"/>
      <c r="V39" s="75"/>
    </row>
  </sheetData>
  <mergeCells count="42">
    <mergeCell ref="U11:V11"/>
    <mergeCell ref="J5:K5"/>
    <mergeCell ref="L2:M2"/>
    <mergeCell ref="L3:M3"/>
    <mergeCell ref="L4:M4"/>
    <mergeCell ref="K11:L11"/>
    <mergeCell ref="M11:N11"/>
    <mergeCell ref="O11:P11"/>
    <mergeCell ref="A8:J8"/>
    <mergeCell ref="K8:V8"/>
    <mergeCell ref="A10:V10"/>
    <mergeCell ref="A11:B11"/>
    <mergeCell ref="C11:D11"/>
    <mergeCell ref="E11:F11"/>
    <mergeCell ref="G11:H11"/>
    <mergeCell ref="I11:J11"/>
    <mergeCell ref="E39:Q39"/>
    <mergeCell ref="A25:B25"/>
    <mergeCell ref="C25:D25"/>
    <mergeCell ref="E25:F25"/>
    <mergeCell ref="G25:H25"/>
    <mergeCell ref="I25:J25"/>
    <mergeCell ref="K25:L25"/>
    <mergeCell ref="M25:N25"/>
    <mergeCell ref="O25:P25"/>
    <mergeCell ref="Q25:R25"/>
    <mergeCell ref="S25:T25"/>
    <mergeCell ref="U25:V25"/>
    <mergeCell ref="A24:V24"/>
    <mergeCell ref="H1:I1"/>
    <mergeCell ref="H5:I5"/>
    <mergeCell ref="J1:K1"/>
    <mergeCell ref="L1:M1"/>
    <mergeCell ref="L5:M5"/>
    <mergeCell ref="H2:I2"/>
    <mergeCell ref="H3:I3"/>
    <mergeCell ref="H4:I4"/>
    <mergeCell ref="J2:K2"/>
    <mergeCell ref="J3:K3"/>
    <mergeCell ref="J4:K4"/>
    <mergeCell ref="Q11:R11"/>
    <mergeCell ref="S11:T11"/>
  </mergeCells>
  <phoneticPr fontId="9" type="noConversion"/>
  <conditionalFormatting sqref="B22 D22 F22 H22 J22 L22 N22 P22 R22 T22 V22">
    <cfRule type="cellIs" dxfId="80" priority="10" operator="lessThanOrEqual">
      <formula>0</formula>
    </cfRule>
  </conditionalFormatting>
  <conditionalFormatting sqref="A13:A21 C13:C21 E13:E21 G13:G21 I13:I21 K13:K21 M13:M21 O13:O21 Q13:Q21 S13:S21 U13:U21">
    <cfRule type="notContainsBlanks" dxfId="79" priority="7">
      <formula>LEN(TRIM(A13))&gt;0</formula>
    </cfRule>
    <cfRule type="containsBlanks" dxfId="78" priority="8">
      <formula>LEN(TRIM(A13))=0</formula>
    </cfRule>
  </conditionalFormatting>
  <conditionalFormatting sqref="B36 D36 F36 H36 J36 L36 N36 P36 R36 T36 V36">
    <cfRule type="cellIs" dxfId="77" priority="6" operator="equal">
      <formula>0</formula>
    </cfRule>
  </conditionalFormatting>
  <conditionalFormatting sqref="A27:A35 C27:C35 E27:E35 G27:G35 I27:I35 K27:K35 M27:M35 O27:O35 Q27:Q35 S27:S35 U27:U35">
    <cfRule type="notContainsBlanks" dxfId="76" priority="4">
      <formula>LEN(TRIM(A27))&gt;0</formula>
    </cfRule>
    <cfRule type="containsBlanks" dxfId="75" priority="5">
      <formula>LEN(TRIM(A27))=0</formula>
    </cfRule>
  </conditionalFormatting>
  <conditionalFormatting sqref="A27:A35 C27:C35 E27:E35 G27:G35 I27:I35 K27:K35 M27:M35 O27:O35 Q27:Q35 S27:S35 U27:U35 A13:A21 C13:C21 E13:E21 G13:G21 I13:I21 K13:K21 M13:M21 O13:O21 Q13:Q21 S13:S21 U13:U21">
    <cfRule type="duplicateValues" dxfId="74" priority="3"/>
  </conditionalFormatting>
  <conditionalFormatting sqref="J5:M5">
    <cfRule type="colorScale" priority="2">
      <colorScale>
        <cfvo type="num" val="10"/>
        <cfvo type="num" val="50"/>
        <cfvo type="num" val="60"/>
        <color rgb="FFFF0000"/>
        <color rgb="FFFFC000"/>
        <color rgb="FF00B050"/>
      </colorScale>
    </cfRule>
  </conditionalFormatting>
  <conditionalFormatting sqref="O5:P5">
    <cfRule type="colorScale" priority="1">
      <colorScale>
        <cfvo type="min"/>
        <cfvo type="max"/>
        <color rgb="FFFF0000"/>
        <color rgb="FF00B050"/>
      </colorScale>
    </cfRule>
  </conditionalFormatting>
  <dataValidations count="2">
    <dataValidation type="list" allowBlank="1" showInputMessage="1" showErrorMessage="1" sqref="E13 E14:E21 U27:U35 G13:G21 I13:I21 K13:K21 M13:M21 O13:O21 Q13:Q21 S13:S21 U13:U21 A27:A35 C27:C35 E27:E35 G27:G35 I27:I35 K27:K35 M27:M35 O27:O35 Q27:Q35 S27:S35" xr:uid="{00000000-0002-0000-0300-000000000000}">
      <formula1>NomPren</formula1>
    </dataValidation>
    <dataValidation type="list" allowBlank="1" showInputMessage="1" showErrorMessage="1" sqref="A13:A21 C13:C21" xr:uid="{677C0DCD-2905-4B78-9FE9-31D9854AFB0A}">
      <formula1>Non_Placés</formula1>
    </dataValidation>
  </dataValidations>
  <hyperlinks>
    <hyperlink ref="G7" r:id="rId1" xr:uid="{767493D1-717B-44BA-BC42-38EC75D7DE25}"/>
  </hyperlinks>
  <pageMargins left="0.7" right="0.7" top="0.75" bottom="0.75" header="0.3" footer="0.3"/>
  <pageSetup paperSize="9" orientation="portrait" r:id="rId2"/>
  <drawing r:id="rId3"/>
  <tableParts count="2"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K12"/>
  <sheetViews>
    <sheetView workbookViewId="0">
      <selection activeCell="A5" sqref="A5"/>
    </sheetView>
  </sheetViews>
  <sheetFormatPr baseColWidth="10" defaultRowHeight="14.4" x14ac:dyDescent="0.3"/>
  <cols>
    <col min="1" max="1" width="21" bestFit="1" customWidth="1"/>
    <col min="2" max="2" width="22.44140625" bestFit="1" customWidth="1"/>
    <col min="3" max="3" width="11" bestFit="1" customWidth="1"/>
    <col min="4" max="4" width="21" bestFit="1" customWidth="1"/>
    <col min="5" max="5" width="22.44140625" bestFit="1" customWidth="1"/>
    <col min="6" max="6" width="16.109375" bestFit="1" customWidth="1"/>
    <col min="7" max="7" width="21" bestFit="1" customWidth="1"/>
    <col min="8" max="8" width="22.44140625" bestFit="1" customWidth="1"/>
    <col min="9" max="9" width="16.44140625" bestFit="1" customWidth="1"/>
    <col min="10" max="10" width="21" bestFit="1" customWidth="1"/>
    <col min="11" max="11" width="22.44140625" bestFit="1" customWidth="1"/>
    <col min="12" max="12" width="14.44140625" bestFit="1" customWidth="1"/>
    <col min="13" max="13" width="26.88671875" bestFit="1" customWidth="1"/>
    <col min="14" max="14" width="20.33203125" bestFit="1" customWidth="1"/>
    <col min="15" max="15" width="15.6640625" bestFit="1" customWidth="1"/>
  </cols>
  <sheetData>
    <row r="1" spans="1:11" ht="18" x14ac:dyDescent="0.35">
      <c r="A1" s="193" t="s">
        <v>42</v>
      </c>
      <c r="B1" s="193"/>
      <c r="C1" s="13"/>
      <c r="D1" s="193" t="s">
        <v>41</v>
      </c>
      <c r="E1" s="193"/>
      <c r="G1" s="193" t="s">
        <v>44</v>
      </c>
      <c r="H1" s="193"/>
      <c r="I1" s="13"/>
      <c r="J1" s="193" t="s">
        <v>45</v>
      </c>
      <c r="K1" s="193"/>
    </row>
    <row r="2" spans="1:11" x14ac:dyDescent="0.3">
      <c r="A2" s="134" t="s">
        <v>15</v>
      </c>
      <c r="B2" t="s">
        <v>13</v>
      </c>
      <c r="D2" s="194" t="s">
        <v>15</v>
      </c>
      <c r="E2" s="195" t="s">
        <v>14</v>
      </c>
      <c r="G2" s="134" t="s">
        <v>15</v>
      </c>
      <c r="H2" t="s">
        <v>25</v>
      </c>
      <c r="J2" s="134" t="s">
        <v>15</v>
      </c>
      <c r="K2" t="s">
        <v>25</v>
      </c>
    </row>
    <row r="4" spans="1:11" x14ac:dyDescent="0.3">
      <c r="A4" s="134" t="s">
        <v>38</v>
      </c>
      <c r="B4" t="s">
        <v>40</v>
      </c>
      <c r="D4" s="134" t="s">
        <v>38</v>
      </c>
      <c r="E4" t="s">
        <v>40</v>
      </c>
      <c r="G4" s="134" t="s">
        <v>38</v>
      </c>
      <c r="H4" t="s">
        <v>40</v>
      </c>
      <c r="J4" s="134" t="s">
        <v>38</v>
      </c>
      <c r="K4" t="s">
        <v>40</v>
      </c>
    </row>
    <row r="5" spans="1:11" x14ac:dyDescent="0.3">
      <c r="A5" s="12" t="s">
        <v>16</v>
      </c>
      <c r="B5">
        <v>30</v>
      </c>
      <c r="D5" s="12" t="s">
        <v>16</v>
      </c>
      <c r="E5">
        <v>10</v>
      </c>
      <c r="G5" s="12" t="s">
        <v>98</v>
      </c>
      <c r="H5">
        <v>11</v>
      </c>
      <c r="J5" s="12" t="s">
        <v>95</v>
      </c>
      <c r="K5">
        <v>12</v>
      </c>
    </row>
    <row r="6" spans="1:11" x14ac:dyDescent="0.3">
      <c r="A6" s="17" t="s">
        <v>39</v>
      </c>
      <c r="B6" s="18">
        <v>30</v>
      </c>
      <c r="D6" s="17" t="s">
        <v>39</v>
      </c>
      <c r="E6" s="18">
        <v>10</v>
      </c>
      <c r="G6" s="17" t="s">
        <v>39</v>
      </c>
      <c r="H6" s="18">
        <v>11</v>
      </c>
      <c r="J6" s="17" t="s">
        <v>39</v>
      </c>
      <c r="K6" s="18">
        <v>12</v>
      </c>
    </row>
    <row r="8" spans="1:11" x14ac:dyDescent="0.3">
      <c r="A8" s="134" t="s">
        <v>15</v>
      </c>
      <c r="B8" t="s">
        <v>13</v>
      </c>
      <c r="D8" s="134" t="s">
        <v>15</v>
      </c>
      <c r="E8" t="s">
        <v>14</v>
      </c>
    </row>
    <row r="10" spans="1:11" x14ac:dyDescent="0.3">
      <c r="A10" s="134" t="s">
        <v>38</v>
      </c>
      <c r="B10" t="s">
        <v>40</v>
      </c>
      <c r="D10" s="134" t="s">
        <v>38</v>
      </c>
      <c r="E10" t="s">
        <v>40</v>
      </c>
    </row>
    <row r="11" spans="1:11" x14ac:dyDescent="0.3">
      <c r="A11" s="12" t="s">
        <v>20</v>
      </c>
      <c r="B11">
        <v>31</v>
      </c>
      <c r="D11" s="12" t="s">
        <v>20</v>
      </c>
      <c r="E11">
        <v>11</v>
      </c>
    </row>
    <row r="12" spans="1:11" x14ac:dyDescent="0.3">
      <c r="A12" s="17" t="s">
        <v>39</v>
      </c>
      <c r="B12" s="18">
        <v>31</v>
      </c>
      <c r="D12" s="17" t="s">
        <v>39</v>
      </c>
      <c r="E12" s="18">
        <v>11</v>
      </c>
    </row>
  </sheetData>
  <mergeCells count="5">
    <mergeCell ref="J1:K1"/>
    <mergeCell ref="A1:B1"/>
    <mergeCell ref="D2:E2"/>
    <mergeCell ref="D1:E1"/>
    <mergeCell ref="G1:H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5"/>
  <dimension ref="A1:O12"/>
  <sheetViews>
    <sheetView topLeftCell="D1" workbookViewId="0">
      <selection activeCell="D3" sqref="D3"/>
    </sheetView>
  </sheetViews>
  <sheetFormatPr baseColWidth="10" defaultRowHeight="14.4" x14ac:dyDescent="0.3"/>
  <cols>
    <col min="1" max="1" width="20.88671875" bestFit="1" customWidth="1"/>
    <col min="2" max="2" width="11.6640625" bestFit="1" customWidth="1"/>
    <col min="3" max="3" width="11" bestFit="1" customWidth="1"/>
    <col min="4" max="4" width="14.5546875" bestFit="1" customWidth="1"/>
    <col min="5" max="5" width="20.6640625" bestFit="1" customWidth="1"/>
    <col min="6" max="6" width="16.109375" bestFit="1" customWidth="1"/>
    <col min="7" max="7" width="16.44140625" bestFit="1" customWidth="1"/>
    <col min="8" max="8" width="21.44140625" bestFit="1" customWidth="1"/>
    <col min="9" max="9" width="16.44140625" bestFit="1" customWidth="1"/>
    <col min="10" max="10" width="21.88671875" bestFit="1" customWidth="1"/>
    <col min="11" max="11" width="16.88671875" bestFit="1" customWidth="1"/>
    <col min="12" max="12" width="14.44140625" bestFit="1" customWidth="1"/>
    <col min="13" max="13" width="20.33203125" bestFit="1" customWidth="1"/>
    <col min="14" max="14" width="11.6640625" bestFit="1" customWidth="1"/>
    <col min="15" max="15" width="15.6640625" bestFit="1" customWidth="1"/>
  </cols>
  <sheetData>
    <row r="1" spans="1:15" x14ac:dyDescent="0.3">
      <c r="A1" t="s">
        <v>2</v>
      </c>
      <c r="B1" t="s">
        <v>0</v>
      </c>
      <c r="C1" t="s">
        <v>1</v>
      </c>
      <c r="D1" t="s">
        <v>27</v>
      </c>
      <c r="E1" t="s">
        <v>15</v>
      </c>
      <c r="F1" t="s">
        <v>19</v>
      </c>
      <c r="G1" t="s">
        <v>18</v>
      </c>
      <c r="H1" t="s">
        <v>4</v>
      </c>
      <c r="I1" t="s">
        <v>26</v>
      </c>
      <c r="J1" t="s">
        <v>11</v>
      </c>
      <c r="K1" t="s">
        <v>21</v>
      </c>
      <c r="L1" t="s">
        <v>17</v>
      </c>
      <c r="M1" t="s">
        <v>79</v>
      </c>
      <c r="N1" t="s">
        <v>178</v>
      </c>
      <c r="O1" t="s">
        <v>80</v>
      </c>
    </row>
    <row r="2" spans="1:15" x14ac:dyDescent="0.3">
      <c r="A2" s="129" t="s">
        <v>81</v>
      </c>
      <c r="B2" t="s">
        <v>82</v>
      </c>
      <c r="C2" t="s">
        <v>83</v>
      </c>
      <c r="D2">
        <v>1</v>
      </c>
      <c r="E2" t="s">
        <v>13</v>
      </c>
      <c r="F2" t="s">
        <v>20</v>
      </c>
      <c r="G2">
        <v>50</v>
      </c>
      <c r="H2" t="s">
        <v>7</v>
      </c>
      <c r="I2" t="s">
        <v>5</v>
      </c>
      <c r="J2" t="s">
        <v>10</v>
      </c>
      <c r="K2">
        <v>30</v>
      </c>
      <c r="L2">
        <v>-20</v>
      </c>
      <c r="M2" t="s">
        <v>103</v>
      </c>
      <c r="N2">
        <v>1</v>
      </c>
      <c r="O2" t="s">
        <v>107</v>
      </c>
    </row>
    <row r="3" spans="1:15" x14ac:dyDescent="0.3">
      <c r="A3" s="129" t="s">
        <v>94</v>
      </c>
      <c r="B3" t="s">
        <v>99</v>
      </c>
      <c r="C3" t="s">
        <v>100</v>
      </c>
      <c r="D3">
        <v>2</v>
      </c>
      <c r="E3" t="s">
        <v>25</v>
      </c>
      <c r="F3" t="s">
        <v>95</v>
      </c>
      <c r="G3">
        <v>300</v>
      </c>
      <c r="H3" t="s">
        <v>7</v>
      </c>
      <c r="I3" t="s">
        <v>6</v>
      </c>
      <c r="J3" t="s">
        <v>10</v>
      </c>
      <c r="K3">
        <v>100</v>
      </c>
      <c r="L3">
        <v>-200</v>
      </c>
      <c r="M3" t="s">
        <v>104</v>
      </c>
      <c r="N3">
        <v>2</v>
      </c>
      <c r="O3" t="s">
        <v>107</v>
      </c>
    </row>
    <row r="4" spans="1:15" x14ac:dyDescent="0.3">
      <c r="A4" s="129" t="s">
        <v>94</v>
      </c>
      <c r="B4" t="s">
        <v>101</v>
      </c>
      <c r="C4" t="s">
        <v>102</v>
      </c>
      <c r="D4">
        <v>3</v>
      </c>
      <c r="E4" t="s">
        <v>13</v>
      </c>
      <c r="F4" t="s">
        <v>20</v>
      </c>
      <c r="G4">
        <v>10</v>
      </c>
      <c r="H4" t="s">
        <v>7</v>
      </c>
      <c r="I4" t="s">
        <v>6</v>
      </c>
      <c r="J4" t="s">
        <v>10</v>
      </c>
      <c r="K4">
        <v>90</v>
      </c>
      <c r="L4">
        <v>80</v>
      </c>
      <c r="M4" t="s">
        <v>105</v>
      </c>
      <c r="N4">
        <v>3</v>
      </c>
      <c r="O4" t="s">
        <v>106</v>
      </c>
    </row>
    <row r="5" spans="1:15" x14ac:dyDescent="0.3">
      <c r="A5" s="129" t="s">
        <v>94</v>
      </c>
      <c r="B5" t="s">
        <v>108</v>
      </c>
      <c r="C5" t="s">
        <v>109</v>
      </c>
      <c r="D5">
        <v>1</v>
      </c>
      <c r="E5" t="s">
        <v>13</v>
      </c>
      <c r="F5" t="s">
        <v>20</v>
      </c>
      <c r="G5">
        <v>50</v>
      </c>
      <c r="H5" t="s">
        <v>7</v>
      </c>
      <c r="I5" t="s">
        <v>5</v>
      </c>
      <c r="J5" t="s">
        <v>10</v>
      </c>
      <c r="K5">
        <v>30</v>
      </c>
      <c r="L5">
        <v>-20</v>
      </c>
      <c r="M5" t="s">
        <v>110</v>
      </c>
      <c r="N5">
        <v>1</v>
      </c>
      <c r="O5" t="s">
        <v>107</v>
      </c>
    </row>
    <row r="6" spans="1:15" x14ac:dyDescent="0.3">
      <c r="A6" s="129" t="s">
        <v>94</v>
      </c>
      <c r="B6" t="s">
        <v>111</v>
      </c>
      <c r="C6" t="s">
        <v>112</v>
      </c>
      <c r="D6">
        <v>2</v>
      </c>
      <c r="E6" t="s">
        <v>13</v>
      </c>
      <c r="F6" t="s">
        <v>20</v>
      </c>
      <c r="G6">
        <v>100</v>
      </c>
      <c r="H6" t="s">
        <v>7</v>
      </c>
      <c r="I6" t="s">
        <v>6</v>
      </c>
      <c r="J6" t="s">
        <v>10</v>
      </c>
      <c r="K6">
        <v>60</v>
      </c>
      <c r="L6">
        <v>-40</v>
      </c>
      <c r="M6" t="s">
        <v>113</v>
      </c>
      <c r="N6">
        <v>2</v>
      </c>
      <c r="O6" t="s">
        <v>107</v>
      </c>
    </row>
    <row r="7" spans="1:15" x14ac:dyDescent="0.3">
      <c r="A7" s="129" t="s">
        <v>94</v>
      </c>
      <c r="B7" t="s">
        <v>114</v>
      </c>
      <c r="C7" t="s">
        <v>115</v>
      </c>
      <c r="D7">
        <v>1</v>
      </c>
      <c r="E7" t="s">
        <v>13</v>
      </c>
      <c r="F7" t="s">
        <v>20</v>
      </c>
      <c r="G7">
        <v>10</v>
      </c>
      <c r="H7" t="s">
        <v>7</v>
      </c>
      <c r="I7" t="s">
        <v>5</v>
      </c>
      <c r="J7" t="s">
        <v>10</v>
      </c>
      <c r="K7">
        <v>30</v>
      </c>
      <c r="L7">
        <v>20</v>
      </c>
      <c r="M7" t="s">
        <v>116</v>
      </c>
      <c r="N7">
        <v>1</v>
      </c>
      <c r="O7" t="s">
        <v>106</v>
      </c>
    </row>
    <row r="8" spans="1:15" x14ac:dyDescent="0.3">
      <c r="A8" s="129" t="s">
        <v>94</v>
      </c>
      <c r="B8" t="s">
        <v>117</v>
      </c>
      <c r="C8" t="s">
        <v>118</v>
      </c>
      <c r="D8">
        <v>1</v>
      </c>
      <c r="E8" t="s">
        <v>13</v>
      </c>
      <c r="F8" t="s">
        <v>20</v>
      </c>
      <c r="G8">
        <v>10</v>
      </c>
      <c r="H8" t="s">
        <v>7</v>
      </c>
      <c r="I8" t="s">
        <v>5</v>
      </c>
      <c r="J8" t="s">
        <v>10</v>
      </c>
      <c r="K8">
        <v>30</v>
      </c>
      <c r="L8">
        <v>20</v>
      </c>
      <c r="M8" t="s">
        <v>121</v>
      </c>
      <c r="N8">
        <v>1</v>
      </c>
      <c r="O8" t="s">
        <v>106</v>
      </c>
    </row>
    <row r="9" spans="1:15" x14ac:dyDescent="0.3">
      <c r="A9" s="129" t="s">
        <v>94</v>
      </c>
      <c r="B9" t="s">
        <v>119</v>
      </c>
      <c r="C9" t="s">
        <v>120</v>
      </c>
      <c r="D9">
        <v>1</v>
      </c>
      <c r="E9" t="s">
        <v>13</v>
      </c>
      <c r="F9" t="s">
        <v>20</v>
      </c>
      <c r="G9">
        <v>10</v>
      </c>
      <c r="H9" t="s">
        <v>7</v>
      </c>
      <c r="I9" t="s">
        <v>5</v>
      </c>
      <c r="J9" t="s">
        <v>10</v>
      </c>
      <c r="K9">
        <v>30</v>
      </c>
      <c r="L9">
        <v>20</v>
      </c>
      <c r="M9" t="s">
        <v>122</v>
      </c>
      <c r="N9">
        <v>1</v>
      </c>
      <c r="O9" t="s">
        <v>106</v>
      </c>
    </row>
    <row r="10" spans="1:15" x14ac:dyDescent="0.3">
      <c r="A10" s="129" t="s">
        <v>94</v>
      </c>
      <c r="B10" t="s">
        <v>123</v>
      </c>
      <c r="C10" t="s">
        <v>124</v>
      </c>
      <c r="D10">
        <v>1</v>
      </c>
      <c r="E10" t="s">
        <v>13</v>
      </c>
      <c r="F10" t="s">
        <v>20</v>
      </c>
      <c r="G10">
        <v>10</v>
      </c>
      <c r="H10" t="s">
        <v>7</v>
      </c>
      <c r="I10" t="s">
        <v>6</v>
      </c>
      <c r="J10" t="s">
        <v>10</v>
      </c>
      <c r="K10">
        <v>30</v>
      </c>
      <c r="L10">
        <v>20</v>
      </c>
      <c r="M10" t="s">
        <v>125</v>
      </c>
      <c r="N10">
        <v>1</v>
      </c>
      <c r="O10" t="s">
        <v>106</v>
      </c>
    </row>
    <row r="11" spans="1:15" x14ac:dyDescent="0.3">
      <c r="A11" s="129" t="s">
        <v>185</v>
      </c>
      <c r="B11" t="s">
        <v>186</v>
      </c>
      <c r="C11" t="s">
        <v>187</v>
      </c>
      <c r="D11">
        <v>10</v>
      </c>
      <c r="E11" t="s">
        <v>13</v>
      </c>
      <c r="F11" t="s">
        <v>20</v>
      </c>
      <c r="G11">
        <v>1000</v>
      </c>
      <c r="H11" t="s">
        <v>8</v>
      </c>
      <c r="I11" t="s">
        <v>5</v>
      </c>
      <c r="J11" t="s">
        <v>10</v>
      </c>
      <c r="K11">
        <v>300</v>
      </c>
      <c r="L11">
        <v>-700</v>
      </c>
      <c r="M11" t="s">
        <v>188</v>
      </c>
      <c r="N11">
        <v>10</v>
      </c>
      <c r="O11" t="s">
        <v>107</v>
      </c>
    </row>
    <row r="12" spans="1:15" x14ac:dyDescent="0.3">
      <c r="A12" s="129" t="s">
        <v>185</v>
      </c>
      <c r="B12" t="s">
        <v>189</v>
      </c>
      <c r="C12" t="s">
        <v>190</v>
      </c>
      <c r="D12">
        <v>10</v>
      </c>
      <c r="E12" t="s">
        <v>13</v>
      </c>
      <c r="F12" t="s">
        <v>20</v>
      </c>
      <c r="G12">
        <v>1000</v>
      </c>
      <c r="H12" t="s">
        <v>8</v>
      </c>
      <c r="I12" t="s">
        <v>5</v>
      </c>
      <c r="J12" t="s">
        <v>10</v>
      </c>
      <c r="K12">
        <v>300</v>
      </c>
      <c r="L12">
        <v>-700</v>
      </c>
      <c r="M12" t="s">
        <v>191</v>
      </c>
      <c r="N12">
        <v>10</v>
      </c>
      <c r="O12" t="s">
        <v>107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C5"/>
  <sheetViews>
    <sheetView workbookViewId="0">
      <selection activeCell="E12" sqref="E12"/>
    </sheetView>
  </sheetViews>
  <sheetFormatPr baseColWidth="10" defaultRowHeight="14.4" x14ac:dyDescent="0.3"/>
  <cols>
    <col min="1" max="1" width="23.88671875" customWidth="1"/>
    <col min="2" max="3" width="16" customWidth="1"/>
  </cols>
  <sheetData>
    <row r="1" spans="1:3" s="116" customFormat="1" ht="31.2" x14ac:dyDescent="0.6">
      <c r="A1" s="116" t="s">
        <v>89</v>
      </c>
    </row>
    <row r="2" spans="1:3" s="116" customFormat="1" ht="31.2" x14ac:dyDescent="0.6"/>
    <row r="3" spans="1:3" s="118" customFormat="1" ht="21" x14ac:dyDescent="0.3">
      <c r="B3" s="118" t="s">
        <v>91</v>
      </c>
      <c r="C3" s="118" t="s">
        <v>92</v>
      </c>
    </row>
    <row r="4" spans="1:3" s="107" customFormat="1" ht="15.6" x14ac:dyDescent="0.3">
      <c r="A4" s="107" t="s">
        <v>90</v>
      </c>
      <c r="B4" s="117">
        <f>GETPIVOTDATA("Nb de billets",'Tableau croisés'!$A$4)+GETPIVOTDATA("Nb de billets",'Tableau croisés'!$D$4)+GETPIVOTDATA("Nb de billets",'Tableau croisés'!$G$4)</f>
        <v>51</v>
      </c>
      <c r="C4" s="119">
        <f>((GETPIVOTDATA("Nb de billets",'Tableau croisés'!$A$4)+GETPIVOTDATA("Nb de billets",'Tableau croisés'!$D$4))*Organisation!E11)+(GETPIVOTDATA("Nb de billets",'Tableau croisés'!$G$4)*Organisation!E9)</f>
        <v>875</v>
      </c>
    </row>
    <row r="5" spans="1:3" s="107" customFormat="1" ht="15.6" x14ac:dyDescent="0.3">
      <c r="A5" s="107" t="s">
        <v>93</v>
      </c>
      <c r="B5" s="117">
        <f>GETPIVOTDATA("Nb de billets",'Tableau croisés'!$A$10)+GETPIVOTDATA("Nb de billets",'Tableau croisés'!$D$10)+GETPIVOTDATA("Nb de billets",'Tableau croisés'!$J$4)</f>
        <v>54</v>
      </c>
      <c r="C5" s="119">
        <f>((GETPIVOTDATA("Nb de billets",'Tableau croisés'!$A$10)+GETPIVOTDATA("Nb de billets",'Tableau croisés'!$D$10))*Organisation!E12)+(GETPIVOTDATA("Nb de billets",'Tableau croisés'!$J$4)*Organisation!E10)</f>
        <v>1860</v>
      </c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K6"/>
  <sheetViews>
    <sheetView workbookViewId="0">
      <selection activeCell="Q32" sqref="Q32"/>
    </sheetView>
  </sheetViews>
  <sheetFormatPr baseColWidth="10" defaultRowHeight="14.4" x14ac:dyDescent="0.3"/>
  <cols>
    <col min="1" max="1" width="13.33203125" bestFit="1" customWidth="1"/>
    <col min="2" max="2" width="19" hidden="1" customWidth="1"/>
    <col min="3" max="3" width="21.109375" customWidth="1"/>
    <col min="4" max="4" width="18.6640625" hidden="1" customWidth="1"/>
    <col min="5" max="5" width="17.6640625" bestFit="1" customWidth="1"/>
    <col min="6" max="6" width="3" customWidth="1"/>
    <col min="7" max="7" width="16" customWidth="1"/>
    <col min="11" max="11" width="17" bestFit="1" customWidth="1"/>
  </cols>
  <sheetData>
    <row r="1" spans="1:11" x14ac:dyDescent="0.3">
      <c r="A1" t="s">
        <v>3</v>
      </c>
      <c r="C1" t="s">
        <v>4</v>
      </c>
      <c r="E1" t="s">
        <v>12</v>
      </c>
      <c r="G1" t="s">
        <v>24</v>
      </c>
      <c r="I1" t="s">
        <v>13</v>
      </c>
      <c r="J1" t="s">
        <v>14</v>
      </c>
      <c r="K1" t="s">
        <v>25</v>
      </c>
    </row>
    <row r="2" spans="1:11" x14ac:dyDescent="0.3">
      <c r="I2" t="s">
        <v>20</v>
      </c>
      <c r="J2" t="s">
        <v>20</v>
      </c>
      <c r="K2" t="s">
        <v>22</v>
      </c>
    </row>
    <row r="3" spans="1:11" x14ac:dyDescent="0.3">
      <c r="A3" t="s">
        <v>5</v>
      </c>
      <c r="C3" t="s">
        <v>7</v>
      </c>
      <c r="E3" t="s">
        <v>13</v>
      </c>
      <c r="G3" t="s">
        <v>20</v>
      </c>
      <c r="I3" t="s">
        <v>16</v>
      </c>
      <c r="J3" t="s">
        <v>16</v>
      </c>
      <c r="K3" t="s">
        <v>23</v>
      </c>
    </row>
    <row r="4" spans="1:11" x14ac:dyDescent="0.3">
      <c r="A4" t="s">
        <v>6</v>
      </c>
      <c r="C4" t="s">
        <v>8</v>
      </c>
      <c r="E4" t="s">
        <v>14</v>
      </c>
      <c r="G4" t="s">
        <v>16</v>
      </c>
    </row>
    <row r="5" spans="1:11" x14ac:dyDescent="0.3">
      <c r="C5" t="s">
        <v>9</v>
      </c>
      <c r="E5" t="s">
        <v>25</v>
      </c>
      <c r="G5" t="s">
        <v>22</v>
      </c>
    </row>
    <row r="6" spans="1:11" x14ac:dyDescent="0.3">
      <c r="G6" t="s">
        <v>23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C8B522-0CE4-446F-96BF-438665F636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7</vt:i4>
      </vt:variant>
    </vt:vector>
  </HeadingPairs>
  <TitlesOfParts>
    <vt:vector size="16" baseType="lpstr">
      <vt:lpstr>Accueil</vt:lpstr>
      <vt:lpstr>Source</vt:lpstr>
      <vt:lpstr>Organisation</vt:lpstr>
      <vt:lpstr>Tablée du vendredi</vt:lpstr>
      <vt:lpstr>Tablée du samedi</vt:lpstr>
      <vt:lpstr>Tableau croisés</vt:lpstr>
      <vt:lpstr>TableauSource vendredi</vt:lpstr>
      <vt:lpstr>Bilan</vt:lpstr>
      <vt:lpstr>Données</vt:lpstr>
      <vt:lpstr>jour</vt:lpstr>
      <vt:lpstr>NomPren</vt:lpstr>
      <vt:lpstr>paiement</vt:lpstr>
      <vt:lpstr>payé</vt:lpstr>
      <vt:lpstr>resa</vt:lpstr>
      <vt:lpstr>tablée</vt:lpstr>
      <vt:lpstr>Typeresa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Viviepat</dc:creator>
  <cp:lastModifiedBy>Lui</cp:lastModifiedBy>
  <dcterms:created xsi:type="dcterms:W3CDTF">2023-02-18T15:33:05Z</dcterms:created>
  <dcterms:modified xsi:type="dcterms:W3CDTF">2023-02-26T16:05:30Z</dcterms:modified>
</cp:coreProperties>
</file>