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24226"/>
  <mc:AlternateContent xmlns:mc="http://schemas.openxmlformats.org/markup-compatibility/2006">
    <mc:Choice Requires="x15">
      <x15ac:absPath xmlns:x15ac="http://schemas.microsoft.com/office/spreadsheetml/2010/11/ac" url="C:\Users\Maison du Couesnon\Google Drive\Secretariat\rapport_activite_conseil_departemental\"/>
    </mc:Choice>
  </mc:AlternateContent>
  <bookViews>
    <workbookView xWindow="240" yWindow="135" windowWidth="16515" windowHeight="11325"/>
  </bookViews>
  <sheets>
    <sheet name="suivi" sheetId="1" r:id="rId1"/>
    <sheet name="TCD_internat" sheetId="4" r:id="rId2"/>
    <sheet name="tbl_CD" sheetId="6" r:id="rId3"/>
    <sheet name="listes" sheetId="2" r:id="rId4"/>
  </sheets>
  <externalReferences>
    <externalReference r:id="rId5"/>
    <externalReference r:id="rId6"/>
  </externalReferences>
  <definedNames>
    <definedName name="ChronologieNative_Date_entrée">#N/A</definedName>
    <definedName name="oui_non">[1]Liste!$A$2:$A$4</definedName>
    <definedName name="Segment_Service">#N/A</definedName>
  </definedNames>
  <calcPr calcId="152511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9"/>
      </x15:timelineCacheRef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C3" i="1"/>
  <c r="I66" i="1" l="1"/>
  <c r="J66" i="1"/>
  <c r="I65" i="1"/>
  <c r="J65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B1" i="6" l="1"/>
  <c r="C478" i="6"/>
  <c r="C479" i="6" s="1"/>
  <c r="B478" i="6"/>
  <c r="D477" i="6"/>
  <c r="E476" i="6"/>
  <c r="D476" i="6"/>
  <c r="D475" i="6"/>
  <c r="E474" i="6"/>
  <c r="D474" i="6"/>
  <c r="D473" i="6"/>
  <c r="E472" i="6"/>
  <c r="D472" i="6"/>
  <c r="D470" i="6"/>
  <c r="C466" i="6"/>
  <c r="C467" i="6" s="1"/>
  <c r="B466" i="6"/>
  <c r="D465" i="6"/>
  <c r="E464" i="6"/>
  <c r="D464" i="6"/>
  <c r="D463" i="6"/>
  <c r="E462" i="6"/>
  <c r="D462" i="6"/>
  <c r="D461" i="6"/>
  <c r="E460" i="6"/>
  <c r="D460" i="6"/>
  <c r="D458" i="6"/>
  <c r="E456" i="6"/>
  <c r="D456" i="6"/>
  <c r="C450" i="6"/>
  <c r="C451" i="6" s="1"/>
  <c r="B450" i="6"/>
  <c r="E449" i="6"/>
  <c r="D449" i="6"/>
  <c r="D448" i="6"/>
  <c r="E447" i="6"/>
  <c r="D447" i="6"/>
  <c r="D446" i="6"/>
  <c r="E445" i="6"/>
  <c r="D445" i="6"/>
  <c r="D444" i="6"/>
  <c r="E442" i="6"/>
  <c r="D442" i="6"/>
  <c r="D440" i="6"/>
  <c r="C436" i="6"/>
  <c r="C437" i="6" s="1"/>
  <c r="B436" i="6"/>
  <c r="D435" i="6"/>
  <c r="E434" i="6"/>
  <c r="D434" i="6"/>
  <c r="D433" i="6"/>
  <c r="E432" i="6"/>
  <c r="D432" i="6"/>
  <c r="D431" i="6"/>
  <c r="E430" i="6"/>
  <c r="D430" i="6"/>
  <c r="D428" i="6"/>
  <c r="E427" i="6"/>
  <c r="D427" i="6"/>
  <c r="D425" i="6"/>
  <c r="E424" i="6"/>
  <c r="D424" i="6"/>
  <c r="C418" i="6"/>
  <c r="C419" i="6" s="1"/>
  <c r="B418" i="6"/>
  <c r="E417" i="6"/>
  <c r="D417" i="6"/>
  <c r="D416" i="6"/>
  <c r="E415" i="6"/>
  <c r="D415" i="6"/>
  <c r="D414" i="6"/>
  <c r="E413" i="6"/>
  <c r="D413" i="6"/>
  <c r="D412" i="6"/>
  <c r="E410" i="6"/>
  <c r="D410" i="6"/>
  <c r="C406" i="6"/>
  <c r="C407" i="6" s="1"/>
  <c r="B406" i="6"/>
  <c r="E405" i="6"/>
  <c r="D405" i="6"/>
  <c r="D404" i="6"/>
  <c r="E403" i="6"/>
  <c r="D403" i="6"/>
  <c r="D402" i="6"/>
  <c r="E401" i="6"/>
  <c r="D401" i="6"/>
  <c r="D400" i="6"/>
  <c r="E398" i="6"/>
  <c r="D398" i="6"/>
  <c r="D397" i="6"/>
  <c r="E395" i="6"/>
  <c r="D395" i="6"/>
  <c r="D392" i="6"/>
  <c r="E390" i="6"/>
  <c r="D390" i="6"/>
  <c r="E379" i="6"/>
  <c r="D379" i="6"/>
  <c r="D378" i="6"/>
  <c r="E377" i="6"/>
  <c r="D377" i="6"/>
  <c r="C377" i="6"/>
  <c r="B377" i="6"/>
  <c r="F376" i="6"/>
  <c r="D376" i="6"/>
  <c r="E376" i="6" s="1"/>
  <c r="F375" i="6"/>
  <c r="D375" i="6"/>
  <c r="E375" i="6" s="1"/>
  <c r="F374" i="6"/>
  <c r="D374" i="6"/>
  <c r="E374" i="6" s="1"/>
  <c r="F373" i="6"/>
  <c r="D373" i="6"/>
  <c r="E373" i="6" s="1"/>
  <c r="D372" i="6"/>
  <c r="E372" i="6" s="1"/>
  <c r="F371" i="6"/>
  <c r="D371" i="6"/>
  <c r="E371" i="6" s="1"/>
  <c r="C370" i="6"/>
  <c r="B370" i="6"/>
  <c r="F369" i="6"/>
  <c r="E369" i="6"/>
  <c r="D369" i="6"/>
  <c r="F368" i="6"/>
  <c r="E368" i="6"/>
  <c r="D368" i="6"/>
  <c r="D367" i="6"/>
  <c r="D366" i="6"/>
  <c r="C364" i="6"/>
  <c r="B364" i="6"/>
  <c r="D363" i="6"/>
  <c r="D362" i="6"/>
  <c r="D361" i="6"/>
  <c r="C361" i="6"/>
  <c r="C365" i="6" s="1"/>
  <c r="B361" i="6"/>
  <c r="F360" i="6"/>
  <c r="E360" i="6"/>
  <c r="D360" i="6"/>
  <c r="F359" i="6"/>
  <c r="E359" i="6"/>
  <c r="D359" i="6"/>
  <c r="F358" i="6"/>
  <c r="E358" i="6"/>
  <c r="D358" i="6"/>
  <c r="F357" i="6"/>
  <c r="E357" i="6"/>
  <c r="D357" i="6"/>
  <c r="F356" i="6"/>
  <c r="E356" i="6"/>
  <c r="D356" i="6"/>
  <c r="F355" i="6"/>
  <c r="E355" i="6"/>
  <c r="D355" i="6"/>
  <c r="F350" i="6"/>
  <c r="E350" i="6"/>
  <c r="D350" i="6"/>
  <c r="F349" i="6"/>
  <c r="E349" i="6"/>
  <c r="D349" i="6"/>
  <c r="C348" i="6"/>
  <c r="B348" i="6"/>
  <c r="D347" i="6"/>
  <c r="D346" i="6"/>
  <c r="D345" i="6"/>
  <c r="D344" i="6"/>
  <c r="D343" i="6"/>
  <c r="D342" i="6"/>
  <c r="D341" i="6"/>
  <c r="C341" i="6"/>
  <c r="B341" i="6"/>
  <c r="F340" i="6"/>
  <c r="E340" i="6"/>
  <c r="D340" i="6"/>
  <c r="F339" i="6"/>
  <c r="E339" i="6"/>
  <c r="D339" i="6"/>
  <c r="F338" i="6"/>
  <c r="E338" i="6"/>
  <c r="D338" i="6"/>
  <c r="F337" i="6"/>
  <c r="E337" i="6"/>
  <c r="D337" i="6"/>
  <c r="D335" i="6"/>
  <c r="C335" i="6"/>
  <c r="F335" i="6" s="1"/>
  <c r="B335" i="6"/>
  <c r="F334" i="6"/>
  <c r="E334" i="6"/>
  <c r="D334" i="6"/>
  <c r="F333" i="6"/>
  <c r="E333" i="6"/>
  <c r="D333" i="6"/>
  <c r="C332" i="6"/>
  <c r="C336" i="6" s="1"/>
  <c r="C351" i="6" s="1"/>
  <c r="B332" i="6"/>
  <c r="D331" i="6"/>
  <c r="D330" i="6"/>
  <c r="D329" i="6"/>
  <c r="D328" i="6"/>
  <c r="D327" i="6"/>
  <c r="D326" i="6"/>
  <c r="D321" i="6"/>
  <c r="D320" i="6"/>
  <c r="D319" i="6"/>
  <c r="E319" i="6" s="1"/>
  <c r="C319" i="6"/>
  <c r="B319" i="6"/>
  <c r="F318" i="6"/>
  <c r="E318" i="6"/>
  <c r="D318" i="6"/>
  <c r="F317" i="6"/>
  <c r="E317" i="6"/>
  <c r="D317" i="6"/>
  <c r="D316" i="6"/>
  <c r="D315" i="6"/>
  <c r="D314" i="6"/>
  <c r="D313" i="6"/>
  <c r="D312" i="6"/>
  <c r="C312" i="6"/>
  <c r="B312" i="6"/>
  <c r="E312" i="6" s="1"/>
  <c r="F311" i="6"/>
  <c r="E311" i="6"/>
  <c r="D311" i="6"/>
  <c r="F310" i="6"/>
  <c r="E310" i="6"/>
  <c r="D310" i="6"/>
  <c r="F309" i="6"/>
  <c r="E309" i="6"/>
  <c r="D309" i="6"/>
  <c r="F308" i="6"/>
  <c r="E308" i="6"/>
  <c r="D308" i="6"/>
  <c r="D306" i="6"/>
  <c r="C306" i="6"/>
  <c r="F306" i="6" s="1"/>
  <c r="B306" i="6"/>
  <c r="F305" i="6"/>
  <c r="E305" i="6"/>
  <c r="D305" i="6"/>
  <c r="F304" i="6"/>
  <c r="E304" i="6"/>
  <c r="D304" i="6"/>
  <c r="C303" i="6"/>
  <c r="C307" i="6" s="1"/>
  <c r="C322" i="6" s="1"/>
  <c r="B303" i="6"/>
  <c r="D302" i="6"/>
  <c r="D301" i="6"/>
  <c r="D300" i="6"/>
  <c r="D299" i="6"/>
  <c r="D298" i="6"/>
  <c r="D297" i="6"/>
  <c r="C286" i="6"/>
  <c r="B286" i="6"/>
  <c r="D285" i="6"/>
  <c r="D284" i="6"/>
  <c r="D283" i="6"/>
  <c r="C279" i="6"/>
  <c r="B279" i="6"/>
  <c r="D278" i="6"/>
  <c r="D277" i="6"/>
  <c r="D276" i="6"/>
  <c r="D275" i="6"/>
  <c r="D274" i="6"/>
  <c r="C270" i="6"/>
  <c r="B270" i="6"/>
  <c r="D269" i="6"/>
  <c r="D268" i="6"/>
  <c r="D267" i="6"/>
  <c r="D266" i="6"/>
  <c r="D265" i="6"/>
  <c r="D256" i="6"/>
  <c r="D255" i="6"/>
  <c r="D254" i="6"/>
  <c r="D253" i="6"/>
  <c r="D252" i="6"/>
  <c r="D251" i="6"/>
  <c r="C251" i="6"/>
  <c r="F251" i="6" s="1"/>
  <c r="B251" i="6"/>
  <c r="E251" i="6" s="1"/>
  <c r="F250" i="6"/>
  <c r="E250" i="6"/>
  <c r="D250" i="6"/>
  <c r="F249" i="6"/>
  <c r="E249" i="6"/>
  <c r="D249" i="6"/>
  <c r="F248" i="6"/>
  <c r="E248" i="6"/>
  <c r="D248" i="6"/>
  <c r="F247" i="6"/>
  <c r="E247" i="6"/>
  <c r="D247" i="6"/>
  <c r="F246" i="6"/>
  <c r="E246" i="6"/>
  <c r="D246" i="6"/>
  <c r="F245" i="6"/>
  <c r="E245" i="6"/>
  <c r="D245" i="6"/>
  <c r="C244" i="6"/>
  <c r="B244" i="6"/>
  <c r="D243" i="6"/>
  <c r="B241" i="6"/>
  <c r="D238" i="6"/>
  <c r="D237" i="6"/>
  <c r="D236" i="6"/>
  <c r="D235" i="6"/>
  <c r="D234" i="6"/>
  <c r="D233" i="6"/>
  <c r="C233" i="6"/>
  <c r="F233" i="6" s="1"/>
  <c r="B233" i="6"/>
  <c r="F232" i="6"/>
  <c r="E232" i="6"/>
  <c r="D232" i="6"/>
  <c r="F231" i="6"/>
  <c r="E231" i="6"/>
  <c r="D231" i="6"/>
  <c r="F230" i="6"/>
  <c r="E230" i="6"/>
  <c r="D230" i="6"/>
  <c r="F229" i="6"/>
  <c r="E229" i="6"/>
  <c r="D229" i="6"/>
  <c r="F228" i="6"/>
  <c r="E228" i="6"/>
  <c r="D228" i="6"/>
  <c r="F227" i="6"/>
  <c r="E227" i="6"/>
  <c r="D227" i="6"/>
  <c r="C226" i="6"/>
  <c r="B226" i="6"/>
  <c r="D225" i="6"/>
  <c r="B223" i="6"/>
  <c r="D220" i="6"/>
  <c r="D219" i="6"/>
  <c r="D218" i="6"/>
  <c r="D217" i="6"/>
  <c r="D216" i="6"/>
  <c r="D215" i="6"/>
  <c r="C215" i="6"/>
  <c r="B215" i="6"/>
  <c r="F214" i="6"/>
  <c r="E214" i="6"/>
  <c r="D214" i="6"/>
  <c r="F213" i="6"/>
  <c r="E213" i="6"/>
  <c r="D213" i="6"/>
  <c r="F212" i="6"/>
  <c r="E212" i="6"/>
  <c r="D212" i="6"/>
  <c r="F211" i="6"/>
  <c r="E211" i="6"/>
  <c r="D211" i="6"/>
  <c r="F210" i="6"/>
  <c r="E210" i="6"/>
  <c r="D210" i="6"/>
  <c r="F209" i="6"/>
  <c r="E209" i="6"/>
  <c r="D209" i="6"/>
  <c r="C208" i="6"/>
  <c r="B208" i="6"/>
  <c r="D208" i="6" s="1"/>
  <c r="D207" i="6"/>
  <c r="B205" i="6"/>
  <c r="D196" i="6"/>
  <c r="D195" i="6"/>
  <c r="D194" i="6"/>
  <c r="D193" i="6"/>
  <c r="D192" i="6"/>
  <c r="F191" i="6"/>
  <c r="D191" i="6"/>
  <c r="E191" i="6" s="1"/>
  <c r="E190" i="6"/>
  <c r="D190" i="6"/>
  <c r="E189" i="6"/>
  <c r="D189" i="6"/>
  <c r="E188" i="6"/>
  <c r="D188" i="6"/>
  <c r="E187" i="6"/>
  <c r="D187" i="6"/>
  <c r="E186" i="6"/>
  <c r="D186" i="6"/>
  <c r="E185" i="6"/>
  <c r="D185" i="6"/>
  <c r="E184" i="6"/>
  <c r="D184" i="6"/>
  <c r="C182" i="6"/>
  <c r="B182" i="6"/>
  <c r="E179" i="6"/>
  <c r="D179" i="6"/>
  <c r="E178" i="6"/>
  <c r="D178" i="6"/>
  <c r="E177" i="6"/>
  <c r="D177" i="6"/>
  <c r="E176" i="6"/>
  <c r="D176" i="6"/>
  <c r="E175" i="6"/>
  <c r="D175" i="6"/>
  <c r="E174" i="6"/>
  <c r="D174" i="6"/>
  <c r="E173" i="6"/>
  <c r="D173" i="6"/>
  <c r="E172" i="6"/>
  <c r="D172" i="6"/>
  <c r="E171" i="6"/>
  <c r="D171" i="6"/>
  <c r="E170" i="6"/>
  <c r="D170" i="6"/>
  <c r="E169" i="6"/>
  <c r="D169" i="6"/>
  <c r="E168" i="6"/>
  <c r="D168" i="6"/>
  <c r="C166" i="6"/>
  <c r="B166" i="6"/>
  <c r="D153" i="6"/>
  <c r="C153" i="6"/>
  <c r="F153" i="6" s="1"/>
  <c r="B153" i="6"/>
  <c r="E153" i="6" s="1"/>
  <c r="F152" i="6"/>
  <c r="E152" i="6"/>
  <c r="D152" i="6"/>
  <c r="F151" i="6"/>
  <c r="E151" i="6"/>
  <c r="D151" i="6"/>
  <c r="F150" i="6"/>
  <c r="E150" i="6"/>
  <c r="D150" i="6"/>
  <c r="F149" i="6"/>
  <c r="E149" i="6"/>
  <c r="D149" i="6"/>
  <c r="F148" i="6"/>
  <c r="E148" i="6"/>
  <c r="D148" i="6"/>
  <c r="F147" i="6"/>
  <c r="E147" i="6"/>
  <c r="D147" i="6"/>
  <c r="E140" i="6"/>
  <c r="D140" i="6"/>
  <c r="C140" i="6"/>
  <c r="F140" i="6" s="1"/>
  <c r="B140" i="6"/>
  <c r="F139" i="6"/>
  <c r="D139" i="6"/>
  <c r="E139" i="6" s="1"/>
  <c r="F138" i="6"/>
  <c r="D138" i="6"/>
  <c r="E138" i="6" s="1"/>
  <c r="F137" i="6"/>
  <c r="D137" i="6"/>
  <c r="E137" i="6" s="1"/>
  <c r="F136" i="6"/>
  <c r="D136" i="6"/>
  <c r="E136" i="6" s="1"/>
  <c r="F135" i="6"/>
  <c r="D135" i="6"/>
  <c r="E135" i="6" s="1"/>
  <c r="F134" i="6"/>
  <c r="D134" i="6"/>
  <c r="E134" i="6" s="1"/>
  <c r="C127" i="6"/>
  <c r="B127" i="6"/>
  <c r="D126" i="6"/>
  <c r="D125" i="6"/>
  <c r="D124" i="6"/>
  <c r="D123" i="6"/>
  <c r="D122" i="6"/>
  <c r="D121" i="6"/>
  <c r="D17" i="6"/>
  <c r="G17" i="6" s="1"/>
  <c r="F16" i="6"/>
  <c r="D16" i="6"/>
  <c r="E16" i="6" s="1"/>
  <c r="C12" i="6"/>
  <c r="B12" i="6"/>
  <c r="D11" i="6"/>
  <c r="F11" i="6" s="1"/>
  <c r="F10" i="6"/>
  <c r="D10" i="6"/>
  <c r="E10" i="6" s="1"/>
  <c r="F9" i="6"/>
  <c r="E9" i="6"/>
  <c r="D9" i="6"/>
  <c r="E8" i="6"/>
  <c r="D8" i="6"/>
  <c r="F8" i="6" s="1"/>
  <c r="C111" i="6"/>
  <c r="C45" i="6"/>
  <c r="C28" i="6"/>
  <c r="C100" i="6"/>
  <c r="B102" i="6"/>
  <c r="B79" i="6"/>
  <c r="B46" i="6"/>
  <c r="B27" i="6"/>
  <c r="B76" i="6"/>
  <c r="B111" i="6"/>
  <c r="C25" i="6"/>
  <c r="C40" i="6"/>
  <c r="C97" i="6"/>
  <c r="B103" i="6"/>
  <c r="B83" i="6"/>
  <c r="B28" i="6"/>
  <c r="B31" i="6"/>
  <c r="C33" i="6"/>
  <c r="B96" i="6"/>
  <c r="B48" i="6"/>
  <c r="C51" i="6"/>
  <c r="C32" i="6"/>
  <c r="C82" i="6"/>
  <c r="C103" i="6"/>
  <c r="B77" i="6"/>
  <c r="B53" i="6"/>
  <c r="B45" i="6"/>
  <c r="C52" i="6"/>
  <c r="C98" i="6"/>
  <c r="B36" i="6"/>
  <c r="B97" i="6"/>
  <c r="B52" i="6"/>
  <c r="C30" i="6"/>
  <c r="B101" i="6"/>
  <c r="B35" i="6"/>
  <c r="C27" i="6"/>
  <c r="B30" i="6"/>
  <c r="C43" i="6"/>
  <c r="B99" i="6"/>
  <c r="B55" i="6"/>
  <c r="C44" i="6"/>
  <c r="C49" i="6"/>
  <c r="C26" i="6"/>
  <c r="B95" i="6"/>
  <c r="C89" i="6"/>
  <c r="B67" i="6"/>
  <c r="B70" i="6"/>
  <c r="C37" i="6"/>
  <c r="C80" i="6"/>
  <c r="C102" i="6"/>
  <c r="B92" i="6"/>
  <c r="C15" i="6"/>
  <c r="B40" i="6"/>
  <c r="B43" i="6"/>
  <c r="B51" i="6"/>
  <c r="C70" i="6"/>
  <c r="C41" i="6"/>
  <c r="C84" i="6"/>
  <c r="C99" i="6"/>
  <c r="B93" i="6"/>
  <c r="B15" i="6"/>
  <c r="B44" i="6"/>
  <c r="B25" i="6"/>
  <c r="C39" i="6"/>
  <c r="B94" i="6"/>
  <c r="B42" i="6"/>
  <c r="C46" i="6"/>
  <c r="C35" i="6"/>
  <c r="C73" i="6"/>
  <c r="B82" i="6"/>
  <c r="B38" i="6"/>
  <c r="B26" i="6"/>
  <c r="B81" i="6"/>
  <c r="C79" i="6"/>
  <c r="B54" i="6"/>
  <c r="B39" i="6"/>
  <c r="C83" i="6"/>
  <c r="B34" i="6"/>
  <c r="B50" i="6"/>
  <c r="C92" i="6"/>
  <c r="B29" i="6"/>
  <c r="C50" i="6"/>
  <c r="C34" i="6"/>
  <c r="C74" i="6"/>
  <c r="C94" i="6"/>
  <c r="B80" i="6"/>
  <c r="C55" i="6"/>
  <c r="B37" i="6"/>
  <c r="C36" i="6"/>
  <c r="B33" i="6"/>
  <c r="C54" i="6"/>
  <c r="C38" i="6"/>
  <c r="C78" i="6"/>
  <c r="C95" i="6"/>
  <c r="B84" i="6"/>
  <c r="B49" i="6"/>
  <c r="B41" i="6"/>
  <c r="C53" i="6"/>
  <c r="C81" i="6"/>
  <c r="B75" i="6"/>
  <c r="B89" i="6"/>
  <c r="C29" i="6"/>
  <c r="C42" i="6"/>
  <c r="C101" i="6"/>
  <c r="B98" i="6"/>
  <c r="B73" i="6"/>
  <c r="B32" i="6"/>
  <c r="C76" i="6"/>
  <c r="B100" i="6"/>
  <c r="B74" i="6"/>
  <c r="C93" i="6"/>
  <c r="C31" i="6"/>
  <c r="B78" i="6"/>
  <c r="C96" i="6"/>
  <c r="C77" i="6"/>
  <c r="C67" i="6"/>
  <c r="C75" i="6"/>
  <c r="C48" i="6"/>
  <c r="D67" i="6" l="1"/>
  <c r="F67" i="6" s="1"/>
  <c r="D81" i="6"/>
  <c r="E81" i="6" s="1"/>
  <c r="D101" i="6"/>
  <c r="E101" i="6" s="1"/>
  <c r="C141" i="6"/>
  <c r="C90" i="6"/>
  <c r="D52" i="6"/>
  <c r="F52" i="6" s="1"/>
  <c r="D53" i="6"/>
  <c r="F53" i="6" s="1"/>
  <c r="B85" i="6"/>
  <c r="B86" i="6" s="1"/>
  <c r="D73" i="6"/>
  <c r="F73" i="6" s="1"/>
  <c r="D82" i="6"/>
  <c r="E82" i="6" s="1"/>
  <c r="D77" i="6"/>
  <c r="F77" i="6" s="1"/>
  <c r="D95" i="6"/>
  <c r="E95" i="6" s="1"/>
  <c r="D98" i="6"/>
  <c r="E98" i="6" s="1"/>
  <c r="D97" i="6"/>
  <c r="E97" i="6" s="1"/>
  <c r="C104" i="6"/>
  <c r="C105" i="6" s="1"/>
  <c r="C85" i="6"/>
  <c r="C86" i="6" s="1"/>
  <c r="B141" i="6"/>
  <c r="B90" i="6"/>
  <c r="D89" i="6"/>
  <c r="F89" i="6" s="1"/>
  <c r="D48" i="6"/>
  <c r="F48" i="6" s="1"/>
  <c r="D50" i="6"/>
  <c r="F50" i="6" s="1"/>
  <c r="D75" i="6"/>
  <c r="F75" i="6" s="1"/>
  <c r="D94" i="6"/>
  <c r="E94" i="6" s="1"/>
  <c r="D96" i="6"/>
  <c r="E96" i="6" s="1"/>
  <c r="B47" i="6"/>
  <c r="B23" i="6" s="1"/>
  <c r="B24" i="6" s="1"/>
  <c r="D55" i="6"/>
  <c r="F55" i="6" s="1"/>
  <c r="D49" i="6"/>
  <c r="F49" i="6" s="1"/>
  <c r="B18" i="6"/>
  <c r="D15" i="6"/>
  <c r="D18" i="6" s="1"/>
  <c r="D83" i="6"/>
  <c r="F83" i="6" s="1"/>
  <c r="D78" i="6"/>
  <c r="F78" i="6" s="1"/>
  <c r="D84" i="6"/>
  <c r="F84" i="6" s="1"/>
  <c r="D93" i="6"/>
  <c r="E93" i="6" s="1"/>
  <c r="D103" i="6"/>
  <c r="E103" i="6" s="1"/>
  <c r="D99" i="6"/>
  <c r="E99" i="6" s="1"/>
  <c r="C287" i="6"/>
  <c r="C71" i="6"/>
  <c r="C128" i="6"/>
  <c r="C280" i="6"/>
  <c r="C271" i="6"/>
  <c r="D111" i="6"/>
  <c r="F111" i="6" s="1"/>
  <c r="B154" i="6"/>
  <c r="B112" i="6"/>
  <c r="D51" i="6"/>
  <c r="F51" i="6" s="1"/>
  <c r="D76" i="6"/>
  <c r="F76" i="6" s="1"/>
  <c r="D54" i="6"/>
  <c r="F54" i="6" s="1"/>
  <c r="C18" i="6"/>
  <c r="D79" i="6"/>
  <c r="F79" i="6" s="1"/>
  <c r="D74" i="6"/>
  <c r="F74" i="6" s="1"/>
  <c r="D80" i="6"/>
  <c r="F80" i="6" s="1"/>
  <c r="B104" i="6"/>
  <c r="B105" i="6" s="1"/>
  <c r="D92" i="6"/>
  <c r="E92" i="6" s="1"/>
  <c r="D102" i="6"/>
  <c r="E102" i="6" s="1"/>
  <c r="D100" i="6"/>
  <c r="E100" i="6" s="1"/>
  <c r="B71" i="6"/>
  <c r="D70" i="6"/>
  <c r="G168" i="6" s="1"/>
  <c r="C112" i="6"/>
  <c r="F103" i="6"/>
  <c r="C47" i="6"/>
  <c r="C23" i="6" s="1"/>
  <c r="C24" i="6" s="1"/>
  <c r="D34" i="6"/>
  <c r="D45" i="6"/>
  <c r="D41" i="6"/>
  <c r="D37" i="6"/>
  <c r="D33" i="6"/>
  <c r="D38" i="6"/>
  <c r="D44" i="6"/>
  <c r="D40" i="6"/>
  <c r="E40" i="6" s="1"/>
  <c r="D36" i="6"/>
  <c r="D32" i="6"/>
  <c r="D46" i="6"/>
  <c r="D42" i="6"/>
  <c r="D43" i="6"/>
  <c r="D39" i="6"/>
  <c r="D35" i="6"/>
  <c r="D31" i="6"/>
  <c r="D28" i="6"/>
  <c r="D27" i="6"/>
  <c r="D26" i="6"/>
  <c r="D29" i="6"/>
  <c r="D25" i="6"/>
  <c r="D30" i="6"/>
  <c r="F166" i="6"/>
  <c r="E182" i="6"/>
  <c r="F182" i="6"/>
  <c r="F193" i="6"/>
  <c r="E193" i="6"/>
  <c r="F236" i="6"/>
  <c r="E236" i="6"/>
  <c r="D270" i="6"/>
  <c r="F265" i="6"/>
  <c r="E265" i="6"/>
  <c r="F276" i="6"/>
  <c r="E276" i="6"/>
  <c r="F301" i="6"/>
  <c r="E301" i="6"/>
  <c r="F320" i="6"/>
  <c r="E320" i="6"/>
  <c r="G402" i="6"/>
  <c r="F402" i="6"/>
  <c r="E402" i="6"/>
  <c r="E11" i="6"/>
  <c r="D12" i="6"/>
  <c r="E17" i="6"/>
  <c r="E121" i="6"/>
  <c r="E122" i="6"/>
  <c r="E123" i="6"/>
  <c r="E124" i="6"/>
  <c r="E125" i="6"/>
  <c r="E126" i="6"/>
  <c r="C154" i="6"/>
  <c r="D166" i="6"/>
  <c r="B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D182" i="6"/>
  <c r="B183" i="6"/>
  <c r="F184" i="6"/>
  <c r="F185" i="6"/>
  <c r="F186" i="6"/>
  <c r="F187" i="6"/>
  <c r="F188" i="6"/>
  <c r="F189" i="6"/>
  <c r="F190" i="6"/>
  <c r="F216" i="6"/>
  <c r="E216" i="6"/>
  <c r="F220" i="6"/>
  <c r="E220" i="6"/>
  <c r="F225" i="6"/>
  <c r="E225" i="6"/>
  <c r="E233" i="6"/>
  <c r="F237" i="6"/>
  <c r="E237" i="6"/>
  <c r="F254" i="6"/>
  <c r="E254" i="6"/>
  <c r="F266" i="6"/>
  <c r="E266" i="6"/>
  <c r="E270" i="6"/>
  <c r="B271" i="6"/>
  <c r="F277" i="6"/>
  <c r="E277" i="6"/>
  <c r="F284" i="6"/>
  <c r="E284" i="6"/>
  <c r="F298" i="6"/>
  <c r="E298" i="6"/>
  <c r="F302" i="6"/>
  <c r="E302" i="6"/>
  <c r="F312" i="6"/>
  <c r="F315" i="6"/>
  <c r="E315" i="6"/>
  <c r="F343" i="6"/>
  <c r="E343" i="6"/>
  <c r="F347" i="6"/>
  <c r="E347" i="6"/>
  <c r="F378" i="6"/>
  <c r="E378" i="6"/>
  <c r="G477" i="6"/>
  <c r="F477" i="6"/>
  <c r="E477" i="6"/>
  <c r="B206" i="6"/>
  <c r="F219" i="6"/>
  <c r="E219" i="6"/>
  <c r="F253" i="6"/>
  <c r="E253" i="6"/>
  <c r="F269" i="6"/>
  <c r="E269" i="6"/>
  <c r="D286" i="6"/>
  <c r="F283" i="6"/>
  <c r="E283" i="6"/>
  <c r="F297" i="6"/>
  <c r="E297" i="6"/>
  <c r="F314" i="6"/>
  <c r="E314" i="6"/>
  <c r="F366" i="6"/>
  <c r="E366" i="6"/>
  <c r="B419" i="6"/>
  <c r="D418" i="6"/>
  <c r="F17" i="6"/>
  <c r="F121" i="6"/>
  <c r="F122" i="6"/>
  <c r="F123" i="6"/>
  <c r="F124" i="6"/>
  <c r="F125" i="6"/>
  <c r="F126" i="6"/>
  <c r="D127" i="6"/>
  <c r="E127" i="6" s="1"/>
  <c r="B128" i="6"/>
  <c r="C167" i="6"/>
  <c r="C183" i="6"/>
  <c r="F192" i="6"/>
  <c r="E192" i="6"/>
  <c r="F194" i="6"/>
  <c r="E194" i="6"/>
  <c r="F196" i="6"/>
  <c r="E196" i="6"/>
  <c r="F207" i="6"/>
  <c r="E207" i="6"/>
  <c r="E208" i="6"/>
  <c r="E215" i="6"/>
  <c r="F217" i="6"/>
  <c r="E217" i="6"/>
  <c r="B224" i="6"/>
  <c r="D226" i="6"/>
  <c r="E226" i="6" s="1"/>
  <c r="F234" i="6"/>
  <c r="E234" i="6"/>
  <c r="F238" i="6"/>
  <c r="E238" i="6"/>
  <c r="F243" i="6"/>
  <c r="E243" i="6"/>
  <c r="F255" i="6"/>
  <c r="E255" i="6"/>
  <c r="F267" i="6"/>
  <c r="E267" i="6"/>
  <c r="D279" i="6"/>
  <c r="F274" i="6"/>
  <c r="E274" i="6"/>
  <c r="F278" i="6"/>
  <c r="E278" i="6"/>
  <c r="F285" i="6"/>
  <c r="E285" i="6"/>
  <c r="F299" i="6"/>
  <c r="E299" i="6"/>
  <c r="E303" i="6"/>
  <c r="D303" i="6"/>
  <c r="B307" i="6"/>
  <c r="F316" i="6"/>
  <c r="E316" i="6"/>
  <c r="C380" i="6"/>
  <c r="D364" i="6"/>
  <c r="E364" i="6" s="1"/>
  <c r="G463" i="6"/>
  <c r="F463" i="6"/>
  <c r="E463" i="6"/>
  <c r="F195" i="6"/>
  <c r="E195" i="6"/>
  <c r="F208" i="6"/>
  <c r="F215" i="6"/>
  <c r="F218" i="6"/>
  <c r="E218" i="6"/>
  <c r="F235" i="6"/>
  <c r="E235" i="6"/>
  <c r="B242" i="6"/>
  <c r="E244" i="6"/>
  <c r="D244" i="6"/>
  <c r="F252" i="6"/>
  <c r="E252" i="6"/>
  <c r="F256" i="6"/>
  <c r="E256" i="6"/>
  <c r="F268" i="6"/>
  <c r="E268" i="6"/>
  <c r="F275" i="6"/>
  <c r="E275" i="6"/>
  <c r="E279" i="6"/>
  <c r="B280" i="6"/>
  <c r="E286" i="6"/>
  <c r="B287" i="6"/>
  <c r="G300" i="6"/>
  <c r="F300" i="6"/>
  <c r="E300" i="6"/>
  <c r="C323" i="6"/>
  <c r="E306" i="6"/>
  <c r="F313" i="6"/>
  <c r="E313" i="6"/>
  <c r="F326" i="6"/>
  <c r="E326" i="6"/>
  <c r="F330" i="6"/>
  <c r="E330" i="6"/>
  <c r="G428" i="6"/>
  <c r="F428" i="6"/>
  <c r="E428" i="6"/>
  <c r="G444" i="6"/>
  <c r="F444" i="6"/>
  <c r="E444" i="6"/>
  <c r="C205" i="6"/>
  <c r="D205" i="6" s="1"/>
  <c r="C223" i="6"/>
  <c r="C241" i="6"/>
  <c r="D241" i="6" s="1"/>
  <c r="F319" i="6"/>
  <c r="F327" i="6"/>
  <c r="E327" i="6"/>
  <c r="F331" i="6"/>
  <c r="E331" i="6"/>
  <c r="E335" i="6"/>
  <c r="F341" i="6"/>
  <c r="F344" i="6"/>
  <c r="E344" i="6"/>
  <c r="E348" i="6"/>
  <c r="D348" i="6"/>
  <c r="E361" i="6"/>
  <c r="F367" i="6"/>
  <c r="E367" i="6"/>
  <c r="G400" i="6"/>
  <c r="F400" i="6"/>
  <c r="E400" i="6"/>
  <c r="G416" i="6"/>
  <c r="F416" i="6"/>
  <c r="E416" i="6"/>
  <c r="F425" i="6"/>
  <c r="E425" i="6"/>
  <c r="G435" i="6"/>
  <c r="F435" i="6"/>
  <c r="E435" i="6"/>
  <c r="F440" i="6"/>
  <c r="E440" i="6"/>
  <c r="E450" i="6"/>
  <c r="E451" i="6" s="1"/>
  <c r="B451" i="6"/>
  <c r="D450" i="6"/>
  <c r="G461" i="6"/>
  <c r="F461" i="6"/>
  <c r="E461" i="6"/>
  <c r="G475" i="6"/>
  <c r="F475" i="6"/>
  <c r="E475" i="6"/>
  <c r="F321" i="6"/>
  <c r="E321" i="6"/>
  <c r="F328" i="6"/>
  <c r="E328" i="6"/>
  <c r="E332" i="6"/>
  <c r="D332" i="6"/>
  <c r="B336" i="6"/>
  <c r="E341" i="6"/>
  <c r="F345" i="6"/>
  <c r="E345" i="6"/>
  <c r="F362" i="6"/>
  <c r="E362" i="6"/>
  <c r="G397" i="6"/>
  <c r="F397" i="6"/>
  <c r="E397" i="6"/>
  <c r="E406" i="6"/>
  <c r="E407" i="6" s="1"/>
  <c r="B407" i="6"/>
  <c r="D406" i="6"/>
  <c r="G414" i="6"/>
  <c r="F414" i="6"/>
  <c r="E414" i="6"/>
  <c r="G433" i="6"/>
  <c r="F433" i="6"/>
  <c r="E433" i="6"/>
  <c r="G448" i="6"/>
  <c r="F448" i="6"/>
  <c r="E448" i="6"/>
  <c r="G458" i="6"/>
  <c r="F458" i="6"/>
  <c r="E458" i="6"/>
  <c r="G473" i="6"/>
  <c r="F473" i="6"/>
  <c r="E473" i="6"/>
  <c r="F329" i="6"/>
  <c r="E329" i="6"/>
  <c r="C352" i="6"/>
  <c r="F342" i="6"/>
  <c r="E342" i="6"/>
  <c r="F346" i="6"/>
  <c r="E346" i="6"/>
  <c r="B365" i="6"/>
  <c r="F363" i="6"/>
  <c r="E363" i="6"/>
  <c r="G392" i="6"/>
  <c r="F392" i="6"/>
  <c r="E392" i="6"/>
  <c r="G404" i="6"/>
  <c r="F404" i="6"/>
  <c r="E404" i="6"/>
  <c r="G412" i="6"/>
  <c r="F412" i="6"/>
  <c r="E412" i="6"/>
  <c r="G431" i="6"/>
  <c r="F431" i="6"/>
  <c r="E431" i="6"/>
  <c r="G446" i="6"/>
  <c r="F446" i="6"/>
  <c r="E446" i="6"/>
  <c r="G465" i="6"/>
  <c r="F465" i="6"/>
  <c r="E465" i="6"/>
  <c r="F470" i="6"/>
  <c r="E470" i="6"/>
  <c r="F361" i="6"/>
  <c r="F372" i="6"/>
  <c r="F377" i="6"/>
  <c r="F379" i="6"/>
  <c r="F390" i="6"/>
  <c r="F395" i="6"/>
  <c r="G398" i="6"/>
  <c r="F398" i="6"/>
  <c r="G401" i="6"/>
  <c r="F401" i="6"/>
  <c r="G403" i="6"/>
  <c r="F403" i="6"/>
  <c r="G405" i="6"/>
  <c r="F405" i="6"/>
  <c r="F406" i="6"/>
  <c r="F410" i="6"/>
  <c r="G413" i="6"/>
  <c r="F413" i="6"/>
  <c r="G415" i="6"/>
  <c r="F415" i="6"/>
  <c r="G417" i="6"/>
  <c r="F417" i="6"/>
  <c r="F418" i="6"/>
  <c r="F419" i="6" s="1"/>
  <c r="F424" i="6"/>
  <c r="G427" i="6"/>
  <c r="F427" i="6"/>
  <c r="G430" i="6"/>
  <c r="F430" i="6"/>
  <c r="G432" i="6"/>
  <c r="F432" i="6"/>
  <c r="G434" i="6"/>
  <c r="F434" i="6"/>
  <c r="B437" i="6"/>
  <c r="D436" i="6"/>
  <c r="E436" i="6" s="1"/>
  <c r="E437" i="6" s="1"/>
  <c r="G442" i="6"/>
  <c r="F442" i="6"/>
  <c r="G445" i="6"/>
  <c r="F445" i="6"/>
  <c r="G447" i="6"/>
  <c r="F447" i="6"/>
  <c r="G449" i="6"/>
  <c r="F449" i="6"/>
  <c r="F450" i="6"/>
  <c r="F451" i="6" s="1"/>
  <c r="F456" i="6"/>
  <c r="G460" i="6"/>
  <c r="F460" i="6"/>
  <c r="G462" i="6"/>
  <c r="F462" i="6"/>
  <c r="G464" i="6"/>
  <c r="F464" i="6"/>
  <c r="B467" i="6"/>
  <c r="D466" i="6"/>
  <c r="E466" i="6" s="1"/>
  <c r="E467" i="6" s="1"/>
  <c r="G472" i="6"/>
  <c r="F472" i="6"/>
  <c r="G474" i="6"/>
  <c r="F474" i="6"/>
  <c r="G476" i="6"/>
  <c r="F476" i="6"/>
  <c r="E478" i="6"/>
  <c r="E479" i="6" s="1"/>
  <c r="B479" i="6"/>
  <c r="D478" i="6"/>
  <c r="D370" i="6"/>
  <c r="E370" i="6" s="1"/>
  <c r="G346" i="6" l="1"/>
  <c r="E75" i="6"/>
  <c r="G369" i="6"/>
  <c r="G470" i="6"/>
  <c r="G331" i="6"/>
  <c r="G134" i="6"/>
  <c r="G424" i="6"/>
  <c r="G337" i="6"/>
  <c r="G375" i="6"/>
  <c r="G50" i="6"/>
  <c r="G185" i="6"/>
  <c r="G349" i="6"/>
  <c r="G246" i="6"/>
  <c r="F183" i="6"/>
  <c r="G25" i="6"/>
  <c r="G28" i="6"/>
  <c r="G43" i="6"/>
  <c r="G36" i="6"/>
  <c r="G33" i="6"/>
  <c r="G34" i="6"/>
  <c r="G190" i="6"/>
  <c r="G379" i="6"/>
  <c r="G194" i="6"/>
  <c r="G245" i="6"/>
  <c r="G373" i="6"/>
  <c r="G193" i="6"/>
  <c r="E50" i="6"/>
  <c r="G179" i="6"/>
  <c r="G136" i="6"/>
  <c r="G210" i="6"/>
  <c r="G317" i="6"/>
  <c r="E84" i="6"/>
  <c r="G169" i="6"/>
  <c r="G285" i="6"/>
  <c r="G302" i="6"/>
  <c r="G225" i="6"/>
  <c r="G301" i="6"/>
  <c r="G208" i="6"/>
  <c r="D104" i="6"/>
  <c r="G99" i="6" s="1"/>
  <c r="G123" i="6"/>
  <c r="G217" i="6"/>
  <c r="G297" i="6"/>
  <c r="G283" i="6"/>
  <c r="G306" i="6"/>
  <c r="G231" i="6"/>
  <c r="G308" i="6"/>
  <c r="D85" i="6"/>
  <c r="G85" i="6" s="1"/>
  <c r="G395" i="6"/>
  <c r="G26" i="6"/>
  <c r="G35" i="6"/>
  <c r="G46" i="6"/>
  <c r="G44" i="6"/>
  <c r="G41" i="6"/>
  <c r="E55" i="6"/>
  <c r="F81" i="6"/>
  <c r="G377" i="6"/>
  <c r="E52" i="6"/>
  <c r="E83" i="6"/>
  <c r="G178" i="6"/>
  <c r="G368" i="6"/>
  <c r="G342" i="6"/>
  <c r="G329" i="6"/>
  <c r="G341" i="6"/>
  <c r="G252" i="6"/>
  <c r="G333" i="6"/>
  <c r="G358" i="6"/>
  <c r="G254" i="6"/>
  <c r="E67" i="6"/>
  <c r="G186" i="6"/>
  <c r="G189" i="6"/>
  <c r="G372" i="6"/>
  <c r="G345" i="6"/>
  <c r="G328" i="6"/>
  <c r="G344" i="6"/>
  <c r="G330" i="6"/>
  <c r="G339" i="6"/>
  <c r="G251" i="6"/>
  <c r="G347" i="6"/>
  <c r="D183" i="6"/>
  <c r="D141" i="6"/>
  <c r="F101" i="6"/>
  <c r="G135" i="6"/>
  <c r="G195" i="6"/>
  <c r="G235" i="6"/>
  <c r="G218" i="6"/>
  <c r="G316" i="6"/>
  <c r="G299" i="6"/>
  <c r="F70" i="6"/>
  <c r="F167" i="6" s="1"/>
  <c r="G314" i="6"/>
  <c r="G219" i="6"/>
  <c r="G315" i="6"/>
  <c r="G304" i="6"/>
  <c r="G277" i="6"/>
  <c r="G237" i="6"/>
  <c r="G227" i="6"/>
  <c r="D71" i="6"/>
  <c r="G320" i="6"/>
  <c r="G305" i="6"/>
  <c r="G318" i="6"/>
  <c r="E54" i="6"/>
  <c r="G177" i="6"/>
  <c r="G124" i="6"/>
  <c r="G174" i="6"/>
  <c r="G126" i="6"/>
  <c r="G313" i="6"/>
  <c r="G268" i="6"/>
  <c r="G216" i="6"/>
  <c r="E70" i="6"/>
  <c r="E280" i="6" s="1"/>
  <c r="G236" i="6"/>
  <c r="G319" i="6"/>
  <c r="E79" i="6"/>
  <c r="G175" i="6"/>
  <c r="G125" i="6"/>
  <c r="G172" i="6"/>
  <c r="G122" i="6"/>
  <c r="G390" i="6"/>
  <c r="G229" i="6"/>
  <c r="G207" i="6"/>
  <c r="G312" i="6"/>
  <c r="G267" i="6"/>
  <c r="G234" i="6"/>
  <c r="G211" i="6"/>
  <c r="G228" i="6"/>
  <c r="G213" i="6"/>
  <c r="G284" i="6"/>
  <c r="G266" i="6"/>
  <c r="G309" i="6"/>
  <c r="G275" i="6"/>
  <c r="G214" i="6"/>
  <c r="G310" i="6"/>
  <c r="G278" i="6"/>
  <c r="G274" i="6"/>
  <c r="G238" i="6"/>
  <c r="G230" i="6"/>
  <c r="G269" i="6"/>
  <c r="G209" i="6"/>
  <c r="G311" i="6"/>
  <c r="G298" i="6"/>
  <c r="G233" i="6"/>
  <c r="G220" i="6"/>
  <c r="G212" i="6"/>
  <c r="D167" i="6"/>
  <c r="G276" i="6"/>
  <c r="G265" i="6"/>
  <c r="G215" i="6"/>
  <c r="G232" i="6"/>
  <c r="E48" i="6"/>
  <c r="E51" i="6"/>
  <c r="F95" i="6"/>
  <c r="F96" i="6"/>
  <c r="G171" i="6"/>
  <c r="G121" i="6"/>
  <c r="G170" i="6"/>
  <c r="G367" i="6"/>
  <c r="G327" i="6"/>
  <c r="G326" i="6"/>
  <c r="G192" i="6"/>
  <c r="G338" i="6"/>
  <c r="G350" i="6"/>
  <c r="G249" i="6"/>
  <c r="G243" i="6"/>
  <c r="G356" i="6"/>
  <c r="G343" i="6"/>
  <c r="G250" i="6"/>
  <c r="G191" i="6"/>
  <c r="G51" i="6"/>
  <c r="E77" i="6"/>
  <c r="F99" i="6"/>
  <c r="G137" i="6"/>
  <c r="G187" i="6"/>
  <c r="G184" i="6"/>
  <c r="G139" i="6"/>
  <c r="G140" i="6"/>
  <c r="G362" i="6"/>
  <c r="G361" i="6"/>
  <c r="G335" i="6"/>
  <c r="G256" i="6"/>
  <c r="G248" i="6"/>
  <c r="G196" i="6"/>
  <c r="G334" i="6"/>
  <c r="G340" i="6"/>
  <c r="G255" i="6"/>
  <c r="D154" i="6"/>
  <c r="G360" i="6"/>
  <c r="G366" i="6"/>
  <c r="G253" i="6"/>
  <c r="E53" i="6"/>
  <c r="D90" i="6"/>
  <c r="F15" i="6"/>
  <c r="G138" i="6"/>
  <c r="G188" i="6"/>
  <c r="G247" i="6"/>
  <c r="E89" i="6"/>
  <c r="E183" i="6" s="1"/>
  <c r="G148" i="6"/>
  <c r="G410" i="6"/>
  <c r="G363" i="6"/>
  <c r="G440" i="6"/>
  <c r="G355" i="6"/>
  <c r="G359" i="6"/>
  <c r="G376" i="6"/>
  <c r="G378" i="6"/>
  <c r="E49" i="6"/>
  <c r="G53" i="6"/>
  <c r="G48" i="6"/>
  <c r="E76" i="6"/>
  <c r="F94" i="6"/>
  <c r="F102" i="6"/>
  <c r="G149" i="6"/>
  <c r="G150" i="6"/>
  <c r="G456" i="6"/>
  <c r="G425" i="6"/>
  <c r="G371" i="6"/>
  <c r="G357" i="6"/>
  <c r="G374" i="6"/>
  <c r="G30" i="6"/>
  <c r="G27" i="6"/>
  <c r="G39" i="6"/>
  <c r="G32" i="6"/>
  <c r="G38" i="6"/>
  <c r="G45" i="6"/>
  <c r="G49" i="6"/>
  <c r="E15" i="6"/>
  <c r="E78" i="6"/>
  <c r="G152" i="6"/>
  <c r="G151" i="6"/>
  <c r="E80" i="6"/>
  <c r="E74" i="6"/>
  <c r="F93" i="6"/>
  <c r="G153" i="6"/>
  <c r="E111" i="6"/>
  <c r="G321" i="6"/>
  <c r="G29" i="6"/>
  <c r="G31" i="6"/>
  <c r="G42" i="6"/>
  <c r="G40" i="6"/>
  <c r="G37" i="6"/>
  <c r="G55" i="6"/>
  <c r="G52" i="6"/>
  <c r="G54" i="6"/>
  <c r="E73" i="6"/>
  <c r="F82" i="6"/>
  <c r="F92" i="6"/>
  <c r="F97" i="6"/>
  <c r="F98" i="6"/>
  <c r="G173" i="6"/>
  <c r="G176" i="6"/>
  <c r="F100" i="6"/>
  <c r="G147" i="6"/>
  <c r="D112" i="6"/>
  <c r="G104" i="6"/>
  <c r="G103" i="6"/>
  <c r="G96" i="6"/>
  <c r="G92" i="6"/>
  <c r="G93" i="6"/>
  <c r="G102" i="6"/>
  <c r="E104" i="6"/>
  <c r="D105" i="6"/>
  <c r="E45" i="6"/>
  <c r="E43" i="6"/>
  <c r="E31" i="6"/>
  <c r="F42" i="6"/>
  <c r="F37" i="6"/>
  <c r="E42" i="6"/>
  <c r="F31" i="6"/>
  <c r="G83" i="6"/>
  <c r="G76" i="6"/>
  <c r="G77" i="6"/>
  <c r="G79" i="6"/>
  <c r="G84" i="6"/>
  <c r="F85" i="6"/>
  <c r="E85" i="6"/>
  <c r="F39" i="6"/>
  <c r="F45" i="6"/>
  <c r="F38" i="6"/>
  <c r="F32" i="6"/>
  <c r="F34" i="6"/>
  <c r="F43" i="6"/>
  <c r="F33" i="6"/>
  <c r="F35" i="6"/>
  <c r="F26" i="6"/>
  <c r="E30" i="6"/>
  <c r="F30" i="6"/>
  <c r="F44" i="6"/>
  <c r="F28" i="6"/>
  <c r="E35" i="6"/>
  <c r="E46" i="6"/>
  <c r="E25" i="6"/>
  <c r="F46" i="6"/>
  <c r="F40" i="6"/>
  <c r="E37" i="6"/>
  <c r="E44" i="6"/>
  <c r="F27" i="6"/>
  <c r="F25" i="6"/>
  <c r="E27" i="6"/>
  <c r="F41" i="6"/>
  <c r="E36" i="6"/>
  <c r="F36" i="6"/>
  <c r="E41" i="6"/>
  <c r="E32" i="6"/>
  <c r="E33" i="6"/>
  <c r="E34" i="6"/>
  <c r="E39" i="6"/>
  <c r="E38" i="6"/>
  <c r="E29" i="6"/>
  <c r="F29" i="6"/>
  <c r="D23" i="6"/>
  <c r="D24" i="6" s="1"/>
  <c r="E26" i="6"/>
  <c r="E28" i="6"/>
  <c r="D47" i="6"/>
  <c r="G47" i="6" s="1"/>
  <c r="D206" i="6"/>
  <c r="E205" i="6"/>
  <c r="D242" i="6"/>
  <c r="E241" i="6"/>
  <c r="F407" i="6"/>
  <c r="G332" i="6"/>
  <c r="F332" i="6"/>
  <c r="G348" i="6"/>
  <c r="F348" i="6"/>
  <c r="C224" i="6"/>
  <c r="E307" i="6"/>
  <c r="D307" i="6"/>
  <c r="B322" i="6"/>
  <c r="G418" i="6"/>
  <c r="G419" i="6" s="1"/>
  <c r="D419" i="6"/>
  <c r="G370" i="6"/>
  <c r="F370" i="6"/>
  <c r="C242" i="6"/>
  <c r="F241" i="6"/>
  <c r="F242" i="6" s="1"/>
  <c r="D479" i="6"/>
  <c r="G478" i="6"/>
  <c r="G479" i="6" s="1"/>
  <c r="F478" i="6"/>
  <c r="F479" i="6" s="1"/>
  <c r="B380" i="6"/>
  <c r="D365" i="6"/>
  <c r="E365" i="6" s="1"/>
  <c r="G406" i="6"/>
  <c r="G407" i="6" s="1"/>
  <c r="D407" i="6"/>
  <c r="G450" i="6"/>
  <c r="G451" i="6" s="1"/>
  <c r="D451" i="6"/>
  <c r="C206" i="6"/>
  <c r="F205" i="6"/>
  <c r="C381" i="6"/>
  <c r="G303" i="6"/>
  <c r="F303" i="6"/>
  <c r="D223" i="6"/>
  <c r="G270" i="6"/>
  <c r="G271" i="6" s="1"/>
  <c r="F270" i="6"/>
  <c r="D271" i="6"/>
  <c r="B351" i="6"/>
  <c r="D336" i="6"/>
  <c r="G364" i="6"/>
  <c r="F364" i="6"/>
  <c r="G226" i="6"/>
  <c r="F226" i="6"/>
  <c r="D467" i="6"/>
  <c r="G466" i="6"/>
  <c r="G467" i="6" s="1"/>
  <c r="F466" i="6"/>
  <c r="F467" i="6" s="1"/>
  <c r="D437" i="6"/>
  <c r="G436" i="6"/>
  <c r="G437" i="6" s="1"/>
  <c r="F436" i="6"/>
  <c r="F437" i="6" s="1"/>
  <c r="G244" i="6"/>
  <c r="G241" i="6" s="1"/>
  <c r="G242" i="6" s="1"/>
  <c r="F244" i="6"/>
  <c r="G279" i="6"/>
  <c r="G280" i="6" s="1"/>
  <c r="D280" i="6"/>
  <c r="F279" i="6"/>
  <c r="F127" i="6"/>
  <c r="D128" i="6"/>
  <c r="G127" i="6"/>
  <c r="E418" i="6"/>
  <c r="E419" i="6" s="1"/>
  <c r="G286" i="6"/>
  <c r="G287" i="6" s="1"/>
  <c r="D287" i="6"/>
  <c r="F286" i="6"/>
  <c r="E166" i="6"/>
  <c r="F280" i="6" l="1"/>
  <c r="G223" i="6"/>
  <c r="G224" i="6" s="1"/>
  <c r="E167" i="6"/>
  <c r="F206" i="6"/>
  <c r="E206" i="6"/>
  <c r="G75" i="6"/>
  <c r="G80" i="6"/>
  <c r="G74" i="6"/>
  <c r="G81" i="6"/>
  <c r="G94" i="6"/>
  <c r="G97" i="6"/>
  <c r="G100" i="6"/>
  <c r="G95" i="6"/>
  <c r="G73" i="6"/>
  <c r="G82" i="6"/>
  <c r="D86" i="6"/>
  <c r="G78" i="6"/>
  <c r="F104" i="6"/>
  <c r="G98" i="6"/>
  <c r="G101" i="6"/>
  <c r="F287" i="6"/>
  <c r="F271" i="6"/>
  <c r="E287" i="6"/>
  <c r="G205" i="6"/>
  <c r="G206" i="6" s="1"/>
  <c r="E242" i="6"/>
  <c r="G182" i="6"/>
  <c r="G183" i="6" s="1"/>
  <c r="E271" i="6"/>
  <c r="G23" i="6"/>
  <c r="G24" i="6" s="1"/>
  <c r="G166" i="6"/>
  <c r="G167" i="6" s="1"/>
  <c r="F23" i="6"/>
  <c r="F24" i="6" s="1"/>
  <c r="E47" i="6"/>
  <c r="F47" i="6"/>
  <c r="E23" i="6"/>
  <c r="E24" i="6" s="1"/>
  <c r="D224" i="6"/>
  <c r="E223" i="6"/>
  <c r="E224" i="6" s="1"/>
  <c r="E351" i="6"/>
  <c r="E352" i="6" s="1"/>
  <c r="B352" i="6"/>
  <c r="D351" i="6"/>
  <c r="B323" i="6"/>
  <c r="D322" i="6"/>
  <c r="E322" i="6"/>
  <c r="E323" i="6" s="1"/>
  <c r="G365" i="6"/>
  <c r="F365" i="6"/>
  <c r="G336" i="6"/>
  <c r="F336" i="6"/>
  <c r="B381" i="6"/>
  <c r="D380" i="6"/>
  <c r="F223" i="6"/>
  <c r="F224" i="6" s="1"/>
  <c r="E336" i="6"/>
  <c r="G307" i="6"/>
  <c r="F307" i="6"/>
  <c r="G380" i="6" l="1"/>
  <c r="G381" i="6" s="1"/>
  <c r="D381" i="6"/>
  <c r="F380" i="6"/>
  <c r="F381" i="6" s="1"/>
  <c r="G322" i="6"/>
  <c r="G323" i="6" s="1"/>
  <c r="D323" i="6"/>
  <c r="F322" i="6"/>
  <c r="F323" i="6" s="1"/>
  <c r="E380" i="6"/>
  <c r="E381" i="6" s="1"/>
  <c r="G351" i="6"/>
  <c r="G352" i="6" s="1"/>
  <c r="D352" i="6"/>
  <c r="F351" i="6"/>
  <c r="F352" i="6" s="1"/>
  <c r="I56" i="1" l="1"/>
  <c r="I57" i="1"/>
  <c r="I58" i="1"/>
  <c r="I59" i="1"/>
  <c r="I60" i="1"/>
  <c r="I61" i="1"/>
  <c r="I62" i="1"/>
  <c r="I63" i="1"/>
  <c r="I64" i="1"/>
  <c r="I3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4" i="1"/>
</calcChain>
</file>

<file path=xl/comments1.xml><?xml version="1.0" encoding="utf-8"?>
<comments xmlns="http://schemas.openxmlformats.org/spreadsheetml/2006/main">
  <authors>
    <author>Gaetan</author>
  </authors>
  <commentList>
    <comment ref="L41" authorId="0" shapeId="0">
      <text>
        <r>
          <rPr>
            <b/>
            <sz val="9"/>
            <color indexed="81"/>
            <rFont val="Tahoma"/>
            <family val="2"/>
          </rPr>
          <t>Gaetan:</t>
        </r>
        <r>
          <rPr>
            <sz val="9"/>
            <color indexed="81"/>
            <rFont val="Tahoma"/>
            <family val="2"/>
          </rPr>
          <t xml:space="preserve">
DAP</t>
        </r>
      </text>
    </comment>
    <comment ref="L43" authorId="0" shapeId="0">
      <text>
        <r>
          <rPr>
            <b/>
            <sz val="9"/>
            <color indexed="81"/>
            <rFont val="Tahoma"/>
            <family val="2"/>
          </rPr>
          <t>Gaetan:</t>
        </r>
        <r>
          <rPr>
            <sz val="9"/>
            <color indexed="81"/>
            <rFont val="Tahoma"/>
            <family val="2"/>
          </rPr>
          <t xml:space="preserve">
DAP</t>
        </r>
      </text>
    </comment>
    <comment ref="L44" authorId="0" shapeId="0">
      <text>
        <r>
          <rPr>
            <b/>
            <sz val="9"/>
            <color indexed="81"/>
            <rFont val="Tahoma"/>
            <family val="2"/>
          </rPr>
          <t>Gaetan:</t>
        </r>
        <r>
          <rPr>
            <sz val="9"/>
            <color indexed="81"/>
            <rFont val="Tahoma"/>
            <family val="2"/>
          </rPr>
          <t xml:space="preserve">
DAP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C182" authorId="0" shapeId="0">
      <text>
        <r>
          <rPr>
            <b/>
            <sz val="9"/>
            <color indexed="81"/>
            <rFont val="Tahoma"/>
            <family val="2"/>
          </rPr>
          <t>Auteur:
Fomule fausse</t>
        </r>
      </text>
    </comment>
  </commentList>
</comments>
</file>

<file path=xl/sharedStrings.xml><?xml version="1.0" encoding="utf-8"?>
<sst xmlns="http://schemas.openxmlformats.org/spreadsheetml/2006/main" count="1203" uniqueCount="367">
  <si>
    <t>Nom</t>
  </si>
  <si>
    <t>Prénom</t>
  </si>
  <si>
    <t>Service</t>
  </si>
  <si>
    <t>Date naiss</t>
  </si>
  <si>
    <t>Date entrée</t>
  </si>
  <si>
    <t>Date sortie</t>
  </si>
  <si>
    <t>Genre</t>
  </si>
  <si>
    <t>CDAS</t>
  </si>
  <si>
    <t>Age arrivée</t>
  </si>
  <si>
    <t>Age départ</t>
  </si>
  <si>
    <t>Clé primaire</t>
  </si>
  <si>
    <t>E1 Condition hébergement immédiatement antérieur admission</t>
  </si>
  <si>
    <t>B3 Origine territoriale demande admission effective</t>
  </si>
  <si>
    <t>E2 Condition hébergement sortie du service</t>
  </si>
  <si>
    <t>F1 mesure à l'admission dans le service</t>
  </si>
  <si>
    <t>F2 Mesure antérieure à l'admission dans le service</t>
  </si>
  <si>
    <t>F3 Mesure à la sortie du service</t>
  </si>
  <si>
    <t>G1 Autorité parentale</t>
  </si>
  <si>
    <t>G2 Situation familiale</t>
  </si>
  <si>
    <t>G3 Situation professionnelle des parents</t>
  </si>
  <si>
    <t>H1 Scolarité / activité a l'admission</t>
  </si>
  <si>
    <t>H2 Scolarité / activité à la sortie</t>
  </si>
  <si>
    <t>H3 Scolarité / activité au 31/12/N</t>
  </si>
  <si>
    <t>Accueil de jour</t>
  </si>
  <si>
    <t>Oui</t>
  </si>
  <si>
    <t>Internat</t>
  </si>
  <si>
    <t>Non</t>
  </si>
  <si>
    <t>Garçon</t>
  </si>
  <si>
    <t>Dispositif alternatif au placement</t>
  </si>
  <si>
    <t>Mixte</t>
  </si>
  <si>
    <t>Service d'accompagnement progressif</t>
  </si>
  <si>
    <t>Action éducative à domicile</t>
  </si>
  <si>
    <t>Action éducative à domicile renforcée</t>
  </si>
  <si>
    <t>Action éducative en milieu ouvert</t>
  </si>
  <si>
    <t>Action éducative en milieu ouvert renforcée</t>
  </si>
  <si>
    <t>Evaluation éducative contractuelle</t>
  </si>
  <si>
    <t>TISF</t>
  </si>
  <si>
    <t>AVS</t>
  </si>
  <si>
    <t>Pouponnière</t>
  </si>
  <si>
    <t>Accueil familial d'urgence</t>
  </si>
  <si>
    <t>Accueil familial spécialisé</t>
  </si>
  <si>
    <t>Espace rencontre parents enfant</t>
  </si>
  <si>
    <t>Centre parental</t>
  </si>
  <si>
    <t>Accueil parental</t>
  </si>
  <si>
    <t>Lieu de vie</t>
  </si>
  <si>
    <t>Séjour de rupture</t>
  </si>
  <si>
    <t>Ateliers pédagogique</t>
  </si>
  <si>
    <t>Prévention spécialisée</t>
  </si>
  <si>
    <t>Dispositif jeunes à problématiques multiples</t>
  </si>
  <si>
    <t>Service MNA Unité d'accueil et d'accompagnement</t>
  </si>
  <si>
    <t>Service MNA semi-autonome</t>
  </si>
  <si>
    <t>Service autonome</t>
  </si>
  <si>
    <t>Autre</t>
  </si>
  <si>
    <t>CDAS de Saint Malo</t>
  </si>
  <si>
    <t>CDAS Pays Malouin</t>
  </si>
  <si>
    <t>CDAS de la Baie</t>
  </si>
  <si>
    <t>CDAS Pays de Combourg</t>
  </si>
  <si>
    <t>CDAS des Marches de Bretagne</t>
  </si>
  <si>
    <t>CDAS Pays de Fougères</t>
  </si>
  <si>
    <t>CDAS Pays de Vitré</t>
  </si>
  <si>
    <t>CDAS Pays de la Roche aux Fées</t>
  </si>
  <si>
    <t>CDAS du Semnon</t>
  </si>
  <si>
    <t>CDAS Pays de Guichen</t>
  </si>
  <si>
    <t>CAD Pays de Redon</t>
  </si>
  <si>
    <t>CDAS Pays de Brocéliande</t>
  </si>
  <si>
    <t>CDAS Couronne Rennaise Nord Ouest</t>
  </si>
  <si>
    <t>CDAS Saint Aubin d'Aubigné</t>
  </si>
  <si>
    <t>CDAS Couronne Rennaise Est</t>
  </si>
  <si>
    <t>CDAS Couronne Rennaise Sud</t>
  </si>
  <si>
    <t>CDAS Rennes Villejean Saint-Martin</t>
  </si>
  <si>
    <t>CDAS Rennes Maurepas Patton</t>
  </si>
  <si>
    <t>CDAS Rennes Le Blosne Francisco Ferrer</t>
  </si>
  <si>
    <t>CDAS Rennes Champs Manceaux</t>
  </si>
  <si>
    <t>CDAS Rennes Cleunay Saint Cyr</t>
  </si>
  <si>
    <t>CDAS Rennes Centre Kléber</t>
  </si>
  <si>
    <t>Mission mineurs non accompagnés</t>
  </si>
  <si>
    <t>Département des Côtes d'Armor</t>
  </si>
  <si>
    <t>Département du Morbihan</t>
  </si>
  <si>
    <t>Département de Loire-Atlantique</t>
  </si>
  <si>
    <t>Département du Finistère</t>
  </si>
  <si>
    <t>Département de la Manche</t>
  </si>
  <si>
    <t>Département de la Mayenne</t>
  </si>
  <si>
    <t>Autre département</t>
  </si>
  <si>
    <t>OUI NON</t>
  </si>
  <si>
    <t>F Mesures</t>
  </si>
  <si>
    <t>Absence de mesure</t>
  </si>
  <si>
    <t>Accueil provisoire</t>
  </si>
  <si>
    <t>APJM</t>
  </si>
  <si>
    <t>Pupilles</t>
  </si>
  <si>
    <t>Milieu ouvert contractuel</t>
  </si>
  <si>
    <t>TISF / AVS</t>
  </si>
  <si>
    <t>Admission centre parental</t>
  </si>
  <si>
    <t>Placement en assistance éducative</t>
  </si>
  <si>
    <t>Ordonnance 45</t>
  </si>
  <si>
    <t>Placement direct</t>
  </si>
  <si>
    <t>Milieu ouvert judiciaire</t>
  </si>
  <si>
    <t>G. 1 Autorité parentale</t>
  </si>
  <si>
    <t>Autorité parentale attribuée aux 2 parents</t>
  </si>
  <si>
    <t>Autorité parentale attribuée à un seul parent</t>
  </si>
  <si>
    <t>Autorité parentale attribuée à un établissement (Département, Etat)</t>
  </si>
  <si>
    <t>Autorité parentale attribuée à un tiers</t>
  </si>
  <si>
    <t>Ne sait pas</t>
  </si>
  <si>
    <t>G. 2 Situation familiale</t>
  </si>
  <si>
    <t>Deux parents vivant ensemble</t>
  </si>
  <si>
    <t>Parents séparés</t>
  </si>
  <si>
    <t>Un parent</t>
  </si>
  <si>
    <t>Pas de parent présent</t>
  </si>
  <si>
    <t>G. 3 Situation professionnelle des parents</t>
  </si>
  <si>
    <t>Au moins un des deux parents en activité</t>
  </si>
  <si>
    <t>Deux parents sans activité</t>
  </si>
  <si>
    <t>Jeune enfant non scolarisé (moins de 3 ans)</t>
  </si>
  <si>
    <t>Ecole pré-élémentaire et élémentaire</t>
  </si>
  <si>
    <t>Collège</t>
  </si>
  <si>
    <t>Lycée d'enseignement général et technologique</t>
  </si>
  <si>
    <t>Lycée professionnel</t>
  </si>
  <si>
    <t>Enseignement supérieur (post-bac : BTS, IUT, université, …)</t>
  </si>
  <si>
    <t>Dispositif scolaire spécifique en milieu ordinaire (SEGPA, ULIS)</t>
  </si>
  <si>
    <t>Dispositif scolaire en établissement sanitaire médico social (IME, ITEP, …)</t>
  </si>
  <si>
    <t>Mineurs ou jeunes majeurs déscolarisés</t>
  </si>
  <si>
    <t>Formation en alternance</t>
  </si>
  <si>
    <t>Contrat d'apprentissage</t>
  </si>
  <si>
    <t>Stagiaire non rémunéré</t>
  </si>
  <si>
    <t>Emploi aidé</t>
  </si>
  <si>
    <t>Emploi à durée limitée (CDD, contrat court, saisonnier, vacataire, …)</t>
  </si>
  <si>
    <t>Emploi sans limite de durée (CDI, titulaire de la fonction publique, …)</t>
  </si>
  <si>
    <t>Non salarié (indépendant, employeur, aidant un membre de sa famille)</t>
  </si>
  <si>
    <t>Autre actif occupé sans précision</t>
  </si>
  <si>
    <t>Au chômage</t>
  </si>
  <si>
    <t>Sans activité (inactif, parent au foyer, …)</t>
  </si>
  <si>
    <r>
      <t xml:space="preserve">H. 1 Scolarité / activité des mineurs et jeunes majeurs </t>
    </r>
    <r>
      <rPr>
        <b/>
        <u/>
        <sz val="9"/>
        <rFont val="Arial"/>
        <family val="2"/>
      </rPr>
      <t>à l'admission</t>
    </r>
  </si>
  <si>
    <t>Panorama</t>
  </si>
  <si>
    <t>Appartements de proximité</t>
  </si>
  <si>
    <t>Horizon</t>
  </si>
  <si>
    <t>DAP</t>
  </si>
  <si>
    <t>MEP</t>
  </si>
  <si>
    <t>Fille</t>
  </si>
  <si>
    <t>E. 1 Condition d'hébergement immédiatement antérieur à l'admission</t>
  </si>
  <si>
    <t>Chez le(s) parent(s)</t>
  </si>
  <si>
    <t>Tiers digne de confiance / Entourage de l'enfant / Famille</t>
  </si>
  <si>
    <t>Assistant familial</t>
  </si>
  <si>
    <t>Autre service de l'établissement</t>
  </si>
  <si>
    <t>Autre établissement ASE</t>
  </si>
  <si>
    <t>PJJ</t>
  </si>
  <si>
    <t>Médico social (IME, ITEP, …)</t>
  </si>
  <si>
    <t>Sanitaire (hospitalisation)</t>
  </si>
  <si>
    <t>Errance</t>
  </si>
  <si>
    <t>Hôtel</t>
  </si>
  <si>
    <t>Foyer Jeune Travailleur</t>
  </si>
  <si>
    <t>(Tous)</t>
  </si>
  <si>
    <t>Étiquettes de lignes</t>
  </si>
  <si>
    <t>Total général</t>
  </si>
  <si>
    <t>Nombre de Nom</t>
  </si>
  <si>
    <t>Étiquettes de colonnes</t>
  </si>
  <si>
    <t>(vide)</t>
  </si>
  <si>
    <t>NOM DU SERVICE :</t>
  </si>
  <si>
    <t>ACTIVITE DU SERVICE :</t>
  </si>
  <si>
    <t>???</t>
  </si>
  <si>
    <r>
      <t xml:space="preserve">B - Admissions sur l'année </t>
    </r>
    <r>
      <rPr>
        <sz val="11"/>
        <color theme="0"/>
        <rFont val="Arial"/>
        <family val="2"/>
      </rPr>
      <t xml:space="preserve">(entre le 01/01/N et le 31/12/N) </t>
    </r>
  </si>
  <si>
    <t>B. 1 Demandes d'admission</t>
  </si>
  <si>
    <t>Effectifs garçons</t>
  </si>
  <si>
    <t>Effectifs filles</t>
  </si>
  <si>
    <t>Effectif total</t>
  </si>
  <si>
    <t>Pourcentage garçons</t>
  </si>
  <si>
    <t>Pourcentage filles</t>
  </si>
  <si>
    <r>
      <t xml:space="preserve">Nombre de rapports écrits reçus pour une demande (formalisée) d'admission
</t>
    </r>
    <r>
      <rPr>
        <i/>
        <sz val="9"/>
        <rFont val="Arial"/>
        <family val="2"/>
      </rPr>
      <t xml:space="preserve">Remarque : un individu peut avoir formulé plusieurs demandes au cours de l'année 
</t>
    </r>
    <r>
      <rPr>
        <b/>
        <i/>
        <sz val="9"/>
        <rFont val="Arial"/>
        <family val="2"/>
      </rPr>
      <t xml:space="preserve">=&gt; </t>
    </r>
    <r>
      <rPr>
        <i/>
        <sz val="9"/>
        <rFont val="Arial"/>
        <family val="2"/>
      </rPr>
      <t>le compter autant de fois que de demandes</t>
    </r>
  </si>
  <si>
    <t>Nombre de mineurs et jeunes majeurs concernés par au moins une demande (formalisée) d'admission</t>
  </si>
  <si>
    <r>
      <t xml:space="preserve">Nombre de demandes satisfaites
</t>
    </r>
    <r>
      <rPr>
        <i/>
        <sz val="9"/>
        <rFont val="Arial"/>
        <family val="2"/>
      </rPr>
      <t xml:space="preserve">Remarque : un même individu peut être concerné par plusieurs demandes satisfaites
</t>
    </r>
    <r>
      <rPr>
        <b/>
        <i/>
        <sz val="9"/>
        <rFont val="Arial"/>
        <family val="2"/>
      </rPr>
      <t>=&gt;</t>
    </r>
    <r>
      <rPr>
        <i/>
        <sz val="9"/>
        <rFont val="Arial"/>
        <family val="2"/>
      </rPr>
      <t xml:space="preserve"> le compter autant de fois</t>
    </r>
  </si>
  <si>
    <r>
      <t xml:space="preserve">Nombre de demandes refusées
</t>
    </r>
    <r>
      <rPr>
        <i/>
        <sz val="9"/>
        <rFont val="Arial"/>
        <family val="2"/>
      </rPr>
      <t xml:space="preserve">Remarque : un même individu peut être concerné par plusieurs demandes satisfaites
</t>
    </r>
    <r>
      <rPr>
        <b/>
        <i/>
        <sz val="9"/>
        <rFont val="Arial"/>
        <family val="2"/>
      </rPr>
      <t xml:space="preserve">=&gt; </t>
    </r>
    <r>
      <rPr>
        <i/>
        <sz val="9"/>
        <rFont val="Arial"/>
        <family val="2"/>
      </rPr>
      <t>le compter autant de fois</t>
    </r>
  </si>
  <si>
    <r>
      <t xml:space="preserve">Taux de demandes satisfaites 
=&gt; </t>
    </r>
    <r>
      <rPr>
        <sz val="9"/>
        <rFont val="Arial"/>
        <family val="2"/>
      </rPr>
      <t>nombre de demandes satisfaites par rapport à l'ensemble des demandes</t>
    </r>
  </si>
  <si>
    <t>B. 2 Mineurs et jeunes majeurs admis sur l'année</t>
  </si>
  <si>
    <t>Nombre d'admissions effectives</t>
  </si>
  <si>
    <t>Nombre de mineurs et de jeunes majeurs admis effectivement</t>
  </si>
  <si>
    <r>
      <t xml:space="preserve">Pourcentage de MNA </t>
    </r>
    <r>
      <rPr>
        <sz val="9"/>
        <rFont val="Arial"/>
        <family val="2"/>
      </rPr>
      <t>par rapport à l'ensemble des individus admis</t>
    </r>
  </si>
  <si>
    <t>Dont nombre de mineurs et de jeunes majeurs non accompagnés (MNA)</t>
  </si>
  <si>
    <r>
      <t xml:space="preserve">Taux d'admission effective 
=&gt; </t>
    </r>
    <r>
      <rPr>
        <sz val="9"/>
        <rFont val="Arial"/>
        <family val="2"/>
      </rPr>
      <t>nombre d'admissions effectives par rapport au nombre de demandes satisfaites</t>
    </r>
  </si>
  <si>
    <t>Délais moyen entre la demande et l'admission (en nombre de jours)</t>
  </si>
  <si>
    <t>Sur l'effectif garçons</t>
  </si>
  <si>
    <t>Sur l'effectif filles</t>
  </si>
  <si>
    <t>Sur l'effectif total</t>
  </si>
  <si>
    <t>Nombre moyen de jours</t>
  </si>
  <si>
    <t>B. 3 Origine territoriale des demandes d'admission effective</t>
  </si>
  <si>
    <r>
      <t>Pourcentage filles</t>
    </r>
    <r>
      <rPr>
        <sz val="9"/>
        <color rgb="FFFF0000"/>
        <rFont val="Arial"/>
        <family val="2"/>
      </rPr>
      <t xml:space="preserve"> </t>
    </r>
  </si>
  <si>
    <r>
      <t>Pourcentage global (garçons, filles)</t>
    </r>
    <r>
      <rPr>
        <sz val="9"/>
        <rFont val="Arial"/>
        <family val="2"/>
      </rPr>
      <t xml:space="preserve"> : part que représentent les demandes du territoire sur l'ensemble des demandes d'admissions de l'année</t>
    </r>
  </si>
  <si>
    <t>Contrôle somme</t>
  </si>
  <si>
    <t>Sous-total Ille-et-Vilaine</t>
  </si>
  <si>
    <r>
      <t xml:space="preserve">Autre département : </t>
    </r>
    <r>
      <rPr>
        <i/>
        <sz val="9"/>
        <rFont val="Arial"/>
        <family val="2"/>
      </rPr>
      <t>apporter les précisions correspondantes dans la zones "Commentaires" ci-dessous.</t>
    </r>
  </si>
  <si>
    <t xml:space="preserve">Partie B - Analyse et commentaires : </t>
  </si>
  <si>
    <t>C - File active annuelle</t>
  </si>
  <si>
    <t xml:space="preserve">La file active annuelle représente l’ensemble des mineurs et jeunes majeurs accompagnés au moins une fois au cours de l’année par le service. </t>
  </si>
  <si>
    <t xml:space="preserve">Il s’agit donc à la fois des individus admis au cours de l’année et des individus déjà présents au 1er janvier de l’année N (présents l’année N-1 avec poursuite d’accompagnement sur l’année N). </t>
  </si>
  <si>
    <t>C. 1 Mineurs et jeunes majeurs de la file active annuelle</t>
  </si>
  <si>
    <t>Pourcentage de garçons</t>
  </si>
  <si>
    <t>Pourcentage de filles</t>
  </si>
  <si>
    <r>
      <t xml:space="preserve">Nombre de mineurs et jeunes majeurs de la file active
</t>
    </r>
    <r>
      <rPr>
        <i/>
        <sz val="9"/>
        <rFont val="Arial"/>
        <family val="2"/>
      </rPr>
      <t>Remarque : chaque individu n'est compté qu'une seule fois</t>
    </r>
  </si>
  <si>
    <r>
      <t xml:space="preserve">C. 2 Mineurs et jeunes majeurs </t>
    </r>
    <r>
      <rPr>
        <b/>
        <u/>
        <sz val="9"/>
        <color theme="0"/>
        <rFont val="Arial"/>
        <family val="2"/>
      </rPr>
      <t xml:space="preserve">à l'admission </t>
    </r>
  </si>
  <si>
    <t>Pourcentage de garçons à l'admission</t>
  </si>
  <si>
    <t>Pourcentage de filles à l'admission)</t>
  </si>
  <si>
    <r>
      <t xml:space="preserve">Nombre de mineurs et jeunes majeurs à l'admission sur l'année N
</t>
    </r>
    <r>
      <rPr>
        <i/>
        <sz val="9"/>
        <rFont val="Arial"/>
        <family val="2"/>
      </rPr>
      <t>Remarque : chaque individu n'est compté qu'une seule fois</t>
    </r>
  </si>
  <si>
    <t>Part de la file active</t>
  </si>
  <si>
    <r>
      <t xml:space="preserve">Dont nombre de mineurs et jeunes majeurs à l'admission au mois de : 
</t>
    </r>
    <r>
      <rPr>
        <i/>
        <sz val="9"/>
        <rFont val="Arial"/>
        <family val="2"/>
      </rPr>
      <t>(Remarque : compter autant de fois un individu que d'admissions le concernant)</t>
    </r>
  </si>
  <si>
    <r>
      <t xml:space="preserve">Pourcentage global (garçons, filles) : </t>
    </r>
    <r>
      <rPr>
        <sz val="9"/>
        <rFont val="Arial"/>
        <family val="2"/>
      </rPr>
      <t>part que représentent les admissions du mois sur l'ensemble des admissions de l'année</t>
    </r>
  </si>
  <si>
    <t>Total des admissions</t>
  </si>
  <si>
    <r>
      <t xml:space="preserve">C. 3 Mineurs et jeunes majeurs par genre </t>
    </r>
    <r>
      <rPr>
        <b/>
        <u/>
        <sz val="9"/>
        <color theme="0"/>
        <rFont val="Arial"/>
        <family val="2"/>
      </rPr>
      <t>à la sortie</t>
    </r>
  </si>
  <si>
    <t>Pourcentage de garçons à la sortie</t>
  </si>
  <si>
    <t>Pourcentage de filles à la sortie</t>
  </si>
  <si>
    <t>Nombre de mineurs et jeunes majeurs sortis sur l'année N</t>
  </si>
  <si>
    <r>
      <t xml:space="preserve">Dont nombre de mineurs et jeunes majeurs à la sortie au mois de : 
</t>
    </r>
    <r>
      <rPr>
        <i/>
        <sz val="9"/>
        <rFont val="Arial"/>
        <family val="2"/>
      </rPr>
      <t>(Remarque : compter autant de fois un individu que d'admissions le concernant)</t>
    </r>
  </si>
  <si>
    <r>
      <t xml:space="preserve">Pourcentage global (garçons, filles) : </t>
    </r>
    <r>
      <rPr>
        <sz val="9"/>
        <rFont val="Arial"/>
        <family val="2"/>
      </rPr>
      <t>part que représentent les sorties du mois sur l'ensemble des sorties de l'année</t>
    </r>
  </si>
  <si>
    <t>C. 4 Durée moyenne d'accompagnement des mineurs et jeunes majeurs</t>
  </si>
  <si>
    <t>Nombre de jours moyen d'accompagnement</t>
  </si>
  <si>
    <t>Jeunes sortis uniquement?</t>
  </si>
  <si>
    <t>C. 5 Mineurs et jeunes majeurs au 31 décembre</t>
  </si>
  <si>
    <t>Nombre de mineurs et jeunes majeurs au 31/12/N</t>
  </si>
  <si>
    <t>Partie C - Analyse et commentaires</t>
  </si>
  <si>
    <t>D - Age des mineurs et jeunes majeurs au cours de l'année</t>
  </si>
  <si>
    <r>
      <t xml:space="preserve">D.1 Tranches d'âge des mineurs et jeunes majeurs </t>
    </r>
    <r>
      <rPr>
        <b/>
        <u/>
        <sz val="9"/>
        <color theme="0"/>
        <rFont val="Arial"/>
        <family val="2"/>
      </rPr>
      <t>à l'admission</t>
    </r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</si>
  <si>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admis</t>
    </r>
  </si>
  <si>
    <t>0 - 2 ans</t>
  </si>
  <si>
    <t>3 - 5 ans</t>
  </si>
  <si>
    <t>6 - 10 ans</t>
  </si>
  <si>
    <t>11 - 15 ans</t>
  </si>
  <si>
    <t>16 - 17 ans</t>
  </si>
  <si>
    <t>18 ans et plus</t>
  </si>
  <si>
    <r>
      <t>D. 2 Moyenne d'âge des mineurs et jeunes majeurs à</t>
    </r>
    <r>
      <rPr>
        <b/>
        <u/>
        <sz val="9"/>
        <color theme="0"/>
        <rFont val="Arial"/>
        <family val="2"/>
      </rPr>
      <t xml:space="preserve"> l'admission </t>
    </r>
  </si>
  <si>
    <t>Age moyen</t>
  </si>
  <si>
    <r>
      <t xml:space="preserve">D. 3 Tranches d'âge des mineurs et des jeunes majeurs </t>
    </r>
    <r>
      <rPr>
        <b/>
        <u/>
        <sz val="9"/>
        <color theme="0"/>
        <rFont val="Arial"/>
        <family val="2"/>
      </rPr>
      <t>à la sortie</t>
    </r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</si>
  <si>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sortis</t>
    </r>
  </si>
  <si>
    <r>
      <t>D. 4 Moyenne d'âge des mineurs et jeunes majeurs à</t>
    </r>
    <r>
      <rPr>
        <b/>
        <u/>
        <sz val="9"/>
        <color theme="0"/>
        <rFont val="Arial"/>
        <family val="2"/>
      </rPr>
      <t xml:space="preserve"> la sortie </t>
    </r>
  </si>
  <si>
    <r>
      <t xml:space="preserve">D. 5 Les tranches d'âge des mineurs et des jeunes majeurs </t>
    </r>
    <r>
      <rPr>
        <b/>
        <u/>
        <sz val="9"/>
        <color theme="0"/>
        <rFont val="Arial"/>
        <family val="2"/>
      </rPr>
      <t>au 31/12 /N</t>
    </r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</si>
  <si>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présents au 31/12/N</t>
    </r>
  </si>
  <si>
    <t>Pas de stat adapté</t>
  </si>
  <si>
    <t>D. 6 Moyenne d'âge des mineurs et jeunes majeurs au 31/12/N</t>
  </si>
  <si>
    <t xml:space="preserve">Partie D - Analyse et commentaires : </t>
  </si>
  <si>
    <t>E - Conditions d'hébergement des mineurs et jeunes majeurs au cours de l'année</t>
  </si>
  <si>
    <r>
      <t xml:space="preserve">Pourcentage global (garçons, filles) : </t>
    </r>
    <r>
      <rPr>
        <sz val="9"/>
        <rFont val="Arial"/>
        <family val="2"/>
      </rPr>
      <t>part que représente la modalité d'hébergement sur l'ensemble des individus à l'admission</t>
    </r>
  </si>
  <si>
    <r>
      <t xml:space="preserve">Autre </t>
    </r>
    <r>
      <rPr>
        <i/>
        <sz val="9"/>
        <rFont val="Arial"/>
        <family val="2"/>
      </rPr>
      <t xml:space="preserve"> : préciser dans la zone "Commentaire" ci-dessous</t>
    </r>
  </si>
  <si>
    <t>E. 2 Conditions d'hébergement à la sortie du service</t>
  </si>
  <si>
    <r>
      <t xml:space="preserve">Pourcentage global (garçons, filles) :  </t>
    </r>
    <r>
      <rPr>
        <sz val="9"/>
        <rFont val="Arial"/>
        <family val="2"/>
      </rPr>
      <t>part que représente la modalité d'hébergement sur l'ensemble des individus sortis</t>
    </r>
  </si>
  <si>
    <t>Chez les parents</t>
  </si>
  <si>
    <t>Inconnu</t>
  </si>
  <si>
    <t>Stats pas assez précises</t>
  </si>
  <si>
    <t xml:space="preserve">Partie E - Analyse et commentaires : </t>
  </si>
  <si>
    <t>F - Type de mesure des mineurs et jeunes majeurs au cours de l'année</t>
  </si>
  <si>
    <t>Pas de stats</t>
  </si>
  <si>
    <t>F. 1 Mesure à l'admission dans le service</t>
  </si>
  <si>
    <r>
      <t xml:space="preserve">Pourcentage global (garçons, filles) : </t>
    </r>
    <r>
      <rPr>
        <sz val="9"/>
        <rFont val="Arial"/>
        <family val="2"/>
      </rPr>
      <t>part que représente le type de mesure sur l'ensemble des individus à l'admission</t>
    </r>
  </si>
  <si>
    <t>Mesure administrative</t>
  </si>
  <si>
    <t>Mesure judiciaire</t>
  </si>
  <si>
    <t>F. 2 Mesure antérieure à l'admission dans le service</t>
  </si>
  <si>
    <t>F. 3 Mesure à la sortie du service</t>
  </si>
  <si>
    <r>
      <t xml:space="preserve">Pourcentage global (garçons, filles) : </t>
    </r>
    <r>
      <rPr>
        <sz val="9"/>
        <rFont val="Arial"/>
        <family val="2"/>
      </rPr>
      <t>part que représente le type de mesure sur l'ensemble des individus à la sortie</t>
    </r>
  </si>
  <si>
    <t xml:space="preserve">Partie F - Analyse et commentaires : </t>
  </si>
  <si>
    <t>G. Contexte familial des mineurs et jeunes majeurs à leur admission</t>
  </si>
  <si>
    <t>PAS DE STATS</t>
  </si>
  <si>
    <r>
      <t xml:space="preserve">Pourcentage global (garçons, filles) : </t>
    </r>
    <r>
      <rPr>
        <sz val="9"/>
        <rFont val="Arial"/>
        <family val="2"/>
      </rPr>
      <t>part que représente le type d'autorité sur l'ensemble des individus à l'admission</t>
    </r>
  </si>
  <si>
    <r>
      <t xml:space="preserve">Pourcentage global (garçons, filles) : </t>
    </r>
    <r>
      <rPr>
        <sz val="9"/>
        <rFont val="Arial"/>
        <family val="2"/>
      </rPr>
      <t>part que représente le type de situation sur l'ensemble des individus à l'admission</t>
    </r>
  </si>
  <si>
    <t xml:space="preserve">Partie G - Analyse et commentaires : </t>
  </si>
  <si>
    <t>H - Scolarité / Activité des mineurs et jeunes majeurs au cours de l'année</t>
  </si>
  <si>
    <r>
      <rPr>
        <i/>
        <u/>
        <sz val="9"/>
        <rFont val="Arial"/>
        <family val="2"/>
      </rPr>
      <t>Remarque</t>
    </r>
    <r>
      <rPr>
        <i/>
        <sz val="9"/>
        <rFont val="Arial"/>
        <family val="2"/>
      </rPr>
      <t xml:space="preserve"> : Un individu ne peut être comptabilisé qu'une seule fois au cours d'une même période (admission, sortie, 31/12/N)</t>
    </r>
  </si>
  <si>
    <r>
      <t xml:space="preserve">H. 1 Scolarité / activité des mineurs et jeunes majeurs </t>
    </r>
    <r>
      <rPr>
        <b/>
        <u/>
        <sz val="9"/>
        <color theme="0"/>
        <rFont val="Arial"/>
        <family val="2"/>
      </rPr>
      <t>à l'admission</t>
    </r>
  </si>
  <si>
    <t>Effectifs total</t>
  </si>
  <si>
    <r>
      <t xml:space="preserve">Pourcentage global (garçons, filles) </t>
    </r>
    <r>
      <rPr>
        <sz val="9"/>
        <rFont val="Arial"/>
        <family val="2"/>
      </rPr>
      <t>que représente la modalité de scolarisation / activité sur l'ensemble des individus à l'admission</t>
    </r>
  </si>
  <si>
    <t>Sous total Scolarité classique</t>
  </si>
  <si>
    <t>Sous total Scolarité adaptée</t>
  </si>
  <si>
    <t>Total mineurs ou jeunes majeurs scolarisés</t>
  </si>
  <si>
    <t>Total mineurs et jeunes majeurs en apprentissage, alternance ou stage</t>
  </si>
  <si>
    <t>Total mineurs et jeunes majeurs en activité</t>
  </si>
  <si>
    <r>
      <t xml:space="preserve">H. 2 Scolarité / activité des mineurs et des jeunes majeurs </t>
    </r>
    <r>
      <rPr>
        <b/>
        <u/>
        <sz val="9"/>
        <color theme="0"/>
        <rFont val="Arial"/>
        <family val="2"/>
      </rPr>
      <t>à la sortie</t>
    </r>
  </si>
  <si>
    <r>
      <t xml:space="preserve">Pourcentage global (garçons, filles) </t>
    </r>
    <r>
      <rPr>
        <sz val="9"/>
        <rFont val="Arial"/>
        <family val="2"/>
      </rPr>
      <t>que représente la modalité de scolarisation / activité sur l'ensemble des individus sortis sur l'année</t>
    </r>
  </si>
  <si>
    <t>Total enfants ou jeunes majeurs scolarisés</t>
  </si>
  <si>
    <t>Enfants déscolarisés</t>
  </si>
  <si>
    <t>Total enfants ou jeunes majeurs en apprentissage, alternance ou stage</t>
  </si>
  <si>
    <t>Total enfants ou jeunes majeurs en activité</t>
  </si>
  <si>
    <t>H. 3 Scolarité / activité des mineurs et des jeunes majeurs au 31/12/N</t>
  </si>
  <si>
    <r>
      <t xml:space="preserve">Pourcentage global (garçons, filles) </t>
    </r>
    <r>
      <rPr>
        <sz val="9"/>
        <rFont val="Arial"/>
        <family val="2"/>
      </rPr>
      <t>que représente la modalité de scolarisation / activité sur l'ensemble des individus présents au 31/12/N</t>
    </r>
  </si>
  <si>
    <t xml:space="preserve">Partie H - Analyse et commentaires : </t>
  </si>
  <si>
    <t>I - Santé des mineurs et jeunes majeurs au cours de l'année</t>
  </si>
  <si>
    <t>I. 1 Mineurs et jeunes majeurs concernés par un suivi médical à l'admission</t>
  </si>
  <si>
    <r>
      <t xml:space="preserve">Pourcentage global (garçons, filles) : </t>
    </r>
    <r>
      <rPr>
        <sz val="9"/>
        <rFont val="Arial"/>
        <family val="2"/>
      </rPr>
      <t>part que représentent les bilans de santé à l'admission sur l'ensemble des individus admis sur l'année</t>
    </r>
  </si>
  <si>
    <t>Nombre de bilans de santé établis à l'admission</t>
  </si>
  <si>
    <t xml:space="preserve">dont nombre de mineurs ou jeunes majeurs nécessitant une consultation spécialisée : </t>
  </si>
  <si>
    <r>
      <t xml:space="preserve">Pourcentage global (garçons, filles) : </t>
    </r>
    <r>
      <rPr>
        <sz val="9"/>
        <rFont val="Arial"/>
        <family val="2"/>
      </rPr>
      <t>part que représentent les orientations sur l'ensemble des bilans de santé réalisés</t>
    </r>
  </si>
  <si>
    <r>
      <t xml:space="preserve">I. 2. </t>
    </r>
    <r>
      <rPr>
        <b/>
        <u/>
        <sz val="9"/>
        <color theme="0"/>
        <rFont val="Arial"/>
        <family val="2"/>
      </rPr>
      <t>Santé physique</t>
    </r>
    <r>
      <rPr>
        <b/>
        <sz val="9"/>
        <color theme="0"/>
        <rFont val="Arial"/>
        <family val="2"/>
      </rPr>
      <t xml:space="preserve"> : Mineurs et jeunes majeurs concernés par un suivi médical spécialisé au cours de l'année (en lien avec une pathologie chronique)</t>
    </r>
  </si>
  <si>
    <r>
      <t xml:space="preserve">Pourcentage global (garçons, filles) : </t>
    </r>
    <r>
      <rPr>
        <sz val="9"/>
        <rFont val="Arial"/>
        <family val="2"/>
      </rPr>
      <t>part que représentent ces individus sur l'ensemble de la file active</t>
    </r>
  </si>
  <si>
    <t>Nombre de mineurs et de jeunes concernés par un suivi médical spécialisé</t>
  </si>
  <si>
    <r>
      <t xml:space="preserve">Pourcentage global (garçons, filles) : </t>
    </r>
    <r>
      <rPr>
        <sz val="9"/>
        <rFont val="Arial"/>
        <family val="2"/>
      </rPr>
      <t>part que représentent ces individus sur les individus concernés par un suivi médical spécialisé</t>
    </r>
  </si>
  <si>
    <t xml:space="preserve"> - Dont nombre de mineurs et jeunes majeurs bénéficiant d'une Affection Longue Durée (ALD)</t>
  </si>
  <si>
    <t xml:space="preserve"> - Dont nombre de mineurs et jeunes majeurs concernés par l'intervention d'une infirmière libérale dans le cadre de suivi médical spécialisé</t>
  </si>
  <si>
    <t>Tranches d'âges des mineurs et jeunes majeurs concernés par un suivi médical spécialisé (âge sur l'année)</t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</si>
  <si>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concernés par un suivi médical spécialisé sur l'année</t>
    </r>
  </si>
  <si>
    <r>
      <t xml:space="preserve">I. 3 </t>
    </r>
    <r>
      <rPr>
        <b/>
        <u/>
        <sz val="9"/>
        <color theme="0"/>
        <rFont val="Arial"/>
        <family val="2"/>
      </rPr>
      <t>Santé physique</t>
    </r>
    <r>
      <rPr>
        <b/>
        <sz val="9"/>
        <color theme="0"/>
        <rFont val="Arial"/>
        <family val="2"/>
      </rPr>
      <t xml:space="preserve"> : Mineurs et jeunes majeurs concernés par une hospitalisation spécialisée au cours de l'année (liée à une pathologie chronique)</t>
    </r>
  </si>
  <si>
    <t>Nombre total de mineurs et jeunes majeurs concernés</t>
  </si>
  <si>
    <t>Tranches d'âges des mineurs et jeunes majeurs concernés par une hospitalisation spécialisée (âge au moment de l'hospitalisation)</t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</si>
  <si>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concernés par une hospitalisation spécialisée</t>
    </r>
  </si>
  <si>
    <t>Durée moyenne d'hospitalisation spécialisée</t>
  </si>
  <si>
    <t>Nombre moyen de jours par enfant concerné</t>
  </si>
  <si>
    <t>I. 4. Mineurs et jeunes majeurs concernés par une notification MDPH sur l'année</t>
  </si>
  <si>
    <t>Nombre total de mineurs et jeunes majeurs ayant adressé une demande de notification MDPH</t>
  </si>
  <si>
    <t>Nombre total de mineurs et jeunes majeurs avec une notification MDPH</t>
  </si>
  <si>
    <r>
      <t xml:space="preserve">Pourcentage global (garçons, filles) : </t>
    </r>
    <r>
      <rPr>
        <sz val="9"/>
        <rFont val="Arial"/>
        <family val="2"/>
      </rPr>
      <t>part que représentent ces individus sur ceux concernés par une notification MDPH</t>
    </r>
  </si>
  <si>
    <t xml:space="preserve"> - dont ceux concernés par une notification d'orientation en ITEP ou IME</t>
  </si>
  <si>
    <t xml:space="preserve"> - dont ceux concernés par une notification d'orientation en ITEP ou IME ET en attente d'une place</t>
  </si>
  <si>
    <t>Tranches d'âge des mineurs et jeunes majeurs concernés par une notification MDPH sur l'année</t>
  </si>
  <si>
    <r>
      <t xml:space="preserve">Pourcentage global : </t>
    </r>
    <r>
      <rPr>
        <sz val="9"/>
        <rFont val="Arial"/>
        <family val="2"/>
      </rPr>
      <t>part que représente la tranche d'âge sur le total d'individus concernés par une notification MDPH</t>
    </r>
  </si>
  <si>
    <t>I. 5 Mineurs et jeunes majeurs concernés par une hospitalisation à visée psychiatrique / psychologique</t>
  </si>
  <si>
    <r>
      <t xml:space="preserve">Pourcentage global (garçons, filles) : </t>
    </r>
    <r>
      <rPr>
        <sz val="9"/>
        <rFont val="Arial"/>
        <family val="2"/>
      </rPr>
      <t>part que représentent ces individus sur ceux concernés par une hospitalisation à visée psy</t>
    </r>
  </si>
  <si>
    <t xml:space="preserve"> - dont ceux concernés par une hospitalisation en urgence</t>
  </si>
  <si>
    <t>Tranches d'âges des mineurs et jeunes majeurs concernés par une hospitalisation à visée psychiatrique / psychologique (âge au moment de l'hospitalisation)</t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</si>
  <si>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concernés par une hospitalisation psy</t>
    </r>
  </si>
  <si>
    <t>Durée moyenne d'hospitalisation à visée psychiatrique / psychologique</t>
  </si>
  <si>
    <t>I. 6 Mineurs et jeunes majeurs bénéficiant d'un suivi psychiatrique</t>
  </si>
  <si>
    <t>Nombre total de mineurs et de jeunes majeurs concernés</t>
  </si>
  <si>
    <t xml:space="preserve"> - dont nombre de mineurs et jeunes majeurs bénéficiant d'une Affection Longue Durée (ALD)</t>
  </si>
  <si>
    <t>Tranches d'âge des mineurs et jeunes majeurs concernés par un suivi psychiatrique (âge au moment de l'hospitalisation)</t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</si>
  <si>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concernés par un suivi psychiatrique</t>
    </r>
  </si>
  <si>
    <t>I. 7 Mineurs et jeunes majeurs bénéficiant d'un suivi psychologique</t>
  </si>
  <si>
    <r>
      <t xml:space="preserve">Pourcentage global (garçons, filles) : </t>
    </r>
    <r>
      <rPr>
        <sz val="9"/>
        <rFont val="Arial"/>
        <family val="2"/>
      </rPr>
      <t>part que représentent ces individus sur l'ensemble de file active</t>
    </r>
  </si>
  <si>
    <t>Nombre total de mineurs et de jeunes concernés par un suivi psychologique</t>
  </si>
  <si>
    <t>Tranches d'âges des mineurs et jeunes majeurs concernés par un suivi psychologique (âge au moment de l'hospitalisation)</t>
  </si>
  <si>
    <r>
      <t xml:space="preserve">Pourcentage global (garçons, filles) : </t>
    </r>
    <r>
      <rPr>
        <sz val="9"/>
        <rFont val="Arial"/>
        <family val="2"/>
      </rPr>
      <t>part que représente la tranche d'âge sur le total d'individus concernés par un suivi psychologique</t>
    </r>
  </si>
  <si>
    <t>I. 8 Dispositifs spécifiques en matière de santé</t>
  </si>
  <si>
    <t>Mise en place</t>
  </si>
  <si>
    <t>Si oui : 
Nombre</t>
  </si>
  <si>
    <t>Si oui : 
Description succinte des dispositifs : nature, caractéristiques, thématique, intituté 
(saisie libre)</t>
  </si>
  <si>
    <t>Protocoles particuliers (par ex. d'actions et de conduite à tenir)</t>
  </si>
  <si>
    <t>Actions collectives de promotion de la santé</t>
  </si>
  <si>
    <t>Partie I - Analyse et commentaires :</t>
  </si>
  <si>
    <t>Annalyse du service :</t>
  </si>
  <si>
    <t>janv</t>
  </si>
  <si>
    <t>févr</t>
  </si>
  <si>
    <t>mars</t>
  </si>
  <si>
    <t>juin</t>
  </si>
  <si>
    <t>oct</t>
  </si>
  <si>
    <t>nov</t>
  </si>
  <si>
    <t>déc</t>
  </si>
  <si>
    <t>C3</t>
  </si>
  <si>
    <t>avr</t>
  </si>
  <si>
    <t>juil</t>
  </si>
  <si>
    <t>mai</t>
  </si>
  <si>
    <t>août</t>
  </si>
  <si>
    <t>sept</t>
  </si>
  <si>
    <t>C2</t>
  </si>
  <si>
    <t>C5 Mineurs et jeunes majeurs au 31 décembre</t>
  </si>
  <si>
    <t>D3 tranche d'age à la sortie</t>
  </si>
  <si>
    <t>D1 tranches d'age des mineurs et jeunes majeurs à l'admission</t>
  </si>
  <si>
    <t>6-9</t>
  </si>
  <si>
    <t>9-12</t>
  </si>
  <si>
    <t>12-15</t>
  </si>
  <si>
    <t>15-18</t>
  </si>
  <si>
    <t>18-21</t>
  </si>
  <si>
    <t>6-8</t>
  </si>
  <si>
    <t>8-10</t>
  </si>
  <si>
    <t>10-12</t>
  </si>
  <si>
    <t>12-14</t>
  </si>
  <si>
    <t>14-16</t>
  </si>
  <si>
    <t>16-18</t>
  </si>
  <si>
    <t>18-20</t>
  </si>
  <si>
    <t>20-22</t>
  </si>
  <si>
    <t>D1 bis tranche interval irrégulier</t>
  </si>
  <si>
    <t>0-2</t>
  </si>
  <si>
    <t>fille</t>
  </si>
  <si>
    <t>2-4</t>
  </si>
  <si>
    <t>0-3</t>
  </si>
  <si>
    <t>0-2 ans</t>
  </si>
  <si>
    <t>3-6</t>
  </si>
  <si>
    <t>!! 6 - 8 ans</t>
  </si>
  <si>
    <t>Nombre de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</si>
</sst>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dd/mm/yy;@"/>
    <numFmt numFmtId="166" formatCode="0.0%"/>
    <numFmt numFmtId="167" formatCode="mmmm"/>
    <numFmt numFmtId="168" formatCode="0.0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9"/>
      <color theme="1"/>
      <name val="Arial"/>
      <family val="2"/>
    </font>
    <font>
      <b/>
      <sz val="9"/>
      <color theme="0"/>
      <name val="Arial"/>
      <family val="2"/>
    </font>
    <font>
      <sz val="9"/>
      <color theme="1"/>
      <name val="Arial"/>
      <family val="2"/>
    </font>
    <font>
      <b/>
      <sz val="11"/>
      <name val="Calibri"/>
      <family val="2"/>
      <scheme val="minor"/>
    </font>
    <font>
      <b/>
      <u/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2"/>
      <color theme="0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sz val="9"/>
      <name val="Arial"/>
      <family val="2"/>
      <charset val="1"/>
    </font>
    <font>
      <sz val="9"/>
      <color rgb="FFFF0000"/>
      <name val="Arial"/>
      <family val="2"/>
    </font>
    <font>
      <b/>
      <u/>
      <sz val="9"/>
      <color theme="0"/>
      <name val="Arial"/>
      <family val="2"/>
    </font>
    <font>
      <b/>
      <sz val="1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rgb="FFFF0000"/>
      <name val="Arial"/>
      <family val="2"/>
    </font>
    <font>
      <b/>
      <sz val="10"/>
      <name val="Arial"/>
      <family val="2"/>
    </font>
    <font>
      <i/>
      <u/>
      <sz val="9"/>
      <name val="Arial"/>
      <family val="2"/>
    </font>
    <font>
      <b/>
      <sz val="12"/>
      <color rgb="FF0070C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66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AE7F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FF66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8">
    <xf numFmtId="0" fontId="0" fillId="0" borderId="0"/>
    <xf numFmtId="0" fontId="4" fillId="0" borderId="0"/>
    <xf numFmtId="16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0" fontId="1" fillId="0" borderId="0"/>
    <xf numFmtId="9" fontId="1" fillId="0" borderId="0" applyFont="0" applyFill="0" applyBorder="0" applyAlignment="0" applyProtection="0"/>
  </cellStyleXfs>
  <cellXfs count="32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left" vertical="center" wrapText="1"/>
    </xf>
    <xf numFmtId="0" fontId="3" fillId="0" borderId="3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/>
    </xf>
    <xf numFmtId="0" fontId="0" fillId="0" borderId="0" xfId="0" applyFont="1" applyFill="1"/>
    <xf numFmtId="0" fontId="0" fillId="0" borderId="0" xfId="0" applyFill="1"/>
    <xf numFmtId="0" fontId="3" fillId="0" borderId="2" xfId="0" applyFont="1" applyFill="1" applyBorder="1" applyAlignment="1">
      <alignment horizontal="left" vertical="center" wrapText="1"/>
    </xf>
    <xf numFmtId="0" fontId="0" fillId="0" borderId="0" xfId="0"/>
    <xf numFmtId="0" fontId="7" fillId="0" borderId="3" xfId="0" applyFont="1" applyFill="1" applyBorder="1" applyAlignment="1">
      <alignment horizontal="left" vertical="center" wrapText="1"/>
    </xf>
    <xf numFmtId="0" fontId="0" fillId="0" borderId="0" xfId="0"/>
    <xf numFmtId="0" fontId="3" fillId="0" borderId="0" xfId="0" applyFont="1" applyFill="1" applyBorder="1" applyAlignment="1">
      <alignment horizontal="left" vertical="center" wrapText="1"/>
    </xf>
    <xf numFmtId="14" fontId="0" fillId="0" borderId="0" xfId="0" applyNumberFormat="1"/>
    <xf numFmtId="0" fontId="5" fillId="0" borderId="3" xfId="0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 wrapText="1"/>
    </xf>
    <xf numFmtId="0" fontId="8" fillId="0" borderId="0" xfId="0" applyFont="1"/>
    <xf numFmtId="0" fontId="2" fillId="0" borderId="1" xfId="0" applyFont="1" applyFill="1" applyBorder="1" applyAlignment="1">
      <alignment horizontal="left" vertical="center" wrapText="1"/>
    </xf>
    <xf numFmtId="0" fontId="8" fillId="0" borderId="0" xfId="0" applyFont="1" applyFill="1"/>
    <xf numFmtId="0" fontId="3" fillId="0" borderId="0" xfId="0" applyFont="1" applyFill="1" applyBorder="1" applyAlignment="1">
      <alignment horizontal="left" vertical="center"/>
    </xf>
    <xf numFmtId="0" fontId="0" fillId="0" borderId="0" xfId="0"/>
    <xf numFmtId="0" fontId="6" fillId="2" borderId="4" xfId="0" applyFont="1" applyFill="1" applyBorder="1" applyAlignment="1">
      <alignment horizontal="left" vertical="center" wrapText="1"/>
    </xf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2" fillId="0" borderId="0" xfId="0" applyFont="1"/>
    <xf numFmtId="0" fontId="14" fillId="3" borderId="5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left" vertical="center"/>
    </xf>
    <xf numFmtId="0" fontId="19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vertical="center"/>
    </xf>
    <xf numFmtId="0" fontId="6" fillId="2" borderId="1" xfId="0" applyFont="1" applyFill="1" applyBorder="1" applyAlignment="1">
      <alignment horizontal="left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vertical="center"/>
    </xf>
    <xf numFmtId="0" fontId="2" fillId="5" borderId="3" xfId="0" applyFont="1" applyFill="1" applyBorder="1" applyAlignment="1">
      <alignment horizontal="left" vertical="center" wrapText="1"/>
    </xf>
    <xf numFmtId="3" fontId="22" fillId="0" borderId="5" xfId="0" applyNumberFormat="1" applyFont="1" applyBorder="1" applyAlignment="1" applyProtection="1">
      <alignment horizontal="center" vertical="center" wrapText="1"/>
      <protection locked="0"/>
    </xf>
    <xf numFmtId="3" fontId="22" fillId="0" borderId="9" xfId="0" applyNumberFormat="1" applyFont="1" applyBorder="1" applyAlignment="1" applyProtection="1">
      <alignment horizontal="center" vertical="center" wrapText="1"/>
      <protection locked="0"/>
    </xf>
    <xf numFmtId="3" fontId="22" fillId="6" borderId="9" xfId="0" applyNumberFormat="1" applyFont="1" applyFill="1" applyBorder="1" applyAlignment="1" applyProtection="1">
      <alignment horizontal="center" vertical="center" wrapText="1"/>
    </xf>
    <xf numFmtId="9" fontId="20" fillId="6" borderId="9" xfId="7" applyFont="1" applyFill="1" applyBorder="1" applyAlignment="1" applyProtection="1">
      <alignment horizontal="center" vertical="center" wrapText="1"/>
    </xf>
    <xf numFmtId="9" fontId="20" fillId="6" borderId="10" xfId="7" applyFont="1" applyFill="1" applyBorder="1" applyAlignment="1">
      <alignment horizontal="center" vertical="center" wrapText="1"/>
    </xf>
    <xf numFmtId="9" fontId="20" fillId="6" borderId="9" xfId="7" applyFont="1" applyFill="1" applyBorder="1" applyAlignment="1">
      <alignment horizontal="center" vertical="center" wrapText="1"/>
    </xf>
    <xf numFmtId="3" fontId="22" fillId="0" borderId="5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3" fillId="0" borderId="0" xfId="0" applyFont="1" applyFill="1" applyBorder="1" applyAlignment="1">
      <alignment vertical="center"/>
    </xf>
    <xf numFmtId="0" fontId="2" fillId="5" borderId="11" xfId="0" applyFont="1" applyFill="1" applyBorder="1" applyAlignment="1">
      <alignment horizontal="left" vertical="center" wrapText="1"/>
    </xf>
    <xf numFmtId="3" fontId="22" fillId="0" borderId="12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13" xfId="0" applyNumberFormat="1" applyFont="1" applyFill="1" applyBorder="1" applyAlignment="1" applyProtection="1">
      <alignment horizontal="center" vertical="center" wrapText="1"/>
      <protection locked="0"/>
    </xf>
    <xf numFmtId="9" fontId="20" fillId="6" borderId="14" xfId="7" applyFont="1" applyFill="1" applyBorder="1" applyAlignment="1">
      <alignment horizontal="center" vertical="center" wrapText="1"/>
    </xf>
    <xf numFmtId="9" fontId="20" fillId="6" borderId="15" xfId="7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2" fillId="6" borderId="2" xfId="0" applyFont="1" applyFill="1" applyBorder="1" applyAlignment="1">
      <alignment vertical="center" wrapText="1"/>
    </xf>
    <xf numFmtId="9" fontId="2" fillId="6" borderId="16" xfId="7" applyFont="1" applyFill="1" applyBorder="1" applyAlignment="1">
      <alignment horizontal="center" vertical="center" wrapText="1"/>
    </xf>
    <xf numFmtId="9" fontId="2" fillId="6" borderId="14" xfId="7" applyFont="1" applyFill="1" applyBorder="1" applyAlignment="1" applyProtection="1">
      <alignment horizontal="center" vertical="center" wrapText="1"/>
    </xf>
    <xf numFmtId="0" fontId="3" fillId="0" borderId="17" xfId="0" applyFont="1" applyFill="1" applyBorder="1" applyAlignment="1">
      <alignment vertical="center"/>
    </xf>
    <xf numFmtId="0" fontId="0" fillId="0" borderId="0" xfId="0" applyFont="1"/>
    <xf numFmtId="0" fontId="2" fillId="7" borderId="0" xfId="0" applyFont="1" applyFill="1" applyBorder="1" applyAlignment="1">
      <alignment horizontal="left" vertical="center" wrapText="1"/>
    </xf>
    <xf numFmtId="3" fontId="22" fillId="7" borderId="0" xfId="0" applyNumberFormat="1" applyFont="1" applyFill="1" applyBorder="1" applyAlignment="1" applyProtection="1">
      <alignment horizontal="center" vertical="center" wrapText="1"/>
      <protection locked="0"/>
    </xf>
    <xf numFmtId="166" fontId="20" fillId="7" borderId="0" xfId="0" applyNumberFormat="1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vertical="center" wrapText="1"/>
    </xf>
    <xf numFmtId="0" fontId="3" fillId="7" borderId="0" xfId="0" applyFont="1" applyFill="1" applyAlignment="1">
      <alignment vertical="center"/>
    </xf>
    <xf numFmtId="3" fontId="2" fillId="6" borderId="9" xfId="0" applyNumberFormat="1" applyFont="1" applyFill="1" applyBorder="1" applyAlignment="1" applyProtection="1">
      <alignment horizontal="center" vertical="center" wrapText="1"/>
    </xf>
    <xf numFmtId="9" fontId="20" fillId="6" borderId="12" xfId="7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left" vertical="center" wrapText="1"/>
    </xf>
    <xf numFmtId="3" fontId="22" fillId="0" borderId="12" xfId="0" applyNumberFormat="1" applyFont="1" applyBorder="1" applyAlignment="1" applyProtection="1">
      <alignment horizontal="center" vertical="center" wrapText="1"/>
      <protection locked="0"/>
    </xf>
    <xf numFmtId="3" fontId="22" fillId="0" borderId="13" xfId="0" applyNumberFormat="1" applyFont="1" applyBorder="1" applyAlignment="1" applyProtection="1">
      <alignment horizontal="center" vertical="center" wrapText="1"/>
      <protection locked="0"/>
    </xf>
    <xf numFmtId="9" fontId="20" fillId="6" borderId="5" xfId="7" applyFont="1" applyFill="1" applyBorder="1" applyAlignment="1">
      <alignment horizontal="center" vertical="center" wrapText="1"/>
    </xf>
    <xf numFmtId="0" fontId="2" fillId="6" borderId="18" xfId="0" applyFont="1" applyFill="1" applyBorder="1" applyAlignment="1">
      <alignment horizontal="center" vertical="center" wrapText="1"/>
    </xf>
    <xf numFmtId="0" fontId="0" fillId="0" borderId="19" xfId="0" applyFont="1" applyBorder="1"/>
    <xf numFmtId="9" fontId="20" fillId="6" borderId="20" xfId="7" applyFont="1" applyFill="1" applyBorder="1" applyAlignment="1">
      <alignment horizontal="center" vertical="center" wrapText="1"/>
    </xf>
    <xf numFmtId="9" fontId="3" fillId="6" borderId="15" xfId="7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left" vertical="center" wrapText="1"/>
    </xf>
    <xf numFmtId="10" fontId="2" fillId="8" borderId="16" xfId="0" applyNumberFormat="1" applyFont="1" applyFill="1" applyBorder="1" applyAlignment="1" applyProtection="1">
      <alignment horizontal="center" vertical="center" wrapText="1"/>
    </xf>
    <xf numFmtId="10" fontId="2" fillId="6" borderId="14" xfId="0" applyNumberFormat="1" applyFont="1" applyFill="1" applyBorder="1" applyAlignment="1" applyProtection="1">
      <alignment horizontal="center" vertical="center" wrapText="1"/>
    </xf>
    <xf numFmtId="0" fontId="0" fillId="0" borderId="17" xfId="0" applyBorder="1"/>
    <xf numFmtId="0" fontId="0" fillId="0" borderId="21" xfId="0" applyBorder="1"/>
    <xf numFmtId="0" fontId="2" fillId="5" borderId="8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left" vertical="center" wrapText="1"/>
    </xf>
    <xf numFmtId="3" fontId="22" fillId="0" borderId="16" xfId="0" applyNumberFormat="1" applyFont="1" applyBorder="1" applyAlignment="1" applyProtection="1">
      <alignment horizontal="center" vertical="center" wrapText="1"/>
      <protection locked="0"/>
    </xf>
    <xf numFmtId="3" fontId="22" fillId="0" borderId="14" xfId="0" applyNumberFormat="1" applyFont="1" applyBorder="1" applyAlignment="1" applyProtection="1">
      <alignment horizontal="center" vertical="center" wrapText="1"/>
      <protection locked="0"/>
    </xf>
    <xf numFmtId="3" fontId="22" fillId="0" borderId="15" xfId="0" applyNumberFormat="1" applyFont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>
      <alignment vertical="center" wrapText="1"/>
    </xf>
    <xf numFmtId="0" fontId="2" fillId="6" borderId="2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left" vertical="center" wrapText="1"/>
    </xf>
    <xf numFmtId="3" fontId="2" fillId="6" borderId="5" xfId="0" applyNumberFormat="1" applyFont="1" applyFill="1" applyBorder="1" applyAlignment="1" applyProtection="1">
      <alignment horizontal="center" vertical="center" wrapText="1"/>
    </xf>
    <xf numFmtId="9" fontId="21" fillId="6" borderId="5" xfId="7" applyFont="1" applyFill="1" applyBorder="1" applyAlignment="1">
      <alignment horizontal="center" vertical="center" wrapText="1"/>
    </xf>
    <xf numFmtId="9" fontId="21" fillId="6" borderId="9" xfId="7" applyFont="1" applyFill="1" applyBorder="1" applyAlignment="1">
      <alignment horizontal="center" vertical="center" wrapText="1"/>
    </xf>
    <xf numFmtId="9" fontId="2" fillId="6" borderId="10" xfId="7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left" vertical="center" wrapText="1"/>
    </xf>
    <xf numFmtId="3" fontId="22" fillId="10" borderId="5" xfId="0" applyNumberFormat="1" applyFont="1" applyFill="1" applyBorder="1" applyAlignment="1" applyProtection="1">
      <alignment horizontal="center" vertical="center" wrapText="1"/>
    </xf>
    <xf numFmtId="3" fontId="22" fillId="10" borderId="10" xfId="0" applyNumberFormat="1" applyFont="1" applyFill="1" applyBorder="1" applyAlignment="1" applyProtection="1">
      <alignment horizontal="center" vertical="center" wrapText="1"/>
    </xf>
    <xf numFmtId="9" fontId="3" fillId="6" borderId="10" xfId="7" applyFont="1" applyFill="1" applyBorder="1" applyAlignment="1">
      <alignment horizontal="center" vertical="center"/>
    </xf>
    <xf numFmtId="9" fontId="2" fillId="6" borderId="10" xfId="7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left" vertical="center" wrapText="1"/>
    </xf>
    <xf numFmtId="3" fontId="2" fillId="6" borderId="16" xfId="0" applyNumberFormat="1" applyFont="1" applyFill="1" applyBorder="1" applyAlignment="1" applyProtection="1">
      <alignment horizontal="center" vertical="center" wrapText="1"/>
    </xf>
    <xf numFmtId="9" fontId="20" fillId="6" borderId="16" xfId="7" applyFont="1" applyFill="1" applyBorder="1" applyAlignment="1">
      <alignment horizontal="center" vertical="center" wrapText="1"/>
    </xf>
    <xf numFmtId="9" fontId="3" fillId="6" borderId="23" xfId="7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left" vertical="center" wrapText="1"/>
    </xf>
    <xf numFmtId="0" fontId="3" fillId="0" borderId="21" xfId="0" applyFont="1" applyFill="1" applyBorder="1" applyAlignment="1">
      <alignment vertical="center"/>
    </xf>
    <xf numFmtId="0" fontId="2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19" fillId="0" borderId="0" xfId="0" applyFont="1" applyFill="1" applyAlignment="1">
      <alignment vertical="center"/>
    </xf>
    <xf numFmtId="0" fontId="2" fillId="6" borderId="25" xfId="0" applyFont="1" applyFill="1" applyBorder="1" applyAlignment="1">
      <alignment horizontal="center" vertical="center" wrapText="1"/>
    </xf>
    <xf numFmtId="3" fontId="22" fillId="6" borderId="14" xfId="0" applyNumberFormat="1" applyFont="1" applyFill="1" applyBorder="1" applyAlignment="1" applyProtection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3" fontId="22" fillId="8" borderId="5" xfId="0" applyNumberFormat="1" applyFont="1" applyFill="1" applyBorder="1" applyAlignment="1" applyProtection="1">
      <alignment horizontal="center" vertical="center" wrapText="1"/>
      <protection locked="0"/>
    </xf>
    <xf numFmtId="3" fontId="22" fillId="8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16" xfId="0" applyFont="1" applyFill="1" applyBorder="1" applyAlignment="1">
      <alignment horizontal="left" vertical="center" wrapText="1"/>
    </xf>
    <xf numFmtId="9" fontId="22" fillId="6" borderId="5" xfId="7" applyFont="1" applyFill="1" applyBorder="1" applyAlignment="1" applyProtection="1">
      <alignment horizontal="center" vertical="center" wrapText="1"/>
    </xf>
    <xf numFmtId="9" fontId="22" fillId="6" borderId="9" xfId="7" applyFont="1" applyFill="1" applyBorder="1" applyAlignment="1" applyProtection="1">
      <alignment horizontal="center" vertical="center" wrapText="1"/>
    </xf>
    <xf numFmtId="166" fontId="20" fillId="0" borderId="26" xfId="0" applyNumberFormat="1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left" vertical="center" wrapText="1"/>
    </xf>
    <xf numFmtId="0" fontId="0" fillId="0" borderId="19" xfId="0" applyBorder="1"/>
    <xf numFmtId="0" fontId="2" fillId="6" borderId="11" xfId="0" applyFont="1" applyFill="1" applyBorder="1" applyAlignment="1">
      <alignment horizontal="left" vertical="center" wrapText="1"/>
    </xf>
    <xf numFmtId="3" fontId="22" fillId="6" borderId="12" xfId="0" applyNumberFormat="1" applyFont="1" applyFill="1" applyBorder="1" applyAlignment="1" applyProtection="1">
      <alignment horizontal="center" vertical="center" wrapText="1"/>
    </xf>
    <xf numFmtId="0" fontId="2" fillId="10" borderId="2" xfId="0" applyFont="1" applyFill="1" applyBorder="1" applyAlignment="1">
      <alignment horizontal="left" vertical="center" wrapText="1"/>
    </xf>
    <xf numFmtId="3" fontId="22" fillId="10" borderId="16" xfId="0" applyNumberFormat="1" applyFont="1" applyFill="1" applyBorder="1" applyAlignment="1" applyProtection="1">
      <alignment horizontal="center" vertical="center" wrapText="1"/>
    </xf>
    <xf numFmtId="3" fontId="22" fillId="10" borderId="14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9" fontId="22" fillId="6" borderId="16" xfId="7" applyFont="1" applyFill="1" applyBorder="1" applyAlignment="1" applyProtection="1">
      <alignment horizontal="center" vertical="center" wrapText="1"/>
    </xf>
    <xf numFmtId="9" fontId="22" fillId="6" borderId="15" xfId="7" applyFont="1" applyFill="1" applyBorder="1" applyAlignment="1" applyProtection="1">
      <alignment horizontal="center" vertical="center" wrapText="1"/>
    </xf>
    <xf numFmtId="166" fontId="20" fillId="0" borderId="0" xfId="0" applyNumberFormat="1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left" vertical="center" wrapText="1"/>
    </xf>
    <xf numFmtId="9" fontId="22" fillId="6" borderId="12" xfId="7" applyFont="1" applyFill="1" applyBorder="1" applyAlignment="1" applyProtection="1">
      <alignment horizontal="center" vertical="center" wrapText="1"/>
    </xf>
    <xf numFmtId="9" fontId="22" fillId="6" borderId="13" xfId="7" applyFont="1" applyFill="1" applyBorder="1" applyAlignment="1" applyProtection="1">
      <alignment horizontal="center" vertical="center" wrapText="1"/>
    </xf>
    <xf numFmtId="9" fontId="22" fillId="0" borderId="17" xfId="7" applyFont="1" applyFill="1" applyBorder="1" applyAlignment="1" applyProtection="1">
      <alignment horizontal="center" vertical="center" wrapText="1"/>
      <protection locked="0"/>
    </xf>
    <xf numFmtId="9" fontId="22" fillId="0" borderId="0" xfId="7" applyFont="1" applyFill="1" applyBorder="1" applyAlignment="1" applyProtection="1">
      <alignment horizontal="center" vertical="center" wrapText="1"/>
      <protection locked="0"/>
    </xf>
    <xf numFmtId="3" fontId="22" fillId="8" borderId="16" xfId="0" applyNumberFormat="1" applyFont="1" applyFill="1" applyBorder="1" applyAlignment="1" applyProtection="1">
      <alignment horizontal="center" vertical="center" wrapText="1"/>
      <protection locked="0"/>
    </xf>
    <xf numFmtId="3" fontId="22" fillId="8" borderId="14" xfId="0" applyNumberFormat="1" applyFont="1" applyFill="1" applyBorder="1" applyAlignment="1" applyProtection="1">
      <alignment horizontal="center" vertical="center" wrapText="1"/>
      <protection locked="0"/>
    </xf>
    <xf numFmtId="3" fontId="22" fillId="8" borderId="15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0" xfId="0" applyFill="1"/>
    <xf numFmtId="9" fontId="3" fillId="6" borderId="16" xfId="7" applyFont="1" applyFill="1" applyBorder="1" applyAlignment="1" applyProtection="1">
      <alignment horizontal="center" vertical="center" wrapText="1"/>
    </xf>
    <xf numFmtId="10" fontId="22" fillId="0" borderId="19" xfId="0" applyNumberFormat="1" applyFont="1" applyFill="1" applyBorder="1" applyAlignment="1" applyProtection="1">
      <alignment horizontal="center" vertical="center" wrapText="1"/>
      <protection locked="0"/>
    </xf>
    <xf numFmtId="10" fontId="22" fillId="0" borderId="21" xfId="0" applyNumberFormat="1" applyFont="1" applyFill="1" applyBorder="1" applyAlignment="1" applyProtection="1">
      <alignment horizontal="center" vertical="center" wrapText="1"/>
      <protection locked="0"/>
    </xf>
    <xf numFmtId="10" fontId="20" fillId="0" borderId="0" xfId="0" applyNumberFormat="1" applyFont="1" applyFill="1" applyBorder="1" applyAlignment="1">
      <alignment horizontal="center" vertical="center" wrapText="1"/>
    </xf>
    <xf numFmtId="0" fontId="2" fillId="6" borderId="24" xfId="0" applyFont="1" applyFill="1" applyBorder="1" applyAlignment="1">
      <alignment horizontal="left" vertical="center" wrapText="1"/>
    </xf>
    <xf numFmtId="3" fontId="3" fillId="6" borderId="12" xfId="0" applyNumberFormat="1" applyFont="1" applyFill="1" applyBorder="1" applyAlignment="1" applyProtection="1">
      <alignment horizontal="center" vertical="center" wrapText="1"/>
    </xf>
    <xf numFmtId="3" fontId="22" fillId="6" borderId="13" xfId="0" applyNumberFormat="1" applyFont="1" applyFill="1" applyBorder="1" applyAlignment="1" applyProtection="1">
      <alignment horizontal="center" vertical="center" wrapText="1"/>
    </xf>
    <xf numFmtId="0" fontId="0" fillId="0" borderId="27" xfId="0" applyBorder="1"/>
    <xf numFmtId="0" fontId="2" fillId="0" borderId="0" xfId="0" applyFont="1" applyFill="1" applyBorder="1" applyAlignment="1">
      <alignment horizontal="left" vertical="center" wrapText="1"/>
    </xf>
    <xf numFmtId="3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0" xfId="0" applyNumberFormat="1" applyFont="1" applyFill="1" applyBorder="1" applyAlignment="1" applyProtection="1">
      <alignment horizontal="center" vertical="center" wrapText="1"/>
      <protection locked="0"/>
    </xf>
    <xf numFmtId="10" fontId="22" fillId="0" borderId="0" xfId="0" applyNumberFormat="1" applyFont="1" applyFill="1" applyBorder="1" applyAlignment="1" applyProtection="1">
      <alignment horizontal="center" vertical="center" wrapText="1"/>
      <protection locked="0"/>
    </xf>
    <xf numFmtId="10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15" xfId="0" applyNumberFormat="1" applyFont="1" applyFill="1" applyBorder="1" applyAlignment="1" applyProtection="1">
      <alignment horizontal="center" vertical="center" wrapText="1"/>
      <protection locked="0"/>
    </xf>
    <xf numFmtId="9" fontId="22" fillId="6" borderId="5" xfId="7" applyFont="1" applyFill="1" applyBorder="1" applyAlignment="1" applyProtection="1">
      <alignment horizontal="center" vertical="center" wrapText="1"/>
      <protection locked="0"/>
    </xf>
    <xf numFmtId="9" fontId="22" fillId="6" borderId="16" xfId="7" applyFont="1" applyFill="1" applyBorder="1" applyAlignment="1" applyProtection="1">
      <alignment horizontal="center" vertical="center" wrapText="1"/>
      <protection locked="0"/>
    </xf>
    <xf numFmtId="9" fontId="22" fillId="6" borderId="28" xfId="7" applyFont="1" applyFill="1" applyBorder="1" applyAlignment="1" applyProtection="1">
      <alignment horizontal="center" vertical="center" wrapText="1"/>
    </xf>
    <xf numFmtId="3" fontId="22" fillId="6" borderId="5" xfId="0" applyNumberFormat="1" applyFont="1" applyFill="1" applyBorder="1" applyAlignment="1" applyProtection="1">
      <alignment horizontal="center" vertical="center" wrapText="1"/>
    </xf>
    <xf numFmtId="9" fontId="22" fillId="6" borderId="14" xfId="7" applyFont="1" applyFill="1" applyBorder="1" applyAlignment="1" applyProtection="1">
      <alignment horizontal="center" vertical="center" wrapText="1"/>
    </xf>
    <xf numFmtId="9" fontId="22" fillId="6" borderId="29" xfId="7" applyFont="1" applyFill="1" applyBorder="1" applyAlignment="1" applyProtection="1">
      <alignment horizontal="center" vertical="center" wrapText="1"/>
    </xf>
    <xf numFmtId="0" fontId="25" fillId="0" borderId="0" xfId="0" applyFont="1" applyAlignment="1">
      <alignment vertical="center"/>
    </xf>
    <xf numFmtId="0" fontId="2" fillId="5" borderId="30" xfId="0" applyFont="1" applyFill="1" applyBorder="1" applyAlignment="1">
      <alignment horizontal="center" vertical="center" wrapText="1"/>
    </xf>
    <xf numFmtId="0" fontId="2" fillId="5" borderId="31" xfId="0" applyFont="1" applyFill="1" applyBorder="1" applyAlignment="1">
      <alignment horizontal="center" vertical="center" wrapText="1"/>
    </xf>
    <xf numFmtId="0" fontId="2" fillId="6" borderId="30" xfId="0" applyFont="1" applyFill="1" applyBorder="1" applyAlignment="1">
      <alignment horizontal="center" vertical="center" wrapText="1"/>
    </xf>
    <xf numFmtId="0" fontId="2" fillId="6" borderId="31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 applyProtection="1">
      <alignment horizontal="center" vertical="center" wrapText="1"/>
    </xf>
    <xf numFmtId="9" fontId="3" fillId="6" borderId="5" xfId="7" applyFont="1" applyFill="1" applyBorder="1" applyAlignment="1">
      <alignment horizontal="center" vertical="center" wrapText="1"/>
    </xf>
    <xf numFmtId="9" fontId="3" fillId="6" borderId="13" xfId="7" applyFont="1" applyFill="1" applyBorder="1" applyAlignment="1">
      <alignment horizontal="center" vertical="center" wrapText="1"/>
    </xf>
    <xf numFmtId="9" fontId="0" fillId="6" borderId="10" xfId="7" applyFont="1" applyFill="1" applyBorder="1" applyAlignment="1">
      <alignment horizontal="center"/>
    </xf>
    <xf numFmtId="0" fontId="2" fillId="10" borderId="3" xfId="0" applyFont="1" applyFill="1" applyBorder="1" applyAlignment="1">
      <alignment horizontal="left" vertical="center" wrapText="1"/>
    </xf>
    <xf numFmtId="0" fontId="2" fillId="10" borderId="5" xfId="0" applyFont="1" applyFill="1" applyBorder="1" applyAlignment="1" applyProtection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 applyProtection="1">
      <alignment horizontal="center" vertical="center" wrapText="1"/>
      <protection locked="0"/>
    </xf>
    <xf numFmtId="0" fontId="2" fillId="6" borderId="9" xfId="0" applyFont="1" applyFill="1" applyBorder="1" applyAlignment="1" applyProtection="1">
      <alignment horizontal="center" vertical="center" wrapText="1"/>
    </xf>
    <xf numFmtId="9" fontId="3" fillId="6" borderId="10" xfId="7" applyFont="1" applyFill="1" applyBorder="1" applyAlignment="1">
      <alignment horizontal="center" vertical="center" wrapText="1"/>
    </xf>
    <xf numFmtId="0" fontId="2" fillId="7" borderId="12" xfId="0" applyFont="1" applyFill="1" applyBorder="1" applyAlignment="1" applyProtection="1">
      <alignment horizontal="center" vertical="center" wrapText="1"/>
      <protection locked="0"/>
    </xf>
    <xf numFmtId="0" fontId="2" fillId="5" borderId="2" xfId="0" applyFont="1" applyFill="1" applyBorder="1" applyAlignment="1">
      <alignment horizontal="left" vertical="center"/>
    </xf>
    <xf numFmtId="3" fontId="2" fillId="0" borderId="16" xfId="0" applyNumberFormat="1" applyFont="1" applyBorder="1" applyAlignment="1" applyProtection="1">
      <alignment horizontal="center" vertical="center" wrapText="1"/>
      <protection locked="0"/>
    </xf>
    <xf numFmtId="3" fontId="2" fillId="6" borderId="14" xfId="0" applyNumberFormat="1" applyFont="1" applyFill="1" applyBorder="1" applyAlignment="1" applyProtection="1">
      <alignment horizontal="center" vertical="center" wrapText="1"/>
    </xf>
    <xf numFmtId="9" fontId="3" fillId="6" borderId="16" xfId="7" applyFont="1" applyFill="1" applyBorder="1" applyAlignment="1">
      <alignment horizontal="center" vertical="center" wrapText="1"/>
    </xf>
    <xf numFmtId="9" fontId="3" fillId="6" borderId="15" xfId="7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left" vertical="center" wrapText="1"/>
    </xf>
    <xf numFmtId="0" fontId="2" fillId="8" borderId="33" xfId="0" applyFont="1" applyFill="1" applyBorder="1" applyAlignment="1">
      <alignment horizontal="center" vertical="center" wrapText="1"/>
    </xf>
    <xf numFmtId="0" fontId="2" fillId="6" borderId="34" xfId="0" applyFont="1" applyFill="1" applyBorder="1" applyAlignment="1" applyProtection="1">
      <alignment horizontal="center" vertical="center" wrapText="1"/>
    </xf>
    <xf numFmtId="9" fontId="0" fillId="6" borderId="0" xfId="7" applyFont="1" applyFill="1" applyAlignment="1">
      <alignment horizontal="center"/>
    </xf>
    <xf numFmtId="0" fontId="2" fillId="10" borderId="33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 applyProtection="1">
      <alignment horizontal="center" vertical="center" wrapText="1"/>
      <protection locked="0"/>
    </xf>
    <xf numFmtId="0" fontId="2" fillId="0" borderId="12" xfId="0" applyFont="1" applyFill="1" applyBorder="1" applyAlignment="1" applyProtection="1">
      <alignment horizontal="center" vertical="center" wrapText="1"/>
      <protection locked="0"/>
    </xf>
    <xf numFmtId="0" fontId="2" fillId="0" borderId="16" xfId="0" applyFont="1" applyFill="1" applyBorder="1" applyAlignment="1" applyProtection="1">
      <alignment horizontal="center" vertical="center" wrapText="1"/>
      <protection locked="0"/>
    </xf>
    <xf numFmtId="0" fontId="2" fillId="6" borderId="14" xfId="0" applyFont="1" applyFill="1" applyBorder="1" applyAlignment="1" applyProtection="1">
      <alignment horizontal="center" vertical="center" wrapText="1"/>
    </xf>
    <xf numFmtId="0" fontId="26" fillId="0" borderId="0" xfId="0" applyFont="1"/>
    <xf numFmtId="0" fontId="27" fillId="0" borderId="0" xfId="0" applyFont="1" applyFill="1"/>
    <xf numFmtId="0" fontId="5" fillId="6" borderId="24" xfId="0" applyFont="1" applyFill="1" applyBorder="1" applyAlignment="1">
      <alignment horizontal="left" vertical="center" wrapText="1"/>
    </xf>
    <xf numFmtId="3" fontId="2" fillId="6" borderId="5" xfId="0" applyNumberFormat="1" applyFont="1" applyFill="1" applyBorder="1" applyAlignment="1">
      <alignment horizontal="center" vertical="center" wrapText="1"/>
    </xf>
    <xf numFmtId="9" fontId="2" fillId="6" borderId="5" xfId="7" applyFont="1" applyFill="1" applyBorder="1" applyAlignment="1">
      <alignment horizontal="center" vertical="center" wrapText="1"/>
    </xf>
    <xf numFmtId="9" fontId="0" fillId="6" borderId="28" xfId="7" applyFont="1" applyFill="1" applyBorder="1" applyAlignment="1">
      <alignment horizontal="center"/>
    </xf>
    <xf numFmtId="3" fontId="2" fillId="10" borderId="5" xfId="0" applyNumberFormat="1" applyFont="1" applyFill="1" applyBorder="1" applyAlignment="1">
      <alignment horizontal="center" vertical="center" wrapText="1"/>
    </xf>
    <xf numFmtId="3" fontId="2" fillId="10" borderId="33" xfId="0" applyNumberFormat="1" applyFont="1" applyFill="1" applyBorder="1" applyAlignment="1">
      <alignment horizontal="center" vertical="center" wrapText="1"/>
    </xf>
    <xf numFmtId="3" fontId="2" fillId="10" borderId="9" xfId="0" applyNumberFormat="1" applyFont="1" applyFill="1" applyBorder="1" applyAlignment="1">
      <alignment horizontal="center" vertical="center" wrapText="1"/>
    </xf>
    <xf numFmtId="3" fontId="22" fillId="0" borderId="35" xfId="0" applyNumberFormat="1" applyFont="1" applyBorder="1" applyAlignment="1" applyProtection="1">
      <alignment horizontal="center" vertical="center" wrapText="1"/>
      <protection locked="0"/>
    </xf>
    <xf numFmtId="3" fontId="22" fillId="0" borderId="36" xfId="0" applyNumberFormat="1" applyFont="1" applyBorder="1" applyAlignment="1" applyProtection="1">
      <alignment horizontal="center" vertical="center" wrapText="1"/>
      <protection locked="0"/>
    </xf>
    <xf numFmtId="0" fontId="2" fillId="6" borderId="16" xfId="0" applyFont="1" applyFill="1" applyBorder="1" applyAlignment="1">
      <alignment horizontal="center" vertical="center" wrapText="1"/>
    </xf>
    <xf numFmtId="9" fontId="3" fillId="0" borderId="0" xfId="7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28" fillId="0" borderId="0" xfId="0" applyFont="1" applyFill="1" applyBorder="1" applyAlignment="1">
      <alignment horizontal="left" vertical="center" wrapText="1"/>
    </xf>
    <xf numFmtId="0" fontId="29" fillId="0" borderId="0" xfId="0" applyFont="1" applyFill="1" applyBorder="1" applyAlignment="1">
      <alignment horizontal="left" vertical="center" wrapText="1"/>
    </xf>
    <xf numFmtId="0" fontId="7" fillId="5" borderId="3" xfId="0" applyFont="1" applyFill="1" applyBorder="1" applyAlignment="1">
      <alignment horizontal="left" vertical="center" wrapText="1"/>
    </xf>
    <xf numFmtId="0" fontId="0" fillId="0" borderId="5" xfId="0" applyBorder="1" applyProtection="1">
      <protection locked="0"/>
    </xf>
    <xf numFmtId="0" fontId="13" fillId="6" borderId="5" xfId="0" applyFont="1" applyFill="1" applyBorder="1" applyAlignment="1">
      <alignment horizontal="center"/>
    </xf>
    <xf numFmtId="9" fontId="0" fillId="6" borderId="5" xfId="7" applyFont="1" applyFill="1" applyBorder="1" applyAlignment="1">
      <alignment horizontal="center" vertical="center"/>
    </xf>
    <xf numFmtId="9" fontId="0" fillId="6" borderId="10" xfId="7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left" vertical="center" wrapText="1"/>
    </xf>
    <xf numFmtId="1" fontId="13" fillId="6" borderId="12" xfId="0" applyNumberFormat="1" applyFont="1" applyFill="1" applyBorder="1" applyAlignment="1">
      <alignment horizontal="center"/>
    </xf>
    <xf numFmtId="1" fontId="13" fillId="6" borderId="5" xfId="0" applyNumberFormat="1" applyFont="1" applyFill="1" applyBorder="1" applyAlignment="1">
      <alignment horizontal="center"/>
    </xf>
    <xf numFmtId="9" fontId="13" fillId="6" borderId="5" xfId="7" applyFont="1" applyFill="1" applyBorder="1" applyAlignment="1">
      <alignment horizontal="center" vertical="center"/>
    </xf>
    <xf numFmtId="9" fontId="13" fillId="6" borderId="23" xfId="7" applyFont="1" applyFill="1" applyBorder="1" applyAlignment="1">
      <alignment horizontal="center" vertical="center"/>
    </xf>
    <xf numFmtId="1" fontId="0" fillId="10" borderId="14" xfId="0" applyNumberFormat="1" applyFill="1" applyBorder="1" applyAlignment="1">
      <alignment horizontal="center" vertical="center" wrapText="1"/>
    </xf>
    <xf numFmtId="1" fontId="0" fillId="10" borderId="36" xfId="0" applyNumberFormat="1" applyFill="1" applyBorder="1" applyAlignment="1">
      <alignment horizontal="center" vertical="center" wrapText="1"/>
    </xf>
    <xf numFmtId="1" fontId="0" fillId="10" borderId="15" xfId="0" applyNumberFormat="1" applyFill="1" applyBorder="1" applyAlignment="1">
      <alignment horizontal="center" vertical="center" wrapText="1"/>
    </xf>
    <xf numFmtId="0" fontId="0" fillId="0" borderId="26" xfId="0" applyBorder="1"/>
    <xf numFmtId="0" fontId="0" fillId="0" borderId="37" xfId="0" applyBorder="1"/>
    <xf numFmtId="0" fontId="0" fillId="6" borderId="5" xfId="0" applyFill="1" applyBorder="1" applyAlignment="1">
      <alignment horizontal="center"/>
    </xf>
    <xf numFmtId="9" fontId="0" fillId="6" borderId="5" xfId="7" applyFont="1" applyFill="1" applyBorder="1" applyAlignment="1">
      <alignment horizontal="center"/>
    </xf>
    <xf numFmtId="9" fontId="13" fillId="6" borderId="12" xfId="7" applyFont="1" applyFill="1" applyBorder="1" applyAlignment="1">
      <alignment horizontal="center"/>
    </xf>
    <xf numFmtId="9" fontId="13" fillId="6" borderId="10" xfId="7" applyFont="1" applyFill="1" applyBorder="1" applyAlignment="1">
      <alignment horizontal="center"/>
    </xf>
    <xf numFmtId="1" fontId="0" fillId="10" borderId="16" xfId="0" applyNumberFormat="1" applyFill="1" applyBorder="1" applyAlignment="1">
      <alignment horizontal="center" vertical="center" wrapText="1"/>
    </xf>
    <xf numFmtId="1" fontId="0" fillId="10" borderId="38" xfId="0" applyNumberFormat="1" applyFill="1" applyBorder="1" applyAlignment="1">
      <alignment horizontal="center" vertical="center" wrapText="1"/>
    </xf>
    <xf numFmtId="1" fontId="0" fillId="6" borderId="12" xfId="0" applyNumberFormat="1" applyFill="1" applyBorder="1" applyAlignment="1">
      <alignment horizontal="center"/>
    </xf>
    <xf numFmtId="9" fontId="0" fillId="6" borderId="12" xfId="7" applyFont="1" applyFill="1" applyBorder="1" applyAlignment="1">
      <alignment horizontal="center"/>
    </xf>
    <xf numFmtId="9" fontId="0" fillId="6" borderId="23" xfId="7" applyFont="1" applyFill="1" applyBorder="1" applyAlignment="1">
      <alignment horizontal="center"/>
    </xf>
    <xf numFmtId="0" fontId="19" fillId="0" borderId="0" xfId="0" applyFont="1" applyFill="1" applyBorder="1" applyAlignment="1">
      <alignment horizontal="left" vertical="center"/>
    </xf>
    <xf numFmtId="0" fontId="2" fillId="6" borderId="39" xfId="0" applyFont="1" applyFill="1" applyBorder="1" applyAlignment="1">
      <alignment horizontal="center" vertical="center" wrapText="1"/>
    </xf>
    <xf numFmtId="0" fontId="5" fillId="12" borderId="3" xfId="0" applyFont="1" applyFill="1" applyBorder="1" applyAlignment="1">
      <alignment horizontal="left" vertical="center" wrapText="1"/>
    </xf>
    <xf numFmtId="0" fontId="3" fillId="0" borderId="5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Fill="1" applyBorder="1" applyAlignment="1" applyProtection="1">
      <alignment horizontal="center" vertical="center" wrapText="1"/>
      <protection locked="0"/>
    </xf>
    <xf numFmtId="0" fontId="3" fillId="6" borderId="9" xfId="0" applyFont="1" applyFill="1" applyBorder="1" applyAlignment="1" applyProtection="1">
      <alignment horizontal="center" vertical="center" wrapText="1"/>
    </xf>
    <xf numFmtId="9" fontId="3" fillId="6" borderId="28" xfId="7" applyFont="1" applyFill="1" applyBorder="1" applyAlignment="1">
      <alignment horizontal="center" vertical="center" wrapText="1"/>
    </xf>
    <xf numFmtId="0" fontId="2" fillId="12" borderId="3" xfId="0" applyFont="1" applyFill="1" applyBorder="1" applyAlignment="1">
      <alignment horizontal="left" vertical="center" wrapText="1"/>
    </xf>
    <xf numFmtId="9" fontId="7" fillId="6" borderId="5" xfId="7" applyFont="1" applyFill="1" applyBorder="1" applyAlignment="1">
      <alignment horizontal="center" vertical="center" wrapText="1"/>
    </xf>
    <xf numFmtId="0" fontId="2" fillId="0" borderId="9" xfId="0" applyFont="1" applyFill="1" applyBorder="1" applyAlignment="1" applyProtection="1">
      <alignment horizontal="center" vertical="center" wrapText="1"/>
      <protection locked="0"/>
    </xf>
    <xf numFmtId="3" fontId="5" fillId="6" borderId="5" xfId="0" applyNumberFormat="1" applyFont="1" applyFill="1" applyBorder="1" applyAlignment="1">
      <alignment horizontal="center" vertical="center" wrapText="1"/>
    </xf>
    <xf numFmtId="3" fontId="5" fillId="6" borderId="12" xfId="0" applyNumberFormat="1" applyFont="1" applyFill="1" applyBorder="1" applyAlignment="1">
      <alignment horizontal="center" vertical="center" wrapText="1"/>
    </xf>
    <xf numFmtId="9" fontId="3" fillId="6" borderId="12" xfId="7" applyFont="1" applyFill="1" applyBorder="1" applyAlignment="1">
      <alignment horizontal="center" vertical="center" wrapText="1"/>
    </xf>
    <xf numFmtId="9" fontId="3" fillId="6" borderId="40" xfId="7" applyFont="1" applyFill="1" applyBorder="1" applyAlignment="1">
      <alignment horizontal="center" vertical="center" wrapText="1"/>
    </xf>
    <xf numFmtId="0" fontId="2" fillId="10" borderId="41" xfId="0" applyFont="1" applyFill="1" applyBorder="1" applyAlignment="1">
      <alignment horizontal="left" vertical="center" wrapText="1"/>
    </xf>
    <xf numFmtId="1" fontId="0" fillId="10" borderId="42" xfId="0" applyNumberFormat="1" applyFill="1" applyBorder="1" applyAlignment="1">
      <alignment horizontal="center" vertical="center" wrapText="1"/>
    </xf>
    <xf numFmtId="3" fontId="2" fillId="6" borderId="13" xfId="0" applyNumberFormat="1" applyFont="1" applyFill="1" applyBorder="1" applyAlignment="1" applyProtection="1">
      <alignment horizontal="center" vertical="center" wrapText="1"/>
    </xf>
    <xf numFmtId="0" fontId="2" fillId="10" borderId="43" xfId="0" applyFont="1" applyFill="1" applyBorder="1" applyAlignment="1">
      <alignment horizontal="left" vertical="center" wrapText="1"/>
    </xf>
    <xf numFmtId="0" fontId="2" fillId="10" borderId="35" xfId="0" applyFont="1" applyFill="1" applyBorder="1" applyAlignment="1">
      <alignment horizontal="center" vertical="center" wrapText="1"/>
    </xf>
    <xf numFmtId="0" fontId="2" fillId="10" borderId="14" xfId="0" applyFont="1" applyFill="1" applyBorder="1" applyAlignment="1">
      <alignment horizontal="center" vertical="center" wrapText="1"/>
    </xf>
    <xf numFmtId="0" fontId="2" fillId="10" borderId="36" xfId="0" applyFont="1" applyFill="1" applyBorder="1" applyAlignment="1">
      <alignment horizontal="center" vertical="center" wrapText="1"/>
    </xf>
    <xf numFmtId="0" fontId="2" fillId="10" borderId="15" xfId="0" applyFont="1" applyFill="1" applyBorder="1" applyAlignment="1">
      <alignment horizontal="center" vertical="center" wrapText="1"/>
    </xf>
    <xf numFmtId="0" fontId="2" fillId="10" borderId="44" xfId="0" applyFont="1" applyFill="1" applyBorder="1" applyAlignment="1">
      <alignment horizontal="left" vertical="center" wrapText="1"/>
    </xf>
    <xf numFmtId="3" fontId="22" fillId="10" borderId="29" xfId="0" applyNumberFormat="1" applyFont="1" applyFill="1" applyBorder="1" applyAlignment="1" applyProtection="1">
      <alignment horizontal="center" vertical="center" wrapText="1"/>
    </xf>
    <xf numFmtId="9" fontId="3" fillId="6" borderId="45" xfId="7" applyFont="1" applyFill="1" applyBorder="1" applyAlignment="1">
      <alignment horizontal="center" vertical="center" wrapText="1"/>
    </xf>
    <xf numFmtId="0" fontId="2" fillId="5" borderId="33" xfId="0" applyFont="1" applyFill="1" applyBorder="1" applyAlignment="1">
      <alignment horizontal="center" vertical="center" wrapText="1"/>
    </xf>
    <xf numFmtId="0" fontId="2" fillId="5" borderId="34" xfId="0" applyFont="1" applyFill="1" applyBorder="1" applyAlignment="1">
      <alignment horizontal="center" vertical="center" wrapText="1"/>
    </xf>
    <xf numFmtId="0" fontId="2" fillId="6" borderId="33" xfId="0" applyFont="1" applyFill="1" applyBorder="1" applyAlignment="1">
      <alignment horizontal="center" vertical="center" wrapText="1"/>
    </xf>
    <xf numFmtId="0" fontId="2" fillId="6" borderId="46" xfId="0" applyFont="1" applyFill="1" applyBorder="1" applyAlignment="1">
      <alignment horizontal="center" vertical="center" wrapText="1"/>
    </xf>
    <xf numFmtId="9" fontId="3" fillId="6" borderId="20" xfId="7" applyFont="1" applyFill="1" applyBorder="1" applyAlignment="1">
      <alignment horizontal="center" vertical="center" wrapText="1"/>
    </xf>
    <xf numFmtId="166" fontId="3" fillId="0" borderId="37" xfId="0" applyNumberFormat="1" applyFont="1" applyFill="1" applyBorder="1" applyAlignment="1">
      <alignment horizontal="center" vertical="center" wrapText="1"/>
    </xf>
    <xf numFmtId="166" fontId="3" fillId="0" borderId="0" xfId="0" applyNumberFormat="1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3" fontId="22" fillId="0" borderId="33" xfId="0" applyNumberFormat="1" applyFont="1" applyBorder="1" applyAlignment="1" applyProtection="1">
      <alignment horizontal="center" vertical="center" wrapText="1"/>
      <protection locked="0"/>
    </xf>
    <xf numFmtId="3" fontId="22" fillId="0" borderId="34" xfId="0" applyNumberFormat="1" applyFont="1" applyBorder="1" applyAlignment="1" applyProtection="1">
      <alignment horizontal="center" vertical="center" wrapText="1"/>
      <protection locked="0"/>
    </xf>
    <xf numFmtId="9" fontId="3" fillId="6" borderId="9" xfId="7" applyFont="1" applyFill="1" applyBorder="1" applyAlignment="1">
      <alignment horizontal="center" vertical="center" wrapText="1"/>
    </xf>
    <xf numFmtId="3" fontId="22" fillId="0" borderId="20" xfId="0" applyNumberFormat="1" applyFont="1" applyBorder="1" applyAlignment="1" applyProtection="1">
      <alignment horizontal="center" vertical="center" wrapText="1"/>
      <protection locked="0"/>
    </xf>
    <xf numFmtId="3" fontId="22" fillId="0" borderId="48" xfId="0" applyNumberFormat="1" applyFont="1" applyBorder="1" applyAlignment="1" applyProtection="1">
      <alignment horizontal="center" vertical="center" wrapText="1"/>
      <protection locked="0"/>
    </xf>
    <xf numFmtId="0" fontId="5" fillId="5" borderId="3" xfId="0" applyFont="1" applyFill="1" applyBorder="1" applyAlignment="1">
      <alignment horizontal="left" vertical="center" wrapText="1"/>
    </xf>
    <xf numFmtId="0" fontId="2" fillId="6" borderId="10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left" vertical="center" wrapText="1"/>
    </xf>
    <xf numFmtId="9" fontId="20" fillId="6" borderId="28" xfId="7" applyFont="1" applyFill="1" applyBorder="1" applyAlignment="1">
      <alignment horizontal="center" vertical="center" wrapText="1"/>
    </xf>
    <xf numFmtId="3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3" fontId="22" fillId="10" borderId="36" xfId="0" applyNumberFormat="1" applyFont="1" applyFill="1" applyBorder="1" applyAlignment="1" applyProtection="1">
      <alignment horizontal="center" vertical="center" wrapText="1"/>
    </xf>
    <xf numFmtId="3" fontId="22" fillId="10" borderId="15" xfId="0" applyNumberFormat="1" applyFont="1" applyFill="1" applyBorder="1" applyAlignment="1" applyProtection="1">
      <alignment horizontal="center" vertical="center" wrapText="1"/>
    </xf>
    <xf numFmtId="9" fontId="3" fillId="6" borderId="29" xfId="7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left" vertical="center" wrapText="1"/>
    </xf>
    <xf numFmtId="9" fontId="20" fillId="6" borderId="45" xfId="7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0" borderId="20" xfId="0" applyFont="1" applyFill="1" applyBorder="1" applyAlignment="1" applyProtection="1">
      <alignment horizontal="center" vertical="center" wrapText="1"/>
      <protection locked="0"/>
    </xf>
    <xf numFmtId="0" fontId="2" fillId="0" borderId="48" xfId="0" applyFont="1" applyFill="1" applyBorder="1" applyAlignment="1" applyProtection="1">
      <alignment horizontal="center" vertical="center" wrapText="1"/>
      <protection locked="0"/>
    </xf>
    <xf numFmtId="0" fontId="2" fillId="6" borderId="48" xfId="0" applyFont="1" applyFill="1" applyBorder="1" applyAlignment="1">
      <alignment horizontal="center" vertical="center" wrapText="1"/>
    </xf>
    <xf numFmtId="9" fontId="3" fillId="6" borderId="0" xfId="7" applyFont="1" applyFill="1" applyBorder="1" applyAlignment="1">
      <alignment horizontal="center" vertical="center" wrapText="1"/>
    </xf>
    <xf numFmtId="9" fontId="3" fillId="6" borderId="46" xfId="7" applyFont="1" applyFill="1" applyBorder="1" applyAlignment="1">
      <alignment horizontal="center" vertical="center" wrapText="1"/>
    </xf>
    <xf numFmtId="3" fontId="2" fillId="6" borderId="12" xfId="0" applyNumberFormat="1" applyFont="1" applyFill="1" applyBorder="1" applyAlignment="1" applyProtection="1">
      <alignment horizontal="center" vertical="center" wrapText="1"/>
    </xf>
    <xf numFmtId="0" fontId="7" fillId="5" borderId="49" xfId="0" applyFont="1" applyFill="1" applyBorder="1" applyAlignment="1">
      <alignment horizontal="left" vertical="center" wrapText="1"/>
    </xf>
    <xf numFmtId="3" fontId="3" fillId="0" borderId="5" xfId="0" applyNumberFormat="1" applyFont="1" applyBorder="1" applyAlignment="1" applyProtection="1">
      <alignment horizontal="center" vertical="center" wrapText="1"/>
      <protection locked="0"/>
    </xf>
    <xf numFmtId="0" fontId="12" fillId="0" borderId="0" xfId="0" applyFont="1" applyFill="1"/>
    <xf numFmtId="0" fontId="7" fillId="5" borderId="2" xfId="0" applyFont="1" applyFill="1" applyBorder="1" applyAlignment="1">
      <alignment horizontal="left" vertical="center" wrapText="1"/>
    </xf>
    <xf numFmtId="3" fontId="3" fillId="0" borderId="41" xfId="0" applyNumberFormat="1" applyFont="1" applyBorder="1" applyAlignment="1" applyProtection="1">
      <alignment horizontal="center" vertical="center" wrapText="1"/>
      <protection locked="0"/>
    </xf>
    <xf numFmtId="3" fontId="22" fillId="10" borderId="35" xfId="0" applyNumberFormat="1" applyFont="1" applyFill="1" applyBorder="1" applyAlignment="1" applyProtection="1">
      <alignment horizontal="center" vertical="center" wrapText="1"/>
    </xf>
    <xf numFmtId="0" fontId="2" fillId="5" borderId="24" xfId="0" applyFont="1" applyFill="1" applyBorder="1" applyAlignment="1">
      <alignment horizontal="left" vertical="center" wrapText="1"/>
    </xf>
    <xf numFmtId="9" fontId="3" fillId="6" borderId="50" xfId="7" applyFont="1" applyFill="1" applyBorder="1" applyAlignment="1">
      <alignment horizontal="center" vertical="center" wrapText="1"/>
    </xf>
    <xf numFmtId="3" fontId="2" fillId="6" borderId="34" xfId="0" applyNumberFormat="1" applyFont="1" applyFill="1" applyBorder="1" applyAlignment="1" applyProtection="1">
      <alignment horizontal="center" vertical="center" wrapText="1"/>
    </xf>
    <xf numFmtId="0" fontId="2" fillId="6" borderId="12" xfId="0" applyFont="1" applyFill="1" applyBorder="1" applyAlignment="1">
      <alignment horizontal="center" vertical="center" wrapText="1"/>
    </xf>
    <xf numFmtId="9" fontId="20" fillId="6" borderId="40" xfId="7" applyFont="1" applyFill="1" applyBorder="1" applyAlignment="1">
      <alignment horizontal="center" vertical="center" wrapText="1"/>
    </xf>
    <xf numFmtId="9" fontId="20" fillId="6" borderId="13" xfId="7" applyFont="1" applyFill="1" applyBorder="1" applyAlignment="1">
      <alignment horizontal="center" vertical="center" wrapText="1"/>
    </xf>
    <xf numFmtId="166" fontId="3" fillId="7" borderId="0" xfId="0" applyNumberFormat="1" applyFont="1" applyFill="1" applyBorder="1" applyAlignment="1">
      <alignment horizontal="center" vertical="center" wrapText="1"/>
    </xf>
    <xf numFmtId="3" fontId="22" fillId="13" borderId="5" xfId="0" applyNumberFormat="1" applyFont="1" applyFill="1" applyBorder="1" applyAlignment="1" applyProtection="1">
      <alignment horizontal="center" vertical="center" wrapText="1"/>
      <protection locked="0"/>
    </xf>
    <xf numFmtId="3" fontId="22" fillId="13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vertical="top"/>
      <protection locked="0"/>
    </xf>
    <xf numFmtId="0" fontId="31" fillId="0" borderId="0" xfId="0" applyFont="1" applyAlignment="1">
      <alignment vertical="center"/>
    </xf>
    <xf numFmtId="167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68" fontId="0" fillId="0" borderId="0" xfId="0" applyNumberFormat="1"/>
    <xf numFmtId="168" fontId="0" fillId="0" borderId="0" xfId="0" applyNumberFormat="1" applyAlignment="1">
      <alignment horizontal="left"/>
    </xf>
    <xf numFmtId="49" fontId="2" fillId="11" borderId="0" xfId="0" applyNumberFormat="1" applyFont="1" applyFill="1" applyBorder="1" applyAlignment="1" applyProtection="1">
      <alignment horizontal="left" vertical="top" wrapText="1"/>
      <protection locked="0"/>
    </xf>
    <xf numFmtId="0" fontId="2" fillId="11" borderId="0" xfId="0" applyFont="1" applyFill="1" applyBorder="1" applyAlignment="1" applyProtection="1">
      <alignment horizontal="left" vertical="top"/>
      <protection locked="0"/>
    </xf>
    <xf numFmtId="0" fontId="17" fillId="4" borderId="0" xfId="0" applyFont="1" applyFill="1" applyBorder="1" applyAlignment="1">
      <alignment horizontal="left" vertical="center" wrapText="1"/>
    </xf>
    <xf numFmtId="0" fontId="2" fillId="5" borderId="11" xfId="0" applyFont="1" applyFill="1" applyBorder="1" applyAlignment="1">
      <alignment horizontal="left" vertical="center" wrapText="1"/>
    </xf>
    <xf numFmtId="0" fontId="2" fillId="5" borderId="47" xfId="0" applyFont="1" applyFill="1" applyBorder="1" applyAlignment="1">
      <alignment horizontal="left" vertical="center" wrapText="1"/>
    </xf>
    <xf numFmtId="0" fontId="2" fillId="5" borderId="31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2" fillId="5" borderId="22" xfId="0" applyFont="1" applyFill="1" applyBorder="1" applyAlignment="1">
      <alignment horizontal="center" vertical="center" wrapText="1"/>
    </xf>
    <xf numFmtId="3" fontId="22" fillId="0" borderId="9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45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28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14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42" xfId="0" applyNumberFormat="1" applyFont="1" applyFill="1" applyBorder="1" applyAlignment="1" applyProtection="1">
      <alignment horizontal="center" vertical="center" wrapText="1"/>
      <protection locked="0"/>
    </xf>
    <xf numFmtId="3" fontId="22" fillId="0" borderId="29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0" xfId="0" applyFont="1" applyFill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center" wrapText="1"/>
    </xf>
    <xf numFmtId="49" fontId="21" fillId="11" borderId="0" xfId="0" applyNumberFormat="1" applyFont="1" applyFill="1" applyAlignment="1" applyProtection="1">
      <alignment horizontal="left" vertical="top"/>
      <protection locked="0"/>
    </xf>
    <xf numFmtId="0" fontId="17" fillId="4" borderId="0" xfId="0" applyFont="1" applyFill="1" applyBorder="1" applyAlignment="1">
      <alignment horizontal="left" vertical="center"/>
    </xf>
    <xf numFmtId="0" fontId="15" fillId="0" borderId="5" xfId="0" applyFont="1" applyBorder="1" applyAlignment="1" applyProtection="1">
      <alignment horizontal="center"/>
      <protection locked="0"/>
    </xf>
    <xf numFmtId="0" fontId="16" fillId="0" borderId="5" xfId="0" applyFont="1" applyBorder="1" applyAlignment="1" applyProtection="1">
      <alignment horizontal="center"/>
      <protection locked="0"/>
    </xf>
    <xf numFmtId="49" fontId="21" fillId="11" borderId="0" xfId="0" applyNumberFormat="1" applyFont="1" applyFill="1" applyAlignment="1" applyProtection="1">
      <alignment vertical="top"/>
      <protection locked="0"/>
    </xf>
    <xf numFmtId="0" fontId="0" fillId="11" borderId="0" xfId="0" applyFill="1" applyAlignment="1" applyProtection="1">
      <alignment vertical="top"/>
      <protection locked="0"/>
    </xf>
  </cellXfs>
  <cellStyles count="8">
    <cellStyle name="Euro" xfId="2"/>
    <cellStyle name="Milliers 2" xfId="3"/>
    <cellStyle name="Normal" xfId="0" builtinId="0"/>
    <cellStyle name="Normal 2" xfId="4"/>
    <cellStyle name="Normal 3" xfId="5"/>
    <cellStyle name="Normal 4" xfId="6"/>
    <cellStyle name="Normal 5" xfId="1"/>
    <cellStyle name="Pourcentage" xfId="7" builtinId="5"/>
  </cellStyles>
  <dxfs count="116">
    <dxf>
      <numFmt numFmtId="0" formatCode="General"/>
    </dxf>
    <dxf>
      <numFmt numFmtId="0" formatCode="General"/>
    </dxf>
    <dxf>
      <font>
        <color theme="0" tint="-0.24994659260841701"/>
      </font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numFmt numFmtId="168" formatCode="0.0"/>
    </dxf>
    <dxf>
      <numFmt numFmtId="168" formatCode="0.0"/>
    </dxf>
    <dxf>
      <numFmt numFmtId="165" formatCode="dd/mm/yy;@"/>
    </dxf>
    <dxf>
      <numFmt numFmtId="165" formatCode="dd/mm/yy;@"/>
    </dxf>
    <dxf>
      <numFmt numFmtId="165" formatCode="dd/mm/yy;@"/>
    </dxf>
    <dxf>
      <alignment horizontal="general" vertical="center" textRotation="0" wrapText="1" indent="0" justifyLastLine="0" shrinkToFit="0" readingOrder="0"/>
    </dxf>
    <dxf>
      <font>
        <color rgb="FFFF0000"/>
      </font>
    </dxf>
    <dxf>
      <font>
        <color auto="1"/>
      </font>
      <fill>
        <patternFill>
          <bgColor theme="8" tint="-0.499984740745262"/>
        </patternFill>
      </fill>
    </dxf>
  </dxfs>
  <tableStyles count="1" defaultTableStyle="TableStyleMedium2" defaultPivotStyle="PivotStyleLight16">
    <tableStyle name="Style de tableau 1" pivot="0" count="1">
      <tableStyleElement type="headerRow" dxfId="11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1432560</xdr:colOff>
      <xdr:row>1</xdr:row>
      <xdr:rowOff>100965</xdr:rowOff>
    </xdr:from>
    <xdr:to>
      <xdr:col>8</xdr:col>
      <xdr:colOff>245745</xdr:colOff>
      <xdr:row>9</xdr:row>
      <xdr:rowOff>78105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entr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entr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61735" y="1186815"/>
              <a:ext cx="3270885" cy="15011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0</xdr:row>
      <xdr:rowOff>9525</xdr:rowOff>
    </xdr:from>
    <xdr:to>
      <xdr:col>0</xdr:col>
      <xdr:colOff>1828800</xdr:colOff>
      <xdr:row>2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ervi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9525"/>
              <a:ext cx="1828800" cy="1266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ille%20vierge%20Rapport%20d'activit&#233;%20des%20&#233;tablissemen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_Trame_commune_Rapport_Activite_deverouil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"/>
      <sheetName val="Conversions"/>
      <sheetName val="Liste"/>
      <sheetName val="Listes_deroulantes"/>
    </sheetNames>
    <sheetDataSet>
      <sheetData sheetId="0"/>
      <sheetData sheetId="1"/>
      <sheetData sheetId="2">
        <row r="2">
          <cell r="E2">
            <v>0</v>
          </cell>
        </row>
        <row r="3">
          <cell r="A3" t="str">
            <v>Oui</v>
          </cell>
        </row>
        <row r="4">
          <cell r="A4" t="str">
            <v>Non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blissement"/>
      <sheetName val="Service"/>
      <sheetName val="Listes_deroulantes"/>
    </sheetNames>
    <sheetDataSet>
      <sheetData sheetId="0"/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etan" refreshedDate="44539.492415972221" createdVersion="4" refreshedVersion="5" minRefreshableVersion="3" recordCount="64">
  <cacheSource type="worksheet">
    <worksheetSource name="Tableau1"/>
  </cacheSource>
  <cacheFields count="22">
    <cacheField name="Clé primaire" numFmtId="0">
      <sharedItems containsNonDate="0" containsString="0" containsBlank="1"/>
    </cacheField>
    <cacheField name="Nom" numFmtId="0">
      <sharedItems/>
    </cacheField>
    <cacheField name="Prénom" numFmtId="0">
      <sharedItems/>
    </cacheField>
    <cacheField name="Date naiss" numFmtId="165">
      <sharedItems containsSemiMixedTypes="0" containsNonDate="0" containsDate="1" containsString="0" minDate="2000-09-04T00:00:00" maxDate="2021-01-02T00:00:00"/>
    </cacheField>
    <cacheField name="Genre" numFmtId="0">
      <sharedItems count="2">
        <s v="Garçon"/>
        <s v="Fille"/>
      </sharedItems>
    </cacheField>
    <cacheField name="Date entrée" numFmtId="165">
      <sharedItems containsSemiMixedTypes="0" containsNonDate="0" containsDate="1" containsString="0" minDate="2017-01-24T00:00:00" maxDate="2021-11-09T00:00:00" count="50">
        <d v="2020-12-04T00:00:00"/>
        <d v="2019-02-05T00:00:00"/>
        <d v="2020-11-23T00:00:00"/>
        <d v="2020-12-18T00:00:00"/>
        <d v="2020-03-23T00:00:00"/>
        <d v="2020-11-13T00:00:00"/>
        <d v="2020-06-02T00:00:00"/>
        <d v="2020-01-29T00:00:00"/>
        <d v="2020-12-11T00:00:00"/>
        <d v="2017-05-16T00:00:00"/>
        <d v="2020-11-19T00:00:00"/>
        <d v="2020-12-15T00:00:00"/>
        <d v="2018-12-20T00:00:00"/>
        <d v="2020-12-14T00:00:00"/>
        <d v="2020-02-04T00:00:00"/>
        <d v="2019-07-24T00:00:00"/>
        <d v="2020-06-09T00:00:00"/>
        <d v="2020-12-03T00:00:00"/>
        <d v="2021-01-25T00:00:00"/>
        <d v="2021-03-22T00:00:00"/>
        <d v="2021-05-10T00:00:00"/>
        <d v="2021-08-26T00:00:00"/>
        <d v="2021-07-11T00:00:00"/>
        <d v="2021-10-20T00:00:00"/>
        <d v="2021-11-08T00:00:00"/>
        <d v="2018-09-07T00:00:00"/>
        <d v="2018-10-29T00:00:00"/>
        <d v="2017-09-21T00:00:00"/>
        <d v="2020-10-02T00:00:00"/>
        <d v="2018-08-01T00:00:00"/>
        <d v="2017-08-30T00:00:00"/>
        <d v="2020-11-30T00:00:00"/>
        <d v="2019-04-30T00:00:00"/>
        <d v="2019-04-15T00:00:00"/>
        <d v="2017-01-24T00:00:00"/>
        <d v="2021-02-10T00:00:00"/>
        <d v="2021-03-03T00:00:00"/>
        <d v="2021-04-21T00:00:00"/>
        <d v="2021-05-25T00:00:00"/>
        <d v="2021-10-01T00:00:00"/>
        <d v="2021-10-25T00:00:00"/>
        <d v="2020-03-02T00:00:00"/>
        <d v="2018-09-04T00:00:00"/>
        <d v="2020-11-04T00:00:00"/>
        <d v="2019-11-13T00:00:00"/>
        <d v="2019-04-10T00:00:00"/>
        <d v="2020-10-22T00:00:00"/>
        <d v="2019-02-01T00:00:00"/>
        <d v="2021-09-06T00:00:00"/>
        <d v="2021-02-01T00:00:00"/>
      </sharedItems>
      <fieldGroup base="5">
        <rangePr groupBy="months" startDate="2017-01-24T00:00:00" endDate="2021-11-09T00:00:00"/>
        <groupItems count="14">
          <s v="&lt;24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11/2021"/>
        </groupItems>
      </fieldGroup>
    </cacheField>
    <cacheField name="Service" numFmtId="0">
      <sharedItems count="3">
        <s v="Dispositif alternatif au placement"/>
        <s v="Internat"/>
        <s v="Service autonome"/>
      </sharedItems>
    </cacheField>
    <cacheField name="Date sortie" numFmtId="165">
      <sharedItems containsNonDate="0" containsDate="1" containsString="0" containsBlank="1" minDate="2021-02-01T00:00:00" maxDate="2021-10-26T00:00:00" count="17">
        <d v="2021-03-23T00:00:00"/>
        <d v="2021-09-16T00:00:00"/>
        <m/>
        <d v="2021-10-20T00:00:00"/>
        <d v="2021-09-21T00:00:00"/>
        <d v="2021-02-01T00:00:00"/>
        <d v="2021-06-30T00:00:00"/>
        <d v="2021-06-28T00:00:00"/>
        <d v="2021-10-11T00:00:00"/>
        <d v="2021-09-27T00:00:00"/>
        <d v="2021-06-15T00:00:00"/>
        <d v="2021-10-25T00:00:00"/>
        <d v="2021-09-06T00:00:00"/>
        <d v="2021-05-09T00:00:00"/>
        <d v="2021-04-24T00:00:00"/>
        <d v="2021-09-04T00:00:00"/>
        <d v="2021-05-04T00:00:00"/>
      </sharedItems>
      <fieldGroup base="7">
        <rangePr groupBy="months" startDate="2021-02-01T00:00:00" endDate="2021-10-2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10/2021"/>
        </groupItems>
      </fieldGroup>
    </cacheField>
    <cacheField name="Age arrivée" numFmtId="168">
      <sharedItems containsSemiMixedTypes="0" containsString="0" containsNumber="1" minValue="8.3333333333333329E-2" maxValue="18" count="49">
        <n v="17.333333333333332"/>
        <n v="10.833333333333334"/>
        <n v="1.4166666666666667"/>
        <n v="16.25"/>
        <n v="16.416666666666668"/>
        <n v="8.25"/>
        <n v="9.75"/>
        <n v="5.916666666666667"/>
        <n v="11.833333333333334"/>
        <n v="14.25"/>
        <n v="15.666666666666666"/>
        <n v="8.3333333333333339"/>
        <n v="11.166666666666666"/>
        <n v="2.1666666666666665"/>
        <n v="10.166666666666666"/>
        <n v="15.5"/>
        <n v="7.583333333333333"/>
        <n v="8.8333333333333339"/>
        <n v="15.583333333333334"/>
        <n v="15.75"/>
        <n v="9"/>
        <n v="1.1666666666666667"/>
        <n v="13.416666666666666"/>
        <n v="13.083333333333334"/>
        <n v="7.166666666666667"/>
        <n v="16.333333333333332"/>
        <n v="12"/>
        <n v="13"/>
        <n v="12.916666666666666"/>
        <n v="9.0833333333333339"/>
        <n v="13.666666666666666"/>
        <n v="14.833333333333334"/>
        <n v="14.333333333333334"/>
        <n v="11.5"/>
        <n v="13.5"/>
        <n v="10.666666666666666"/>
        <n v="13.833333333333334"/>
        <n v="17.166666666666668"/>
        <n v="16.666666666666668"/>
        <n v="9.4166666666666661"/>
        <n v="13.75"/>
        <n v="11.583333333333334"/>
        <n v="12.5"/>
        <n v="17.083333333333332"/>
        <n v="17.5"/>
        <n v="18"/>
        <n v="17.916666666666668"/>
        <n v="8.3333333333333329E-2"/>
        <n v="3.0833333333333335"/>
      </sharedItems>
      <fieldGroup base="8">
        <rangePr autoStart="0" autoEnd="0" startNum="0" endNum="21" groupInterval="3"/>
        <groupItems count="9">
          <s v="&lt;0"/>
          <s v="0-3"/>
          <s v="3-6"/>
          <s v="6-9"/>
          <s v="9-12"/>
          <s v="12-15"/>
          <s v="15-18"/>
          <s v="18-21"/>
          <s v="&gt;21"/>
        </groupItems>
      </fieldGroup>
    </cacheField>
    <cacheField name="Age départ" numFmtId="168">
      <sharedItems containsSemiMixedTypes="0" containsString="0" containsNumber="1" minValue="-1" maxValue="21" count="19">
        <n v="17.583333333333332"/>
        <n v="13.416666666666666"/>
        <n v="-1"/>
        <n v="18"/>
        <n v="11.083333333333334"/>
        <n v="7.166666666666667"/>
        <n v="13.083333333333334"/>
        <n v="15.333333333333334"/>
        <n v="12.416666666666666"/>
        <n v="11.833333333333334"/>
        <n v="8.1666666666666661"/>
        <n v="16.416666666666668"/>
        <n v="15.25"/>
        <n v="17.916666666666668"/>
        <n v="16.333333333333332"/>
        <n v="11.583333333333334"/>
        <n v="21"/>
        <n v="0.33333333333333331"/>
        <n v="3.3333333333333335"/>
      </sharedItems>
      <fieldGroup base="9">
        <rangePr autoStart="0" autoEnd="0" startNum="0" endNum="21" groupInterval="2"/>
        <groupItems count="13">
          <s v="&lt;0"/>
          <s v="0-2"/>
          <s v="2-4"/>
          <s v="4-6"/>
          <s v="6-8"/>
          <s v="8-10"/>
          <s v="10-12"/>
          <s v="12-14"/>
          <s v="14-16"/>
          <s v="16-18"/>
          <s v="18-20"/>
          <s v="20-22"/>
          <s v="&gt;22"/>
        </groupItems>
      </fieldGroup>
    </cacheField>
    <cacheField name="B3 Origine territoriale demande admission effective" numFmtId="0">
      <sharedItems containsBlank="1" count="7">
        <s v="CDAS Pays de Vitré"/>
        <s v="CDAS Pays de Fougères"/>
        <s v="CDAS des Marches de Bretagne"/>
        <s v="CDAS Pays de la Roche aux Fées"/>
        <s v="CDAS Couronne Rennaise Est"/>
        <m/>
        <s v="CDAS Pays de Brocéliande"/>
      </sharedItems>
    </cacheField>
    <cacheField name="E1 Condition hébergement immédiatement antérieur admission" numFmtId="0">
      <sharedItems containsBlank="1"/>
    </cacheField>
    <cacheField name="E2 Condition hébergement sortie du service" numFmtId="0">
      <sharedItems containsNonDate="0" containsString="0" containsBlank="1"/>
    </cacheField>
    <cacheField name="F1 mesure à l'admission dans le service" numFmtId="0">
      <sharedItems containsNonDate="0" containsString="0" containsBlank="1"/>
    </cacheField>
    <cacheField name="F2 Mesure antérieure à l'admission dans le service" numFmtId="0">
      <sharedItems containsNonDate="0" containsString="0" containsBlank="1"/>
    </cacheField>
    <cacheField name="F3 Mesure à la sortie du service" numFmtId="0">
      <sharedItems containsNonDate="0" containsString="0" containsBlank="1"/>
    </cacheField>
    <cacheField name="G1 Autorité parentale" numFmtId="0">
      <sharedItems containsNonDate="0" containsString="0" containsBlank="1"/>
    </cacheField>
    <cacheField name="G2 Situation familiale" numFmtId="0">
      <sharedItems containsNonDate="0" containsString="0" containsBlank="1"/>
    </cacheField>
    <cacheField name="G3 Situation professionnelle des parents" numFmtId="0">
      <sharedItems containsNonDate="0" containsString="0" containsBlank="1"/>
    </cacheField>
    <cacheField name="H1 Scolarité / activité a l'admission" numFmtId="0">
      <sharedItems containsNonDate="0" containsString="0" containsBlank="1"/>
    </cacheField>
    <cacheField name="H2 Scolarité / activité à la sortie" numFmtId="0">
      <sharedItems containsNonDate="0" containsString="0" containsBlank="1"/>
    </cacheField>
    <cacheField name="H3 Scolarité / activité au 31/12/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m/>
    <s v="ABDALLAH"/>
    <s v="Chehem"/>
    <d v="2003-08-01T00:00:00"/>
    <x v="0"/>
    <x v="0"/>
    <x v="0"/>
    <x v="0"/>
    <x v="0"/>
    <x v="0"/>
    <x v="0"/>
    <s v="Chez le(s) parent(s)"/>
    <m/>
    <m/>
    <m/>
    <m/>
    <m/>
    <m/>
    <m/>
    <m/>
    <m/>
    <m/>
  </r>
  <r>
    <m/>
    <s v="BODET"/>
    <s v="Mathis"/>
    <d v="2008-03-26T00:00:00"/>
    <x v="0"/>
    <x v="1"/>
    <x v="0"/>
    <x v="1"/>
    <x v="1"/>
    <x v="1"/>
    <x v="0"/>
    <s v="Assistant familial"/>
    <m/>
    <m/>
    <m/>
    <m/>
    <m/>
    <m/>
    <m/>
    <m/>
    <m/>
    <m/>
  </r>
  <r>
    <m/>
    <s v="BOULIERE"/>
    <s v="Lydia"/>
    <d v="2019-06-07T00:00:00"/>
    <x v="1"/>
    <x v="2"/>
    <x v="0"/>
    <x v="2"/>
    <x v="2"/>
    <x v="2"/>
    <x v="0"/>
    <s v="Autre établissement ASE"/>
    <m/>
    <m/>
    <m/>
    <m/>
    <m/>
    <m/>
    <m/>
    <m/>
    <m/>
    <m/>
  </r>
  <r>
    <m/>
    <s v="BRADLEY"/>
    <s v="Benard"/>
    <d v="2004-09-13T00:00:00"/>
    <x v="0"/>
    <x v="3"/>
    <x v="0"/>
    <x v="2"/>
    <x v="3"/>
    <x v="2"/>
    <x v="1"/>
    <s v="Chez le(s) parent(s)"/>
    <m/>
    <m/>
    <m/>
    <m/>
    <m/>
    <m/>
    <m/>
    <m/>
    <m/>
    <m/>
  </r>
  <r>
    <m/>
    <s v="BRAUD"/>
    <s v="Kaelig"/>
    <d v="2003-10-20T00:00:00"/>
    <x v="0"/>
    <x v="4"/>
    <x v="0"/>
    <x v="3"/>
    <x v="4"/>
    <x v="3"/>
    <x v="0"/>
    <s v="Autre service de l'établissement"/>
    <m/>
    <m/>
    <m/>
    <m/>
    <m/>
    <m/>
    <m/>
    <m/>
    <m/>
    <m/>
  </r>
  <r>
    <m/>
    <s v="BRIDEL-JAMELOT"/>
    <s v="Rose"/>
    <d v="2012-08-04T00:00:00"/>
    <x v="1"/>
    <x v="5"/>
    <x v="0"/>
    <x v="2"/>
    <x v="5"/>
    <x v="2"/>
    <x v="1"/>
    <s v="Chez le(s) parent(s)"/>
    <m/>
    <m/>
    <m/>
    <m/>
    <m/>
    <m/>
    <m/>
    <m/>
    <m/>
    <m/>
  </r>
  <r>
    <m/>
    <s v="CALLAC"/>
    <s v="Kenzo"/>
    <d v="2010-08-03T00:00:00"/>
    <x v="0"/>
    <x v="6"/>
    <x v="0"/>
    <x v="4"/>
    <x v="6"/>
    <x v="4"/>
    <x v="1"/>
    <s v="Chez le(s) parent(s)"/>
    <m/>
    <m/>
    <m/>
    <m/>
    <m/>
    <m/>
    <m/>
    <m/>
    <m/>
    <m/>
  </r>
  <r>
    <m/>
    <s v="CALLAC"/>
    <s v="Liyam"/>
    <d v="2014-06-26T00:00:00"/>
    <x v="0"/>
    <x v="6"/>
    <x v="0"/>
    <x v="4"/>
    <x v="7"/>
    <x v="5"/>
    <x v="1"/>
    <s v="Chez le(s) parent(s)"/>
    <m/>
    <m/>
    <m/>
    <m/>
    <m/>
    <m/>
    <m/>
    <m/>
    <m/>
    <m/>
  </r>
  <r>
    <m/>
    <s v="CALLAC"/>
    <s v="Tiron"/>
    <d v="2008-07-29T00:00:00"/>
    <x v="0"/>
    <x v="6"/>
    <x v="0"/>
    <x v="4"/>
    <x v="8"/>
    <x v="6"/>
    <x v="1"/>
    <s v="Chez le(s) parent(s)"/>
    <m/>
    <m/>
    <m/>
    <m/>
    <m/>
    <m/>
    <m/>
    <m/>
    <m/>
    <m/>
  </r>
  <r>
    <m/>
    <s v="CANNOU"/>
    <s v="Ilana"/>
    <d v="2005-09-30T00:00:00"/>
    <x v="1"/>
    <x v="7"/>
    <x v="0"/>
    <x v="5"/>
    <x v="9"/>
    <x v="7"/>
    <x v="0"/>
    <s v="Chez le(s) parent(s)"/>
    <m/>
    <m/>
    <m/>
    <m/>
    <m/>
    <m/>
    <m/>
    <m/>
    <m/>
    <m/>
  </r>
  <r>
    <m/>
    <s v="CHAUSSADE"/>
    <s v="Amandine"/>
    <d v="2005-03-13T00:00:00"/>
    <x v="1"/>
    <x v="8"/>
    <x v="0"/>
    <x v="2"/>
    <x v="10"/>
    <x v="2"/>
    <x v="1"/>
    <s v="Assistant familial"/>
    <m/>
    <m/>
    <m/>
    <m/>
    <m/>
    <m/>
    <m/>
    <m/>
    <m/>
    <m/>
  </r>
  <r>
    <m/>
    <s v="DA CONSEICAO"/>
    <s v="Mathis"/>
    <d v="2009-01-10T00:00:00"/>
    <x v="0"/>
    <x v="9"/>
    <x v="0"/>
    <x v="6"/>
    <x v="11"/>
    <x v="8"/>
    <x v="1"/>
    <s v="Chez le(s) parent(s)"/>
    <m/>
    <m/>
    <m/>
    <m/>
    <m/>
    <m/>
    <m/>
    <m/>
    <m/>
    <m/>
  </r>
  <r>
    <m/>
    <s v="DUEZ"/>
    <s v="Léa"/>
    <d v="2009-08-23T00:00:00"/>
    <x v="1"/>
    <x v="10"/>
    <x v="0"/>
    <x v="6"/>
    <x v="12"/>
    <x v="9"/>
    <x v="2"/>
    <s v="Assistant familial"/>
    <m/>
    <m/>
    <m/>
    <m/>
    <m/>
    <m/>
    <m/>
    <m/>
    <m/>
    <m/>
  </r>
  <r>
    <m/>
    <s v="FEUILLAS"/>
    <s v="Théodore"/>
    <d v="2018-09-20T00:00:00"/>
    <x v="0"/>
    <x v="2"/>
    <x v="0"/>
    <x v="2"/>
    <x v="13"/>
    <x v="2"/>
    <x v="0"/>
    <s v="Chez le(s) parent(s)"/>
    <m/>
    <m/>
    <m/>
    <m/>
    <m/>
    <m/>
    <m/>
    <m/>
    <m/>
    <m/>
  </r>
  <r>
    <m/>
    <s v="HAUDIDIER"/>
    <s v="Luka"/>
    <d v="2010-09-24T00:00:00"/>
    <x v="0"/>
    <x v="11"/>
    <x v="0"/>
    <x v="2"/>
    <x v="14"/>
    <x v="2"/>
    <x v="1"/>
    <s v="Chez le(s) parent(s)"/>
    <m/>
    <m/>
    <m/>
    <m/>
    <m/>
    <m/>
    <m/>
    <m/>
    <m/>
    <m/>
  </r>
  <r>
    <m/>
    <s v="HAUDIDIER"/>
    <s v="Noa"/>
    <d v="2005-05-26T00:00:00"/>
    <x v="0"/>
    <x v="11"/>
    <x v="0"/>
    <x v="2"/>
    <x v="15"/>
    <x v="2"/>
    <x v="1"/>
    <s v="Chez le(s) parent(s)"/>
    <m/>
    <m/>
    <m/>
    <m/>
    <m/>
    <m/>
    <m/>
    <m/>
    <m/>
    <m/>
  </r>
  <r>
    <m/>
    <s v="HAYE"/>
    <s v="Teddy"/>
    <d v="2013-04-20T00:00:00"/>
    <x v="0"/>
    <x v="3"/>
    <x v="0"/>
    <x v="7"/>
    <x v="16"/>
    <x v="10"/>
    <x v="1"/>
    <s v="Chez le(s) parent(s)"/>
    <m/>
    <m/>
    <m/>
    <m/>
    <m/>
    <m/>
    <m/>
    <m/>
    <m/>
    <m/>
  </r>
  <r>
    <m/>
    <s v="LHOMMET"/>
    <s v="Jacques"/>
    <d v="2011-05-05T00:00:00"/>
    <x v="0"/>
    <x v="12"/>
    <x v="0"/>
    <x v="2"/>
    <x v="16"/>
    <x v="2"/>
    <x v="1"/>
    <s v="Chez le(s) parent(s)"/>
    <m/>
    <m/>
    <m/>
    <m/>
    <m/>
    <m/>
    <m/>
    <m/>
    <m/>
    <m/>
  </r>
  <r>
    <m/>
    <s v="LHOMMET"/>
    <s v="Lény"/>
    <d v="2010-01-30T00:00:00"/>
    <x v="0"/>
    <x v="12"/>
    <x v="0"/>
    <x v="2"/>
    <x v="17"/>
    <x v="2"/>
    <x v="1"/>
    <s v="Chez le(s) parent(s)"/>
    <m/>
    <m/>
    <m/>
    <m/>
    <m/>
    <m/>
    <m/>
    <m/>
    <m/>
    <m/>
  </r>
  <r>
    <m/>
    <s v="MALBEQUI-POISSON"/>
    <s v="Madison"/>
    <d v="2005-05-03T00:00:00"/>
    <x v="1"/>
    <x v="13"/>
    <x v="0"/>
    <x v="8"/>
    <x v="18"/>
    <x v="11"/>
    <x v="1"/>
    <s v="Assistant familial"/>
    <m/>
    <m/>
    <m/>
    <m/>
    <m/>
    <m/>
    <m/>
    <m/>
    <m/>
    <m/>
  </r>
  <r>
    <m/>
    <s v="MONTGERMONT"/>
    <s v="Elena"/>
    <d v="2004-04-11T00:00:00"/>
    <x v="1"/>
    <x v="14"/>
    <x v="0"/>
    <x v="2"/>
    <x v="19"/>
    <x v="2"/>
    <x v="2"/>
    <s v="Assistant familial"/>
    <m/>
    <m/>
    <m/>
    <m/>
    <m/>
    <m/>
    <m/>
    <m/>
    <m/>
    <m/>
  </r>
  <r>
    <m/>
    <s v="PELE"/>
    <s v="Arsène"/>
    <d v="2010-06-25T00:00:00"/>
    <x v="0"/>
    <x v="15"/>
    <x v="0"/>
    <x v="2"/>
    <x v="20"/>
    <x v="2"/>
    <x v="2"/>
    <s v="Autre établissement ASE"/>
    <m/>
    <m/>
    <m/>
    <m/>
    <m/>
    <m/>
    <m/>
    <m/>
    <m/>
    <m/>
  </r>
  <r>
    <m/>
    <s v="PELE"/>
    <s v="Marius"/>
    <d v="2010-06-25T00:00:00"/>
    <x v="0"/>
    <x v="15"/>
    <x v="0"/>
    <x v="2"/>
    <x v="20"/>
    <x v="2"/>
    <x v="2"/>
    <s v="Autre établissement ASE"/>
    <m/>
    <m/>
    <m/>
    <m/>
    <m/>
    <m/>
    <m/>
    <m/>
    <m/>
    <m/>
  </r>
  <r>
    <m/>
    <s v="SAUDRAIS"/>
    <s v="Ilhyanna"/>
    <d v="2019-04-03T00:00:00"/>
    <x v="1"/>
    <x v="16"/>
    <x v="0"/>
    <x v="2"/>
    <x v="21"/>
    <x v="2"/>
    <x v="3"/>
    <s v="Chez le(s) parent(s)"/>
    <m/>
    <m/>
    <m/>
    <m/>
    <m/>
    <m/>
    <m/>
    <m/>
    <m/>
    <m/>
  </r>
  <r>
    <m/>
    <s v="WUTTKE"/>
    <s v="Gwendal"/>
    <d v="2007-07-01T00:00:00"/>
    <x v="0"/>
    <x v="17"/>
    <x v="0"/>
    <x v="2"/>
    <x v="22"/>
    <x v="2"/>
    <x v="0"/>
    <s v="Chez le(s) parent(s)"/>
    <m/>
    <m/>
    <m/>
    <m/>
    <m/>
    <m/>
    <m/>
    <m/>
    <m/>
    <m/>
  </r>
  <r>
    <m/>
    <s v="ALLO"/>
    <s v="Tony"/>
    <d v="2005-07-11T00:00:00"/>
    <x v="0"/>
    <x v="18"/>
    <x v="0"/>
    <x v="2"/>
    <x v="15"/>
    <x v="2"/>
    <x v="2"/>
    <s v="Assistant familial"/>
    <m/>
    <m/>
    <m/>
    <m/>
    <m/>
    <m/>
    <m/>
    <m/>
    <m/>
    <m/>
  </r>
  <r>
    <m/>
    <s v="ALLO"/>
    <s v="Anddy"/>
    <d v="2007-11-29T00:00:00"/>
    <x v="0"/>
    <x v="18"/>
    <x v="0"/>
    <x v="2"/>
    <x v="23"/>
    <x v="2"/>
    <x v="2"/>
    <s v="Assistant familial"/>
    <m/>
    <m/>
    <m/>
    <m/>
    <m/>
    <m/>
    <m/>
    <m/>
    <m/>
    <m/>
  </r>
  <r>
    <m/>
    <s v="VALLIER-MACE"/>
    <s v="Timéo"/>
    <d v="2014-01-20T00:00:00"/>
    <x v="0"/>
    <x v="19"/>
    <x v="0"/>
    <x v="2"/>
    <x v="24"/>
    <x v="2"/>
    <x v="0"/>
    <s v="Tiers digne de confiance / Entourage de l'enfant / Famille"/>
    <m/>
    <m/>
    <m/>
    <m/>
    <m/>
    <m/>
    <m/>
    <m/>
    <m/>
    <m/>
  </r>
  <r>
    <m/>
    <s v="OGER"/>
    <s v="Sarah"/>
    <d v="2004-12-18T00:00:00"/>
    <x v="1"/>
    <x v="20"/>
    <x v="0"/>
    <x v="2"/>
    <x v="25"/>
    <x v="2"/>
    <x v="2"/>
    <s v="Autre service de l'établissement"/>
    <m/>
    <m/>
    <m/>
    <m/>
    <m/>
    <m/>
    <m/>
    <m/>
    <m/>
    <m/>
  </r>
  <r>
    <m/>
    <s v="MILO"/>
    <s v="Evan"/>
    <d v="2009-08-24T00:00:00"/>
    <x v="1"/>
    <x v="21"/>
    <x v="0"/>
    <x v="2"/>
    <x v="26"/>
    <x v="2"/>
    <x v="2"/>
    <s v="Chez le(s) parent(s)"/>
    <m/>
    <m/>
    <m/>
    <m/>
    <m/>
    <m/>
    <m/>
    <m/>
    <m/>
    <m/>
  </r>
  <r>
    <m/>
    <s v="MILO"/>
    <s v="Leeloo"/>
    <d v="2008-08-19T00:00:00"/>
    <x v="1"/>
    <x v="21"/>
    <x v="0"/>
    <x v="9"/>
    <x v="27"/>
    <x v="6"/>
    <x v="2"/>
    <s v="Chez le(s) parent(s)"/>
    <m/>
    <m/>
    <m/>
    <m/>
    <m/>
    <m/>
    <m/>
    <m/>
    <m/>
    <m/>
  </r>
  <r>
    <m/>
    <s v="DUFLOS"/>
    <s v="Léna"/>
    <d v="2008-07-28T00:00:00"/>
    <x v="1"/>
    <x v="22"/>
    <x v="0"/>
    <x v="2"/>
    <x v="28"/>
    <x v="2"/>
    <x v="1"/>
    <s v="Assistant familial"/>
    <m/>
    <m/>
    <m/>
    <m/>
    <m/>
    <m/>
    <m/>
    <m/>
    <m/>
    <m/>
  </r>
  <r>
    <m/>
    <s v="BRANDENBOURGER"/>
    <s v="Marie"/>
    <d v="2010-07-28T00:00:00"/>
    <x v="1"/>
    <x v="23"/>
    <x v="0"/>
    <x v="2"/>
    <x v="12"/>
    <x v="2"/>
    <x v="1"/>
    <s v="Chez le(s) parent(s)"/>
    <m/>
    <m/>
    <m/>
    <m/>
    <m/>
    <m/>
    <m/>
    <m/>
    <m/>
    <m/>
  </r>
  <r>
    <m/>
    <s v="BRANDENBOURGER"/>
    <s v="Lucas"/>
    <d v="2012-08-27T00:00:00"/>
    <x v="0"/>
    <x v="23"/>
    <x v="0"/>
    <x v="2"/>
    <x v="29"/>
    <x v="2"/>
    <x v="1"/>
    <s v="Chez le(s) parent(s)"/>
    <m/>
    <m/>
    <m/>
    <m/>
    <m/>
    <m/>
    <m/>
    <m/>
    <m/>
    <m/>
  </r>
  <r>
    <m/>
    <s v="BRANDENBOURGER"/>
    <s v="Julien"/>
    <d v="2014-07-28T00:00:00"/>
    <x v="0"/>
    <x v="23"/>
    <x v="0"/>
    <x v="2"/>
    <x v="24"/>
    <x v="2"/>
    <x v="1"/>
    <s v="Chez le(s) parent(s)"/>
    <m/>
    <m/>
    <m/>
    <m/>
    <m/>
    <m/>
    <m/>
    <m/>
    <m/>
    <m/>
  </r>
  <r>
    <m/>
    <s v="RAULT"/>
    <s v="Louis"/>
    <d v="2008-03-06T00:00:00"/>
    <x v="0"/>
    <x v="24"/>
    <x v="0"/>
    <x v="2"/>
    <x v="30"/>
    <x v="2"/>
    <x v="0"/>
    <s v="Autre établissement ASE"/>
    <m/>
    <m/>
    <m/>
    <m/>
    <m/>
    <m/>
    <m/>
    <m/>
    <m/>
    <m/>
  </r>
  <r>
    <m/>
    <s v="RAULT"/>
    <s v="Mathilde"/>
    <d v="2006-12-13T00:00:00"/>
    <x v="1"/>
    <x v="24"/>
    <x v="0"/>
    <x v="2"/>
    <x v="31"/>
    <x v="2"/>
    <x v="0"/>
    <s v="Autre établissement ASE"/>
    <m/>
    <m/>
    <m/>
    <m/>
    <m/>
    <m/>
    <m/>
    <m/>
    <m/>
    <m/>
  </r>
  <r>
    <m/>
    <s v="AUBIN"/>
    <s v="Atryus"/>
    <d v="2011-07-02T00:00:00"/>
    <x v="0"/>
    <x v="25"/>
    <x v="1"/>
    <x v="2"/>
    <x v="24"/>
    <x v="2"/>
    <x v="1"/>
    <s v="Autre établissement ASE"/>
    <m/>
    <m/>
    <m/>
    <m/>
    <m/>
    <m/>
    <m/>
    <m/>
    <m/>
    <m/>
  </r>
  <r>
    <m/>
    <s v="BERTRAND"/>
    <s v="Anaïs"/>
    <d v="2004-06-15T00:00:00"/>
    <x v="1"/>
    <x v="26"/>
    <x v="1"/>
    <x v="2"/>
    <x v="32"/>
    <x v="2"/>
    <x v="2"/>
    <s v="Chez le(s) parent(s)"/>
    <m/>
    <m/>
    <m/>
    <m/>
    <m/>
    <m/>
    <m/>
    <m/>
    <m/>
    <m/>
  </r>
  <r>
    <m/>
    <s v="BLAIN"/>
    <s v="Maella"/>
    <d v="2006-03-08T00:00:00"/>
    <x v="1"/>
    <x v="27"/>
    <x v="1"/>
    <x v="10"/>
    <x v="33"/>
    <x v="12"/>
    <x v="0"/>
    <m/>
    <m/>
    <m/>
    <m/>
    <m/>
    <m/>
    <m/>
    <m/>
    <m/>
    <m/>
    <m/>
  </r>
  <r>
    <m/>
    <s v="CANNOU"/>
    <s v="Mélina"/>
    <d v="2007-03-04T00:00:00"/>
    <x v="1"/>
    <x v="28"/>
    <x v="1"/>
    <x v="2"/>
    <x v="34"/>
    <x v="2"/>
    <x v="0"/>
    <s v="Chez le(s) parent(s)"/>
    <m/>
    <m/>
    <m/>
    <m/>
    <m/>
    <m/>
    <m/>
    <m/>
    <m/>
    <m/>
  </r>
  <r>
    <m/>
    <s v="CHABROL"/>
    <s v="Jordan"/>
    <d v="2007-11-07T00:00:00"/>
    <x v="0"/>
    <x v="29"/>
    <x v="1"/>
    <x v="2"/>
    <x v="35"/>
    <x v="2"/>
    <x v="0"/>
    <s v="Chez le(s) parent(s)"/>
    <m/>
    <m/>
    <m/>
    <m/>
    <m/>
    <m/>
    <m/>
    <m/>
    <m/>
    <m/>
  </r>
  <r>
    <m/>
    <s v="GERALDO"/>
    <s v="Gwenola"/>
    <d v="2003-10-21T00:00:00"/>
    <x v="1"/>
    <x v="30"/>
    <x v="1"/>
    <x v="11"/>
    <x v="36"/>
    <x v="3"/>
    <x v="1"/>
    <s v="Chez le(s) parent(s)"/>
    <m/>
    <m/>
    <m/>
    <m/>
    <m/>
    <m/>
    <m/>
    <m/>
    <m/>
    <m/>
  </r>
  <r>
    <m/>
    <s v="GUERVENOU"/>
    <s v="Jason"/>
    <d v="2003-09-07T00:00:00"/>
    <x v="0"/>
    <x v="31"/>
    <x v="1"/>
    <x v="12"/>
    <x v="37"/>
    <x v="13"/>
    <x v="1"/>
    <s v="Assistant familial"/>
    <m/>
    <m/>
    <m/>
    <m/>
    <m/>
    <m/>
    <m/>
    <m/>
    <m/>
    <m/>
  </r>
  <r>
    <m/>
    <s v="HENRIO"/>
    <s v="Lucie"/>
    <d v="2002-08-10T00:00:00"/>
    <x v="1"/>
    <x v="32"/>
    <x v="1"/>
    <x v="2"/>
    <x v="38"/>
    <x v="2"/>
    <x v="4"/>
    <s v="Assistant familial"/>
    <m/>
    <m/>
    <m/>
    <m/>
    <m/>
    <m/>
    <m/>
    <m/>
    <m/>
    <m/>
  </r>
  <r>
    <m/>
    <s v="OGER"/>
    <s v="Sarah"/>
    <d v="2004-12-18T00:00:00"/>
    <x v="1"/>
    <x v="33"/>
    <x v="1"/>
    <x v="13"/>
    <x v="9"/>
    <x v="14"/>
    <x v="2"/>
    <s v="Chez le(s) parent(s)"/>
    <m/>
    <m/>
    <m/>
    <m/>
    <m/>
    <m/>
    <m/>
    <m/>
    <m/>
    <m/>
  </r>
  <r>
    <m/>
    <s v="PEUCH"/>
    <s v="Alice"/>
    <d v="2007-07-29T00:00:00"/>
    <x v="1"/>
    <x v="34"/>
    <x v="1"/>
    <x v="2"/>
    <x v="39"/>
    <x v="2"/>
    <x v="1"/>
    <s v="Assistant familial"/>
    <m/>
    <m/>
    <m/>
    <m/>
    <m/>
    <m/>
    <m/>
    <m/>
    <m/>
    <m/>
  </r>
  <r>
    <m/>
    <s v="BAZABAS"/>
    <s v="Rohann"/>
    <d v="2007-04-12T00:00:00"/>
    <x v="0"/>
    <x v="35"/>
    <x v="1"/>
    <x v="2"/>
    <x v="40"/>
    <x v="2"/>
    <x v="1"/>
    <m/>
    <m/>
    <m/>
    <m/>
    <m/>
    <m/>
    <m/>
    <m/>
    <m/>
    <m/>
    <m/>
  </r>
  <r>
    <m/>
    <s v="RENOUVELLE"/>
    <s v="Nina"/>
    <d v="2011-09-08T00:00:00"/>
    <x v="1"/>
    <x v="36"/>
    <x v="1"/>
    <x v="2"/>
    <x v="39"/>
    <x v="2"/>
    <x v="1"/>
    <m/>
    <m/>
    <m/>
    <m/>
    <m/>
    <m/>
    <m/>
    <m/>
    <m/>
    <m/>
    <m/>
  </r>
  <r>
    <m/>
    <s v="MESURE"/>
    <s v="Lého"/>
    <d v="2009-09-12T00:00:00"/>
    <x v="0"/>
    <x v="37"/>
    <x v="1"/>
    <x v="14"/>
    <x v="41"/>
    <x v="15"/>
    <x v="5"/>
    <m/>
    <m/>
    <m/>
    <m/>
    <m/>
    <m/>
    <m/>
    <m/>
    <m/>
    <m/>
    <m/>
  </r>
  <r>
    <m/>
    <s v="LEGUY-LEDU"/>
    <s v="Amélie"/>
    <d v="2011-07-26T00:00:00"/>
    <x v="1"/>
    <x v="38"/>
    <x v="1"/>
    <x v="2"/>
    <x v="6"/>
    <x v="2"/>
    <x v="6"/>
    <m/>
    <m/>
    <m/>
    <m/>
    <m/>
    <m/>
    <m/>
    <m/>
    <m/>
    <m/>
    <m/>
  </r>
  <r>
    <m/>
    <s v="PERROUAULT"/>
    <s v="Alan"/>
    <d v="2009-03-11T00:00:00"/>
    <x v="0"/>
    <x v="39"/>
    <x v="1"/>
    <x v="2"/>
    <x v="42"/>
    <x v="2"/>
    <x v="1"/>
    <m/>
    <m/>
    <m/>
    <m/>
    <m/>
    <m/>
    <m/>
    <m/>
    <m/>
    <m/>
    <m/>
  </r>
  <r>
    <m/>
    <s v="RIMBERT"/>
    <s v="Ambre"/>
    <d v="2004-08-28T00:00:00"/>
    <x v="1"/>
    <x v="40"/>
    <x v="1"/>
    <x v="2"/>
    <x v="43"/>
    <x v="2"/>
    <x v="2"/>
    <m/>
    <m/>
    <m/>
    <m/>
    <m/>
    <m/>
    <m/>
    <m/>
    <m/>
    <m/>
    <m/>
  </r>
  <r>
    <m/>
    <s v="ABRIL"/>
    <s v="Lola"/>
    <d v="2002-08-23T00:00:00"/>
    <x v="1"/>
    <x v="41"/>
    <x v="2"/>
    <x v="2"/>
    <x v="44"/>
    <x v="2"/>
    <x v="2"/>
    <s v="Tiers digne de confiance / Entourage de l'enfant / Famille"/>
    <m/>
    <m/>
    <m/>
    <m/>
    <m/>
    <m/>
    <m/>
    <m/>
    <m/>
    <m/>
  </r>
  <r>
    <m/>
    <s v="BAE"/>
    <s v="Gyu Bum"/>
    <d v="2000-09-04T00:00:00"/>
    <x v="0"/>
    <x v="42"/>
    <x v="2"/>
    <x v="15"/>
    <x v="45"/>
    <x v="16"/>
    <x v="2"/>
    <s v="Autre service de l'établissement"/>
    <m/>
    <m/>
    <m/>
    <m/>
    <m/>
    <m/>
    <m/>
    <m/>
    <m/>
    <m/>
  </r>
  <r>
    <m/>
    <s v="DESBLE"/>
    <s v="Irma"/>
    <d v="2002-10-31T00:00:00"/>
    <x v="1"/>
    <x v="43"/>
    <x v="2"/>
    <x v="2"/>
    <x v="45"/>
    <x v="2"/>
    <x v="0"/>
    <s v="Autre service de l'établissement"/>
    <m/>
    <m/>
    <m/>
    <m/>
    <m/>
    <m/>
    <m/>
    <m/>
    <m/>
    <m/>
  </r>
  <r>
    <m/>
    <s v="GEORGES"/>
    <s v="Marilène"/>
    <d v="2002-09-20T00:00:00"/>
    <x v="1"/>
    <x v="44"/>
    <x v="2"/>
    <x v="2"/>
    <x v="43"/>
    <x v="2"/>
    <x v="1"/>
    <s v="Chez le(s) parent(s)"/>
    <m/>
    <m/>
    <m/>
    <m/>
    <m/>
    <m/>
    <m/>
    <m/>
    <m/>
    <m/>
  </r>
  <r>
    <m/>
    <s v="GUILLEUX"/>
    <s v="Mélissa"/>
    <d v="2001-04-10T00:00:00"/>
    <x v="1"/>
    <x v="45"/>
    <x v="2"/>
    <x v="2"/>
    <x v="45"/>
    <x v="2"/>
    <x v="4"/>
    <s v="Autre service de l'établissement"/>
    <m/>
    <m/>
    <m/>
    <m/>
    <m/>
    <m/>
    <m/>
    <m/>
    <m/>
    <m/>
  </r>
  <r>
    <m/>
    <s v="LANGLOIS"/>
    <s v="Jade"/>
    <d v="2002-10-21T00:00:00"/>
    <x v="1"/>
    <x v="46"/>
    <x v="2"/>
    <x v="2"/>
    <x v="45"/>
    <x v="2"/>
    <x v="1"/>
    <s v="Autre service de l'établissement"/>
    <m/>
    <m/>
    <m/>
    <m/>
    <m/>
    <m/>
    <m/>
    <m/>
    <m/>
    <m/>
  </r>
  <r>
    <m/>
    <s v="LIGER"/>
    <s v="Ryan"/>
    <d v="2004-07-04T00:00:00"/>
    <x v="0"/>
    <x v="11"/>
    <x v="2"/>
    <x v="2"/>
    <x v="4"/>
    <x v="2"/>
    <x v="2"/>
    <s v="Chez le(s) parent(s)"/>
    <m/>
    <m/>
    <m/>
    <m/>
    <m/>
    <m/>
    <m/>
    <m/>
    <m/>
    <m/>
  </r>
  <r>
    <m/>
    <s v="SAOUT"/>
    <s v="Kylian"/>
    <d v="2001-11-04T00:00:00"/>
    <x v="0"/>
    <x v="47"/>
    <x v="2"/>
    <x v="2"/>
    <x v="37"/>
    <x v="2"/>
    <x v="1"/>
    <s v="Autre service de l'établissement"/>
    <m/>
    <m/>
    <m/>
    <m/>
    <m/>
    <m/>
    <m/>
    <m/>
    <m/>
    <m/>
  </r>
  <r>
    <m/>
    <s v="GUERVENOU"/>
    <s v="Jason"/>
    <d v="2003-09-07T00:00:00"/>
    <x v="0"/>
    <x v="48"/>
    <x v="2"/>
    <x v="2"/>
    <x v="46"/>
    <x v="2"/>
    <x v="1"/>
    <s v="Autre service de l'établissement"/>
    <m/>
    <m/>
    <m/>
    <m/>
    <m/>
    <m/>
    <m/>
    <m/>
    <m/>
    <m/>
  </r>
  <r>
    <m/>
    <s v="DUVERLIE"/>
    <s v="Mael"/>
    <d v="2021-01-01T00:00:00"/>
    <x v="0"/>
    <x v="49"/>
    <x v="1"/>
    <x v="16"/>
    <x v="47"/>
    <x v="17"/>
    <x v="5"/>
    <m/>
    <m/>
    <m/>
    <m/>
    <m/>
    <m/>
    <m/>
    <m/>
    <m/>
    <m/>
    <m/>
  </r>
  <r>
    <m/>
    <s v="DUVERLIE"/>
    <s v="Morgane"/>
    <d v="2018-01-01T00:00:00"/>
    <x v="1"/>
    <x v="49"/>
    <x v="1"/>
    <x v="16"/>
    <x v="48"/>
    <x v="18"/>
    <x v="5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b3" cacheId="0" applyNumberFormats="0" applyBorderFormats="0" applyFontFormats="0" applyPatternFormats="0" applyAlignmentFormats="0" applyWidthHeightFormats="1" dataCaption="Valeurs" updatedVersion="5" minRefreshableVersion="5" useAutoFormatting="1" itemPrintTitles="1" createdVersion="4" indent="0" outline="1" outlineData="1" multipleFieldFilters="0" rowHeaderCaption="CDAS">
  <location ref="A14:D20" firstHeaderRow="1" firstDataRow="2" firstDataCol="1" rowPageCount="2" colPageCount="1"/>
  <pivotFields count="22">
    <pivotField showAll="0"/>
    <pivotField dataField="1" showAll="0"/>
    <pivotField showAll="0"/>
    <pivotField numFmtId="165" showAll="0"/>
    <pivotField axis="axisCol" showAll="0">
      <items count="3">
        <item x="1"/>
        <item x="0"/>
        <item t="default"/>
      </items>
    </pivotField>
    <pivotField axis="axisPage" numFmtId="165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/>
    <pivotField numFmtId="2" showAll="0"/>
    <pivotField showAll="0"/>
    <pivotField axis="axisRow" showAll="0">
      <items count="8">
        <item x="4"/>
        <item x="2"/>
        <item x="6"/>
        <item x="1"/>
        <item x="3"/>
        <item x="0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0"/>
  </rowFields>
  <rowItems count="5">
    <i>
      <x v="1"/>
    </i>
    <i>
      <x v="2"/>
    </i>
    <i>
      <x v="3"/>
    </i>
    <i>
      <x v="6"/>
    </i>
    <i t="grand">
      <x/>
    </i>
  </rowItems>
  <colFields count="1">
    <field x="4"/>
  </colFields>
  <colItems count="3">
    <i>
      <x/>
    </i>
    <i>
      <x v="1"/>
    </i>
    <i t="grand">
      <x/>
    </i>
  </colItems>
  <pageFields count="2">
    <pageField fld="6" item="1" hier="-1"/>
    <pageField fld="5" hier="-1"/>
  </pageField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filters count="1">
    <filter fld="5" type="dateBetween" evalOrder="-1" id="62" name="Date entrée">
      <autoFilter ref="A1">
        <filterColumn colId="0">
          <customFilters and="1">
            <customFilter operator="greaterThanOrEqual" val="44197"/>
            <customFilter operator="lessThanOrEqual" val="4456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b2" cacheId="0" applyNumberFormats="0" applyBorderFormats="0" applyFontFormats="0" applyPatternFormats="0" applyAlignmentFormats="0" applyWidthHeightFormats="1" dataCaption="Valeurs" updatedVersion="5" minRefreshableVersion="5" useAutoFormatting="1" itemPrintTitles="1" createdVersion="4" indent="0" outline="1" outlineData="1" multipleFieldFilters="0">
  <location ref="A4:B7" firstHeaderRow="1" firstDataRow="1" firstDataCol="1"/>
  <pivotFields count="22">
    <pivotField showAll="0"/>
    <pivotField dataField="1" showAll="0"/>
    <pivotField showAll="0"/>
    <pivotField numFmtId="165" showAll="0"/>
    <pivotField axis="axisRow" showAll="0">
      <items count="3">
        <item x="1"/>
        <item x="0"/>
        <item t="default"/>
      </items>
    </pivotField>
    <pivotField numFmtId="165" showAll="0" includeNewItemsInFilter="1" maxSubtotal="1" minSubtotal="1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max"/>
        <item t="min"/>
      </items>
    </pivotField>
    <pivotField showAll="0">
      <items count="4">
        <item h="1" x="0"/>
        <item x="1"/>
        <item h="1" x="2"/>
        <item t="default"/>
      </items>
    </pivotField>
    <pivotField showAll="0"/>
    <pivotField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3">
    <i>
      <x/>
    </i>
    <i>
      <x v="1"/>
    </i>
    <i t="grand">
      <x/>
    </i>
  </rowItems>
  <colItems count="1">
    <i/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filters count="1">
    <filter fld="5" type="dateBetween" evalOrder="-1" id="92" name="Date entrée">
      <autoFilter ref="A1">
        <filterColumn colId="0">
          <customFilters and="1">
            <customFilter operator="greaterThanOrEqual" val="44197"/>
            <customFilter operator="lessThanOrEqual" val="4456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_c2" cacheId="0" applyNumberFormats="0" applyBorderFormats="0" applyFontFormats="0" applyPatternFormats="0" applyAlignmentFormats="0" applyWidthHeightFormats="1" dataCaption="Valeurs" updatedVersion="5" minRefreshableVersion="5" useAutoFormatting="1" itemPrintTitles="1" createdVersion="4" indent="0" outline="1" outlineData="1" multipleFieldFilters="0">
  <location ref="H14:K21" firstHeaderRow="1" firstDataRow="2" firstDataCol="1"/>
  <pivotFields count="22">
    <pivotField showAll="0"/>
    <pivotField dataField="1" showAll="0"/>
    <pivotField showAll="0"/>
    <pivotField numFmtId="165" showAll="0"/>
    <pivotField axis="axisCol" showAll="0">
      <items count="3">
        <item x="1"/>
        <item x="0"/>
        <item t="default"/>
      </items>
    </pivotField>
    <pivotField axis="axisRow" numFmtId="167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4">
        <item h="1" x="0"/>
        <item x="1"/>
        <item h="1" x="2"/>
        <item t="default"/>
      </items>
    </pivotField>
    <pivotField showAll="0"/>
    <pivotField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6">
    <i>
      <x v="2"/>
    </i>
    <i>
      <x v="3"/>
    </i>
    <i>
      <x v="4"/>
    </i>
    <i>
      <x v="5"/>
    </i>
    <i>
      <x v="10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filters count="1">
    <filter fld="5" type="dateBetween" evalOrder="-1" id="55" name="Date entrée">
      <autoFilter ref="A1">
        <filterColumn colId="0">
          <customFilters and="1">
            <customFilter operator="greaterThanOrEqual" val="44197"/>
            <customFilter operator="lessThanOrEqual" val="4456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cd_d1_bis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H70:K82" firstHeaderRow="1" firstDataRow="2" firstDataCol="1"/>
  <pivotFields count="22">
    <pivotField showAll="0"/>
    <pivotField dataField="1" showAll="0"/>
    <pivotField showAll="0"/>
    <pivotField numFmtId="165" showAll="0"/>
    <pivotField axis="axisCol" showAll="0">
      <items count="3">
        <item x="1"/>
        <item x="0"/>
        <item t="default"/>
      </items>
    </pivotField>
    <pivotField numFmtId="165" showAll="0"/>
    <pivotField showAll="0"/>
    <pivotField showAll="0"/>
    <pivotField numFmtId="1" showAll="0"/>
    <pivotField axis="axisRow" multipleItemSelectionAllowed="1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9"/>
  </rowFields>
  <rowItems count="11">
    <i>
      <x v="1"/>
    </i>
    <i>
      <x v="2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filters count="1">
    <filter fld="9" type="captionGreaterThan" evalOrder="-1" id="3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cd_c5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H48:K51" firstHeaderRow="1" firstDataRow="2" firstDataCol="1"/>
  <pivotFields count="22">
    <pivotField showAll="0"/>
    <pivotField dataField="1" showAll="0"/>
    <pivotField showAll="0"/>
    <pivotField numFmtId="165" showAll="0"/>
    <pivotField axis="axisCol" showAll="0">
      <items count="3">
        <item x="1"/>
        <item x="0"/>
        <item t="default"/>
      </items>
    </pivotField>
    <pivotField numFmtId="165" showAll="0"/>
    <pivotField showAll="0">
      <items count="4">
        <item h="1" x="0"/>
        <item x="1"/>
        <item h="1" x="2"/>
        <item t="default"/>
      </items>
    </pivotField>
    <pivotField axis="axisRow" showAll="0">
      <items count="15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7"/>
  </rowFields>
  <rowItems count="2">
    <i>
      <x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25:D27" firstHeaderRow="1" firstDataRow="2" firstDataCol="1" rowPageCount="1" colPageCount="1"/>
  <pivotFields count="22">
    <pivotField showAll="0"/>
    <pivotField dataField="1" showAll="0"/>
    <pivotField showAll="0"/>
    <pivotField numFmtId="165" showAll="0"/>
    <pivotField axis="axisCol" showAll="0">
      <items count="3">
        <item x="1"/>
        <item x="0"/>
        <item t="default"/>
      </items>
    </pivotField>
    <pivotField numFmtId="165" showAll="0" includeNewItemsInFilter="1"/>
    <pivotField showAll="0">
      <items count="4">
        <item h="1" x="0"/>
        <item x="1"/>
        <item h="1" x="2"/>
        <item t="default"/>
      </items>
    </pivotField>
    <pivotField axis="axisPage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Items count="1">
    <i/>
  </rowItems>
  <colFields count="1">
    <field x="4"/>
  </colFields>
  <colItems count="3">
    <i>
      <x/>
    </i>
    <i>
      <x v="1"/>
    </i>
    <i t="grand">
      <x/>
    </i>
  </colItems>
  <pageFields count="1">
    <pageField fld="7" hier="-1"/>
  </pageField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cd_d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H57:K65" firstHeaderRow="1" firstDataRow="2" firstDataCol="1"/>
  <pivotFields count="22">
    <pivotField showAll="0"/>
    <pivotField dataField="1" showAll="0"/>
    <pivotField showAll="0"/>
    <pivotField numFmtId="165" showAll="0"/>
    <pivotField axis="axisCol" showAll="0">
      <items count="3">
        <item x="1"/>
        <item x="0"/>
        <item t="default"/>
      </items>
    </pivotField>
    <pivotField numFmtId="165" showAll="0"/>
    <pivotField showAll="0">
      <items count="4">
        <item h="1" x="0"/>
        <item x="1"/>
        <item h="1" x="2"/>
        <item t="default"/>
      </items>
    </pivotField>
    <pivotField showAll="0"/>
    <pivotField axis="axisRow" numFmtId="2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8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10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M57:P66" firstHeaderRow="1" firstDataRow="2" firstDataCol="1"/>
  <pivotFields count="22">
    <pivotField showAll="0"/>
    <pivotField showAll="0"/>
    <pivotField dataField="1" showAll="0"/>
    <pivotField numFmtId="165" showAll="0"/>
    <pivotField axis="axisCol" showAll="0">
      <items count="3">
        <item x="1"/>
        <item x="0"/>
        <item t="default"/>
      </items>
    </pivotField>
    <pivotField numFmtId="165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numFmtId="168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numFmtId="168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8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Prénom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cd_c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H32:K39" firstHeaderRow="1" firstDataRow="2" firstDataCol="1"/>
  <pivotFields count="22">
    <pivotField showAll="0"/>
    <pivotField dataField="1" showAll="0"/>
    <pivotField showAll="0"/>
    <pivotField numFmtId="165" showAll="0"/>
    <pivotField axis="axisCol" showAll="0">
      <items count="3">
        <item x="1"/>
        <item x="0"/>
        <item t="default"/>
      </items>
    </pivotField>
    <pivotField numFmtId="165" showAll="0"/>
    <pivotField showAll="0">
      <items count="4">
        <item h="1" x="0"/>
        <item x="1"/>
        <item h="1" x="2"/>
        <item t="default"/>
      </items>
    </pivotField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7"/>
  </rowFields>
  <rowItems count="6">
    <i>
      <x v="4"/>
    </i>
    <i>
      <x v="5"/>
    </i>
    <i>
      <x v="6"/>
    </i>
    <i>
      <x v="9"/>
    </i>
    <i>
      <x v="10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rvice" sourceName="Service">
  <pivotTables>
    <pivotTable tabId="4" name="tcd_b2"/>
    <pivotTable tabId="4" name="Tableau croisé dynamique1"/>
    <pivotTable tabId="4" name="tcd_b3"/>
    <pivotTable tabId="4" name="tcd_c2"/>
    <pivotTable tabId="4" name="tcd_c3"/>
    <pivotTable tabId="4" name="tcd_c5"/>
    <pivotTable tabId="4" name="tcd_d1"/>
  </pivotTables>
  <data>
    <tabular pivotCacheId="1">
      <items count="3">
        <i x="0"/>
        <i x="1" s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rvice" cache="Segment_Service" caption="Service" rowHeight="241300"/>
</slicers>
</file>

<file path=xl/tables/table1.xml><?xml version="1.0" encoding="utf-8"?>
<table xmlns="http://schemas.openxmlformats.org/spreadsheetml/2006/main" id="1" name="Tableau1" displayName="Tableau1" ref="A2:V66" totalsRowShown="0" headerRowDxfId="113">
  <autoFilter ref="A2:V66"/>
  <sortState ref="A3:V65">
    <sortCondition ref="G2:G65"/>
  </sortState>
  <tableColumns count="22">
    <tableColumn id="1" name="Clé primaire"/>
    <tableColumn id="2" name="Nom" dataDxfId="0">
      <calculatedColumnFormula>"Prénom" &amp; RANDBETWEEN(0,900)</calculatedColumnFormula>
    </tableColumn>
    <tableColumn id="3" name="Prénom" dataDxfId="1">
      <calculatedColumnFormula>"Nom" &amp; RANDBETWEEN(0,900)</calculatedColumnFormula>
    </tableColumn>
    <tableColumn id="4" name="Date naiss" dataDxfId="112"/>
    <tableColumn id="5" name="Genre"/>
    <tableColumn id="6" name="Date entrée" dataDxfId="111"/>
    <tableColumn id="7" name="Service"/>
    <tableColumn id="8" name="Date sortie" dataDxfId="110"/>
    <tableColumn id="9" name="Age arrivée" dataDxfId="109">
      <calculatedColumnFormula>IF(Tableau1[[#This Row],[Date naiss]]="","",DATEDIF(Tableau1[[#This Row],[Date naiss]],Tableau1[[#This Row],[Date entrée]],"y") + (DATEDIF(Tableau1[[#This Row],[Date naiss]],Tableau1[[#This Row],[Date entrée]],"ym"))/12)</calculatedColumnFormula>
    </tableColumn>
    <tableColumn id="10" name="Age départ" dataDxfId="108">
      <calculatedColumnFormula>IF(Tableau1[[#This Row],[Date sortie]]="",-1,DATEDIF(Tableau1[[#This Row],[Date naiss]],Tableau1[[#This Row],[Date sortie]],"y") + (DATEDIF(Tableau1[[#This Row],[Date naiss]],Tableau1[[#This Row],[Date sortie]],"ym"))/12)</calculatedColumnFormula>
    </tableColumn>
    <tableColumn id="11" name="B3 Origine territoriale demande admission effective"/>
    <tableColumn id="12" name="E1 Condition hébergement immédiatement antérieur admission"/>
    <tableColumn id="13" name="E2 Condition hébergement sortie du service"/>
    <tableColumn id="14" name="F1 mesure à l'admission dans le service"/>
    <tableColumn id="15" name="F2 Mesure antérieure à l'admission dans le service"/>
    <tableColumn id="16" name="F3 Mesure à la sortie du service"/>
    <tableColumn id="17" name="G1 Autorité parentale"/>
    <tableColumn id="18" name="G2 Situation familiale"/>
    <tableColumn id="19" name="G3 Situation professionnelle des parents"/>
    <tableColumn id="20" name="H1 Scolarité / activité a l'admission"/>
    <tableColumn id="21" name="H2 Scolarité / activité à la sortie"/>
    <tableColumn id="22" name="H3 Scolarité / activité au 31/12/N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entrée" sourceName="Date entrée">
  <pivotTables>
    <pivotTable tabId="4" name="tcd_b2"/>
    <pivotTable tabId="4" name="tcd_b3"/>
    <pivotTable tabId="4" name="tcd_c2"/>
  </pivotTables>
  <state minimalRefreshVersion="6" lastRefreshVersion="6" pivotCacheId="1" filterType="dateBetween">
    <selection startDate="2021-01-01T00:00:00" endDate="2021-12-31T00:00:00"/>
    <bounds startDate="2017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entrée" cache="ChronologieNative_Date_entrée" caption="Date entrée" level="0" selectionLevel="0" scrollPosition="2017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microsoft.com/office/2011/relationships/timeline" Target="../timelines/timeline1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drawing" Target="../drawings/drawing1.xml"/><Relationship Id="rId5" Type="http://schemas.openxmlformats.org/officeDocument/2006/relationships/pivotTable" Target="../pivotTables/pivotTable5.xml"/><Relationship Id="rId10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V66"/>
  <sheetViews>
    <sheetView tabSelected="1" zoomScale="130" zoomScaleNormal="130" workbookViewId="0">
      <selection activeCell="M12" sqref="M12"/>
    </sheetView>
  </sheetViews>
  <sheetFormatPr baseColWidth="10" defaultRowHeight="15" x14ac:dyDescent="0.25"/>
  <cols>
    <col min="1" max="1" width="7.28515625" customWidth="1"/>
    <col min="2" max="2" width="12.28515625" customWidth="1"/>
    <col min="3" max="3" width="8.28515625" customWidth="1"/>
    <col min="4" max="4" width="9.42578125" customWidth="1"/>
    <col min="5" max="5" width="7.28515625" customWidth="1"/>
    <col min="6" max="6" width="9.5703125" customWidth="1"/>
    <col min="7" max="7" width="29.42578125" customWidth="1"/>
    <col min="8" max="8" width="9" customWidth="1"/>
    <col min="9" max="9" width="7.28515625" customWidth="1"/>
    <col min="10" max="10" width="6.7109375" customWidth="1"/>
    <col min="11" max="22" width="25.7109375" customWidth="1"/>
  </cols>
  <sheetData>
    <row r="2" spans="1:22" s="1" customFormat="1" ht="45" x14ac:dyDescent="0.25">
      <c r="A2" s="1" t="s">
        <v>10</v>
      </c>
      <c r="B2" s="1" t="s">
        <v>0</v>
      </c>
      <c r="C2" s="1" t="s">
        <v>1</v>
      </c>
      <c r="D2" s="1" t="s">
        <v>3</v>
      </c>
      <c r="E2" s="1" t="s">
        <v>6</v>
      </c>
      <c r="F2" s="1" t="s">
        <v>4</v>
      </c>
      <c r="G2" s="1" t="s">
        <v>2</v>
      </c>
      <c r="H2" s="1" t="s">
        <v>5</v>
      </c>
      <c r="I2" s="1" t="s">
        <v>8</v>
      </c>
      <c r="J2" s="1" t="s">
        <v>9</v>
      </c>
      <c r="K2" s="1" t="s">
        <v>12</v>
      </c>
      <c r="L2" s="1" t="s">
        <v>11</v>
      </c>
      <c r="M2" s="1" t="s">
        <v>13</v>
      </c>
      <c r="N2" s="1" t="s">
        <v>14</v>
      </c>
      <c r="O2" s="1" t="s">
        <v>15</v>
      </c>
      <c r="P2" s="1" t="s">
        <v>16</v>
      </c>
      <c r="Q2" s="1" t="s">
        <v>17</v>
      </c>
      <c r="R2" s="1" t="s">
        <v>18</v>
      </c>
      <c r="S2" s="1" t="s">
        <v>19</v>
      </c>
      <c r="T2" s="1" t="s">
        <v>20</v>
      </c>
      <c r="U2" s="1" t="s">
        <v>21</v>
      </c>
      <c r="V2" s="1" t="s">
        <v>22</v>
      </c>
    </row>
    <row r="3" spans="1:22" x14ac:dyDescent="0.25">
      <c r="B3" s="12" t="str">
        <f t="shared" ref="B3:B34" ca="1" si="0">"Prénom" &amp; RANDBETWEEN(0,900)</f>
        <v>Prénom403</v>
      </c>
      <c r="C3" s="22" t="str">
        <f ca="1">"Nom" &amp; RANDBETWEEN(0,900)</f>
        <v>Nom260</v>
      </c>
      <c r="D3" s="24">
        <v>37834</v>
      </c>
      <c r="E3" t="s">
        <v>27</v>
      </c>
      <c r="F3" s="24">
        <v>44169</v>
      </c>
      <c r="G3" t="s">
        <v>28</v>
      </c>
      <c r="H3" s="24">
        <v>44278</v>
      </c>
      <c r="I3" s="301">
        <f>IF(Tableau1[[#This Row],[Date naiss]]="","",DATEDIF(Tableau1[[#This Row],[Date naiss]],Tableau1[[#This Row],[Date entrée]],"y") + (DATEDIF(Tableau1[[#This Row],[Date naiss]],Tableau1[[#This Row],[Date entrée]],"ym"))/12)</f>
        <v>17.333333333333332</v>
      </c>
      <c r="J3" s="301">
        <f>IF(Tableau1[[#This Row],[Date sortie]]="",-1,DATEDIF(Tableau1[[#This Row],[Date naiss]],Tableau1[[#This Row],[Date sortie]],"y") + (DATEDIF(Tableau1[[#This Row],[Date naiss]],Tableau1[[#This Row],[Date sortie]],"ym"))/12)</f>
        <v>17.583333333333332</v>
      </c>
      <c r="K3" t="s">
        <v>59</v>
      </c>
      <c r="L3" t="s">
        <v>137</v>
      </c>
      <c r="M3" s="22"/>
      <c r="N3" s="22"/>
      <c r="U3" s="22"/>
      <c r="V3" s="22"/>
    </row>
    <row r="4" spans="1:22" x14ac:dyDescent="0.25">
      <c r="B4" s="22" t="str">
        <f t="shared" ca="1" si="0"/>
        <v>Prénom96</v>
      </c>
      <c r="C4" s="22" t="str">
        <f t="shared" ref="C4:C66" ca="1" si="1">"Nom" &amp; RANDBETWEEN(0,900)</f>
        <v>Nom307</v>
      </c>
      <c r="D4" s="24">
        <v>39533</v>
      </c>
      <c r="E4" s="12" t="s">
        <v>27</v>
      </c>
      <c r="F4" s="24">
        <v>43501</v>
      </c>
      <c r="G4" s="12" t="s">
        <v>28</v>
      </c>
      <c r="H4" s="24">
        <v>44455</v>
      </c>
      <c r="I4" s="301">
        <f>IF(Tableau1[[#This Row],[Date naiss]]="","",DATEDIF(Tableau1[[#This Row],[Date naiss]],Tableau1[[#This Row],[Date entrée]],"y") + (DATEDIF(Tableau1[[#This Row],[Date naiss]],Tableau1[[#This Row],[Date entrée]],"ym"))/12)</f>
        <v>10.833333333333334</v>
      </c>
      <c r="J4" s="301">
        <f>IF(Tableau1[[#This Row],[Date sortie]]="",-1,DATEDIF(Tableau1[[#This Row],[Date naiss]],Tableau1[[#This Row],[Date sortie]],"y") + (DATEDIF(Tableau1[[#This Row],[Date naiss]],Tableau1[[#This Row],[Date sortie]],"ym"))/12)</f>
        <v>13.416666666666666</v>
      </c>
      <c r="K4" s="12" t="s">
        <v>59</v>
      </c>
      <c r="L4" s="22" t="s">
        <v>139</v>
      </c>
      <c r="M4" s="22"/>
      <c r="N4" s="22"/>
      <c r="U4" s="22"/>
      <c r="V4" s="22"/>
    </row>
    <row r="5" spans="1:22" x14ac:dyDescent="0.25">
      <c r="B5" s="22" t="str">
        <f t="shared" ca="1" si="0"/>
        <v>Prénom279</v>
      </c>
      <c r="C5" s="22" t="str">
        <f t="shared" ca="1" si="1"/>
        <v>Nom838</v>
      </c>
      <c r="D5" s="24">
        <v>43623</v>
      </c>
      <c r="E5" s="12" t="s">
        <v>135</v>
      </c>
      <c r="F5" s="24">
        <v>44158</v>
      </c>
      <c r="G5" s="12" t="s">
        <v>28</v>
      </c>
      <c r="H5" s="24"/>
      <c r="I5" s="301">
        <f>IF(Tableau1[[#This Row],[Date naiss]]="","",DATEDIF(Tableau1[[#This Row],[Date naiss]],Tableau1[[#This Row],[Date entrée]],"y") + (DATEDIF(Tableau1[[#This Row],[Date naiss]],Tableau1[[#This Row],[Date entrée]],"ym"))/12)</f>
        <v>1.4166666666666667</v>
      </c>
      <c r="J5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5" s="12" t="s">
        <v>59</v>
      </c>
      <c r="L5" s="22" t="s">
        <v>141</v>
      </c>
      <c r="M5" s="22"/>
      <c r="N5" s="22"/>
      <c r="U5" s="22"/>
      <c r="V5" s="22"/>
    </row>
    <row r="6" spans="1:22" x14ac:dyDescent="0.25">
      <c r="B6" s="22" t="str">
        <f t="shared" ca="1" si="0"/>
        <v>Prénom773</v>
      </c>
      <c r="C6" s="22" t="str">
        <f t="shared" ca="1" si="1"/>
        <v>Nom636</v>
      </c>
      <c r="D6" s="24">
        <v>38243</v>
      </c>
      <c r="E6" s="12" t="s">
        <v>27</v>
      </c>
      <c r="F6" s="24">
        <v>44183</v>
      </c>
      <c r="G6" s="12" t="s">
        <v>28</v>
      </c>
      <c r="H6" s="24"/>
      <c r="I6" s="301">
        <f>IF(Tableau1[[#This Row],[Date naiss]]="","",DATEDIF(Tableau1[[#This Row],[Date naiss]],Tableau1[[#This Row],[Date entrée]],"y") + (DATEDIF(Tableau1[[#This Row],[Date naiss]],Tableau1[[#This Row],[Date entrée]],"ym"))/12)</f>
        <v>16.25</v>
      </c>
      <c r="J6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6" s="12" t="s">
        <v>58</v>
      </c>
      <c r="L6" s="22" t="s">
        <v>137</v>
      </c>
      <c r="M6" s="22"/>
      <c r="N6" s="22"/>
      <c r="U6" s="22"/>
      <c r="V6" s="22"/>
    </row>
    <row r="7" spans="1:22" x14ac:dyDescent="0.25">
      <c r="B7" s="22" t="str">
        <f t="shared" ca="1" si="0"/>
        <v>Prénom841</v>
      </c>
      <c r="C7" s="22" t="str">
        <f t="shared" ca="1" si="1"/>
        <v>Nom152</v>
      </c>
      <c r="D7" s="24">
        <v>37914</v>
      </c>
      <c r="E7" s="12" t="s">
        <v>27</v>
      </c>
      <c r="F7" s="24">
        <v>43913</v>
      </c>
      <c r="G7" s="12" t="s">
        <v>28</v>
      </c>
      <c r="H7" s="24">
        <v>44489</v>
      </c>
      <c r="I7" s="301">
        <f>IF(Tableau1[[#This Row],[Date naiss]]="","",DATEDIF(Tableau1[[#This Row],[Date naiss]],Tableau1[[#This Row],[Date entrée]],"y") + (DATEDIF(Tableau1[[#This Row],[Date naiss]],Tableau1[[#This Row],[Date entrée]],"ym"))/12)</f>
        <v>16.416666666666668</v>
      </c>
      <c r="J7" s="301">
        <f>IF(Tableau1[[#This Row],[Date sortie]]="",-1,DATEDIF(Tableau1[[#This Row],[Date naiss]],Tableau1[[#This Row],[Date sortie]],"y") + (DATEDIF(Tableau1[[#This Row],[Date naiss]],Tableau1[[#This Row],[Date sortie]],"ym"))/12)</f>
        <v>18</v>
      </c>
      <c r="K7" s="12" t="s">
        <v>59</v>
      </c>
      <c r="L7" s="22" t="s">
        <v>140</v>
      </c>
      <c r="M7" s="22"/>
      <c r="N7" s="22"/>
      <c r="U7" s="22"/>
      <c r="V7" s="22"/>
    </row>
    <row r="8" spans="1:22" x14ac:dyDescent="0.25">
      <c r="B8" s="22" t="str">
        <f t="shared" ca="1" si="0"/>
        <v>Prénom196</v>
      </c>
      <c r="C8" s="22" t="str">
        <f t="shared" ca="1" si="1"/>
        <v>Nom268</v>
      </c>
      <c r="D8" s="24">
        <v>41125</v>
      </c>
      <c r="E8" s="12" t="s">
        <v>135</v>
      </c>
      <c r="F8" s="24">
        <v>44148</v>
      </c>
      <c r="G8" s="12" t="s">
        <v>28</v>
      </c>
      <c r="H8" s="24"/>
      <c r="I8" s="301">
        <f>IF(Tableau1[[#This Row],[Date naiss]]="","",DATEDIF(Tableau1[[#This Row],[Date naiss]],Tableau1[[#This Row],[Date entrée]],"y") + (DATEDIF(Tableau1[[#This Row],[Date naiss]],Tableau1[[#This Row],[Date entrée]],"ym"))/12)</f>
        <v>8.25</v>
      </c>
      <c r="J8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8" s="12" t="s">
        <v>58</v>
      </c>
      <c r="L8" s="22" t="s">
        <v>137</v>
      </c>
      <c r="M8" s="22"/>
      <c r="N8" s="22"/>
      <c r="U8" s="22"/>
      <c r="V8" s="22"/>
    </row>
    <row r="9" spans="1:22" x14ac:dyDescent="0.25">
      <c r="B9" s="22" t="str">
        <f t="shared" ca="1" si="0"/>
        <v>Prénom273</v>
      </c>
      <c r="C9" s="22" t="str">
        <f t="shared" ca="1" si="1"/>
        <v>Nom613</v>
      </c>
      <c r="D9" s="24">
        <v>40393</v>
      </c>
      <c r="E9" s="12" t="s">
        <v>27</v>
      </c>
      <c r="F9" s="24">
        <v>43984</v>
      </c>
      <c r="G9" s="12" t="s">
        <v>28</v>
      </c>
      <c r="H9" s="24">
        <v>44460</v>
      </c>
      <c r="I9" s="301">
        <f>IF(Tableau1[[#This Row],[Date naiss]]="","",DATEDIF(Tableau1[[#This Row],[Date naiss]],Tableau1[[#This Row],[Date entrée]],"y") + (DATEDIF(Tableau1[[#This Row],[Date naiss]],Tableau1[[#This Row],[Date entrée]],"ym"))/12)</f>
        <v>9.75</v>
      </c>
      <c r="J9" s="301">
        <f>IF(Tableau1[[#This Row],[Date sortie]]="",-1,DATEDIF(Tableau1[[#This Row],[Date naiss]],Tableau1[[#This Row],[Date sortie]],"y") + (DATEDIF(Tableau1[[#This Row],[Date naiss]],Tableau1[[#This Row],[Date sortie]],"ym"))/12)</f>
        <v>11.083333333333334</v>
      </c>
      <c r="K9" s="12" t="s">
        <v>58</v>
      </c>
      <c r="L9" s="22" t="s">
        <v>137</v>
      </c>
      <c r="M9" s="22"/>
      <c r="N9" s="22"/>
      <c r="U9" s="22"/>
      <c r="V9" s="22"/>
    </row>
    <row r="10" spans="1:22" x14ac:dyDescent="0.25">
      <c r="B10" s="22" t="str">
        <f t="shared" ca="1" si="0"/>
        <v>Prénom340</v>
      </c>
      <c r="C10" s="22" t="str">
        <f t="shared" ca="1" si="1"/>
        <v>Nom136</v>
      </c>
      <c r="D10" s="24">
        <v>41816</v>
      </c>
      <c r="E10" s="12" t="s">
        <v>27</v>
      </c>
      <c r="F10" s="24">
        <v>43984</v>
      </c>
      <c r="G10" s="12" t="s">
        <v>28</v>
      </c>
      <c r="H10" s="24">
        <v>44460</v>
      </c>
      <c r="I10" s="301">
        <f>IF(Tableau1[[#This Row],[Date naiss]]="","",DATEDIF(Tableau1[[#This Row],[Date naiss]],Tableau1[[#This Row],[Date entrée]],"y") + (DATEDIF(Tableau1[[#This Row],[Date naiss]],Tableau1[[#This Row],[Date entrée]],"ym"))/12)</f>
        <v>5.916666666666667</v>
      </c>
      <c r="J10" s="301">
        <f>IF(Tableau1[[#This Row],[Date sortie]]="",-1,DATEDIF(Tableau1[[#This Row],[Date naiss]],Tableau1[[#This Row],[Date sortie]],"y") + (DATEDIF(Tableau1[[#This Row],[Date naiss]],Tableau1[[#This Row],[Date sortie]],"ym"))/12)</f>
        <v>7.166666666666667</v>
      </c>
      <c r="K10" s="12" t="s">
        <v>58</v>
      </c>
      <c r="L10" s="22" t="s">
        <v>137</v>
      </c>
      <c r="M10" s="22"/>
      <c r="N10" s="22"/>
      <c r="U10" s="22"/>
      <c r="V10" s="22"/>
    </row>
    <row r="11" spans="1:22" x14ac:dyDescent="0.25">
      <c r="B11" s="22" t="str">
        <f t="shared" ca="1" si="0"/>
        <v>Prénom580</v>
      </c>
      <c r="C11" s="22" t="str">
        <f t="shared" ca="1" si="1"/>
        <v>Nom675</v>
      </c>
      <c r="D11" s="24">
        <v>39658</v>
      </c>
      <c r="E11" s="12" t="s">
        <v>27</v>
      </c>
      <c r="F11" s="24">
        <v>43984</v>
      </c>
      <c r="G11" s="12" t="s">
        <v>28</v>
      </c>
      <c r="H11" s="24">
        <v>44460</v>
      </c>
      <c r="I11" s="301">
        <f>IF(Tableau1[[#This Row],[Date naiss]]="","",DATEDIF(Tableau1[[#This Row],[Date naiss]],Tableau1[[#This Row],[Date entrée]],"y") + (DATEDIF(Tableau1[[#This Row],[Date naiss]],Tableau1[[#This Row],[Date entrée]],"ym"))/12)</f>
        <v>11.833333333333334</v>
      </c>
      <c r="J11" s="301">
        <f>IF(Tableau1[[#This Row],[Date sortie]]="",-1,DATEDIF(Tableau1[[#This Row],[Date naiss]],Tableau1[[#This Row],[Date sortie]],"y") + (DATEDIF(Tableau1[[#This Row],[Date naiss]],Tableau1[[#This Row],[Date sortie]],"ym"))/12)</f>
        <v>13.083333333333334</v>
      </c>
      <c r="K11" s="12" t="s">
        <v>58</v>
      </c>
      <c r="L11" s="22" t="s">
        <v>137</v>
      </c>
      <c r="M11" s="22"/>
      <c r="N11" s="22"/>
      <c r="U11" s="22"/>
      <c r="V11" s="22"/>
    </row>
    <row r="12" spans="1:22" x14ac:dyDescent="0.25">
      <c r="B12" s="22" t="str">
        <f t="shared" ca="1" si="0"/>
        <v>Prénom5</v>
      </c>
      <c r="C12" s="22" t="str">
        <f t="shared" ca="1" si="1"/>
        <v>Nom763</v>
      </c>
      <c r="D12" s="24">
        <v>38625</v>
      </c>
      <c r="E12" s="12" t="s">
        <v>135</v>
      </c>
      <c r="F12" s="24">
        <v>43859</v>
      </c>
      <c r="G12" s="12" t="s">
        <v>28</v>
      </c>
      <c r="H12" s="24">
        <v>44228</v>
      </c>
      <c r="I12" s="301">
        <f>IF(Tableau1[[#This Row],[Date naiss]]="","",DATEDIF(Tableau1[[#This Row],[Date naiss]],Tableau1[[#This Row],[Date entrée]],"y") + (DATEDIF(Tableau1[[#This Row],[Date naiss]],Tableau1[[#This Row],[Date entrée]],"ym"))/12)</f>
        <v>14.25</v>
      </c>
      <c r="J12" s="301">
        <f>IF(Tableau1[[#This Row],[Date sortie]]="",-1,DATEDIF(Tableau1[[#This Row],[Date naiss]],Tableau1[[#This Row],[Date sortie]],"y") + (DATEDIF(Tableau1[[#This Row],[Date naiss]],Tableau1[[#This Row],[Date sortie]],"ym"))/12)</f>
        <v>15.333333333333334</v>
      </c>
      <c r="K12" s="12" t="s">
        <v>59</v>
      </c>
      <c r="L12" s="22" t="s">
        <v>137</v>
      </c>
      <c r="M12" s="22"/>
      <c r="N12" s="22"/>
      <c r="U12" s="22"/>
      <c r="V12" s="22"/>
    </row>
    <row r="13" spans="1:22" x14ac:dyDescent="0.25">
      <c r="B13" s="22" t="str">
        <f t="shared" ca="1" si="0"/>
        <v>Prénom659</v>
      </c>
      <c r="C13" s="22" t="str">
        <f t="shared" ca="1" si="1"/>
        <v>Nom522</v>
      </c>
      <c r="D13" s="24">
        <v>38424</v>
      </c>
      <c r="E13" s="12" t="s">
        <v>135</v>
      </c>
      <c r="F13" s="24">
        <v>44176</v>
      </c>
      <c r="G13" s="12" t="s">
        <v>28</v>
      </c>
      <c r="H13" s="24"/>
      <c r="I13" s="301">
        <f>IF(Tableau1[[#This Row],[Date naiss]]="","",DATEDIF(Tableau1[[#This Row],[Date naiss]],Tableau1[[#This Row],[Date entrée]],"y") + (DATEDIF(Tableau1[[#This Row],[Date naiss]],Tableau1[[#This Row],[Date entrée]],"ym"))/12)</f>
        <v>15.666666666666666</v>
      </c>
      <c r="J13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13" s="12" t="s">
        <v>58</v>
      </c>
      <c r="L13" s="22" t="s">
        <v>139</v>
      </c>
      <c r="M13" s="22"/>
      <c r="N13" s="22"/>
      <c r="U13" s="22"/>
      <c r="V13" s="22"/>
    </row>
    <row r="14" spans="1:22" x14ac:dyDescent="0.25">
      <c r="B14" s="22" t="str">
        <f t="shared" ca="1" si="0"/>
        <v>Prénom566</v>
      </c>
      <c r="C14" s="22" t="str">
        <f t="shared" ca="1" si="1"/>
        <v>Nom84</v>
      </c>
      <c r="D14" s="24">
        <v>39823</v>
      </c>
      <c r="E14" s="12" t="s">
        <v>27</v>
      </c>
      <c r="F14" s="24">
        <v>42871</v>
      </c>
      <c r="G14" s="12" t="s">
        <v>28</v>
      </c>
      <c r="H14" s="24">
        <v>44377</v>
      </c>
      <c r="I14" s="301">
        <f>IF(Tableau1[[#This Row],[Date naiss]]="","",DATEDIF(Tableau1[[#This Row],[Date naiss]],Tableau1[[#This Row],[Date entrée]],"y") + (DATEDIF(Tableau1[[#This Row],[Date naiss]],Tableau1[[#This Row],[Date entrée]],"ym"))/12)</f>
        <v>8.3333333333333339</v>
      </c>
      <c r="J14" s="301">
        <f>IF(Tableau1[[#This Row],[Date sortie]]="",-1,DATEDIF(Tableau1[[#This Row],[Date naiss]],Tableau1[[#This Row],[Date sortie]],"y") + (DATEDIF(Tableau1[[#This Row],[Date naiss]],Tableau1[[#This Row],[Date sortie]],"ym"))/12)</f>
        <v>12.416666666666666</v>
      </c>
      <c r="K14" s="12" t="s">
        <v>58</v>
      </c>
      <c r="L14" s="22" t="s">
        <v>137</v>
      </c>
      <c r="M14" s="22"/>
      <c r="N14" s="22"/>
      <c r="U14" s="22"/>
      <c r="V14" s="22"/>
    </row>
    <row r="15" spans="1:22" x14ac:dyDescent="0.25">
      <c r="B15" s="22" t="str">
        <f t="shared" ca="1" si="0"/>
        <v>Prénom478</v>
      </c>
      <c r="C15" s="22" t="str">
        <f t="shared" ca="1" si="1"/>
        <v>Nom273</v>
      </c>
      <c r="D15" s="24">
        <v>40048</v>
      </c>
      <c r="E15" s="12" t="s">
        <v>135</v>
      </c>
      <c r="F15" s="24">
        <v>44154</v>
      </c>
      <c r="G15" s="12" t="s">
        <v>28</v>
      </c>
      <c r="H15" s="24">
        <v>44377</v>
      </c>
      <c r="I15" s="301">
        <f>IF(Tableau1[[#This Row],[Date naiss]]="","",DATEDIF(Tableau1[[#This Row],[Date naiss]],Tableau1[[#This Row],[Date entrée]],"y") + (DATEDIF(Tableau1[[#This Row],[Date naiss]],Tableau1[[#This Row],[Date entrée]],"ym"))/12)</f>
        <v>11.166666666666666</v>
      </c>
      <c r="J15" s="301">
        <f>IF(Tableau1[[#This Row],[Date sortie]]="",-1,DATEDIF(Tableau1[[#This Row],[Date naiss]],Tableau1[[#This Row],[Date sortie]],"y") + (DATEDIF(Tableau1[[#This Row],[Date naiss]],Tableau1[[#This Row],[Date sortie]],"ym"))/12)</f>
        <v>11.833333333333334</v>
      </c>
      <c r="K15" s="12" t="s">
        <v>57</v>
      </c>
      <c r="L15" s="22" t="s">
        <v>139</v>
      </c>
      <c r="M15" s="22"/>
      <c r="N15" s="22"/>
      <c r="U15" s="22"/>
      <c r="V15" s="22"/>
    </row>
    <row r="16" spans="1:22" x14ac:dyDescent="0.25">
      <c r="B16" s="22" t="str">
        <f t="shared" ca="1" si="0"/>
        <v>Prénom690</v>
      </c>
      <c r="C16" s="22" t="str">
        <f t="shared" ca="1" si="1"/>
        <v>Nom735</v>
      </c>
      <c r="D16" s="24">
        <v>43363</v>
      </c>
      <c r="E16" s="12" t="s">
        <v>27</v>
      </c>
      <c r="F16" s="24">
        <v>44158</v>
      </c>
      <c r="G16" s="12" t="s">
        <v>28</v>
      </c>
      <c r="H16" s="24"/>
      <c r="I16" s="301">
        <f>IF(Tableau1[[#This Row],[Date naiss]]="","",DATEDIF(Tableau1[[#This Row],[Date naiss]],Tableau1[[#This Row],[Date entrée]],"y") + (DATEDIF(Tableau1[[#This Row],[Date naiss]],Tableau1[[#This Row],[Date entrée]],"ym"))/12)</f>
        <v>2.1666666666666665</v>
      </c>
      <c r="J16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16" s="12" t="s">
        <v>59</v>
      </c>
      <c r="L16" s="22" t="s">
        <v>137</v>
      </c>
      <c r="U16" s="22"/>
      <c r="V16" s="22"/>
    </row>
    <row r="17" spans="2:22" x14ac:dyDescent="0.25">
      <c r="B17" s="22" t="str">
        <f t="shared" ca="1" si="0"/>
        <v>Prénom73</v>
      </c>
      <c r="C17" s="22" t="str">
        <f t="shared" ca="1" si="1"/>
        <v>Nom768</v>
      </c>
      <c r="D17" s="24">
        <v>40445</v>
      </c>
      <c r="E17" s="12" t="s">
        <v>27</v>
      </c>
      <c r="F17" s="24">
        <v>44180</v>
      </c>
      <c r="G17" s="12" t="s">
        <v>28</v>
      </c>
      <c r="H17" s="24"/>
      <c r="I17" s="301">
        <f>IF(Tableau1[[#This Row],[Date naiss]]="","",DATEDIF(Tableau1[[#This Row],[Date naiss]],Tableau1[[#This Row],[Date entrée]],"y") + (DATEDIF(Tableau1[[#This Row],[Date naiss]],Tableau1[[#This Row],[Date entrée]],"ym"))/12)</f>
        <v>10.166666666666666</v>
      </c>
      <c r="J17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17" s="12" t="s">
        <v>58</v>
      </c>
      <c r="L17" s="22" t="s">
        <v>137</v>
      </c>
      <c r="U17" s="22"/>
      <c r="V17" s="22"/>
    </row>
    <row r="18" spans="2:22" x14ac:dyDescent="0.25">
      <c r="B18" s="22" t="str">
        <f t="shared" ca="1" si="0"/>
        <v>Prénom289</v>
      </c>
      <c r="C18" s="22" t="str">
        <f t="shared" ca="1" si="1"/>
        <v>Nom603</v>
      </c>
      <c r="D18" s="24">
        <v>38498</v>
      </c>
      <c r="E18" s="12" t="s">
        <v>27</v>
      </c>
      <c r="F18" s="24">
        <v>44180</v>
      </c>
      <c r="G18" s="12" t="s">
        <v>28</v>
      </c>
      <c r="H18" s="24"/>
      <c r="I18" s="301">
        <f>IF(Tableau1[[#This Row],[Date naiss]]="","",DATEDIF(Tableau1[[#This Row],[Date naiss]],Tableau1[[#This Row],[Date entrée]],"y") + (DATEDIF(Tableau1[[#This Row],[Date naiss]],Tableau1[[#This Row],[Date entrée]],"ym"))/12)</f>
        <v>15.5</v>
      </c>
      <c r="J18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18" s="12" t="s">
        <v>58</v>
      </c>
      <c r="L18" s="22" t="s">
        <v>137</v>
      </c>
      <c r="U18" s="22"/>
      <c r="V18" s="22"/>
    </row>
    <row r="19" spans="2:22" s="12" customFormat="1" x14ac:dyDescent="0.25">
      <c r="B19" s="22" t="str">
        <f t="shared" ca="1" si="0"/>
        <v>Prénom14</v>
      </c>
      <c r="C19" s="22" t="str">
        <f t="shared" ca="1" si="1"/>
        <v>Nom820</v>
      </c>
      <c r="D19" s="24">
        <v>41384</v>
      </c>
      <c r="E19" s="12" t="s">
        <v>27</v>
      </c>
      <c r="F19" s="24">
        <v>44183</v>
      </c>
      <c r="G19" s="12" t="s">
        <v>28</v>
      </c>
      <c r="H19" s="24">
        <v>44375</v>
      </c>
      <c r="I19" s="301">
        <f>IF(Tableau1[[#This Row],[Date naiss]]="","",DATEDIF(Tableau1[[#This Row],[Date naiss]],Tableau1[[#This Row],[Date entrée]],"y") + (DATEDIF(Tableau1[[#This Row],[Date naiss]],Tableau1[[#This Row],[Date entrée]],"ym"))/12)</f>
        <v>7.583333333333333</v>
      </c>
      <c r="J19" s="301">
        <f>IF(Tableau1[[#This Row],[Date sortie]]="",-1,DATEDIF(Tableau1[[#This Row],[Date naiss]],Tableau1[[#This Row],[Date sortie]],"y") + (DATEDIF(Tableau1[[#This Row],[Date naiss]],Tableau1[[#This Row],[Date sortie]],"ym"))/12)</f>
        <v>8.1666666666666661</v>
      </c>
      <c r="K19" s="12" t="s">
        <v>58</v>
      </c>
      <c r="L19" s="22" t="s">
        <v>137</v>
      </c>
      <c r="U19" s="22"/>
      <c r="V19" s="22"/>
    </row>
    <row r="20" spans="2:22" x14ac:dyDescent="0.25">
      <c r="B20" s="22" t="str">
        <f t="shared" ca="1" si="0"/>
        <v>Prénom722</v>
      </c>
      <c r="C20" s="22" t="str">
        <f t="shared" ca="1" si="1"/>
        <v>Nom407</v>
      </c>
      <c r="D20" s="24">
        <v>40668</v>
      </c>
      <c r="E20" t="s">
        <v>27</v>
      </c>
      <c r="F20" s="24">
        <v>43454</v>
      </c>
      <c r="G20" s="12" t="s">
        <v>28</v>
      </c>
      <c r="H20" s="24"/>
      <c r="I20" s="301">
        <f>IF(Tableau1[[#This Row],[Date naiss]]="","",DATEDIF(Tableau1[[#This Row],[Date naiss]],Tableau1[[#This Row],[Date entrée]],"y") + (DATEDIF(Tableau1[[#This Row],[Date naiss]],Tableau1[[#This Row],[Date entrée]],"ym"))/12)</f>
        <v>7.583333333333333</v>
      </c>
      <c r="J20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20" s="12" t="s">
        <v>58</v>
      </c>
      <c r="L20" s="22" t="s">
        <v>137</v>
      </c>
      <c r="U20" s="22"/>
      <c r="V20" s="22"/>
    </row>
    <row r="21" spans="2:22" x14ac:dyDescent="0.25">
      <c r="B21" s="22" t="str">
        <f t="shared" ca="1" si="0"/>
        <v>Prénom156</v>
      </c>
      <c r="C21" s="22" t="str">
        <f t="shared" ca="1" si="1"/>
        <v>Nom233</v>
      </c>
      <c r="D21" s="24">
        <v>40208</v>
      </c>
      <c r="E21" t="s">
        <v>27</v>
      </c>
      <c r="F21" s="24">
        <v>43454</v>
      </c>
      <c r="G21" s="12" t="s">
        <v>28</v>
      </c>
      <c r="H21" s="24"/>
      <c r="I21" s="301">
        <f>IF(Tableau1[[#This Row],[Date naiss]]="","",DATEDIF(Tableau1[[#This Row],[Date naiss]],Tableau1[[#This Row],[Date entrée]],"y") + (DATEDIF(Tableau1[[#This Row],[Date naiss]],Tableau1[[#This Row],[Date entrée]],"ym"))/12)</f>
        <v>8.8333333333333339</v>
      </c>
      <c r="J21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21" s="12" t="s">
        <v>58</v>
      </c>
      <c r="L21" s="22" t="s">
        <v>137</v>
      </c>
      <c r="U21" s="22"/>
      <c r="V21" s="22"/>
    </row>
    <row r="22" spans="2:22" x14ac:dyDescent="0.25">
      <c r="B22" s="22" t="str">
        <f t="shared" ca="1" si="0"/>
        <v>Prénom738</v>
      </c>
      <c r="C22" s="22" t="str">
        <f t="shared" ca="1" si="1"/>
        <v>Nom643</v>
      </c>
      <c r="D22" s="24">
        <v>38475</v>
      </c>
      <c r="E22" t="s">
        <v>135</v>
      </c>
      <c r="F22" s="24">
        <v>44179</v>
      </c>
      <c r="G22" s="12" t="s">
        <v>28</v>
      </c>
      <c r="H22" s="24">
        <v>44480</v>
      </c>
      <c r="I22" s="301">
        <f>IF(Tableau1[[#This Row],[Date naiss]]="","",DATEDIF(Tableau1[[#This Row],[Date naiss]],Tableau1[[#This Row],[Date entrée]],"y") + (DATEDIF(Tableau1[[#This Row],[Date naiss]],Tableau1[[#This Row],[Date entrée]],"ym"))/12)</f>
        <v>15.583333333333334</v>
      </c>
      <c r="J22" s="301">
        <f>IF(Tableau1[[#This Row],[Date sortie]]="",-1,DATEDIF(Tableau1[[#This Row],[Date naiss]],Tableau1[[#This Row],[Date sortie]],"y") + (DATEDIF(Tableau1[[#This Row],[Date naiss]],Tableau1[[#This Row],[Date sortie]],"ym"))/12)</f>
        <v>16.416666666666668</v>
      </c>
      <c r="K22" s="12" t="s">
        <v>58</v>
      </c>
      <c r="L22" s="22" t="s">
        <v>139</v>
      </c>
      <c r="U22" s="22"/>
      <c r="V22" s="22"/>
    </row>
    <row r="23" spans="2:22" x14ac:dyDescent="0.25">
      <c r="B23" s="22" t="str">
        <f t="shared" ca="1" si="0"/>
        <v>Prénom68</v>
      </c>
      <c r="C23" s="22" t="str">
        <f t="shared" ca="1" si="1"/>
        <v>Nom188</v>
      </c>
      <c r="D23" s="24">
        <v>38088</v>
      </c>
      <c r="E23" t="s">
        <v>135</v>
      </c>
      <c r="F23" s="24">
        <v>43865</v>
      </c>
      <c r="G23" s="12" t="s">
        <v>28</v>
      </c>
      <c r="H23" s="24"/>
      <c r="I23" s="301">
        <f>IF(Tableau1[[#This Row],[Date naiss]]="","",DATEDIF(Tableau1[[#This Row],[Date naiss]],Tableau1[[#This Row],[Date entrée]],"y") + (DATEDIF(Tableau1[[#This Row],[Date naiss]],Tableau1[[#This Row],[Date entrée]],"ym"))/12)</f>
        <v>15.75</v>
      </c>
      <c r="J23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23" s="12" t="s">
        <v>57</v>
      </c>
      <c r="L23" s="22" t="s">
        <v>139</v>
      </c>
      <c r="U23" s="22"/>
      <c r="V23" s="22"/>
    </row>
    <row r="24" spans="2:22" x14ac:dyDescent="0.25">
      <c r="B24" s="22" t="str">
        <f t="shared" ca="1" si="0"/>
        <v>Prénom344</v>
      </c>
      <c r="C24" s="22" t="str">
        <f t="shared" ca="1" si="1"/>
        <v>Nom350</v>
      </c>
      <c r="D24" s="24">
        <v>40354</v>
      </c>
      <c r="E24" t="s">
        <v>27</v>
      </c>
      <c r="F24" s="24">
        <v>43670</v>
      </c>
      <c r="G24" s="12" t="s">
        <v>28</v>
      </c>
      <c r="H24" s="24"/>
      <c r="I24" s="301">
        <f>IF(Tableau1[[#This Row],[Date naiss]]="","",DATEDIF(Tableau1[[#This Row],[Date naiss]],Tableau1[[#This Row],[Date entrée]],"y") + (DATEDIF(Tableau1[[#This Row],[Date naiss]],Tableau1[[#This Row],[Date entrée]],"ym"))/12)</f>
        <v>9</v>
      </c>
      <c r="J24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24" s="12" t="s">
        <v>57</v>
      </c>
      <c r="L24" s="22" t="s">
        <v>141</v>
      </c>
      <c r="U24" s="22"/>
      <c r="V24" s="22"/>
    </row>
    <row r="25" spans="2:22" x14ac:dyDescent="0.25">
      <c r="B25" s="22" t="str">
        <f t="shared" ca="1" si="0"/>
        <v>Prénom306</v>
      </c>
      <c r="C25" s="22" t="str">
        <f t="shared" ca="1" si="1"/>
        <v>Nom816</v>
      </c>
      <c r="D25" s="24">
        <v>40354</v>
      </c>
      <c r="E25" t="s">
        <v>27</v>
      </c>
      <c r="F25" s="24">
        <v>43670</v>
      </c>
      <c r="G25" s="12" t="s">
        <v>28</v>
      </c>
      <c r="H25" s="24"/>
      <c r="I25" s="301">
        <f>IF(Tableau1[[#This Row],[Date naiss]]="","",DATEDIF(Tableau1[[#This Row],[Date naiss]],Tableau1[[#This Row],[Date entrée]],"y") + (DATEDIF(Tableau1[[#This Row],[Date naiss]],Tableau1[[#This Row],[Date entrée]],"ym"))/12)</f>
        <v>9</v>
      </c>
      <c r="J25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25" s="12" t="s">
        <v>57</v>
      </c>
      <c r="L25" s="22" t="s">
        <v>141</v>
      </c>
      <c r="U25" s="22"/>
      <c r="V25" s="22"/>
    </row>
    <row r="26" spans="2:22" x14ac:dyDescent="0.25">
      <c r="B26" s="22" t="str">
        <f t="shared" ca="1" si="0"/>
        <v>Prénom22</v>
      </c>
      <c r="C26" s="22" t="str">
        <f t="shared" ca="1" si="1"/>
        <v>Nom300</v>
      </c>
      <c r="D26" s="24">
        <v>43558</v>
      </c>
      <c r="E26" t="s">
        <v>135</v>
      </c>
      <c r="F26" s="24">
        <v>43991</v>
      </c>
      <c r="G26" s="12" t="s">
        <v>28</v>
      </c>
      <c r="H26" s="24"/>
      <c r="I26" s="301">
        <f>IF(Tableau1[[#This Row],[Date naiss]]="","",DATEDIF(Tableau1[[#This Row],[Date naiss]],Tableau1[[#This Row],[Date entrée]],"y") + (DATEDIF(Tableau1[[#This Row],[Date naiss]],Tableau1[[#This Row],[Date entrée]],"ym"))/12)</f>
        <v>1.1666666666666667</v>
      </c>
      <c r="J26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26" s="22" t="s">
        <v>60</v>
      </c>
      <c r="L26" s="22" t="s">
        <v>137</v>
      </c>
      <c r="U26" s="22"/>
      <c r="V26" s="22"/>
    </row>
    <row r="27" spans="2:22" x14ac:dyDescent="0.25">
      <c r="B27" s="22" t="str">
        <f t="shared" ca="1" si="0"/>
        <v>Prénom288</v>
      </c>
      <c r="C27" s="22" t="str">
        <f t="shared" ca="1" si="1"/>
        <v>Nom138</v>
      </c>
      <c r="D27" s="24">
        <v>39264</v>
      </c>
      <c r="E27" t="s">
        <v>27</v>
      </c>
      <c r="F27" s="24">
        <v>44168</v>
      </c>
      <c r="G27" s="12" t="s">
        <v>28</v>
      </c>
      <c r="H27" s="24"/>
      <c r="I27" s="301">
        <f>IF(Tableau1[[#This Row],[Date naiss]]="","",DATEDIF(Tableau1[[#This Row],[Date naiss]],Tableau1[[#This Row],[Date entrée]],"y") + (DATEDIF(Tableau1[[#This Row],[Date naiss]],Tableau1[[#This Row],[Date entrée]],"ym"))/12)</f>
        <v>13.416666666666666</v>
      </c>
      <c r="J27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27" s="22" t="s">
        <v>59</v>
      </c>
      <c r="L27" s="22" t="s">
        <v>137</v>
      </c>
      <c r="U27" s="22"/>
      <c r="V27" s="22"/>
    </row>
    <row r="28" spans="2:22" x14ac:dyDescent="0.25">
      <c r="B28" s="22" t="str">
        <f t="shared" ca="1" si="0"/>
        <v>Prénom838</v>
      </c>
      <c r="C28" s="22" t="str">
        <f t="shared" ca="1" si="1"/>
        <v>Nom552</v>
      </c>
      <c r="D28" s="24">
        <v>38544</v>
      </c>
      <c r="E28" s="12" t="s">
        <v>27</v>
      </c>
      <c r="F28" s="24">
        <v>44221</v>
      </c>
      <c r="G28" s="12" t="s">
        <v>28</v>
      </c>
      <c r="H28" s="24"/>
      <c r="I28" s="301">
        <f>IF(Tableau1[[#This Row],[Date naiss]]="","",DATEDIF(Tableau1[[#This Row],[Date naiss]],Tableau1[[#This Row],[Date entrée]],"y") + (DATEDIF(Tableau1[[#This Row],[Date naiss]],Tableau1[[#This Row],[Date entrée]],"ym"))/12)</f>
        <v>15.5</v>
      </c>
      <c r="J28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28" s="12" t="s">
        <v>57</v>
      </c>
      <c r="L28" s="22" t="s">
        <v>139</v>
      </c>
      <c r="U28" s="22"/>
      <c r="V28" s="22"/>
    </row>
    <row r="29" spans="2:22" x14ac:dyDescent="0.25">
      <c r="B29" s="22" t="str">
        <f t="shared" ca="1" si="0"/>
        <v>Prénom169</v>
      </c>
      <c r="C29" s="22" t="str">
        <f t="shared" ca="1" si="1"/>
        <v>Nom171</v>
      </c>
      <c r="D29" s="24">
        <v>39415</v>
      </c>
      <c r="E29" s="12" t="s">
        <v>27</v>
      </c>
      <c r="F29" s="24">
        <v>44221</v>
      </c>
      <c r="G29" s="12" t="s">
        <v>28</v>
      </c>
      <c r="H29" s="24"/>
      <c r="I29" s="301">
        <f>IF(Tableau1[[#This Row],[Date naiss]]="","",DATEDIF(Tableau1[[#This Row],[Date naiss]],Tableau1[[#This Row],[Date entrée]],"y") + (DATEDIF(Tableau1[[#This Row],[Date naiss]],Tableau1[[#This Row],[Date entrée]],"ym"))/12)</f>
        <v>13.083333333333334</v>
      </c>
      <c r="J29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29" s="12" t="s">
        <v>57</v>
      </c>
      <c r="L29" s="22" t="s">
        <v>139</v>
      </c>
      <c r="U29" s="22"/>
      <c r="V29" s="22"/>
    </row>
    <row r="30" spans="2:22" x14ac:dyDescent="0.25">
      <c r="B30" s="22" t="str">
        <f t="shared" ca="1" si="0"/>
        <v>Prénom164</v>
      </c>
      <c r="C30" s="22" t="str">
        <f t="shared" ca="1" si="1"/>
        <v>Nom112</v>
      </c>
      <c r="D30" s="24">
        <v>41659</v>
      </c>
      <c r="E30" t="s">
        <v>27</v>
      </c>
      <c r="F30" s="24">
        <v>44277</v>
      </c>
      <c r="G30" s="12" t="s">
        <v>28</v>
      </c>
      <c r="H30" s="24"/>
      <c r="I30" s="301">
        <f>IF(Tableau1[[#This Row],[Date naiss]]="","",DATEDIF(Tableau1[[#This Row],[Date naiss]],Tableau1[[#This Row],[Date entrée]],"y") + (DATEDIF(Tableau1[[#This Row],[Date naiss]],Tableau1[[#This Row],[Date entrée]],"ym"))/12)</f>
        <v>7.166666666666667</v>
      </c>
      <c r="J30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30" s="12" t="s">
        <v>59</v>
      </c>
      <c r="L30" s="22" t="s">
        <v>138</v>
      </c>
      <c r="U30" s="22"/>
      <c r="V30" s="22"/>
    </row>
    <row r="31" spans="2:22" x14ac:dyDescent="0.25">
      <c r="B31" s="22" t="str">
        <f t="shared" ca="1" si="0"/>
        <v>Prénom651</v>
      </c>
      <c r="C31" s="22" t="str">
        <f t="shared" ca="1" si="1"/>
        <v>Nom435</v>
      </c>
      <c r="D31" s="24">
        <v>38339</v>
      </c>
      <c r="E31" s="12" t="s">
        <v>135</v>
      </c>
      <c r="F31" s="24">
        <v>44326</v>
      </c>
      <c r="G31" s="12" t="s">
        <v>28</v>
      </c>
      <c r="H31" s="24"/>
      <c r="I31" s="301">
        <f>IF(Tableau1[[#This Row],[Date naiss]]="","",DATEDIF(Tableau1[[#This Row],[Date naiss]],Tableau1[[#This Row],[Date entrée]],"y") + (DATEDIF(Tableau1[[#This Row],[Date naiss]],Tableau1[[#This Row],[Date entrée]],"ym"))/12)</f>
        <v>16.333333333333332</v>
      </c>
      <c r="J31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31" s="12" t="s">
        <v>57</v>
      </c>
      <c r="L31" s="22" t="s">
        <v>140</v>
      </c>
      <c r="U31" s="22"/>
      <c r="V31" s="22"/>
    </row>
    <row r="32" spans="2:22" x14ac:dyDescent="0.25">
      <c r="B32" s="22" t="str">
        <f t="shared" ca="1" si="0"/>
        <v>Prénom0</v>
      </c>
      <c r="C32" s="22" t="str">
        <f t="shared" ca="1" si="1"/>
        <v>Nom829</v>
      </c>
      <c r="D32" s="24">
        <v>40049</v>
      </c>
      <c r="E32" t="s">
        <v>135</v>
      </c>
      <c r="F32" s="24">
        <v>44434</v>
      </c>
      <c r="G32" s="12" t="s">
        <v>28</v>
      </c>
      <c r="H32" s="24"/>
      <c r="I32" s="301">
        <f>IF(Tableau1[[#This Row],[Date naiss]]="","",DATEDIF(Tableau1[[#This Row],[Date naiss]],Tableau1[[#This Row],[Date entrée]],"y") + (DATEDIF(Tableau1[[#This Row],[Date naiss]],Tableau1[[#This Row],[Date entrée]],"ym"))/12)</f>
        <v>12</v>
      </c>
      <c r="J32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32" s="12" t="s">
        <v>57</v>
      </c>
      <c r="L32" s="22" t="s">
        <v>137</v>
      </c>
      <c r="U32" s="22"/>
      <c r="V32" s="22"/>
    </row>
    <row r="33" spans="2:22" x14ac:dyDescent="0.25">
      <c r="B33" s="22" t="str">
        <f t="shared" ca="1" si="0"/>
        <v>Prénom605</v>
      </c>
      <c r="C33" s="22" t="str">
        <f t="shared" ca="1" si="1"/>
        <v>Nom329</v>
      </c>
      <c r="D33" s="24">
        <v>39679</v>
      </c>
      <c r="E33" t="s">
        <v>135</v>
      </c>
      <c r="F33" s="24">
        <v>44434</v>
      </c>
      <c r="G33" s="12" t="s">
        <v>28</v>
      </c>
      <c r="H33" s="24">
        <v>44466</v>
      </c>
      <c r="I33" s="301">
        <f>IF(Tableau1[[#This Row],[Date naiss]]="","",DATEDIF(Tableau1[[#This Row],[Date naiss]],Tableau1[[#This Row],[Date entrée]],"y") + (DATEDIF(Tableau1[[#This Row],[Date naiss]],Tableau1[[#This Row],[Date entrée]],"ym"))/12)</f>
        <v>13</v>
      </c>
      <c r="J33" s="301">
        <f>IF(Tableau1[[#This Row],[Date sortie]]="",-1,DATEDIF(Tableau1[[#This Row],[Date naiss]],Tableau1[[#This Row],[Date sortie]],"y") + (DATEDIF(Tableau1[[#This Row],[Date naiss]],Tableau1[[#This Row],[Date sortie]],"ym"))/12)</f>
        <v>13.083333333333334</v>
      </c>
      <c r="K33" s="12" t="s">
        <v>57</v>
      </c>
      <c r="L33" s="22" t="s">
        <v>137</v>
      </c>
      <c r="U33" s="22"/>
      <c r="V33" s="22"/>
    </row>
    <row r="34" spans="2:22" x14ac:dyDescent="0.25">
      <c r="B34" s="22" t="str">
        <f t="shared" ca="1" si="0"/>
        <v>Prénom545</v>
      </c>
      <c r="C34" s="22" t="str">
        <f t="shared" ca="1" si="1"/>
        <v>Nom555</v>
      </c>
      <c r="D34" s="24">
        <v>39657</v>
      </c>
      <c r="E34" t="s">
        <v>135</v>
      </c>
      <c r="F34" s="24">
        <v>44388</v>
      </c>
      <c r="G34" s="12" t="s">
        <v>28</v>
      </c>
      <c r="H34" s="24"/>
      <c r="I34" s="301">
        <f>IF(Tableau1[[#This Row],[Date naiss]]="","",DATEDIF(Tableau1[[#This Row],[Date naiss]],Tableau1[[#This Row],[Date entrée]],"y") + (DATEDIF(Tableau1[[#This Row],[Date naiss]],Tableau1[[#This Row],[Date entrée]],"ym"))/12)</f>
        <v>12.916666666666666</v>
      </c>
      <c r="J34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34" s="12" t="s">
        <v>58</v>
      </c>
      <c r="L34" s="22" t="s">
        <v>139</v>
      </c>
      <c r="U34" s="22"/>
      <c r="V34" s="22"/>
    </row>
    <row r="35" spans="2:22" x14ac:dyDescent="0.25">
      <c r="B35" s="22" t="str">
        <f t="shared" ref="B35:B66" ca="1" si="2">"Prénom" &amp; RANDBETWEEN(0,900)</f>
        <v>Prénom163</v>
      </c>
      <c r="C35" s="22" t="str">
        <f t="shared" ca="1" si="1"/>
        <v>Nom470</v>
      </c>
      <c r="D35" s="24">
        <v>40387</v>
      </c>
      <c r="E35" t="s">
        <v>135</v>
      </c>
      <c r="F35" s="24">
        <v>44489</v>
      </c>
      <c r="G35" s="12" t="s">
        <v>28</v>
      </c>
      <c r="H35" s="24"/>
      <c r="I35" s="301">
        <f>IF(Tableau1[[#This Row],[Date naiss]]="","",DATEDIF(Tableau1[[#This Row],[Date naiss]],Tableau1[[#This Row],[Date entrée]],"y") + (DATEDIF(Tableau1[[#This Row],[Date naiss]],Tableau1[[#This Row],[Date entrée]],"ym"))/12)</f>
        <v>11.166666666666666</v>
      </c>
      <c r="J35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35" s="12" t="s">
        <v>58</v>
      </c>
      <c r="L35" s="22" t="s">
        <v>137</v>
      </c>
      <c r="U35" s="22"/>
      <c r="V35" s="22"/>
    </row>
    <row r="36" spans="2:22" x14ac:dyDescent="0.25">
      <c r="B36" s="22" t="str">
        <f t="shared" ca="1" si="2"/>
        <v>Prénom634</v>
      </c>
      <c r="C36" s="22" t="str">
        <f t="shared" ca="1" si="1"/>
        <v>Nom366</v>
      </c>
      <c r="D36" s="24">
        <v>41148</v>
      </c>
      <c r="E36" t="s">
        <v>27</v>
      </c>
      <c r="F36" s="24">
        <v>44489</v>
      </c>
      <c r="G36" s="12" t="s">
        <v>28</v>
      </c>
      <c r="H36" s="24"/>
      <c r="I36" s="301">
        <f>IF(Tableau1[[#This Row],[Date naiss]]="","",DATEDIF(Tableau1[[#This Row],[Date naiss]],Tableau1[[#This Row],[Date entrée]],"y") + (DATEDIF(Tableau1[[#This Row],[Date naiss]],Tableau1[[#This Row],[Date entrée]],"ym"))/12)</f>
        <v>9.0833333333333339</v>
      </c>
      <c r="J36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36" s="22" t="s">
        <v>58</v>
      </c>
      <c r="L36" s="22" t="s">
        <v>137</v>
      </c>
      <c r="U36" s="22"/>
      <c r="V36" s="22"/>
    </row>
    <row r="37" spans="2:22" x14ac:dyDescent="0.25">
      <c r="B37" s="22" t="str">
        <f t="shared" ca="1" si="2"/>
        <v>Prénom722</v>
      </c>
      <c r="C37" s="22" t="str">
        <f t="shared" ca="1" si="1"/>
        <v>Nom644</v>
      </c>
      <c r="D37" s="24">
        <v>41848</v>
      </c>
      <c r="E37" t="s">
        <v>27</v>
      </c>
      <c r="F37" s="24">
        <v>44489</v>
      </c>
      <c r="G37" s="12" t="s">
        <v>28</v>
      </c>
      <c r="H37" s="24"/>
      <c r="I37" s="301">
        <f>IF(Tableau1[[#This Row],[Date naiss]]="","",DATEDIF(Tableau1[[#This Row],[Date naiss]],Tableau1[[#This Row],[Date entrée]],"y") + (DATEDIF(Tableau1[[#This Row],[Date naiss]],Tableau1[[#This Row],[Date entrée]],"ym"))/12)</f>
        <v>7.166666666666667</v>
      </c>
      <c r="J37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37" s="22" t="s">
        <v>58</v>
      </c>
      <c r="L37" s="22" t="s">
        <v>137</v>
      </c>
      <c r="U37" s="22"/>
      <c r="V37" s="22"/>
    </row>
    <row r="38" spans="2:22" x14ac:dyDescent="0.25">
      <c r="B38" s="22" t="str">
        <f t="shared" ca="1" si="2"/>
        <v>Prénom720</v>
      </c>
      <c r="C38" s="22" t="str">
        <f t="shared" ca="1" si="1"/>
        <v>Nom16</v>
      </c>
      <c r="D38" s="24">
        <v>39513</v>
      </c>
      <c r="E38" s="12" t="s">
        <v>27</v>
      </c>
      <c r="F38" s="24">
        <v>44508</v>
      </c>
      <c r="G38" s="12" t="s">
        <v>28</v>
      </c>
      <c r="H38" s="24"/>
      <c r="I38" s="301">
        <f>IF(Tableau1[[#This Row],[Date naiss]]="","",DATEDIF(Tableau1[[#This Row],[Date naiss]],Tableau1[[#This Row],[Date entrée]],"y") + (DATEDIF(Tableau1[[#This Row],[Date naiss]],Tableau1[[#This Row],[Date entrée]],"ym"))/12)</f>
        <v>13.666666666666666</v>
      </c>
      <c r="J38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38" s="22" t="s">
        <v>59</v>
      </c>
      <c r="L38" s="22" t="s">
        <v>141</v>
      </c>
      <c r="U38" s="22"/>
      <c r="V38" s="22"/>
    </row>
    <row r="39" spans="2:22" x14ac:dyDescent="0.25">
      <c r="B39" s="22" t="str">
        <f t="shared" ca="1" si="2"/>
        <v>Prénom897</v>
      </c>
      <c r="C39" s="22" t="str">
        <f t="shared" ca="1" si="1"/>
        <v>Nom191</v>
      </c>
      <c r="D39" s="24">
        <v>39064</v>
      </c>
      <c r="E39" s="12" t="s">
        <v>135</v>
      </c>
      <c r="F39" s="24">
        <v>44508</v>
      </c>
      <c r="G39" s="12" t="s">
        <v>28</v>
      </c>
      <c r="H39" s="24"/>
      <c r="I39" s="301">
        <f>IF(Tableau1[[#This Row],[Date naiss]]="","",DATEDIF(Tableau1[[#This Row],[Date naiss]],Tableau1[[#This Row],[Date entrée]],"y") + (DATEDIF(Tableau1[[#This Row],[Date naiss]],Tableau1[[#This Row],[Date entrée]],"ym"))/12)</f>
        <v>14.833333333333334</v>
      </c>
      <c r="J39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39" s="12" t="s">
        <v>59</v>
      </c>
      <c r="L39" s="22" t="s">
        <v>141</v>
      </c>
      <c r="U39" s="22"/>
      <c r="V39" s="22"/>
    </row>
    <row r="40" spans="2:22" x14ac:dyDescent="0.25">
      <c r="B40" s="22" t="str">
        <f t="shared" ca="1" si="2"/>
        <v>Prénom95</v>
      </c>
      <c r="C40" s="22" t="str">
        <f t="shared" ca="1" si="1"/>
        <v>Nom562</v>
      </c>
      <c r="D40" s="24">
        <v>40726</v>
      </c>
      <c r="E40" t="s">
        <v>27</v>
      </c>
      <c r="F40" s="24">
        <v>43350</v>
      </c>
      <c r="G40" s="12" t="s">
        <v>25</v>
      </c>
      <c r="H40" s="24"/>
      <c r="I40" s="301">
        <f>IF(Tableau1[[#This Row],[Date naiss]]="","",DATEDIF(Tableau1[[#This Row],[Date naiss]],Tableau1[[#This Row],[Date entrée]],"y") + (DATEDIF(Tableau1[[#This Row],[Date naiss]],Tableau1[[#This Row],[Date entrée]],"ym"))/12)</f>
        <v>7.166666666666667</v>
      </c>
      <c r="J40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40" s="22" t="s">
        <v>58</v>
      </c>
      <c r="L40" s="22" t="s">
        <v>141</v>
      </c>
      <c r="U40" s="22"/>
      <c r="V40" s="22"/>
    </row>
    <row r="41" spans="2:22" x14ac:dyDescent="0.25">
      <c r="B41" s="22" t="str">
        <f t="shared" ca="1" si="2"/>
        <v>Prénom772</v>
      </c>
      <c r="C41" s="22" t="str">
        <f t="shared" ca="1" si="1"/>
        <v>Nom400</v>
      </c>
      <c r="D41" s="24">
        <v>38153</v>
      </c>
      <c r="E41" t="s">
        <v>135</v>
      </c>
      <c r="F41" s="24">
        <v>43402</v>
      </c>
      <c r="G41" s="12" t="s">
        <v>25</v>
      </c>
      <c r="H41" s="24"/>
      <c r="I41" s="301">
        <f>IF(Tableau1[[#This Row],[Date naiss]]="","",DATEDIF(Tableau1[[#This Row],[Date naiss]],Tableau1[[#This Row],[Date entrée]],"y") + (DATEDIF(Tableau1[[#This Row],[Date naiss]],Tableau1[[#This Row],[Date entrée]],"ym"))/12)</f>
        <v>14.333333333333334</v>
      </c>
      <c r="J41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41" s="22" t="s">
        <v>57</v>
      </c>
      <c r="L41" s="22" t="s">
        <v>137</v>
      </c>
      <c r="U41" s="22"/>
      <c r="V41" s="22"/>
    </row>
    <row r="42" spans="2:22" x14ac:dyDescent="0.25">
      <c r="B42" s="22" t="str">
        <f t="shared" ca="1" si="2"/>
        <v>Prénom337</v>
      </c>
      <c r="C42" s="22" t="str">
        <f t="shared" ca="1" si="1"/>
        <v>Nom892</v>
      </c>
      <c r="D42" s="24">
        <v>38784</v>
      </c>
      <c r="E42" s="12" t="s">
        <v>135</v>
      </c>
      <c r="F42" s="24">
        <v>42999</v>
      </c>
      <c r="G42" s="12" t="s">
        <v>25</v>
      </c>
      <c r="H42" s="24">
        <v>44362</v>
      </c>
      <c r="I42" s="301">
        <f>IF(Tableau1[[#This Row],[Date naiss]]="","",DATEDIF(Tableau1[[#This Row],[Date naiss]],Tableau1[[#This Row],[Date entrée]],"y") + (DATEDIF(Tableau1[[#This Row],[Date naiss]],Tableau1[[#This Row],[Date entrée]],"ym"))/12)</f>
        <v>11.5</v>
      </c>
      <c r="J42" s="301">
        <f>IF(Tableau1[[#This Row],[Date sortie]]="",-1,DATEDIF(Tableau1[[#This Row],[Date naiss]],Tableau1[[#This Row],[Date sortie]],"y") + (DATEDIF(Tableau1[[#This Row],[Date naiss]],Tableau1[[#This Row],[Date sortie]],"ym"))/12)</f>
        <v>15.25</v>
      </c>
      <c r="K42" s="12" t="s">
        <v>59</v>
      </c>
      <c r="L42" s="22"/>
      <c r="U42" s="22"/>
      <c r="V42" s="22"/>
    </row>
    <row r="43" spans="2:22" x14ac:dyDescent="0.25">
      <c r="B43" s="22" t="str">
        <f t="shared" ca="1" si="2"/>
        <v>Prénom634</v>
      </c>
      <c r="C43" s="22" t="str">
        <f t="shared" ca="1" si="1"/>
        <v>Nom647</v>
      </c>
      <c r="D43" s="24">
        <v>39145</v>
      </c>
      <c r="E43" t="s">
        <v>135</v>
      </c>
      <c r="F43" s="24">
        <v>44106</v>
      </c>
      <c r="G43" s="12" t="s">
        <v>25</v>
      </c>
      <c r="H43" s="24"/>
      <c r="I43" s="301">
        <f>IF(Tableau1[[#This Row],[Date naiss]]="","",DATEDIF(Tableau1[[#This Row],[Date naiss]],Tableau1[[#This Row],[Date entrée]],"y") + (DATEDIF(Tableau1[[#This Row],[Date naiss]],Tableau1[[#This Row],[Date entrée]],"ym"))/12)</f>
        <v>13.5</v>
      </c>
      <c r="J43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43" s="22" t="s">
        <v>59</v>
      </c>
      <c r="L43" s="22" t="s">
        <v>137</v>
      </c>
      <c r="U43" s="22"/>
      <c r="V43" s="22"/>
    </row>
    <row r="44" spans="2:22" x14ac:dyDescent="0.25">
      <c r="B44" s="22" t="str">
        <f t="shared" ca="1" si="2"/>
        <v>Prénom202</v>
      </c>
      <c r="C44" s="22" t="str">
        <f t="shared" ca="1" si="1"/>
        <v>Nom878</v>
      </c>
      <c r="D44" s="24">
        <v>39393</v>
      </c>
      <c r="E44" t="s">
        <v>27</v>
      </c>
      <c r="F44" s="24">
        <v>43313</v>
      </c>
      <c r="G44" s="12" t="s">
        <v>25</v>
      </c>
      <c r="H44" s="24"/>
      <c r="I44" s="301">
        <f>IF(Tableau1[[#This Row],[Date naiss]]="","",DATEDIF(Tableau1[[#This Row],[Date naiss]],Tableau1[[#This Row],[Date entrée]],"y") + (DATEDIF(Tableau1[[#This Row],[Date naiss]],Tableau1[[#This Row],[Date entrée]],"ym"))/12)</f>
        <v>10.666666666666666</v>
      </c>
      <c r="J44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44" s="22" t="s">
        <v>59</v>
      </c>
      <c r="L44" s="22" t="s">
        <v>137</v>
      </c>
      <c r="U44" s="22"/>
      <c r="V44" s="22"/>
    </row>
    <row r="45" spans="2:22" x14ac:dyDescent="0.25">
      <c r="B45" s="22" t="str">
        <f t="shared" ca="1" si="2"/>
        <v>Prénom185</v>
      </c>
      <c r="C45" s="22" t="str">
        <f t="shared" ca="1" si="1"/>
        <v>Nom613</v>
      </c>
      <c r="D45" s="24">
        <v>37915</v>
      </c>
      <c r="E45" t="s">
        <v>135</v>
      </c>
      <c r="F45" s="24">
        <v>42977</v>
      </c>
      <c r="G45" s="12" t="s">
        <v>25</v>
      </c>
      <c r="H45" s="24">
        <v>44494</v>
      </c>
      <c r="I45" s="301">
        <f>IF(Tableau1[[#This Row],[Date naiss]]="","",DATEDIF(Tableau1[[#This Row],[Date naiss]],Tableau1[[#This Row],[Date entrée]],"y") + (DATEDIF(Tableau1[[#This Row],[Date naiss]],Tableau1[[#This Row],[Date entrée]],"ym"))/12)</f>
        <v>13.833333333333334</v>
      </c>
      <c r="J45" s="301">
        <f>IF(Tableau1[[#This Row],[Date sortie]]="",-1,DATEDIF(Tableau1[[#This Row],[Date naiss]],Tableau1[[#This Row],[Date sortie]],"y") + (DATEDIF(Tableau1[[#This Row],[Date naiss]],Tableau1[[#This Row],[Date sortie]],"ym"))/12)</f>
        <v>18</v>
      </c>
      <c r="K45" s="22" t="s">
        <v>58</v>
      </c>
      <c r="L45" s="22" t="s">
        <v>137</v>
      </c>
      <c r="U45" s="22"/>
      <c r="V45" s="22"/>
    </row>
    <row r="46" spans="2:22" x14ac:dyDescent="0.25">
      <c r="B46" s="22" t="str">
        <f t="shared" ca="1" si="2"/>
        <v>Prénom571</v>
      </c>
      <c r="C46" s="22" t="str">
        <f t="shared" ca="1" si="1"/>
        <v>Nom44</v>
      </c>
      <c r="D46" s="24">
        <v>37871</v>
      </c>
      <c r="E46" t="s">
        <v>27</v>
      </c>
      <c r="F46" s="24">
        <v>44165</v>
      </c>
      <c r="G46" s="12" t="s">
        <v>25</v>
      </c>
      <c r="H46" s="24">
        <v>44445</v>
      </c>
      <c r="I46" s="301">
        <f>IF(Tableau1[[#This Row],[Date naiss]]="","",DATEDIF(Tableau1[[#This Row],[Date naiss]],Tableau1[[#This Row],[Date entrée]],"y") + (DATEDIF(Tableau1[[#This Row],[Date naiss]],Tableau1[[#This Row],[Date entrée]],"ym"))/12)</f>
        <v>17.166666666666668</v>
      </c>
      <c r="J46" s="301">
        <f>IF(Tableau1[[#This Row],[Date sortie]]="",-1,DATEDIF(Tableau1[[#This Row],[Date naiss]],Tableau1[[#This Row],[Date sortie]],"y") + (DATEDIF(Tableau1[[#This Row],[Date naiss]],Tableau1[[#This Row],[Date sortie]],"ym"))/12)</f>
        <v>17.916666666666668</v>
      </c>
      <c r="K46" s="22" t="s">
        <v>58</v>
      </c>
      <c r="L46" s="22" t="s">
        <v>139</v>
      </c>
      <c r="U46" s="22"/>
      <c r="V46" s="22"/>
    </row>
    <row r="47" spans="2:22" x14ac:dyDescent="0.25">
      <c r="B47" s="22" t="str">
        <f t="shared" ca="1" si="2"/>
        <v>Prénom313</v>
      </c>
      <c r="C47" s="22" t="str">
        <f t="shared" ca="1" si="1"/>
        <v>Nom242</v>
      </c>
      <c r="D47" s="24">
        <v>37478</v>
      </c>
      <c r="E47" s="12" t="s">
        <v>135</v>
      </c>
      <c r="F47" s="24">
        <v>43585</v>
      </c>
      <c r="G47" s="12" t="s">
        <v>25</v>
      </c>
      <c r="H47" s="24"/>
      <c r="I47" s="301">
        <f>IF(Tableau1[[#This Row],[Date naiss]]="","",DATEDIF(Tableau1[[#This Row],[Date naiss]],Tableau1[[#This Row],[Date entrée]],"y") + (DATEDIF(Tableau1[[#This Row],[Date naiss]],Tableau1[[#This Row],[Date entrée]],"ym"))/12)</f>
        <v>16.666666666666668</v>
      </c>
      <c r="J47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47" s="22" t="s">
        <v>67</v>
      </c>
      <c r="L47" s="22" t="s">
        <v>139</v>
      </c>
      <c r="U47" s="22"/>
      <c r="V47" s="22"/>
    </row>
    <row r="48" spans="2:22" x14ac:dyDescent="0.25">
      <c r="B48" s="22" t="str">
        <f t="shared" ca="1" si="2"/>
        <v>Prénom58</v>
      </c>
      <c r="C48" s="22" t="str">
        <f t="shared" ca="1" si="1"/>
        <v>Nom87</v>
      </c>
      <c r="D48" s="24">
        <v>38339</v>
      </c>
      <c r="E48" s="12" t="s">
        <v>135</v>
      </c>
      <c r="F48" s="24">
        <v>43570</v>
      </c>
      <c r="G48" s="12" t="s">
        <v>25</v>
      </c>
      <c r="H48" s="24">
        <v>44325</v>
      </c>
      <c r="I48" s="301">
        <f>IF(Tableau1[[#This Row],[Date naiss]]="","",DATEDIF(Tableau1[[#This Row],[Date naiss]],Tableau1[[#This Row],[Date entrée]],"y") + (DATEDIF(Tableau1[[#This Row],[Date naiss]],Tableau1[[#This Row],[Date entrée]],"ym"))/12)</f>
        <v>14.25</v>
      </c>
      <c r="J48" s="301">
        <f>IF(Tableau1[[#This Row],[Date sortie]]="",-1,DATEDIF(Tableau1[[#This Row],[Date naiss]],Tableau1[[#This Row],[Date sortie]],"y") + (DATEDIF(Tableau1[[#This Row],[Date naiss]],Tableau1[[#This Row],[Date sortie]],"ym"))/12)</f>
        <v>16.333333333333332</v>
      </c>
      <c r="K48" s="22" t="s">
        <v>57</v>
      </c>
      <c r="L48" s="22" t="s">
        <v>137</v>
      </c>
      <c r="U48" s="22"/>
      <c r="V48" s="22"/>
    </row>
    <row r="49" spans="2:22" x14ac:dyDescent="0.25">
      <c r="B49" s="22" t="str">
        <f t="shared" ca="1" si="2"/>
        <v>Prénom594</v>
      </c>
      <c r="C49" s="22" t="str">
        <f t="shared" ca="1" si="1"/>
        <v>Nom300</v>
      </c>
      <c r="D49" s="24">
        <v>39292</v>
      </c>
      <c r="E49" s="12" t="s">
        <v>135</v>
      </c>
      <c r="F49" s="24">
        <v>42759</v>
      </c>
      <c r="G49" s="12" t="s">
        <v>25</v>
      </c>
      <c r="H49" s="24"/>
      <c r="I49" s="301">
        <f>IF(Tableau1[[#This Row],[Date naiss]]="","",DATEDIF(Tableau1[[#This Row],[Date naiss]],Tableau1[[#This Row],[Date entrée]],"y") + (DATEDIF(Tableau1[[#This Row],[Date naiss]],Tableau1[[#This Row],[Date entrée]],"ym"))/12)</f>
        <v>9.4166666666666661</v>
      </c>
      <c r="J49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49" s="22" t="s">
        <v>58</v>
      </c>
      <c r="L49" s="22" t="s">
        <v>139</v>
      </c>
      <c r="U49" s="22"/>
      <c r="V49" s="22"/>
    </row>
    <row r="50" spans="2:22" x14ac:dyDescent="0.25">
      <c r="B50" s="22" t="str">
        <f t="shared" ca="1" si="2"/>
        <v>Prénom254</v>
      </c>
      <c r="C50" s="22" t="str">
        <f t="shared" ca="1" si="1"/>
        <v>Nom837</v>
      </c>
      <c r="D50" s="24">
        <v>39184</v>
      </c>
      <c r="E50" s="12" t="s">
        <v>27</v>
      </c>
      <c r="F50" s="24">
        <v>44237</v>
      </c>
      <c r="G50" s="12" t="s">
        <v>25</v>
      </c>
      <c r="H50" s="24"/>
      <c r="I50" s="301">
        <f>IF(Tableau1[[#This Row],[Date naiss]]="","",DATEDIF(Tableau1[[#This Row],[Date naiss]],Tableau1[[#This Row],[Date entrée]],"y") + (DATEDIF(Tableau1[[#This Row],[Date naiss]],Tableau1[[#This Row],[Date entrée]],"ym"))/12)</f>
        <v>13.75</v>
      </c>
      <c r="J50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50" s="12" t="s">
        <v>58</v>
      </c>
      <c r="L50" s="22"/>
      <c r="U50" s="22"/>
      <c r="V50" s="22"/>
    </row>
    <row r="51" spans="2:22" x14ac:dyDescent="0.25">
      <c r="B51" s="22" t="str">
        <f t="shared" ca="1" si="2"/>
        <v>Prénom798</v>
      </c>
      <c r="C51" s="22" t="str">
        <f t="shared" ca="1" si="1"/>
        <v>Nom101</v>
      </c>
      <c r="D51" s="24">
        <v>40794</v>
      </c>
      <c r="E51" s="12" t="s">
        <v>135</v>
      </c>
      <c r="F51" s="24">
        <v>44258</v>
      </c>
      <c r="G51" s="12" t="s">
        <v>25</v>
      </c>
      <c r="H51" s="24"/>
      <c r="I51" s="301">
        <f>IF(Tableau1[[#This Row],[Date naiss]]="","",DATEDIF(Tableau1[[#This Row],[Date naiss]],Tableau1[[#This Row],[Date entrée]],"y") + (DATEDIF(Tableau1[[#This Row],[Date naiss]],Tableau1[[#This Row],[Date entrée]],"ym"))/12)</f>
        <v>9.4166666666666661</v>
      </c>
      <c r="J51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51" s="22" t="s">
        <v>58</v>
      </c>
      <c r="L51" s="22"/>
      <c r="U51" s="22"/>
      <c r="V51" s="22"/>
    </row>
    <row r="52" spans="2:22" x14ac:dyDescent="0.25">
      <c r="B52" s="22" t="str">
        <f t="shared" ca="1" si="2"/>
        <v>Prénom500</v>
      </c>
      <c r="C52" s="22" t="str">
        <f t="shared" ca="1" si="1"/>
        <v>Nom473</v>
      </c>
      <c r="D52" s="24">
        <v>40068</v>
      </c>
      <c r="E52" t="s">
        <v>27</v>
      </c>
      <c r="F52" s="24">
        <v>44307</v>
      </c>
      <c r="G52" s="12" t="s">
        <v>25</v>
      </c>
      <c r="H52" s="24">
        <v>44310</v>
      </c>
      <c r="I52" s="301">
        <f>IF(Tableau1[[#This Row],[Date naiss]]="","",DATEDIF(Tableau1[[#This Row],[Date naiss]],Tableau1[[#This Row],[Date entrée]],"y") + (DATEDIF(Tableau1[[#This Row],[Date naiss]],Tableau1[[#This Row],[Date entrée]],"ym"))/12)</f>
        <v>11.583333333333334</v>
      </c>
      <c r="J52" s="301">
        <f>IF(Tableau1[[#This Row],[Date sortie]]="",-1,DATEDIF(Tableau1[[#This Row],[Date naiss]],Tableau1[[#This Row],[Date sortie]],"y") + (DATEDIF(Tableau1[[#This Row],[Date naiss]],Tableau1[[#This Row],[Date sortie]],"ym"))/12)</f>
        <v>11.583333333333334</v>
      </c>
      <c r="K52" s="22"/>
      <c r="L52" s="22"/>
      <c r="U52" s="22"/>
      <c r="V52" s="22"/>
    </row>
    <row r="53" spans="2:22" x14ac:dyDescent="0.25">
      <c r="B53" s="22" t="str">
        <f t="shared" ca="1" si="2"/>
        <v>Prénom557</v>
      </c>
      <c r="C53" s="22" t="str">
        <f t="shared" ca="1" si="1"/>
        <v>Nom602</v>
      </c>
      <c r="D53" s="24">
        <v>40750</v>
      </c>
      <c r="E53" t="s">
        <v>135</v>
      </c>
      <c r="F53" s="24">
        <v>44341</v>
      </c>
      <c r="G53" s="12" t="s">
        <v>25</v>
      </c>
      <c r="H53" s="24"/>
      <c r="I53" s="301">
        <f>IF(Tableau1[[#This Row],[Date naiss]]="","",DATEDIF(Tableau1[[#This Row],[Date naiss]],Tableau1[[#This Row],[Date entrée]],"y") + (DATEDIF(Tableau1[[#This Row],[Date naiss]],Tableau1[[#This Row],[Date entrée]],"ym"))/12)</f>
        <v>9.75</v>
      </c>
      <c r="J53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53" s="22" t="s">
        <v>64</v>
      </c>
      <c r="L53" s="22"/>
      <c r="U53" s="22"/>
      <c r="V53" s="22"/>
    </row>
    <row r="54" spans="2:22" x14ac:dyDescent="0.25">
      <c r="B54" s="22" t="str">
        <f t="shared" ca="1" si="2"/>
        <v>Prénom519</v>
      </c>
      <c r="C54" s="22" t="str">
        <f t="shared" ca="1" si="1"/>
        <v>Nom853</v>
      </c>
      <c r="D54" s="24">
        <v>39883</v>
      </c>
      <c r="E54" t="s">
        <v>27</v>
      </c>
      <c r="F54" s="24">
        <v>44470</v>
      </c>
      <c r="G54" s="12" t="s">
        <v>25</v>
      </c>
      <c r="H54" s="24"/>
      <c r="I54" s="301">
        <f>IF(Tableau1[[#This Row],[Date naiss]]="","",DATEDIF(Tableau1[[#This Row],[Date naiss]],Tableau1[[#This Row],[Date entrée]],"y") + (DATEDIF(Tableau1[[#This Row],[Date naiss]],Tableau1[[#This Row],[Date entrée]],"ym"))/12)</f>
        <v>12.5</v>
      </c>
      <c r="J54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54" s="22" t="s">
        <v>58</v>
      </c>
      <c r="L54" s="22"/>
      <c r="U54" s="22"/>
      <c r="V54" s="22"/>
    </row>
    <row r="55" spans="2:22" x14ac:dyDescent="0.25">
      <c r="B55" s="22" t="str">
        <f t="shared" ca="1" si="2"/>
        <v>Prénom312</v>
      </c>
      <c r="C55" s="22" t="str">
        <f t="shared" ca="1" si="1"/>
        <v>Nom135</v>
      </c>
      <c r="D55" s="24">
        <v>38227</v>
      </c>
      <c r="E55" t="s">
        <v>135</v>
      </c>
      <c r="F55" s="24">
        <v>44494</v>
      </c>
      <c r="G55" s="12" t="s">
        <v>25</v>
      </c>
      <c r="H55" s="24"/>
      <c r="I55" s="301">
        <f>IF(Tableau1[[#This Row],[Date naiss]]="","",DATEDIF(Tableau1[[#This Row],[Date naiss]],Tableau1[[#This Row],[Date entrée]],"y") + (DATEDIF(Tableau1[[#This Row],[Date naiss]],Tableau1[[#This Row],[Date entrée]],"ym"))/12)</f>
        <v>17.083333333333332</v>
      </c>
      <c r="J55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55" s="22" t="s">
        <v>57</v>
      </c>
      <c r="L55" s="22"/>
      <c r="U55" s="22"/>
      <c r="V55" s="22"/>
    </row>
    <row r="56" spans="2:22" x14ac:dyDescent="0.25">
      <c r="B56" s="22" t="str">
        <f t="shared" ca="1" si="2"/>
        <v>Prénom895</v>
      </c>
      <c r="C56" s="22" t="str">
        <f t="shared" ca="1" si="1"/>
        <v>Nom132</v>
      </c>
      <c r="D56" s="24">
        <v>37491</v>
      </c>
      <c r="E56" t="s">
        <v>135</v>
      </c>
      <c r="F56" s="24">
        <v>43892</v>
      </c>
      <c r="G56" s="22" t="s">
        <v>51</v>
      </c>
      <c r="H56" s="24"/>
      <c r="I56" s="301">
        <f>IF(Tableau1[[#This Row],[Date naiss]]="","",DATEDIF(Tableau1[[#This Row],[Date naiss]],Tableau1[[#This Row],[Date entrée]],"y") + (DATEDIF(Tableau1[[#This Row],[Date naiss]],Tableau1[[#This Row],[Date entrée]],"ym"))/12)</f>
        <v>17.5</v>
      </c>
      <c r="J56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56" s="22" t="s">
        <v>57</v>
      </c>
      <c r="L56" t="s">
        <v>138</v>
      </c>
      <c r="U56" s="22"/>
      <c r="V56" s="22"/>
    </row>
    <row r="57" spans="2:22" x14ac:dyDescent="0.25">
      <c r="B57" s="22" t="str">
        <f t="shared" ca="1" si="2"/>
        <v>Prénom589</v>
      </c>
      <c r="C57" s="22" t="str">
        <f t="shared" ca="1" si="1"/>
        <v>Nom137</v>
      </c>
      <c r="D57" s="24">
        <v>36773</v>
      </c>
      <c r="E57" t="s">
        <v>27</v>
      </c>
      <c r="F57" s="24">
        <v>43347</v>
      </c>
      <c r="G57" s="22" t="s">
        <v>51</v>
      </c>
      <c r="H57" s="24">
        <v>44443</v>
      </c>
      <c r="I57" s="301">
        <f>IF(Tableau1[[#This Row],[Date naiss]]="","",DATEDIF(Tableau1[[#This Row],[Date naiss]],Tableau1[[#This Row],[Date entrée]],"y") + (DATEDIF(Tableau1[[#This Row],[Date naiss]],Tableau1[[#This Row],[Date entrée]],"ym"))/12)</f>
        <v>18</v>
      </c>
      <c r="J57" s="301">
        <f>IF(Tableau1[[#This Row],[Date sortie]]="",-1,DATEDIF(Tableau1[[#This Row],[Date naiss]],Tableau1[[#This Row],[Date sortie]],"y") + (DATEDIF(Tableau1[[#This Row],[Date naiss]],Tableau1[[#This Row],[Date sortie]],"ym"))/12)</f>
        <v>21</v>
      </c>
      <c r="K57" t="s">
        <v>57</v>
      </c>
      <c r="L57" t="s">
        <v>140</v>
      </c>
      <c r="U57" s="22"/>
      <c r="V57" s="22"/>
    </row>
    <row r="58" spans="2:22" x14ac:dyDescent="0.25">
      <c r="B58" s="22" t="str">
        <f t="shared" ca="1" si="2"/>
        <v>Prénom502</v>
      </c>
      <c r="C58" s="22" t="str">
        <f t="shared" ca="1" si="1"/>
        <v>Nom737</v>
      </c>
      <c r="D58" s="24">
        <v>37560</v>
      </c>
      <c r="E58" t="s">
        <v>135</v>
      </c>
      <c r="F58" s="24">
        <v>44139</v>
      </c>
      <c r="G58" s="22" t="s">
        <v>51</v>
      </c>
      <c r="H58" s="24"/>
      <c r="I58" s="301">
        <f>IF(Tableau1[[#This Row],[Date naiss]]="","",DATEDIF(Tableau1[[#This Row],[Date naiss]],Tableau1[[#This Row],[Date entrée]],"y") + (DATEDIF(Tableau1[[#This Row],[Date naiss]],Tableau1[[#This Row],[Date entrée]],"ym"))/12)</f>
        <v>18</v>
      </c>
      <c r="J58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58" t="s">
        <v>59</v>
      </c>
      <c r="L58" t="s">
        <v>140</v>
      </c>
      <c r="U58" s="22"/>
      <c r="V58" s="22"/>
    </row>
    <row r="59" spans="2:22" x14ac:dyDescent="0.25">
      <c r="B59" s="22" t="str">
        <f t="shared" ca="1" si="2"/>
        <v>Prénom539</v>
      </c>
      <c r="C59" s="22" t="str">
        <f t="shared" ca="1" si="1"/>
        <v>Nom657</v>
      </c>
      <c r="D59" s="24">
        <v>37519</v>
      </c>
      <c r="E59" t="s">
        <v>135</v>
      </c>
      <c r="F59" s="24">
        <v>43782</v>
      </c>
      <c r="G59" s="22" t="s">
        <v>51</v>
      </c>
      <c r="H59" s="24"/>
      <c r="I59" s="301">
        <f>IF(Tableau1[[#This Row],[Date naiss]]="","",DATEDIF(Tableau1[[#This Row],[Date naiss]],Tableau1[[#This Row],[Date entrée]],"y") + (DATEDIF(Tableau1[[#This Row],[Date naiss]],Tableau1[[#This Row],[Date entrée]],"ym"))/12)</f>
        <v>17.083333333333332</v>
      </c>
      <c r="J59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59" t="s">
        <v>58</v>
      </c>
      <c r="L59" t="s">
        <v>137</v>
      </c>
      <c r="U59" s="22"/>
      <c r="V59" s="22"/>
    </row>
    <row r="60" spans="2:22" x14ac:dyDescent="0.25">
      <c r="B60" s="22" t="str">
        <f t="shared" ca="1" si="2"/>
        <v>Prénom100</v>
      </c>
      <c r="C60" s="22" t="str">
        <f t="shared" ca="1" si="1"/>
        <v>Nom342</v>
      </c>
      <c r="D60" s="24">
        <v>36991</v>
      </c>
      <c r="E60" t="s">
        <v>135</v>
      </c>
      <c r="F60" s="24">
        <v>43565</v>
      </c>
      <c r="G60" s="22" t="s">
        <v>51</v>
      </c>
      <c r="H60" s="24"/>
      <c r="I60" s="301">
        <f>IF(Tableau1[[#This Row],[Date naiss]]="","",DATEDIF(Tableau1[[#This Row],[Date naiss]],Tableau1[[#This Row],[Date entrée]],"y") + (DATEDIF(Tableau1[[#This Row],[Date naiss]],Tableau1[[#This Row],[Date entrée]],"ym"))/12)</f>
        <v>18</v>
      </c>
      <c r="J60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60" t="s">
        <v>67</v>
      </c>
      <c r="L60" t="s">
        <v>140</v>
      </c>
      <c r="U60" s="22"/>
      <c r="V60" s="22"/>
    </row>
    <row r="61" spans="2:22" x14ac:dyDescent="0.25">
      <c r="B61" s="22" t="str">
        <f t="shared" ca="1" si="2"/>
        <v>Prénom109</v>
      </c>
      <c r="C61" s="22" t="str">
        <f t="shared" ca="1" si="1"/>
        <v>Nom280</v>
      </c>
      <c r="D61" s="24">
        <v>37550</v>
      </c>
      <c r="E61" t="s">
        <v>135</v>
      </c>
      <c r="F61" s="24">
        <v>44126</v>
      </c>
      <c r="G61" s="22" t="s">
        <v>51</v>
      </c>
      <c r="H61" s="24"/>
      <c r="I61" s="301">
        <f>IF(Tableau1[[#This Row],[Date naiss]]="","",DATEDIF(Tableau1[[#This Row],[Date naiss]],Tableau1[[#This Row],[Date entrée]],"y") + (DATEDIF(Tableau1[[#This Row],[Date naiss]],Tableau1[[#This Row],[Date entrée]],"ym"))/12)</f>
        <v>18</v>
      </c>
      <c r="J61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61" s="22" t="s">
        <v>58</v>
      </c>
      <c r="L61" t="s">
        <v>140</v>
      </c>
      <c r="U61" s="22"/>
      <c r="V61" s="22"/>
    </row>
    <row r="62" spans="2:22" x14ac:dyDescent="0.25">
      <c r="B62" s="22" t="str">
        <f t="shared" ca="1" si="2"/>
        <v>Prénom717</v>
      </c>
      <c r="C62" s="22" t="str">
        <f t="shared" ca="1" si="1"/>
        <v>Nom676</v>
      </c>
      <c r="D62" s="24">
        <v>38172</v>
      </c>
      <c r="E62" s="22" t="s">
        <v>27</v>
      </c>
      <c r="F62" s="24">
        <v>44180</v>
      </c>
      <c r="G62" s="22" t="s">
        <v>51</v>
      </c>
      <c r="H62" s="24"/>
      <c r="I62" s="301">
        <f>IF(Tableau1[[#This Row],[Date naiss]]="","",DATEDIF(Tableau1[[#This Row],[Date naiss]],Tableau1[[#This Row],[Date entrée]],"y") + (DATEDIF(Tableau1[[#This Row],[Date naiss]],Tableau1[[#This Row],[Date entrée]],"ym"))/12)</f>
        <v>16.416666666666668</v>
      </c>
      <c r="J62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62" t="s">
        <v>57</v>
      </c>
      <c r="L62" t="s">
        <v>137</v>
      </c>
      <c r="U62" s="22"/>
      <c r="V62" s="22"/>
    </row>
    <row r="63" spans="2:22" x14ac:dyDescent="0.25">
      <c r="B63" s="22" t="str">
        <f t="shared" ca="1" si="2"/>
        <v>Prénom602</v>
      </c>
      <c r="C63" s="22" t="str">
        <f t="shared" ca="1" si="1"/>
        <v>Nom574</v>
      </c>
      <c r="D63" s="24">
        <v>37199</v>
      </c>
      <c r="E63" s="22" t="s">
        <v>27</v>
      </c>
      <c r="F63" s="24">
        <v>43497</v>
      </c>
      <c r="G63" s="22" t="s">
        <v>51</v>
      </c>
      <c r="H63" s="24"/>
      <c r="I63" s="301">
        <f>IF(Tableau1[[#This Row],[Date naiss]]="","",DATEDIF(Tableau1[[#This Row],[Date naiss]],Tableau1[[#This Row],[Date entrée]],"y") + (DATEDIF(Tableau1[[#This Row],[Date naiss]],Tableau1[[#This Row],[Date entrée]],"ym"))/12)</f>
        <v>17.166666666666668</v>
      </c>
      <c r="J63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63" s="22" t="s">
        <v>58</v>
      </c>
      <c r="L63" t="s">
        <v>140</v>
      </c>
      <c r="U63" s="22"/>
      <c r="V63" s="22"/>
    </row>
    <row r="64" spans="2:22" x14ac:dyDescent="0.25">
      <c r="B64" s="22" t="str">
        <f t="shared" ca="1" si="2"/>
        <v>Prénom403</v>
      </c>
      <c r="C64" s="22" t="str">
        <f t="shared" ca="1" si="1"/>
        <v>Nom177</v>
      </c>
      <c r="D64" s="24">
        <v>37871</v>
      </c>
      <c r="E64" t="s">
        <v>27</v>
      </c>
      <c r="F64" s="24">
        <v>44445</v>
      </c>
      <c r="G64" t="s">
        <v>51</v>
      </c>
      <c r="H64" s="24"/>
      <c r="I64" s="301">
        <f>IF(Tableau1[[#This Row],[Date naiss]]="","",DATEDIF(Tableau1[[#This Row],[Date naiss]],Tableau1[[#This Row],[Date entrée]],"y") + (DATEDIF(Tableau1[[#This Row],[Date naiss]],Tableau1[[#This Row],[Date entrée]],"ym"))/12)</f>
        <v>17.916666666666668</v>
      </c>
      <c r="J64" s="301">
        <f>IF(Tableau1[[#This Row],[Date sortie]]="",-1,DATEDIF(Tableau1[[#This Row],[Date naiss]],Tableau1[[#This Row],[Date sortie]],"y") + (DATEDIF(Tableau1[[#This Row],[Date naiss]],Tableau1[[#This Row],[Date sortie]],"ym"))/12)</f>
        <v>-1</v>
      </c>
      <c r="K64" t="s">
        <v>58</v>
      </c>
      <c r="L64" t="s">
        <v>140</v>
      </c>
    </row>
    <row r="65" spans="2:10" x14ac:dyDescent="0.25">
      <c r="B65" s="22" t="str">
        <f t="shared" ca="1" si="2"/>
        <v>Prénom697</v>
      </c>
      <c r="C65" s="22" t="str">
        <f t="shared" ca="1" si="1"/>
        <v>Nom567</v>
      </c>
      <c r="D65" s="24">
        <v>44197</v>
      </c>
      <c r="E65" t="s">
        <v>27</v>
      </c>
      <c r="F65" s="24">
        <v>44228</v>
      </c>
      <c r="G65" t="s">
        <v>25</v>
      </c>
      <c r="H65" s="24">
        <v>44320</v>
      </c>
      <c r="I65" s="301">
        <f>IF(Tableau1[[#This Row],[Date naiss]]="","",DATEDIF(Tableau1[[#This Row],[Date naiss]],Tableau1[[#This Row],[Date entrée]],"y") + (DATEDIF(Tableau1[[#This Row],[Date naiss]],Tableau1[[#This Row],[Date entrée]],"ym"))/12)</f>
        <v>8.3333333333333329E-2</v>
      </c>
      <c r="J65" s="301">
        <f>IF(Tableau1[[#This Row],[Date sortie]]="",-1,DATEDIF(Tableau1[[#This Row],[Date naiss]],Tableau1[[#This Row],[Date sortie]],"y") + (DATEDIF(Tableau1[[#This Row],[Date naiss]],Tableau1[[#This Row],[Date sortie]],"ym"))/12)</f>
        <v>0.33333333333333331</v>
      </c>
    </row>
    <row r="66" spans="2:10" x14ac:dyDescent="0.25">
      <c r="B66" s="22" t="str">
        <f t="shared" ca="1" si="2"/>
        <v>Prénom303</v>
      </c>
      <c r="C66" s="22" t="str">
        <f t="shared" ca="1" si="1"/>
        <v>Nom60</v>
      </c>
      <c r="D66" s="24">
        <v>43101</v>
      </c>
      <c r="E66" t="s">
        <v>360</v>
      </c>
      <c r="F66" s="24">
        <v>44228</v>
      </c>
      <c r="G66" t="s">
        <v>25</v>
      </c>
      <c r="H66" s="24">
        <v>44320</v>
      </c>
      <c r="I66" s="301">
        <f>IF(Tableau1[[#This Row],[Date naiss]]="","",DATEDIF(Tableau1[[#This Row],[Date naiss]],Tableau1[[#This Row],[Date entrée]],"y") + (DATEDIF(Tableau1[[#This Row],[Date naiss]],Tableau1[[#This Row],[Date entrée]],"ym"))/12)</f>
        <v>3.0833333333333335</v>
      </c>
      <c r="J66" s="301">
        <f>IF(Tableau1[[#This Row],[Date sortie]]="",-1,DATEDIF(Tableau1[[#This Row],[Date naiss]],Tableau1[[#This Row],[Date sortie]],"y") + (DATEDIF(Tableau1[[#This Row],[Date naiss]],Tableau1[[#This Row],[Date sortie]],"ym"))/12)</f>
        <v>3.3333333333333335</v>
      </c>
    </row>
  </sheetData>
  <conditionalFormatting sqref="A56 D56:XFD56">
    <cfRule type="expression" dxfId="114" priority="1">
      <formula>$H$56&gt;1/1/2007</formula>
    </cfRule>
  </conditionalFormatting>
  <pageMargins left="0.7" right="0.7" top="0.75" bottom="0.75" header="0.3" footer="0.3"/>
  <pageSetup paperSize="9" orientation="portrait" verticalDpi="0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listes!$D$2:$D$13</xm:f>
          </x14:formula1>
          <xm:sqref>M3:M15 L3:L66</xm:sqref>
        </x14:dataValidation>
        <x14:dataValidation type="list" allowBlank="1" showInputMessage="1" showErrorMessage="1">
          <x14:formula1>
            <xm:f>listes!$K$2:$K$4</xm:f>
          </x14:formula1>
          <xm:sqref>E3:E66</xm:sqref>
        </x14:dataValidation>
        <x14:dataValidation type="list" allowBlank="1" showInputMessage="1" showErrorMessage="1">
          <x14:formula1>
            <xm:f>listes!$E$2:$E$27</xm:f>
          </x14:formula1>
          <xm:sqref>G3:G66</xm:sqref>
        </x14:dataValidation>
        <x14:dataValidation type="list" allowBlank="1" showInputMessage="1" showErrorMessage="1">
          <x14:formula1>
            <xm:f>listes!$A$2:$A$31</xm:f>
          </x14:formula1>
          <xm:sqref>K3:K66</xm:sqref>
        </x14:dataValidation>
        <x14:dataValidation type="list" allowBlank="1" showInputMessage="1" showErrorMessage="1">
          <x14:formula1>
            <xm:f>listes!$B$2:$B$13</xm:f>
          </x14:formula1>
          <xm:sqref>N3:P66</xm:sqref>
        </x14:dataValidation>
        <x14:dataValidation type="list" allowBlank="1" showInputMessage="1" showErrorMessage="1">
          <x14:formula1>
            <xm:f>listes!$F$2:$F$6</xm:f>
          </x14:formula1>
          <xm:sqref>Q3:Q66</xm:sqref>
        </x14:dataValidation>
        <x14:dataValidation type="list" allowBlank="1" showInputMessage="1" showErrorMessage="1">
          <x14:formula1>
            <xm:f>listes!$G$2:$G$6</xm:f>
          </x14:formula1>
          <xm:sqref>R3:R66</xm:sqref>
        </x14:dataValidation>
        <x14:dataValidation type="list" allowBlank="1" showInputMessage="1" showErrorMessage="1">
          <x14:formula1>
            <xm:f>listes!$H$2:$H$4</xm:f>
          </x14:formula1>
          <xm:sqref>S3:S66</xm:sqref>
        </x14:dataValidation>
        <x14:dataValidation type="list" allowBlank="1" showInputMessage="1" showErrorMessage="1">
          <x14:formula1>
            <xm:f>listes!$I$2:$I$21</xm:f>
          </x14:formula1>
          <xm:sqref>T3:V66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S82"/>
  <sheetViews>
    <sheetView topLeftCell="G43" workbookViewId="0">
      <selection activeCell="O72" sqref="O72"/>
    </sheetView>
  </sheetViews>
  <sheetFormatPr baseColWidth="10" defaultRowHeight="15" x14ac:dyDescent="0.25"/>
  <cols>
    <col min="1" max="1" width="28.7109375" customWidth="1"/>
    <col min="2" max="2" width="23.85546875" customWidth="1"/>
    <col min="3" max="3" width="7.28515625" customWidth="1"/>
    <col min="4" max="4" width="12.5703125" customWidth="1"/>
    <col min="5" max="5" width="21.7109375" bestFit="1" customWidth="1"/>
    <col min="6" max="6" width="17.85546875" bestFit="1" customWidth="1"/>
    <col min="7" max="7" width="6.28515625" customWidth="1"/>
    <col min="8" max="8" width="21" customWidth="1"/>
    <col min="9" max="9" width="23.85546875" customWidth="1"/>
    <col min="10" max="10" width="7.28515625" customWidth="1"/>
    <col min="11" max="11" width="12.5703125" bestFit="1" customWidth="1"/>
    <col min="13" max="13" width="21" customWidth="1"/>
    <col min="14" max="14" width="23.85546875" customWidth="1"/>
    <col min="15" max="15" width="7.28515625" customWidth="1"/>
    <col min="16" max="16" width="12.5703125" customWidth="1"/>
    <col min="17" max="17" width="4.7109375" customWidth="1"/>
    <col min="18" max="20" width="5.7109375" customWidth="1"/>
    <col min="21" max="21" width="12.5703125" bestFit="1" customWidth="1"/>
  </cols>
  <sheetData>
    <row r="1" spans="1:11" ht="85.5" customHeight="1" x14ac:dyDescent="0.25">
      <c r="E1" s="298" t="s">
        <v>327</v>
      </c>
      <c r="F1" s="298" t="s">
        <v>25</v>
      </c>
    </row>
    <row r="4" spans="1:11" x14ac:dyDescent="0.25">
      <c r="A4" s="25" t="s">
        <v>149</v>
      </c>
      <c r="B4" t="s">
        <v>151</v>
      </c>
    </row>
    <row r="5" spans="1:11" x14ac:dyDescent="0.25">
      <c r="A5" s="26" t="s">
        <v>135</v>
      </c>
      <c r="B5" s="27">
        <v>4</v>
      </c>
    </row>
    <row r="6" spans="1:11" x14ac:dyDescent="0.25">
      <c r="A6" s="26" t="s">
        <v>27</v>
      </c>
      <c r="B6" s="27">
        <v>4</v>
      </c>
    </row>
    <row r="7" spans="1:11" x14ac:dyDescent="0.25">
      <c r="A7" s="26" t="s">
        <v>150</v>
      </c>
      <c r="B7" s="27">
        <v>8</v>
      </c>
    </row>
    <row r="8" spans="1:11" s="22" customFormat="1" x14ac:dyDescent="0.25">
      <c r="A8" s="26"/>
      <c r="B8" s="27"/>
    </row>
    <row r="9" spans="1:11" s="22" customFormat="1" x14ac:dyDescent="0.25">
      <c r="A9" s="26"/>
      <c r="B9" s="27"/>
    </row>
    <row r="10" spans="1:11" s="22" customFormat="1" x14ac:dyDescent="0.25">
      <c r="A10" s="26"/>
      <c r="B10" s="27"/>
    </row>
    <row r="11" spans="1:11" x14ac:dyDescent="0.25">
      <c r="A11" s="25" t="s">
        <v>2</v>
      </c>
      <c r="B11" s="22" t="s">
        <v>25</v>
      </c>
    </row>
    <row r="12" spans="1:11" x14ac:dyDescent="0.25">
      <c r="A12" s="25" t="s">
        <v>4</v>
      </c>
      <c r="B12" s="22" t="s">
        <v>148</v>
      </c>
    </row>
    <row r="13" spans="1:11" x14ac:dyDescent="0.25">
      <c r="H13" t="s">
        <v>341</v>
      </c>
    </row>
    <row r="14" spans="1:11" x14ac:dyDescent="0.25">
      <c r="A14" s="25" t="s">
        <v>151</v>
      </c>
      <c r="B14" s="25" t="s">
        <v>152</v>
      </c>
      <c r="H14" s="25" t="s">
        <v>151</v>
      </c>
      <c r="I14" s="25" t="s">
        <v>152</v>
      </c>
    </row>
    <row r="15" spans="1:11" x14ac:dyDescent="0.25">
      <c r="A15" s="25" t="s">
        <v>7</v>
      </c>
      <c r="B15" s="22" t="s">
        <v>135</v>
      </c>
      <c r="C15" s="22" t="s">
        <v>27</v>
      </c>
      <c r="D15" s="22" t="s">
        <v>150</v>
      </c>
      <c r="H15" s="25" t="s">
        <v>149</v>
      </c>
      <c r="I15" s="22" t="s">
        <v>135</v>
      </c>
      <c r="J15" s="22" t="s">
        <v>27</v>
      </c>
      <c r="K15" s="22" t="s">
        <v>150</v>
      </c>
    </row>
    <row r="16" spans="1:11" x14ac:dyDescent="0.25">
      <c r="A16" s="26" t="s">
        <v>57</v>
      </c>
      <c r="B16" s="27">
        <v>1</v>
      </c>
      <c r="C16" s="27"/>
      <c r="D16" s="27">
        <v>1</v>
      </c>
      <c r="H16" s="299" t="s">
        <v>329</v>
      </c>
      <c r="I16" s="27">
        <v>1</v>
      </c>
      <c r="J16" s="27">
        <v>2</v>
      </c>
      <c r="K16" s="27">
        <v>3</v>
      </c>
    </row>
    <row r="17" spans="1:11" x14ac:dyDescent="0.25">
      <c r="A17" s="26" t="s">
        <v>64</v>
      </c>
      <c r="B17" s="27">
        <v>1</v>
      </c>
      <c r="C17" s="27"/>
      <c r="D17" s="27">
        <v>1</v>
      </c>
      <c r="H17" s="299" t="s">
        <v>330</v>
      </c>
      <c r="I17" s="27">
        <v>1</v>
      </c>
      <c r="J17" s="27"/>
      <c r="K17" s="27">
        <v>1</v>
      </c>
    </row>
    <row r="18" spans="1:11" x14ac:dyDescent="0.25">
      <c r="A18" s="26" t="s">
        <v>58</v>
      </c>
      <c r="B18" s="27">
        <v>1</v>
      </c>
      <c r="C18" s="27">
        <v>2</v>
      </c>
      <c r="D18" s="27">
        <v>3</v>
      </c>
      <c r="H18" s="299" t="s">
        <v>336</v>
      </c>
      <c r="I18" s="27"/>
      <c r="J18" s="27">
        <v>1</v>
      </c>
      <c r="K18" s="27">
        <v>1</v>
      </c>
    </row>
    <row r="19" spans="1:11" x14ac:dyDescent="0.25">
      <c r="A19" s="26" t="s">
        <v>153</v>
      </c>
      <c r="B19" s="27">
        <v>1</v>
      </c>
      <c r="C19" s="27">
        <v>2</v>
      </c>
      <c r="D19" s="27">
        <v>3</v>
      </c>
      <c r="H19" s="299" t="s">
        <v>338</v>
      </c>
      <c r="I19" s="27">
        <v>1</v>
      </c>
      <c r="J19" s="27"/>
      <c r="K19" s="27">
        <v>1</v>
      </c>
    </row>
    <row r="20" spans="1:11" x14ac:dyDescent="0.25">
      <c r="A20" s="26" t="s">
        <v>150</v>
      </c>
      <c r="B20" s="27">
        <v>4</v>
      </c>
      <c r="C20" s="27">
        <v>4</v>
      </c>
      <c r="D20" s="27">
        <v>8</v>
      </c>
      <c r="H20" s="299" t="s">
        <v>332</v>
      </c>
      <c r="I20" s="27">
        <v>1</v>
      </c>
      <c r="J20" s="27">
        <v>1</v>
      </c>
      <c r="K20" s="27">
        <v>2</v>
      </c>
    </row>
    <row r="21" spans="1:11" x14ac:dyDescent="0.25">
      <c r="H21" s="299" t="s">
        <v>150</v>
      </c>
      <c r="I21" s="27">
        <v>4</v>
      </c>
      <c r="J21" s="27">
        <v>4</v>
      </c>
      <c r="K21" s="27">
        <v>8</v>
      </c>
    </row>
    <row r="23" spans="1:11" x14ac:dyDescent="0.25">
      <c r="A23" s="25" t="s">
        <v>5</v>
      </c>
      <c r="B23" s="22" t="s">
        <v>148</v>
      </c>
    </row>
    <row r="25" spans="1:11" x14ac:dyDescent="0.25">
      <c r="B25" s="25" t="s">
        <v>152</v>
      </c>
    </row>
    <row r="26" spans="1:11" x14ac:dyDescent="0.25">
      <c r="B26" s="22" t="s">
        <v>135</v>
      </c>
      <c r="C26" s="22" t="s">
        <v>27</v>
      </c>
      <c r="D26" s="22" t="s">
        <v>150</v>
      </c>
    </row>
    <row r="27" spans="1:11" x14ac:dyDescent="0.25">
      <c r="A27" t="s">
        <v>151</v>
      </c>
      <c r="B27" s="27">
        <v>11</v>
      </c>
      <c r="C27" s="27">
        <v>7</v>
      </c>
      <c r="D27" s="27">
        <v>18</v>
      </c>
    </row>
    <row r="31" spans="1:11" x14ac:dyDescent="0.25">
      <c r="H31" t="s">
        <v>335</v>
      </c>
    </row>
    <row r="32" spans="1:11" x14ac:dyDescent="0.25">
      <c r="H32" s="25" t="s">
        <v>151</v>
      </c>
      <c r="I32" s="25" t="s">
        <v>152</v>
      </c>
    </row>
    <row r="33" spans="8:11" x14ac:dyDescent="0.25">
      <c r="H33" s="25" t="s">
        <v>149</v>
      </c>
      <c r="I33" s="22" t="s">
        <v>135</v>
      </c>
      <c r="J33" s="22" t="s">
        <v>27</v>
      </c>
      <c r="K33" s="22" t="s">
        <v>150</v>
      </c>
    </row>
    <row r="34" spans="8:11" x14ac:dyDescent="0.25">
      <c r="H34" s="26" t="s">
        <v>336</v>
      </c>
      <c r="I34" s="27"/>
      <c r="J34" s="27">
        <v>1</v>
      </c>
      <c r="K34" s="27">
        <v>1</v>
      </c>
    </row>
    <row r="35" spans="8:11" x14ac:dyDescent="0.25">
      <c r="H35" s="26" t="s">
        <v>338</v>
      </c>
      <c r="I35" s="27">
        <v>2</v>
      </c>
      <c r="J35" s="27">
        <v>1</v>
      </c>
      <c r="K35" s="27">
        <v>3</v>
      </c>
    </row>
    <row r="36" spans="8:11" x14ac:dyDescent="0.25">
      <c r="H36" s="26" t="s">
        <v>331</v>
      </c>
      <c r="I36" s="27">
        <v>1</v>
      </c>
      <c r="J36" s="27"/>
      <c r="K36" s="27">
        <v>1</v>
      </c>
    </row>
    <row r="37" spans="8:11" x14ac:dyDescent="0.25">
      <c r="H37" s="26" t="s">
        <v>340</v>
      </c>
      <c r="I37" s="27"/>
      <c r="J37" s="27">
        <v>1</v>
      </c>
      <c r="K37" s="27">
        <v>1</v>
      </c>
    </row>
    <row r="38" spans="8:11" x14ac:dyDescent="0.25">
      <c r="H38" s="26" t="s">
        <v>332</v>
      </c>
      <c r="I38" s="27">
        <v>1</v>
      </c>
      <c r="J38" s="27"/>
      <c r="K38" s="27">
        <v>1</v>
      </c>
    </row>
    <row r="39" spans="8:11" x14ac:dyDescent="0.25">
      <c r="H39" s="26" t="s">
        <v>150</v>
      </c>
      <c r="I39" s="27">
        <v>4</v>
      </c>
      <c r="J39" s="27">
        <v>3</v>
      </c>
      <c r="K39" s="27">
        <v>7</v>
      </c>
    </row>
    <row r="47" spans="8:11" x14ac:dyDescent="0.25">
      <c r="H47" t="s">
        <v>342</v>
      </c>
    </row>
    <row r="48" spans="8:11" x14ac:dyDescent="0.25">
      <c r="H48" s="25" t="s">
        <v>151</v>
      </c>
      <c r="I48" s="25" t="s">
        <v>152</v>
      </c>
    </row>
    <row r="49" spans="6:19" x14ac:dyDescent="0.25">
      <c r="H49" s="25" t="s">
        <v>149</v>
      </c>
      <c r="I49" s="22" t="s">
        <v>135</v>
      </c>
      <c r="J49" s="22" t="s">
        <v>27</v>
      </c>
      <c r="K49" s="22" t="s">
        <v>150</v>
      </c>
    </row>
    <row r="50" spans="6:19" x14ac:dyDescent="0.25">
      <c r="H50" s="26" t="s">
        <v>153</v>
      </c>
      <c r="I50" s="27">
        <v>7</v>
      </c>
      <c r="J50" s="27">
        <v>4</v>
      </c>
      <c r="K50" s="27">
        <v>11</v>
      </c>
    </row>
    <row r="51" spans="6:19" x14ac:dyDescent="0.25">
      <c r="H51" s="26" t="s">
        <v>150</v>
      </c>
      <c r="I51" s="27">
        <v>7</v>
      </c>
      <c r="J51" s="27">
        <v>4</v>
      </c>
      <c r="K51" s="27">
        <v>11</v>
      </c>
    </row>
    <row r="56" spans="6:19" x14ac:dyDescent="0.25">
      <c r="H56" t="s">
        <v>344</v>
      </c>
      <c r="M56" t="s">
        <v>358</v>
      </c>
    </row>
    <row r="57" spans="6:19" x14ac:dyDescent="0.25">
      <c r="H57" s="25" t="s">
        <v>151</v>
      </c>
      <c r="I57" s="25" t="s">
        <v>152</v>
      </c>
      <c r="M57" s="25" t="s">
        <v>366</v>
      </c>
      <c r="N57" s="25" t="s">
        <v>152</v>
      </c>
    </row>
    <row r="58" spans="6:19" x14ac:dyDescent="0.25">
      <c r="H58" s="25" t="s">
        <v>149</v>
      </c>
      <c r="I58" s="22" t="s">
        <v>135</v>
      </c>
      <c r="J58" s="22" t="s">
        <v>27</v>
      </c>
      <c r="K58" s="22" t="s">
        <v>150</v>
      </c>
      <c r="M58" s="25" t="s">
        <v>149</v>
      </c>
      <c r="N58" s="22" t="s">
        <v>135</v>
      </c>
      <c r="O58" s="22" t="s">
        <v>27</v>
      </c>
      <c r="P58" s="22" t="s">
        <v>150</v>
      </c>
    </row>
    <row r="59" spans="6:19" x14ac:dyDescent="0.25">
      <c r="F59" t="s">
        <v>363</v>
      </c>
      <c r="H59" s="300" t="s">
        <v>362</v>
      </c>
      <c r="I59" s="27"/>
      <c r="J59" s="27">
        <v>1</v>
      </c>
      <c r="K59" s="27">
        <v>1</v>
      </c>
      <c r="M59" s="302" t="s">
        <v>362</v>
      </c>
      <c r="N59" s="27">
        <v>2</v>
      </c>
      <c r="O59" s="27">
        <v>2</v>
      </c>
      <c r="P59" s="27">
        <v>4</v>
      </c>
    </row>
    <row r="60" spans="6:19" x14ac:dyDescent="0.25">
      <c r="F60" t="s">
        <v>218</v>
      </c>
      <c r="H60" s="300" t="s">
        <v>364</v>
      </c>
      <c r="I60" s="27">
        <v>1</v>
      </c>
      <c r="J60" s="27"/>
      <c r="K60" s="27">
        <v>1</v>
      </c>
      <c r="M60" s="302" t="s">
        <v>364</v>
      </c>
      <c r="N60" s="27">
        <v>1</v>
      </c>
      <c r="O60" s="27">
        <v>1</v>
      </c>
      <c r="P60" s="27">
        <v>2</v>
      </c>
      <c r="Q60" s="22"/>
      <c r="R60" s="22"/>
      <c r="S60" s="22"/>
    </row>
    <row r="61" spans="6:19" x14ac:dyDescent="0.25">
      <c r="F61" t="s">
        <v>365</v>
      </c>
      <c r="H61" s="300" t="s">
        <v>345</v>
      </c>
      <c r="I61" s="27"/>
      <c r="J61" s="27">
        <v>1</v>
      </c>
      <c r="K61" s="27">
        <v>1</v>
      </c>
      <c r="M61" s="302" t="s">
        <v>345</v>
      </c>
      <c r="N61" s="27">
        <v>1</v>
      </c>
      <c r="O61" s="27">
        <v>7</v>
      </c>
      <c r="P61" s="27">
        <v>8</v>
      </c>
      <c r="Q61" s="22"/>
      <c r="R61" s="22"/>
      <c r="S61" s="22"/>
    </row>
    <row r="62" spans="6:19" x14ac:dyDescent="0.25">
      <c r="H62" s="300" t="s">
        <v>346</v>
      </c>
      <c r="I62" s="27">
        <v>4</v>
      </c>
      <c r="J62" s="27">
        <v>2</v>
      </c>
      <c r="K62" s="27">
        <v>6</v>
      </c>
      <c r="M62" s="302" t="s">
        <v>346</v>
      </c>
      <c r="N62" s="27">
        <v>6</v>
      </c>
      <c r="O62" s="27">
        <v>9</v>
      </c>
      <c r="P62" s="27">
        <v>15</v>
      </c>
      <c r="Q62" s="22"/>
      <c r="R62" s="22"/>
      <c r="S62" s="22"/>
    </row>
    <row r="63" spans="6:19" x14ac:dyDescent="0.25">
      <c r="H63" s="300" t="s">
        <v>347</v>
      </c>
      <c r="I63" s="27">
        <v>4</v>
      </c>
      <c r="J63" s="27">
        <v>2</v>
      </c>
      <c r="K63" s="27">
        <v>6</v>
      </c>
      <c r="M63" s="302" t="s">
        <v>347</v>
      </c>
      <c r="N63" s="27">
        <v>9</v>
      </c>
      <c r="O63" s="27">
        <v>5</v>
      </c>
      <c r="P63" s="27">
        <v>14</v>
      </c>
      <c r="Q63" s="22"/>
      <c r="R63" s="22"/>
      <c r="S63" s="22"/>
    </row>
    <row r="64" spans="6:19" x14ac:dyDescent="0.25">
      <c r="H64" s="300" t="s">
        <v>348</v>
      </c>
      <c r="I64" s="27">
        <v>2</v>
      </c>
      <c r="J64" s="27">
        <v>1</v>
      </c>
      <c r="K64" s="27">
        <v>3</v>
      </c>
      <c r="M64" s="302" t="s">
        <v>348</v>
      </c>
      <c r="N64" s="27">
        <v>8</v>
      </c>
      <c r="O64" s="27">
        <v>9</v>
      </c>
      <c r="P64" s="27">
        <v>17</v>
      </c>
      <c r="Q64" s="22"/>
      <c r="R64" s="22"/>
      <c r="S64" s="22"/>
    </row>
    <row r="65" spans="8:19" x14ac:dyDescent="0.25">
      <c r="H65" s="300" t="s">
        <v>150</v>
      </c>
      <c r="I65" s="27">
        <v>11</v>
      </c>
      <c r="J65" s="27">
        <v>7</v>
      </c>
      <c r="K65" s="27">
        <v>18</v>
      </c>
      <c r="M65" s="302" t="s">
        <v>349</v>
      </c>
      <c r="N65" s="27">
        <v>3</v>
      </c>
      <c r="O65" s="27">
        <v>1</v>
      </c>
      <c r="P65" s="27">
        <v>4</v>
      </c>
      <c r="Q65" s="22"/>
      <c r="R65" s="22"/>
      <c r="S65" s="22"/>
    </row>
    <row r="66" spans="8:19" s="22" customFormat="1" x14ac:dyDescent="0.25">
      <c r="H66"/>
      <c r="I66"/>
      <c r="J66"/>
      <c r="K66"/>
      <c r="M66" s="302" t="s">
        <v>150</v>
      </c>
      <c r="N66" s="27">
        <v>30</v>
      </c>
      <c r="O66" s="27">
        <v>34</v>
      </c>
      <c r="P66" s="27">
        <v>64</v>
      </c>
    </row>
    <row r="67" spans="8:19" s="22" customFormat="1" x14ac:dyDescent="0.25">
      <c r="H67"/>
      <c r="I67"/>
      <c r="J67"/>
      <c r="K67"/>
      <c r="M67"/>
      <c r="N67"/>
      <c r="O67"/>
      <c r="P67"/>
    </row>
    <row r="68" spans="8:19" x14ac:dyDescent="0.25">
      <c r="Q68" s="22"/>
      <c r="R68" s="22"/>
      <c r="S68" s="22"/>
    </row>
    <row r="69" spans="8:19" x14ac:dyDescent="0.25">
      <c r="H69" t="s">
        <v>343</v>
      </c>
      <c r="Q69" s="22"/>
      <c r="R69" s="22"/>
      <c r="S69" s="22"/>
    </row>
    <row r="70" spans="8:19" x14ac:dyDescent="0.25">
      <c r="H70" s="25" t="s">
        <v>151</v>
      </c>
      <c r="I70" s="25" t="s">
        <v>152</v>
      </c>
      <c r="Q70" s="22"/>
      <c r="R70" s="22"/>
      <c r="S70" s="22"/>
    </row>
    <row r="71" spans="8:19" x14ac:dyDescent="0.25">
      <c r="H71" s="25" t="s">
        <v>149</v>
      </c>
      <c r="I71" s="22" t="s">
        <v>135</v>
      </c>
      <c r="J71" s="22" t="s">
        <v>27</v>
      </c>
      <c r="K71" s="22" t="s">
        <v>150</v>
      </c>
      <c r="Q71" s="22"/>
      <c r="R71" s="22"/>
      <c r="S71" s="22"/>
    </row>
    <row r="72" spans="8:19" x14ac:dyDescent="0.25">
      <c r="H72" s="26" t="s">
        <v>359</v>
      </c>
      <c r="I72" s="27"/>
      <c r="J72" s="27">
        <v>1</v>
      </c>
      <c r="K72" s="27">
        <v>1</v>
      </c>
    </row>
    <row r="73" spans="8:19" x14ac:dyDescent="0.25">
      <c r="H73" s="26" t="s">
        <v>361</v>
      </c>
      <c r="I73" s="27">
        <v>1</v>
      </c>
      <c r="J73" s="27"/>
      <c r="K73" s="27">
        <v>1</v>
      </c>
    </row>
    <row r="74" spans="8:19" x14ac:dyDescent="0.25">
      <c r="H74" s="26" t="s">
        <v>350</v>
      </c>
      <c r="I74" s="27"/>
      <c r="J74" s="27">
        <v>1</v>
      </c>
      <c r="K74" s="27">
        <v>1</v>
      </c>
    </row>
    <row r="75" spans="8:19" x14ac:dyDescent="0.25">
      <c r="H75" s="26" t="s">
        <v>351</v>
      </c>
      <c r="I75" s="27"/>
      <c r="J75" s="27">
        <v>1</v>
      </c>
      <c r="K75" s="27">
        <v>1</v>
      </c>
    </row>
    <row r="76" spans="8:19" x14ac:dyDescent="0.25">
      <c r="H76" s="26" t="s">
        <v>352</v>
      </c>
      <c r="I76" s="27">
        <v>1</v>
      </c>
      <c r="J76" s="27">
        <v>2</v>
      </c>
      <c r="K76" s="27">
        <v>3</v>
      </c>
    </row>
    <row r="77" spans="8:19" x14ac:dyDescent="0.25">
      <c r="H77" s="26" t="s">
        <v>353</v>
      </c>
      <c r="I77" s="27">
        <v>1</v>
      </c>
      <c r="J77" s="27">
        <v>3</v>
      </c>
      <c r="K77" s="27">
        <v>4</v>
      </c>
    </row>
    <row r="78" spans="8:19" x14ac:dyDescent="0.25">
      <c r="H78" s="26" t="s">
        <v>354</v>
      </c>
      <c r="I78" s="27">
        <v>2</v>
      </c>
      <c r="J78" s="27"/>
      <c r="K78" s="27">
        <v>2</v>
      </c>
    </row>
    <row r="79" spans="8:19" x14ac:dyDescent="0.25">
      <c r="H79" s="26" t="s">
        <v>355</v>
      </c>
      <c r="I79" s="27">
        <v>2</v>
      </c>
      <c r="J79" s="27">
        <v>2</v>
      </c>
      <c r="K79" s="27">
        <v>4</v>
      </c>
    </row>
    <row r="80" spans="8:19" x14ac:dyDescent="0.25">
      <c r="H80" s="26" t="s">
        <v>356</v>
      </c>
      <c r="I80" s="27">
        <v>1</v>
      </c>
      <c r="J80" s="27">
        <v>1</v>
      </c>
      <c r="K80" s="27">
        <v>2</v>
      </c>
    </row>
    <row r="81" spans="8:11" x14ac:dyDescent="0.25">
      <c r="H81" s="26" t="s">
        <v>357</v>
      </c>
      <c r="I81" s="27"/>
      <c r="J81" s="27">
        <v>1</v>
      </c>
      <c r="K81" s="27">
        <v>1</v>
      </c>
    </row>
    <row r="82" spans="8:11" x14ac:dyDescent="0.25">
      <c r="H82" s="26" t="s">
        <v>150</v>
      </c>
      <c r="I82" s="27">
        <v>8</v>
      </c>
      <c r="J82" s="27">
        <v>12</v>
      </c>
      <c r="K82" s="27">
        <v>20</v>
      </c>
    </row>
  </sheetData>
  <pageMargins left="0.7" right="0.7" top="0.75" bottom="0.75" header="0.3" footer="0.3"/>
  <pageSetup paperSize="9" orientation="portrait" verticalDpi="0" r:id="rId10"/>
  <drawing r:id="rId11"/>
  <extLst>
    <ext xmlns:x14="http://schemas.microsoft.com/office/spreadsheetml/2009/9/main" uri="{A8765BA9-456A-4dab-B4F3-ACF838C121DE}">
      <x14:slicerList>
        <x14:slicer r:id="rId12"/>
      </x14:slicerList>
    </ext>
    <ext xmlns:x15="http://schemas.microsoft.com/office/spreadsheetml/2010/11/main" uri="{7E03D99C-DC04-49d9-9315-930204A7B6E9}">
      <x15:timelineRefs>
        <x15:timelineRef r:id="rId1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50"/>
    <pageSetUpPr fitToPage="1"/>
  </sheetPr>
  <dimension ref="A1:K492"/>
  <sheetViews>
    <sheetView topLeftCell="A110" zoomScale="85" zoomScaleNormal="85" workbookViewId="0">
      <selection activeCell="K125" sqref="K125"/>
    </sheetView>
  </sheetViews>
  <sheetFormatPr baseColWidth="10" defaultRowHeight="15" x14ac:dyDescent="0.25"/>
  <cols>
    <col min="1" max="1" width="66.5703125" style="22" customWidth="1"/>
    <col min="2" max="4" width="23.140625" style="22" customWidth="1"/>
    <col min="5" max="6" width="20.85546875" style="22" customWidth="1"/>
    <col min="7" max="7" width="21.28515625" style="22" customWidth="1"/>
    <col min="8" max="16384" width="11.42578125" style="22"/>
  </cols>
  <sheetData>
    <row r="1" spans="1:9" ht="18.75" x14ac:dyDescent="0.3">
      <c r="A1" s="29" t="s">
        <v>154</v>
      </c>
      <c r="B1" s="321" t="str">
        <f>TCD_internat!F1</f>
        <v>Internat</v>
      </c>
      <c r="C1" s="321"/>
      <c r="D1" s="321"/>
      <c r="E1" s="321"/>
      <c r="F1" s="321"/>
      <c r="G1" s="321"/>
    </row>
    <row r="2" spans="1:9" ht="18.75" x14ac:dyDescent="0.3">
      <c r="A2" s="29" t="s">
        <v>155</v>
      </c>
      <c r="B2" s="322" t="s">
        <v>156</v>
      </c>
      <c r="C2" s="322"/>
      <c r="D2" s="322"/>
      <c r="E2" s="322"/>
      <c r="F2" s="322"/>
      <c r="G2" s="322"/>
    </row>
    <row r="5" spans="1:9" ht="15.75" x14ac:dyDescent="0.25">
      <c r="A5" s="305" t="s">
        <v>157</v>
      </c>
      <c r="B5" s="320"/>
      <c r="C5" s="320"/>
      <c r="D5" s="320"/>
      <c r="E5" s="320"/>
      <c r="F5" s="320"/>
      <c r="G5" s="320"/>
    </row>
    <row r="6" spans="1:9" ht="15.75" thickBot="1" x14ac:dyDescent="0.3">
      <c r="A6" s="30"/>
      <c r="B6" s="31"/>
      <c r="C6" s="31"/>
      <c r="D6" s="31"/>
      <c r="E6" s="32"/>
      <c r="F6" s="32"/>
      <c r="G6" s="32"/>
    </row>
    <row r="7" spans="1:9" ht="40.5" customHeight="1" x14ac:dyDescent="0.25">
      <c r="A7" s="33" t="s">
        <v>158</v>
      </c>
      <c r="B7" s="34" t="s">
        <v>159</v>
      </c>
      <c r="C7" s="35" t="s">
        <v>160</v>
      </c>
      <c r="D7" s="35" t="s">
        <v>161</v>
      </c>
      <c r="E7" s="36" t="s">
        <v>162</v>
      </c>
      <c r="F7" s="37" t="s">
        <v>163</v>
      </c>
      <c r="G7" s="38"/>
    </row>
    <row r="8" spans="1:9" ht="48" x14ac:dyDescent="0.25">
      <c r="A8" s="39" t="s">
        <v>164</v>
      </c>
      <c r="B8" s="40">
        <v>10</v>
      </c>
      <c r="C8" s="41">
        <v>12</v>
      </c>
      <c r="D8" s="42">
        <f>SUM(B8:C8)</f>
        <v>22</v>
      </c>
      <c r="E8" s="43">
        <f>B8/D8</f>
        <v>0.45454545454545453</v>
      </c>
      <c r="F8" s="44">
        <f>C8/D8</f>
        <v>0.54545454545454541</v>
      </c>
      <c r="G8" s="38"/>
    </row>
    <row r="9" spans="1:9" ht="30.75" customHeight="1" x14ac:dyDescent="0.25">
      <c r="A9" s="39" t="s">
        <v>165</v>
      </c>
      <c r="B9" s="40">
        <v>9</v>
      </c>
      <c r="C9" s="41">
        <v>10</v>
      </c>
      <c r="D9" s="42">
        <f t="shared" ref="D9:D11" si="0">SUM(B9:C9)</f>
        <v>19</v>
      </c>
      <c r="E9" s="45">
        <f>B9/D9</f>
        <v>0.47368421052631576</v>
      </c>
      <c r="F9" s="44">
        <f t="shared" ref="F9:F11" si="1">C9/D9</f>
        <v>0.52631578947368418</v>
      </c>
      <c r="G9" s="38"/>
    </row>
    <row r="10" spans="1:9" ht="48" x14ac:dyDescent="0.25">
      <c r="A10" s="39" t="s">
        <v>166</v>
      </c>
      <c r="B10" s="46">
        <v>2</v>
      </c>
      <c r="C10" s="47">
        <v>2</v>
      </c>
      <c r="D10" s="42">
        <f t="shared" si="0"/>
        <v>4</v>
      </c>
      <c r="E10" s="45">
        <f t="shared" ref="E10:E11" si="2">B10/D10</f>
        <v>0.5</v>
      </c>
      <c r="F10" s="44">
        <f t="shared" si="1"/>
        <v>0.5</v>
      </c>
      <c r="G10" s="48"/>
    </row>
    <row r="11" spans="1:9" ht="48.75" thickBot="1" x14ac:dyDescent="0.3">
      <c r="A11" s="49" t="s">
        <v>167</v>
      </c>
      <c r="B11" s="50">
        <v>8</v>
      </c>
      <c r="C11" s="51">
        <v>10</v>
      </c>
      <c r="D11" s="42">
        <f t="shared" si="0"/>
        <v>18</v>
      </c>
      <c r="E11" s="52">
        <f t="shared" si="2"/>
        <v>0.44444444444444442</v>
      </c>
      <c r="F11" s="53">
        <f t="shared" si="1"/>
        <v>0.55555555555555558</v>
      </c>
      <c r="G11" s="54"/>
    </row>
    <row r="12" spans="1:9" ht="24.75" thickBot="1" x14ac:dyDescent="0.3">
      <c r="A12" s="55" t="s">
        <v>168</v>
      </c>
      <c r="B12" s="56">
        <f>B10/B8</f>
        <v>0.2</v>
      </c>
      <c r="C12" s="56">
        <f>C10/C8</f>
        <v>0.16666666666666666</v>
      </c>
      <c r="D12" s="57">
        <f>D10/D8</f>
        <v>0.18181818181818182</v>
      </c>
      <c r="E12" s="58"/>
      <c r="I12" s="59"/>
    </row>
    <row r="13" spans="1:9" ht="15.75" thickBot="1" x14ac:dyDescent="0.3">
      <c r="A13" s="60"/>
      <c r="B13" s="61"/>
      <c r="C13" s="61"/>
      <c r="D13" s="61"/>
      <c r="E13" s="62"/>
      <c r="F13" s="63"/>
      <c r="G13" s="64"/>
    </row>
    <row r="14" spans="1:9" ht="39" customHeight="1" x14ac:dyDescent="0.25">
      <c r="A14" s="33" t="s">
        <v>169</v>
      </c>
      <c r="B14" s="34" t="s">
        <v>159</v>
      </c>
      <c r="C14" s="35" t="s">
        <v>160</v>
      </c>
      <c r="D14" s="35" t="s">
        <v>161</v>
      </c>
      <c r="E14" s="36" t="s">
        <v>162</v>
      </c>
      <c r="F14" s="37" t="s">
        <v>163</v>
      </c>
      <c r="G14" s="38"/>
    </row>
    <row r="15" spans="1:9" ht="15.75" thickBot="1" x14ac:dyDescent="0.3">
      <c r="A15" s="39" t="s">
        <v>170</v>
      </c>
      <c r="B15" s="46">
        <f>GETPIVOTDATA("Nom",TCD_internat!$A$4,"Genre","Garçon")</f>
        <v>4</v>
      </c>
      <c r="C15" s="47">
        <f>GETPIVOTDATA("Nom",TCD_internat!$A$4,"Genre","Fille")</f>
        <v>4</v>
      </c>
      <c r="D15" s="65">
        <f>SUM(B15:C15)</f>
        <v>8</v>
      </c>
      <c r="E15" s="66">
        <f>B15/$D15</f>
        <v>0.5</v>
      </c>
      <c r="F15" s="44">
        <f t="shared" ref="E15:F17" si="3">C15/$D15</f>
        <v>0.5</v>
      </c>
      <c r="G15" s="38"/>
    </row>
    <row r="16" spans="1:9" ht="36" x14ac:dyDescent="0.25">
      <c r="A16" s="67" t="s">
        <v>171</v>
      </c>
      <c r="B16" s="68">
        <v>0</v>
      </c>
      <c r="C16" s="69">
        <v>0</v>
      </c>
      <c r="D16" s="65">
        <f>SUM(B16:C16)</f>
        <v>0</v>
      </c>
      <c r="E16" s="70" t="e">
        <f t="shared" si="3"/>
        <v>#DIV/0!</v>
      </c>
      <c r="F16" s="45" t="e">
        <f t="shared" si="3"/>
        <v>#DIV/0!</v>
      </c>
      <c r="G16" s="71" t="s">
        <v>172</v>
      </c>
      <c r="H16" s="72"/>
    </row>
    <row r="17" spans="1:9" ht="31.5" customHeight="1" thickBot="1" x14ac:dyDescent="0.3">
      <c r="A17" s="49" t="s">
        <v>173</v>
      </c>
      <c r="B17" s="68">
        <v>0</v>
      </c>
      <c r="C17" s="69">
        <v>0</v>
      </c>
      <c r="D17" s="65">
        <f>SUM(B17:C17)</f>
        <v>0</v>
      </c>
      <c r="E17" s="73" t="e">
        <f t="shared" si="3"/>
        <v>#DIV/0!</v>
      </c>
      <c r="F17" s="66" t="e">
        <f t="shared" si="3"/>
        <v>#DIV/0!</v>
      </c>
      <c r="G17" s="74" t="e">
        <f>D17/D16</f>
        <v>#DIV/0!</v>
      </c>
    </row>
    <row r="18" spans="1:9" ht="36.75" thickBot="1" x14ac:dyDescent="0.3">
      <c r="A18" s="75" t="s">
        <v>174</v>
      </c>
      <c r="B18" s="76">
        <f>B15/B10</f>
        <v>2</v>
      </c>
      <c r="C18" s="76">
        <f>C15/C10</f>
        <v>2</v>
      </c>
      <c r="D18" s="77">
        <f t="shared" ref="D18" si="4">D15/D10</f>
        <v>2</v>
      </c>
      <c r="E18" s="78"/>
      <c r="F18" s="79"/>
    </row>
    <row r="19" spans="1:9" x14ac:dyDescent="0.25">
      <c r="A19" s="49" t="s">
        <v>175</v>
      </c>
      <c r="B19" s="34" t="s">
        <v>176</v>
      </c>
      <c r="C19" s="35" t="s">
        <v>177</v>
      </c>
      <c r="D19" s="80" t="s">
        <v>178</v>
      </c>
    </row>
    <row r="20" spans="1:9" ht="15.75" thickBot="1" x14ac:dyDescent="0.3">
      <c r="A20" s="81" t="s">
        <v>179</v>
      </c>
      <c r="B20" s="82"/>
      <c r="C20" s="83"/>
      <c r="D20" s="84"/>
      <c r="E20" s="38"/>
    </row>
    <row r="21" spans="1:9" ht="15.75" thickBot="1" x14ac:dyDescent="0.3">
      <c r="A21" s="30"/>
      <c r="B21" s="54"/>
      <c r="C21" s="54"/>
      <c r="D21" s="54"/>
      <c r="E21" s="85"/>
      <c r="F21" s="85"/>
      <c r="G21" s="38"/>
    </row>
    <row r="22" spans="1:9" ht="84" x14ac:dyDescent="0.25">
      <c r="A22" s="33" t="s">
        <v>180</v>
      </c>
      <c r="B22" s="34" t="s">
        <v>159</v>
      </c>
      <c r="C22" s="35" t="s">
        <v>160</v>
      </c>
      <c r="D22" s="35" t="s">
        <v>161</v>
      </c>
      <c r="E22" s="36" t="s">
        <v>162</v>
      </c>
      <c r="F22" s="36" t="s">
        <v>181</v>
      </c>
      <c r="G22" s="86" t="s">
        <v>182</v>
      </c>
    </row>
    <row r="23" spans="1:9" x14ac:dyDescent="0.25">
      <c r="A23" s="87" t="s">
        <v>150</v>
      </c>
      <c r="B23" s="88">
        <f>SUM(B47:B55)</f>
        <v>2</v>
      </c>
      <c r="C23" s="88">
        <f>SUM(C47:C55)</f>
        <v>3</v>
      </c>
      <c r="D23" s="88">
        <f>SUM(B23:C23)</f>
        <v>5</v>
      </c>
      <c r="E23" s="89">
        <f>B23/$D$23</f>
        <v>0.4</v>
      </c>
      <c r="F23" s="90">
        <f>C23/$D$23</f>
        <v>0.6</v>
      </c>
      <c r="G23" s="91">
        <f>SUM(G47:G55)</f>
        <v>0.625</v>
      </c>
      <c r="H23" s="72"/>
    </row>
    <row r="24" spans="1:9" ht="57" customHeight="1" x14ac:dyDescent="0.25">
      <c r="A24" s="92" t="s">
        <v>183</v>
      </c>
      <c r="B24" s="93" t="str">
        <f>IF(B23=B15,"OK","Ce total général doit être égal au nombre d'admissions effectives - § B.2")</f>
        <v>Ce total général doit être égal au nombre d'admissions effectives - § B.2</v>
      </c>
      <c r="C24" s="93" t="str">
        <f t="shared" ref="C24" si="5">IF(C23=C15,"OK","Ce total général doit être égal au nombre d'admissions effectives - § B.2")</f>
        <v>Ce total général doit être égal au nombre d'admissions effectives - § B.2</v>
      </c>
      <c r="D24" s="93" t="str">
        <f>IF(D23=D15,"OK","Ce total général doit être égal au nombre d'admissions effectives - § B.2")</f>
        <v>Ce total général doit être égal au nombre d'admissions effectives - § B.2</v>
      </c>
      <c r="E24" s="93" t="e">
        <f>IF(E23=erreur,"OK","Ce pourcentage doit être égal au pourcentage garçons du nombre d'admissions effectives - § B.2")</f>
        <v>#NAME?</v>
      </c>
      <c r="F24" s="93" t="str">
        <f>IF(F23=F15,"OK","Ce pourcentage doit être égal au pourcentage filles du nombre d'admissions effectives - § B.2")</f>
        <v>Ce pourcentage doit être égal au pourcentage filles du nombre d'admissions effectives - § B.2</v>
      </c>
      <c r="G24" s="94" t="str">
        <f>IF(G23=100%,"OK","Ce pourcentage doit être égal à 100 %")</f>
        <v>Ce pourcentage doit être égal à 100 %</v>
      </c>
      <c r="I24" s="59"/>
    </row>
    <row r="25" spans="1:9" x14ac:dyDescent="0.25">
      <c r="A25" s="39" t="s">
        <v>53</v>
      </c>
      <c r="B25" s="46">
        <f>IF(ISERROR(GETPIVOTDATA("Nom",TCD_internat!$A$14,"Genre","Garçon","B3 Origine territoriale demande admission effective",$A25)),0,GETPIVOTDATA("Nom",TCD_internat!$A$14,"Genre","Garçon","B3 Origine territoriale demande admission effective",$A25))</f>
        <v>0</v>
      </c>
      <c r="C25" s="46">
        <f>IF(ISERROR(GETPIVOTDATA("Nom",TCD_internat!$A$14,"Genre","Fille","B3 Origine territoriale demande admission effective",$A25)),0,GETPIVOTDATA("Nom",TCD_internat!$A$14,"Genre","Fille","B3 Origine territoriale demande admission effective",$A25))</f>
        <v>0</v>
      </c>
      <c r="D25" s="88">
        <f t="shared" ref="D25:D55" si="6">SUM(B25:C25)</f>
        <v>0</v>
      </c>
      <c r="E25" s="70" t="e">
        <f>B25/D25</f>
        <v>#DIV/0!</v>
      </c>
      <c r="F25" s="70" t="e">
        <f>C25/D25</f>
        <v>#DIV/0!</v>
      </c>
      <c r="G25" s="95">
        <f>D25/D$15</f>
        <v>0</v>
      </c>
    </row>
    <row r="26" spans="1:9" x14ac:dyDescent="0.25">
      <c r="A26" s="39" t="s">
        <v>54</v>
      </c>
      <c r="B26" s="46">
        <f>IF(ISERROR(GETPIVOTDATA("Nom",TCD_internat!$A$14,"Genre","Garçon","B3 Origine territoriale demande admission effective",$A26)),0,GETPIVOTDATA("Nom",TCD_internat!$A$14,"Genre","Garçon","B3 Origine territoriale demande admission effective",$A26))</f>
        <v>0</v>
      </c>
      <c r="C26" s="46">
        <f>IF(ISERROR(GETPIVOTDATA("Nom",TCD_internat!$A$14,"Genre","Fille","B3 Origine territoriale demande admission effective",$A26)),0,GETPIVOTDATA("Nom",TCD_internat!$A$14,"Genre","Fille","B3 Origine territoriale demande admission effective",$A26))</f>
        <v>0</v>
      </c>
      <c r="D26" s="88">
        <f t="shared" si="6"/>
        <v>0</v>
      </c>
      <c r="E26" s="70" t="e">
        <f>B26/D26</f>
        <v>#DIV/0!</v>
      </c>
      <c r="F26" s="70" t="e">
        <f>C26/D26</f>
        <v>#DIV/0!</v>
      </c>
      <c r="G26" s="95">
        <f>D26/D$15</f>
        <v>0</v>
      </c>
    </row>
    <row r="27" spans="1:9" x14ac:dyDescent="0.25">
      <c r="A27" s="39" t="s">
        <v>55</v>
      </c>
      <c r="B27" s="46">
        <f>IF(ISERROR(GETPIVOTDATA("Nom",TCD_internat!$A$14,"Genre","Garçon","B3 Origine territoriale demande admission effective",$A27)),0,GETPIVOTDATA("Nom",TCD_internat!$A$14,"Genre","Garçon","B3 Origine territoriale demande admission effective",$A27))</f>
        <v>0</v>
      </c>
      <c r="C27" s="46">
        <f>IF(ISERROR(GETPIVOTDATA("Nom",TCD_internat!$A$14,"Genre","Fille","B3 Origine territoriale demande admission effective",$A27)),0,GETPIVOTDATA("Nom",TCD_internat!$A$14,"Genre","Fille","B3 Origine territoriale demande admission effective",$A27))</f>
        <v>0</v>
      </c>
      <c r="D27" s="88">
        <f t="shared" si="6"/>
        <v>0</v>
      </c>
      <c r="E27" s="70" t="e">
        <f t="shared" ref="E27:E46" si="7">B27/D27</f>
        <v>#DIV/0!</v>
      </c>
      <c r="F27" s="70" t="e">
        <f t="shared" ref="F27:F54" si="8">C27/D27</f>
        <v>#DIV/0!</v>
      </c>
      <c r="G27" s="95">
        <f t="shared" ref="G27:G53" si="9">D27/D$15</f>
        <v>0</v>
      </c>
    </row>
    <row r="28" spans="1:9" x14ac:dyDescent="0.25">
      <c r="A28" s="39" t="s">
        <v>56</v>
      </c>
      <c r="B28" s="46">
        <f>IF(ISERROR(GETPIVOTDATA("Nom",TCD_internat!$A$14,"Genre","Garçon","B3 Origine territoriale demande admission effective",$A28)),0,GETPIVOTDATA("Nom",TCD_internat!$A$14,"Genre","Garçon","B3 Origine territoriale demande admission effective",$A28))</f>
        <v>0</v>
      </c>
      <c r="C28" s="46">
        <f>IF(ISERROR(GETPIVOTDATA("Nom",TCD_internat!$A$14,"Genre","Fille","B3 Origine territoriale demande admission effective",$A28)),0,GETPIVOTDATA("Nom",TCD_internat!$A$14,"Genre","Fille","B3 Origine territoriale demande admission effective",$A28))</f>
        <v>0</v>
      </c>
      <c r="D28" s="88">
        <f t="shared" si="6"/>
        <v>0</v>
      </c>
      <c r="E28" s="70" t="e">
        <f t="shared" si="7"/>
        <v>#DIV/0!</v>
      </c>
      <c r="F28" s="70" t="e">
        <f t="shared" si="8"/>
        <v>#DIV/0!</v>
      </c>
      <c r="G28" s="95">
        <f t="shared" si="9"/>
        <v>0</v>
      </c>
    </row>
    <row r="29" spans="1:9" x14ac:dyDescent="0.25">
      <c r="A29" s="39" t="s">
        <v>57</v>
      </c>
      <c r="B29" s="46">
        <f>IF(ISERROR(GETPIVOTDATA("Nom",TCD_internat!$A$14,"Genre","Garçon","B3 Origine territoriale demande admission effective",$A29)),0,GETPIVOTDATA("Nom",TCD_internat!$A$14,"Genre","Garçon","B3 Origine territoriale demande admission effective",$A29))</f>
        <v>0</v>
      </c>
      <c r="C29" s="46">
        <f>IF(ISERROR(GETPIVOTDATA("Nom",TCD_internat!$A$14,"Genre","Fille","B3 Origine territoriale demande admission effective",$A29)),0,GETPIVOTDATA("Nom",TCD_internat!$A$14,"Genre","Fille","B3 Origine territoriale demande admission effective",$A29))</f>
        <v>1</v>
      </c>
      <c r="D29" s="88">
        <f t="shared" si="6"/>
        <v>1</v>
      </c>
      <c r="E29" s="70">
        <f t="shared" si="7"/>
        <v>0</v>
      </c>
      <c r="F29" s="70">
        <f t="shared" si="8"/>
        <v>1</v>
      </c>
      <c r="G29" s="95">
        <f t="shared" si="9"/>
        <v>0.125</v>
      </c>
    </row>
    <row r="30" spans="1:9" x14ac:dyDescent="0.25">
      <c r="A30" s="39" t="s">
        <v>58</v>
      </c>
      <c r="B30" s="46">
        <f>IF(ISERROR(GETPIVOTDATA("Nom",TCD_internat!$A$14,"Genre","Garçon","B3 Origine territoriale demande admission effective",$A30)),0,GETPIVOTDATA("Nom",TCD_internat!$A$14,"Genre","Garçon","B3 Origine territoriale demande admission effective",$A30))</f>
        <v>2</v>
      </c>
      <c r="C30" s="46">
        <f>IF(ISERROR(GETPIVOTDATA("Nom",TCD_internat!$A$14,"Genre","Fille","B3 Origine territoriale demande admission effective",$A30)),0,GETPIVOTDATA("Nom",TCD_internat!$A$14,"Genre","Fille","B3 Origine territoriale demande admission effective",$A30))</f>
        <v>1</v>
      </c>
      <c r="D30" s="88">
        <f t="shared" si="6"/>
        <v>3</v>
      </c>
      <c r="E30" s="70">
        <f t="shared" si="7"/>
        <v>0.66666666666666663</v>
      </c>
      <c r="F30" s="70">
        <f t="shared" si="8"/>
        <v>0.33333333333333331</v>
      </c>
      <c r="G30" s="95">
        <f t="shared" si="9"/>
        <v>0.375</v>
      </c>
    </row>
    <row r="31" spans="1:9" x14ac:dyDescent="0.25">
      <c r="A31" s="39" t="s">
        <v>59</v>
      </c>
      <c r="B31" s="46">
        <f>IF(ISERROR(GETPIVOTDATA("Nom",TCD_internat!$A$14,"Genre","Garçon","B3 Origine territoriale demande admission effective",$A31)),0,GETPIVOTDATA("Nom",TCD_internat!$A$14,"Genre","Garçon","B3 Origine territoriale demande admission effective",$A31))</f>
        <v>0</v>
      </c>
      <c r="C31" s="46">
        <f>IF(ISERROR(GETPIVOTDATA("Nom",TCD_internat!$A$14,"Genre","Fille","B3 Origine territoriale demande admission effective",$A31)),0,GETPIVOTDATA("Nom",TCD_internat!$A$14,"Genre","Fille","B3 Origine territoriale demande admission effective",$A31))</f>
        <v>0</v>
      </c>
      <c r="D31" s="88">
        <f t="shared" si="6"/>
        <v>0</v>
      </c>
      <c r="E31" s="70" t="e">
        <f t="shared" si="7"/>
        <v>#DIV/0!</v>
      </c>
      <c r="F31" s="70" t="e">
        <f t="shared" si="8"/>
        <v>#DIV/0!</v>
      </c>
      <c r="G31" s="95">
        <f t="shared" si="9"/>
        <v>0</v>
      </c>
    </row>
    <row r="32" spans="1:9" x14ac:dyDescent="0.25">
      <c r="A32" s="39" t="s">
        <v>60</v>
      </c>
      <c r="B32" s="46">
        <f>IF(ISERROR(GETPIVOTDATA("Nom",TCD_internat!$A$14,"Genre","Garçon","B3 Origine territoriale demande admission effective",$A32)),0,GETPIVOTDATA("Nom",TCD_internat!$A$14,"Genre","Garçon","B3 Origine territoriale demande admission effective",$A32))</f>
        <v>0</v>
      </c>
      <c r="C32" s="46">
        <f>IF(ISERROR(GETPIVOTDATA("Nom",TCD_internat!$A$14,"Genre","Fille","B3 Origine territoriale demande admission effective",$A32)),0,GETPIVOTDATA("Nom",TCD_internat!$A$14,"Genre","Fille","B3 Origine territoriale demande admission effective",$A32))</f>
        <v>0</v>
      </c>
      <c r="D32" s="88">
        <f t="shared" si="6"/>
        <v>0</v>
      </c>
      <c r="E32" s="70" t="e">
        <f t="shared" si="7"/>
        <v>#DIV/0!</v>
      </c>
      <c r="F32" s="70" t="e">
        <f t="shared" si="8"/>
        <v>#DIV/0!</v>
      </c>
      <c r="G32" s="95">
        <f t="shared" si="9"/>
        <v>0</v>
      </c>
    </row>
    <row r="33" spans="1:7" x14ac:dyDescent="0.25">
      <c r="A33" s="39" t="s">
        <v>61</v>
      </c>
      <c r="B33" s="46">
        <f>IF(ISERROR(GETPIVOTDATA("Nom",TCD_internat!$A$14,"Genre","Garçon","B3 Origine territoriale demande admission effective",$A33)),0,GETPIVOTDATA("Nom",TCD_internat!$A$14,"Genre","Garçon","B3 Origine territoriale demande admission effective",$A33))</f>
        <v>0</v>
      </c>
      <c r="C33" s="46">
        <f>IF(ISERROR(GETPIVOTDATA("Nom",TCD_internat!$A$14,"Genre","Fille","B3 Origine territoriale demande admission effective",$A33)),0,GETPIVOTDATA("Nom",TCD_internat!$A$14,"Genre","Fille","B3 Origine territoriale demande admission effective",$A33))</f>
        <v>0</v>
      </c>
      <c r="D33" s="88">
        <f t="shared" si="6"/>
        <v>0</v>
      </c>
      <c r="E33" s="70" t="e">
        <f t="shared" si="7"/>
        <v>#DIV/0!</v>
      </c>
      <c r="F33" s="70" t="e">
        <f t="shared" si="8"/>
        <v>#DIV/0!</v>
      </c>
      <c r="G33" s="95">
        <f t="shared" si="9"/>
        <v>0</v>
      </c>
    </row>
    <row r="34" spans="1:7" x14ac:dyDescent="0.25">
      <c r="A34" s="39" t="s">
        <v>62</v>
      </c>
      <c r="B34" s="46">
        <f>IF(ISERROR(GETPIVOTDATA("Nom",TCD_internat!$A$14,"Genre","Garçon","B3 Origine territoriale demande admission effective",$A34)),0,GETPIVOTDATA("Nom",TCD_internat!$A$14,"Genre","Garçon","B3 Origine territoriale demande admission effective",$A34))</f>
        <v>0</v>
      </c>
      <c r="C34" s="46">
        <f>IF(ISERROR(GETPIVOTDATA("Nom",TCD_internat!$A$14,"Genre","Fille","B3 Origine territoriale demande admission effective",$A34)),0,GETPIVOTDATA("Nom",TCD_internat!$A$14,"Genre","Fille","B3 Origine territoriale demande admission effective",$A34))</f>
        <v>0</v>
      </c>
      <c r="D34" s="88">
        <f t="shared" si="6"/>
        <v>0</v>
      </c>
      <c r="E34" s="70" t="e">
        <f t="shared" si="7"/>
        <v>#DIV/0!</v>
      </c>
      <c r="F34" s="70" t="e">
        <f t="shared" si="8"/>
        <v>#DIV/0!</v>
      </c>
      <c r="G34" s="95">
        <f t="shared" si="9"/>
        <v>0</v>
      </c>
    </row>
    <row r="35" spans="1:7" x14ac:dyDescent="0.25">
      <c r="A35" s="39" t="s">
        <v>63</v>
      </c>
      <c r="B35" s="46">
        <f>IF(ISERROR(GETPIVOTDATA("Nom",TCD_internat!$A$14,"Genre","Garçon","B3 Origine territoriale demande admission effective",$A35)),0,GETPIVOTDATA("Nom",TCD_internat!$A$14,"Genre","Garçon","B3 Origine territoriale demande admission effective",$A35))</f>
        <v>0</v>
      </c>
      <c r="C35" s="46">
        <f>IF(ISERROR(GETPIVOTDATA("Nom",TCD_internat!$A$14,"Genre","Fille","B3 Origine territoriale demande admission effective",$A35)),0,GETPIVOTDATA("Nom",TCD_internat!$A$14,"Genre","Fille","B3 Origine territoriale demande admission effective",$A35))</f>
        <v>0</v>
      </c>
      <c r="D35" s="88">
        <f t="shared" si="6"/>
        <v>0</v>
      </c>
      <c r="E35" s="70" t="e">
        <f t="shared" si="7"/>
        <v>#DIV/0!</v>
      </c>
      <c r="F35" s="70" t="e">
        <f t="shared" si="8"/>
        <v>#DIV/0!</v>
      </c>
      <c r="G35" s="95">
        <f t="shared" si="9"/>
        <v>0</v>
      </c>
    </row>
    <row r="36" spans="1:7" x14ac:dyDescent="0.25">
      <c r="A36" s="39" t="s">
        <v>64</v>
      </c>
      <c r="B36" s="46">
        <f>IF(ISERROR(GETPIVOTDATA("Nom",TCD_internat!$A$14,"Genre","Garçon","B3 Origine territoriale demande admission effective",$A36)),0,GETPIVOTDATA("Nom",TCD_internat!$A$14,"Genre","Garçon","B3 Origine territoriale demande admission effective",$A36))</f>
        <v>0</v>
      </c>
      <c r="C36" s="46">
        <f>IF(ISERROR(GETPIVOTDATA("Nom",TCD_internat!$A$14,"Genre","Fille","B3 Origine territoriale demande admission effective",$A36)),0,GETPIVOTDATA("Nom",TCD_internat!$A$14,"Genre","Fille","B3 Origine territoriale demande admission effective",$A36))</f>
        <v>1</v>
      </c>
      <c r="D36" s="88">
        <f t="shared" si="6"/>
        <v>1</v>
      </c>
      <c r="E36" s="70">
        <f t="shared" si="7"/>
        <v>0</v>
      </c>
      <c r="F36" s="70">
        <f t="shared" si="8"/>
        <v>1</v>
      </c>
      <c r="G36" s="95">
        <f t="shared" si="9"/>
        <v>0.125</v>
      </c>
    </row>
    <row r="37" spans="1:7" x14ac:dyDescent="0.25">
      <c r="A37" s="39" t="s">
        <v>65</v>
      </c>
      <c r="B37" s="46">
        <f>IF(ISERROR(GETPIVOTDATA("Nom",TCD_internat!$A$14,"Genre","Garçon","B3 Origine territoriale demande admission effective",$A37)),0,GETPIVOTDATA("Nom",TCD_internat!$A$14,"Genre","Garçon","B3 Origine territoriale demande admission effective",$A37))</f>
        <v>0</v>
      </c>
      <c r="C37" s="46">
        <f>IF(ISERROR(GETPIVOTDATA("Nom",TCD_internat!$A$14,"Genre","Fille","B3 Origine territoriale demande admission effective",$A37)),0,GETPIVOTDATA("Nom",TCD_internat!$A$14,"Genre","Fille","B3 Origine territoriale demande admission effective",$A37))</f>
        <v>0</v>
      </c>
      <c r="D37" s="88">
        <f t="shared" si="6"/>
        <v>0</v>
      </c>
      <c r="E37" s="70" t="e">
        <f t="shared" si="7"/>
        <v>#DIV/0!</v>
      </c>
      <c r="F37" s="70" t="e">
        <f t="shared" si="8"/>
        <v>#DIV/0!</v>
      </c>
      <c r="G37" s="95">
        <f t="shared" si="9"/>
        <v>0</v>
      </c>
    </row>
    <row r="38" spans="1:7" x14ac:dyDescent="0.25">
      <c r="A38" s="39" t="s">
        <v>66</v>
      </c>
      <c r="B38" s="46">
        <f>IF(ISERROR(GETPIVOTDATA("Nom",TCD_internat!$A$14,"Genre","Garçon","B3 Origine territoriale demande admission effective",$A38)),0,GETPIVOTDATA("Nom",TCD_internat!$A$14,"Genre","Garçon","B3 Origine territoriale demande admission effective",$A38))</f>
        <v>0</v>
      </c>
      <c r="C38" s="46">
        <f>IF(ISERROR(GETPIVOTDATA("Nom",TCD_internat!$A$14,"Genre","Fille","B3 Origine territoriale demande admission effective",$A38)),0,GETPIVOTDATA("Nom",TCD_internat!$A$14,"Genre","Fille","B3 Origine territoriale demande admission effective",$A38))</f>
        <v>0</v>
      </c>
      <c r="D38" s="88">
        <f t="shared" si="6"/>
        <v>0</v>
      </c>
      <c r="E38" s="70" t="e">
        <f t="shared" si="7"/>
        <v>#DIV/0!</v>
      </c>
      <c r="F38" s="70" t="e">
        <f t="shared" si="8"/>
        <v>#DIV/0!</v>
      </c>
      <c r="G38" s="95">
        <f t="shared" si="9"/>
        <v>0</v>
      </c>
    </row>
    <row r="39" spans="1:7" x14ac:dyDescent="0.25">
      <c r="A39" s="39" t="s">
        <v>67</v>
      </c>
      <c r="B39" s="46">
        <f>IF(ISERROR(GETPIVOTDATA("Nom",TCD_internat!$A$14,"Genre","Garçon","B3 Origine territoriale demande admission effective",$A39)),0,GETPIVOTDATA("Nom",TCD_internat!$A$14,"Genre","Garçon","B3 Origine territoriale demande admission effective",$A39))</f>
        <v>0</v>
      </c>
      <c r="C39" s="46">
        <f>IF(ISERROR(GETPIVOTDATA("Nom",TCD_internat!$A$14,"Genre","Fille","B3 Origine territoriale demande admission effective",$A39)),0,GETPIVOTDATA("Nom",TCD_internat!$A$14,"Genre","Fille","B3 Origine territoriale demande admission effective",$A39))</f>
        <v>0</v>
      </c>
      <c r="D39" s="88">
        <f t="shared" si="6"/>
        <v>0</v>
      </c>
      <c r="E39" s="70" t="e">
        <f t="shared" si="7"/>
        <v>#DIV/0!</v>
      </c>
      <c r="F39" s="70" t="e">
        <f t="shared" si="8"/>
        <v>#DIV/0!</v>
      </c>
      <c r="G39" s="95">
        <f t="shared" si="9"/>
        <v>0</v>
      </c>
    </row>
    <row r="40" spans="1:7" x14ac:dyDescent="0.25">
      <c r="A40" s="39" t="s">
        <v>68</v>
      </c>
      <c r="B40" s="46">
        <f>IF(ISERROR(GETPIVOTDATA("Nom",TCD_internat!$A$14,"Genre","Garçon","B3 Origine territoriale demande admission effective",$A40)),0,GETPIVOTDATA("Nom",TCD_internat!$A$14,"Genre","Garçon","B3 Origine territoriale demande admission effective",$A40))</f>
        <v>0</v>
      </c>
      <c r="C40" s="46">
        <f>IF(ISERROR(GETPIVOTDATA("Nom",TCD_internat!$A$14,"Genre","Fille","B3 Origine territoriale demande admission effective",$A40)),0,GETPIVOTDATA("Nom",TCD_internat!$A$14,"Genre","Fille","B3 Origine territoriale demande admission effective",$A40))</f>
        <v>0</v>
      </c>
      <c r="D40" s="88">
        <f t="shared" si="6"/>
        <v>0</v>
      </c>
      <c r="E40" s="70" t="e">
        <f t="shared" si="7"/>
        <v>#DIV/0!</v>
      </c>
      <c r="F40" s="70" t="e">
        <f t="shared" si="8"/>
        <v>#DIV/0!</v>
      </c>
      <c r="G40" s="95">
        <f t="shared" si="9"/>
        <v>0</v>
      </c>
    </row>
    <row r="41" spans="1:7" x14ac:dyDescent="0.25">
      <c r="A41" s="39" t="s">
        <v>69</v>
      </c>
      <c r="B41" s="46">
        <f>IF(ISERROR(GETPIVOTDATA("Nom",TCD_internat!$A$14,"Genre","Garçon","B3 Origine territoriale demande admission effective",$A41)),0,GETPIVOTDATA("Nom",TCD_internat!$A$14,"Genre","Garçon","B3 Origine territoriale demande admission effective",$A41))</f>
        <v>0</v>
      </c>
      <c r="C41" s="46">
        <f>IF(ISERROR(GETPIVOTDATA("Nom",TCD_internat!$A$14,"Genre","Fille","B3 Origine territoriale demande admission effective",$A41)),0,GETPIVOTDATA("Nom",TCD_internat!$A$14,"Genre","Fille","B3 Origine territoriale demande admission effective",$A41))</f>
        <v>0</v>
      </c>
      <c r="D41" s="88">
        <f t="shared" si="6"/>
        <v>0</v>
      </c>
      <c r="E41" s="70" t="e">
        <f t="shared" si="7"/>
        <v>#DIV/0!</v>
      </c>
      <c r="F41" s="70" t="e">
        <f t="shared" si="8"/>
        <v>#DIV/0!</v>
      </c>
      <c r="G41" s="95">
        <f t="shared" si="9"/>
        <v>0</v>
      </c>
    </row>
    <row r="42" spans="1:7" x14ac:dyDescent="0.25">
      <c r="A42" s="39" t="s">
        <v>70</v>
      </c>
      <c r="B42" s="46">
        <f>IF(ISERROR(GETPIVOTDATA("Nom",TCD_internat!$A$14,"Genre","Garçon","B3 Origine territoriale demande admission effective",$A42)),0,GETPIVOTDATA("Nom",TCD_internat!$A$14,"Genre","Garçon","B3 Origine territoriale demande admission effective",$A42))</f>
        <v>0</v>
      </c>
      <c r="C42" s="46">
        <f>IF(ISERROR(GETPIVOTDATA("Nom",TCD_internat!$A$14,"Genre","Fille","B3 Origine territoriale demande admission effective",$A42)),0,GETPIVOTDATA("Nom",TCD_internat!$A$14,"Genre","Fille","B3 Origine territoriale demande admission effective",$A42))</f>
        <v>0</v>
      </c>
      <c r="D42" s="88">
        <f t="shared" si="6"/>
        <v>0</v>
      </c>
      <c r="E42" s="70" t="e">
        <f t="shared" si="7"/>
        <v>#DIV/0!</v>
      </c>
      <c r="F42" s="70" t="e">
        <f t="shared" si="8"/>
        <v>#DIV/0!</v>
      </c>
      <c r="G42" s="95">
        <f t="shared" si="9"/>
        <v>0</v>
      </c>
    </row>
    <row r="43" spans="1:7" x14ac:dyDescent="0.25">
      <c r="A43" s="39" t="s">
        <v>71</v>
      </c>
      <c r="B43" s="46">
        <f>IF(ISERROR(GETPIVOTDATA("Nom",TCD_internat!$A$14,"Genre","Garçon","B3 Origine territoriale demande admission effective",$A43)),0,GETPIVOTDATA("Nom",TCD_internat!$A$14,"Genre","Garçon","B3 Origine territoriale demande admission effective",$A43))</f>
        <v>0</v>
      </c>
      <c r="C43" s="46">
        <f>IF(ISERROR(GETPIVOTDATA("Nom",TCD_internat!$A$14,"Genre","Fille","B3 Origine territoriale demande admission effective",$A43)),0,GETPIVOTDATA("Nom",TCD_internat!$A$14,"Genre","Fille","B3 Origine territoriale demande admission effective",$A43))</f>
        <v>0</v>
      </c>
      <c r="D43" s="88">
        <f t="shared" si="6"/>
        <v>0</v>
      </c>
      <c r="E43" s="70" t="e">
        <f t="shared" si="7"/>
        <v>#DIV/0!</v>
      </c>
      <c r="F43" s="70" t="e">
        <f t="shared" si="8"/>
        <v>#DIV/0!</v>
      </c>
      <c r="G43" s="95">
        <f t="shared" si="9"/>
        <v>0</v>
      </c>
    </row>
    <row r="44" spans="1:7" x14ac:dyDescent="0.25">
      <c r="A44" s="39" t="s">
        <v>72</v>
      </c>
      <c r="B44" s="46">
        <f>IF(ISERROR(GETPIVOTDATA("Nom",TCD_internat!$A$14,"Genre","Garçon","B3 Origine territoriale demande admission effective",$A44)),0,GETPIVOTDATA("Nom",TCD_internat!$A$14,"Genre","Garçon","B3 Origine territoriale demande admission effective",$A44))</f>
        <v>0</v>
      </c>
      <c r="C44" s="46">
        <f>IF(ISERROR(GETPIVOTDATA("Nom",TCD_internat!$A$14,"Genre","Fille","B3 Origine territoriale demande admission effective",$A44)),0,GETPIVOTDATA("Nom",TCD_internat!$A$14,"Genre","Fille","B3 Origine territoriale demande admission effective",$A44))</f>
        <v>0</v>
      </c>
      <c r="D44" s="88">
        <f t="shared" si="6"/>
        <v>0</v>
      </c>
      <c r="E44" s="70" t="e">
        <f t="shared" si="7"/>
        <v>#DIV/0!</v>
      </c>
      <c r="F44" s="70" t="e">
        <f t="shared" si="8"/>
        <v>#DIV/0!</v>
      </c>
      <c r="G44" s="95">
        <f t="shared" si="9"/>
        <v>0</v>
      </c>
    </row>
    <row r="45" spans="1:7" x14ac:dyDescent="0.25">
      <c r="A45" s="39" t="s">
        <v>73</v>
      </c>
      <c r="B45" s="46">
        <f>IF(ISERROR(GETPIVOTDATA("Nom",TCD_internat!$A$14,"Genre","Garçon","B3 Origine territoriale demande admission effective",$A45)),0,GETPIVOTDATA("Nom",TCD_internat!$A$14,"Genre","Garçon","B3 Origine territoriale demande admission effective",$A45))</f>
        <v>0</v>
      </c>
      <c r="C45" s="46">
        <f>IF(ISERROR(GETPIVOTDATA("Nom",TCD_internat!$A$14,"Genre","Fille","B3 Origine territoriale demande admission effective",$A45)),0,GETPIVOTDATA("Nom",TCD_internat!$A$14,"Genre","Fille","B3 Origine territoriale demande admission effective",$A45))</f>
        <v>0</v>
      </c>
      <c r="D45" s="88">
        <f t="shared" si="6"/>
        <v>0</v>
      </c>
      <c r="E45" s="70" t="e">
        <f t="shared" si="7"/>
        <v>#DIV/0!</v>
      </c>
      <c r="F45" s="70" t="e">
        <f t="shared" si="8"/>
        <v>#DIV/0!</v>
      </c>
      <c r="G45" s="95">
        <f t="shared" si="9"/>
        <v>0</v>
      </c>
    </row>
    <row r="46" spans="1:7" x14ac:dyDescent="0.25">
      <c r="A46" s="39" t="s">
        <v>74</v>
      </c>
      <c r="B46" s="46">
        <f>IF(ISERROR(GETPIVOTDATA("Nom",TCD_internat!$A$14,"Genre","Garçon","B3 Origine territoriale demande admission effective",$A46)),0,GETPIVOTDATA("Nom",TCD_internat!$A$14,"Genre","Garçon","B3 Origine territoriale demande admission effective",$A46))</f>
        <v>0</v>
      </c>
      <c r="C46" s="46">
        <f>IF(ISERROR(GETPIVOTDATA("Nom",TCD_internat!$A$14,"Genre","Fille","B3 Origine territoriale demande admission effective",$A46)),0,GETPIVOTDATA("Nom",TCD_internat!$A$14,"Genre","Fille","B3 Origine territoriale demande admission effective",$A46))</f>
        <v>0</v>
      </c>
      <c r="D46" s="88">
        <f t="shared" si="6"/>
        <v>0</v>
      </c>
      <c r="E46" s="70" t="e">
        <f t="shared" si="7"/>
        <v>#DIV/0!</v>
      </c>
      <c r="F46" s="70" t="e">
        <f t="shared" si="8"/>
        <v>#DIV/0!</v>
      </c>
      <c r="G46" s="95">
        <f t="shared" si="9"/>
        <v>0</v>
      </c>
    </row>
    <row r="47" spans="1:7" x14ac:dyDescent="0.25">
      <c r="A47" s="87" t="s">
        <v>184</v>
      </c>
      <c r="B47" s="88">
        <f>SUM(B25:B46)</f>
        <v>2</v>
      </c>
      <c r="C47" s="88">
        <f>SUM(C25:C46)</f>
        <v>3</v>
      </c>
      <c r="D47" s="88">
        <f>SUM(B47:C47)</f>
        <v>5</v>
      </c>
      <c r="E47" s="89">
        <f>B47/D47</f>
        <v>0.4</v>
      </c>
      <c r="F47" s="89">
        <f t="shared" si="8"/>
        <v>0.6</v>
      </c>
      <c r="G47" s="96">
        <f t="shared" si="9"/>
        <v>0.625</v>
      </c>
    </row>
    <row r="48" spans="1:7" x14ac:dyDescent="0.25">
      <c r="A48" s="39" t="s">
        <v>75</v>
      </c>
      <c r="B48" s="46">
        <f>IF(ISERROR(GETPIVOTDATA("Nom",TCD_internat!$A$14,"Genre","Garçon","B3 Origine territoriale demande admission effective",$A46)),0,GETPIVOTDATA("Nom",TCD_internat!$A$14,"Genre","Garçon","B3 Origine territoriale demande admission effective",$A46))</f>
        <v>0</v>
      </c>
      <c r="C48" s="46">
        <f>IF(ISERROR(GETPIVOTDATA("Nom",TCD_internat!$A$14,"Genre","Fille","B3 Origine territoriale demande admission effective",$A48)),0,GETPIVOTDATA("Nom",TCD_internat!$A$14,"Genre","Fille","B3 Origine territoriale demande admission effective",$A48))</f>
        <v>0</v>
      </c>
      <c r="D48" s="88">
        <f t="shared" si="6"/>
        <v>0</v>
      </c>
      <c r="E48" s="70" t="e">
        <f>B48/D48</f>
        <v>#DIV/0!</v>
      </c>
      <c r="F48" s="70" t="e">
        <f t="shared" si="8"/>
        <v>#DIV/0!</v>
      </c>
      <c r="G48" s="95">
        <f t="shared" si="9"/>
        <v>0</v>
      </c>
    </row>
    <row r="49" spans="1:7" x14ac:dyDescent="0.25">
      <c r="A49" s="39" t="s">
        <v>76</v>
      </c>
      <c r="B49" s="46">
        <f>IF(ISERROR(GETPIVOTDATA("Nom",TCD_internat!$A$14,"Genre","Garçon","B3 Origine territoriale demande admission effective",$A47)),0,GETPIVOTDATA("Nom",TCD_internat!$A$14,"Genre","Garçon","B3 Origine territoriale demande admission effective",$A47))</f>
        <v>0</v>
      </c>
      <c r="C49" s="46">
        <f>IF(ISERROR(GETPIVOTDATA("Nom",TCD_internat!$A$14,"Genre","Fille","B3 Origine territoriale demande admission effective",$A49)),0,GETPIVOTDATA("Nom",TCD_internat!$A$14,"Genre","Fille","B3 Origine territoriale demande admission effective",$A49))</f>
        <v>0</v>
      </c>
      <c r="D49" s="88">
        <f t="shared" si="6"/>
        <v>0</v>
      </c>
      <c r="E49" s="70" t="e">
        <f t="shared" ref="E49:E54" si="10">B49/D49</f>
        <v>#DIV/0!</v>
      </c>
      <c r="F49" s="70" t="e">
        <f t="shared" si="8"/>
        <v>#DIV/0!</v>
      </c>
      <c r="G49" s="95">
        <f t="shared" si="9"/>
        <v>0</v>
      </c>
    </row>
    <row r="50" spans="1:7" x14ac:dyDescent="0.25">
      <c r="A50" s="39" t="s">
        <v>77</v>
      </c>
      <c r="B50" s="46">
        <f>IF(ISERROR(GETPIVOTDATA("Nom",TCD_internat!$A$14,"Genre","Garçon","B3 Origine territoriale demande admission effective",$A48)),0,GETPIVOTDATA("Nom",TCD_internat!$A$14,"Genre","Garçon","B3 Origine territoriale demande admission effective",$A48))</f>
        <v>0</v>
      </c>
      <c r="C50" s="46">
        <f>IF(ISERROR(GETPIVOTDATA("Nom",TCD_internat!$A$14,"Genre","Fille","B3 Origine territoriale demande admission effective",$A50)),0,GETPIVOTDATA("Nom",TCD_internat!$A$14,"Genre","Fille","B3 Origine territoriale demande admission effective",$A50))</f>
        <v>0</v>
      </c>
      <c r="D50" s="88">
        <f t="shared" si="6"/>
        <v>0</v>
      </c>
      <c r="E50" s="70" t="e">
        <f t="shared" si="10"/>
        <v>#DIV/0!</v>
      </c>
      <c r="F50" s="70" t="e">
        <f t="shared" si="8"/>
        <v>#DIV/0!</v>
      </c>
      <c r="G50" s="95">
        <f t="shared" si="9"/>
        <v>0</v>
      </c>
    </row>
    <row r="51" spans="1:7" x14ac:dyDescent="0.25">
      <c r="A51" s="39" t="s">
        <v>78</v>
      </c>
      <c r="B51" s="46">
        <f>IF(ISERROR(GETPIVOTDATA("Nom",TCD_internat!$A$14,"Genre","Garçon","B3 Origine territoriale demande admission effective",$A49)),0,GETPIVOTDATA("Nom",TCD_internat!$A$14,"Genre","Garçon","B3 Origine territoriale demande admission effective",$A49))</f>
        <v>0</v>
      </c>
      <c r="C51" s="46">
        <f>IF(ISERROR(GETPIVOTDATA("Nom",TCD_internat!$A$14,"Genre","Fille","B3 Origine territoriale demande admission effective",$A51)),0,GETPIVOTDATA("Nom",TCD_internat!$A$14,"Genre","Fille","B3 Origine territoriale demande admission effective",$A51))</f>
        <v>0</v>
      </c>
      <c r="D51" s="88">
        <f t="shared" si="6"/>
        <v>0</v>
      </c>
      <c r="E51" s="70" t="e">
        <f t="shared" si="10"/>
        <v>#DIV/0!</v>
      </c>
      <c r="F51" s="70" t="e">
        <f t="shared" si="8"/>
        <v>#DIV/0!</v>
      </c>
      <c r="G51" s="95">
        <f t="shared" si="9"/>
        <v>0</v>
      </c>
    </row>
    <row r="52" spans="1:7" x14ac:dyDescent="0.25">
      <c r="A52" s="39" t="s">
        <v>79</v>
      </c>
      <c r="B52" s="46">
        <f>IF(ISERROR(GETPIVOTDATA("Nom",TCD_internat!$A$14,"Genre","Garçon","B3 Origine territoriale demande admission effective",$A50)),0,GETPIVOTDATA("Nom",TCD_internat!$A$14,"Genre","Garçon","B3 Origine territoriale demande admission effective",$A50))</f>
        <v>0</v>
      </c>
      <c r="C52" s="46">
        <f>IF(ISERROR(GETPIVOTDATA("Nom",TCD_internat!$A$14,"Genre","Fille","B3 Origine territoriale demande admission effective",$A52)),0,GETPIVOTDATA("Nom",TCD_internat!$A$14,"Genre","Fille","B3 Origine territoriale demande admission effective",$A52))</f>
        <v>0</v>
      </c>
      <c r="D52" s="88">
        <f t="shared" si="6"/>
        <v>0</v>
      </c>
      <c r="E52" s="70" t="e">
        <f t="shared" si="10"/>
        <v>#DIV/0!</v>
      </c>
      <c r="F52" s="70" t="e">
        <f t="shared" si="8"/>
        <v>#DIV/0!</v>
      </c>
      <c r="G52" s="95">
        <f t="shared" si="9"/>
        <v>0</v>
      </c>
    </row>
    <row r="53" spans="1:7" x14ac:dyDescent="0.25">
      <c r="A53" s="39" t="s">
        <v>80</v>
      </c>
      <c r="B53" s="46">
        <f>IF(ISERROR(GETPIVOTDATA("Nom",TCD_internat!$A$14,"Genre","Garçon","B3 Origine territoriale demande admission effective",$A51)),0,GETPIVOTDATA("Nom",TCD_internat!$A$14,"Genre","Garçon","B3 Origine territoriale demande admission effective",$A51))</f>
        <v>0</v>
      </c>
      <c r="C53" s="46">
        <f>IF(ISERROR(GETPIVOTDATA("Nom",TCD_internat!$A$14,"Genre","Fille","B3 Origine territoriale demande admission effective",$A53)),0,GETPIVOTDATA("Nom",TCD_internat!$A$14,"Genre","Fille","B3 Origine territoriale demande admission effective",$A53))</f>
        <v>0</v>
      </c>
      <c r="D53" s="88">
        <f t="shared" si="6"/>
        <v>0</v>
      </c>
      <c r="E53" s="70" t="e">
        <f t="shared" si="10"/>
        <v>#DIV/0!</v>
      </c>
      <c r="F53" s="70" t="e">
        <f t="shared" si="8"/>
        <v>#DIV/0!</v>
      </c>
      <c r="G53" s="95">
        <f t="shared" si="9"/>
        <v>0</v>
      </c>
    </row>
    <row r="54" spans="1:7" x14ac:dyDescent="0.25">
      <c r="A54" s="39" t="s">
        <v>81</v>
      </c>
      <c r="B54" s="46">
        <f>IF(ISERROR(GETPIVOTDATA("Nom",TCD_internat!$A$14,"Genre","Garçon","B3 Origine territoriale demande admission effective",$A52)),0,GETPIVOTDATA("Nom",TCD_internat!$A$14,"Genre","Garçon","B3 Origine territoriale demande admission effective",$A52))</f>
        <v>0</v>
      </c>
      <c r="C54" s="46">
        <f>IF(ISERROR(GETPIVOTDATA("Nom",TCD_internat!$A$14,"Genre","Fille","B3 Origine territoriale demande admission effective",$A54)),0,GETPIVOTDATA("Nom",TCD_internat!$A$14,"Genre","Fille","B3 Origine territoriale demande admission effective",$A54))</f>
        <v>0</v>
      </c>
      <c r="D54" s="88">
        <f t="shared" si="6"/>
        <v>0</v>
      </c>
      <c r="E54" s="70" t="e">
        <f t="shared" si="10"/>
        <v>#DIV/0!</v>
      </c>
      <c r="F54" s="70" t="e">
        <f t="shared" si="8"/>
        <v>#DIV/0!</v>
      </c>
      <c r="G54" s="95">
        <f>D54/D$15</f>
        <v>0</v>
      </c>
    </row>
    <row r="55" spans="1:7" ht="24.75" thickBot="1" x14ac:dyDescent="0.3">
      <c r="A55" s="97" t="s">
        <v>185</v>
      </c>
      <c r="B55" s="46">
        <f>IF(ISERROR(GETPIVOTDATA("Nom",TCD_internat!$A$14,"Genre","Garçon","B3 Origine territoriale demande admission effective",$A53)),0,GETPIVOTDATA("Nom",TCD_internat!$A$14,"Genre","Garçon","B3 Origine territoriale demande admission effective",$A53))</f>
        <v>0</v>
      </c>
      <c r="C55" s="46">
        <f>IF(ISERROR(GETPIVOTDATA("Nom",TCD_internat!$A$14,"Genre","Garçon","B3 Origine territoriale demande admission effective",$A55)),0,GETPIVOTDATA("Nom",TCD_internat!$A$14,"Genre","Fille","B3 Origine territoriale demande admission effective",$A55))</f>
        <v>0</v>
      </c>
      <c r="D55" s="98">
        <f t="shared" si="6"/>
        <v>0</v>
      </c>
      <c r="E55" s="99" t="e">
        <f>B55/D55</f>
        <v>#DIV/0!</v>
      </c>
      <c r="F55" s="99" t="e">
        <f>C55/D55</f>
        <v>#DIV/0!</v>
      </c>
      <c r="G55" s="100">
        <f>D55/D$15</f>
        <v>0</v>
      </c>
    </row>
    <row r="56" spans="1:7" x14ac:dyDescent="0.25">
      <c r="A56" s="101"/>
      <c r="B56" s="38"/>
      <c r="C56" s="38"/>
      <c r="D56" s="38"/>
      <c r="E56" s="38"/>
      <c r="F56" s="54"/>
      <c r="G56" s="102"/>
    </row>
    <row r="57" spans="1:7" x14ac:dyDescent="0.25">
      <c r="A57" s="103" t="s">
        <v>186</v>
      </c>
      <c r="B57" s="104"/>
      <c r="C57" s="104"/>
      <c r="D57" s="104"/>
      <c r="E57" s="38"/>
      <c r="F57" s="38"/>
      <c r="G57" s="38"/>
    </row>
    <row r="58" spans="1:7" ht="71.25" customHeight="1" x14ac:dyDescent="0.25">
      <c r="A58" s="323"/>
      <c r="B58" s="324"/>
      <c r="C58" s="324"/>
      <c r="D58" s="324"/>
      <c r="E58" s="324"/>
      <c r="F58" s="324"/>
      <c r="G58" s="324"/>
    </row>
    <row r="61" spans="1:7" ht="15.75" x14ac:dyDescent="0.25">
      <c r="A61" s="320" t="s">
        <v>187</v>
      </c>
      <c r="B61" s="320"/>
      <c r="C61" s="320"/>
      <c r="D61" s="320"/>
      <c r="E61" s="320"/>
      <c r="F61" s="320"/>
    </row>
    <row r="62" spans="1:7" x14ac:dyDescent="0.25">
      <c r="A62" s="30"/>
      <c r="B62" s="31"/>
      <c r="C62" s="32"/>
      <c r="D62" s="32"/>
      <c r="E62" s="32"/>
      <c r="F62" s="32"/>
    </row>
    <row r="63" spans="1:7" ht="21.75" customHeight="1" x14ac:dyDescent="0.25">
      <c r="A63" s="318" t="s">
        <v>188</v>
      </c>
      <c r="B63" s="318"/>
      <c r="C63" s="318"/>
      <c r="D63" s="318"/>
      <c r="E63" s="318"/>
      <c r="F63" s="318"/>
    </row>
    <row r="64" spans="1:7" ht="33" customHeight="1" x14ac:dyDescent="0.25">
      <c r="A64" s="318" t="s">
        <v>189</v>
      </c>
      <c r="B64" s="318"/>
      <c r="C64" s="318"/>
      <c r="D64" s="318"/>
      <c r="E64" s="318"/>
      <c r="F64" s="318"/>
    </row>
    <row r="65" spans="1:8" ht="15.75" thickBot="1" x14ac:dyDescent="0.3">
      <c r="A65" s="30"/>
      <c r="B65" s="105"/>
      <c r="C65" s="106"/>
      <c r="D65" s="106"/>
      <c r="E65" s="106"/>
      <c r="F65" s="106"/>
    </row>
    <row r="66" spans="1:8" ht="29.25" customHeight="1" x14ac:dyDescent="0.25">
      <c r="A66" s="33" t="s">
        <v>190</v>
      </c>
      <c r="B66" s="34" t="s">
        <v>159</v>
      </c>
      <c r="C66" s="35" t="s">
        <v>160</v>
      </c>
      <c r="D66" s="35" t="s">
        <v>161</v>
      </c>
      <c r="E66" s="36" t="s">
        <v>191</v>
      </c>
      <c r="F66" s="107" t="s">
        <v>192</v>
      </c>
    </row>
    <row r="67" spans="1:8" ht="24.75" thickBot="1" x14ac:dyDescent="0.3">
      <c r="A67" s="97" t="s">
        <v>193</v>
      </c>
      <c r="B67" s="82">
        <f>GETPIVOTDATA("Nom",TCD_internat!$A$25,"Genre","Garçon")</f>
        <v>7</v>
      </c>
      <c r="C67" s="83">
        <f>GETPIVOTDATA("Nom",TCD_internat!$A$25,"Genre","Fille")</f>
        <v>11</v>
      </c>
      <c r="D67" s="108">
        <f>SUM(B67:C67)</f>
        <v>18</v>
      </c>
      <c r="E67" s="52">
        <f>B67/D67</f>
        <v>0.3888888888888889</v>
      </c>
      <c r="F67" s="53">
        <f>C67/D67</f>
        <v>0.61111111111111116</v>
      </c>
    </row>
    <row r="68" spans="1:8" ht="15.75" thickBot="1" x14ac:dyDescent="0.3"/>
    <row r="69" spans="1:8" ht="24" x14ac:dyDescent="0.25">
      <c r="A69" s="33" t="s">
        <v>194</v>
      </c>
      <c r="B69" s="34" t="s">
        <v>159</v>
      </c>
      <c r="C69" s="35" t="s">
        <v>160</v>
      </c>
      <c r="D69" s="35" t="s">
        <v>161</v>
      </c>
      <c r="E69" s="109" t="s">
        <v>195</v>
      </c>
      <c r="F69" s="37" t="s">
        <v>196</v>
      </c>
    </row>
    <row r="70" spans="1:8" ht="24.75" thickBot="1" x14ac:dyDescent="0.3">
      <c r="A70" s="49" t="s">
        <v>197</v>
      </c>
      <c r="B70" s="110">
        <f>GETPIVOTDATA("Nom",TCD_internat!$H$14,"Genre","Garçon")</f>
        <v>4</v>
      </c>
      <c r="C70" s="111">
        <f>GETPIVOTDATA("Nom",TCD_internat!$H$14,"Genre","Fille")</f>
        <v>4</v>
      </c>
      <c r="D70" s="42">
        <f>SUM(B70:C70)</f>
        <v>8</v>
      </c>
      <c r="E70" s="99">
        <f>B70/D70</f>
        <v>0.5</v>
      </c>
      <c r="F70" s="53">
        <f>C70/D70</f>
        <v>0.5</v>
      </c>
    </row>
    <row r="71" spans="1:8" ht="15.75" thickBot="1" x14ac:dyDescent="0.3">
      <c r="A71" s="112" t="s">
        <v>198</v>
      </c>
      <c r="B71" s="113">
        <f>B70/B67</f>
        <v>0.5714285714285714</v>
      </c>
      <c r="C71" s="113">
        <f>C70/C67</f>
        <v>0.36363636363636365</v>
      </c>
      <c r="D71" s="114">
        <f>D70/D67</f>
        <v>0.44444444444444442</v>
      </c>
      <c r="E71" s="115"/>
    </row>
    <row r="72" spans="1:8" ht="72" x14ac:dyDescent="0.25">
      <c r="A72" s="116" t="s">
        <v>199</v>
      </c>
      <c r="B72" s="34" t="s">
        <v>159</v>
      </c>
      <c r="C72" s="35" t="s">
        <v>160</v>
      </c>
      <c r="D72" s="35" t="s">
        <v>161</v>
      </c>
      <c r="E72" s="109" t="s">
        <v>162</v>
      </c>
      <c r="F72" s="109" t="s">
        <v>163</v>
      </c>
      <c r="G72" s="37" t="s">
        <v>200</v>
      </c>
    </row>
    <row r="73" spans="1:8" x14ac:dyDescent="0.25">
      <c r="A73" s="299" t="s">
        <v>328</v>
      </c>
      <c r="B73" s="41">
        <f>IF(ISERROR(GETPIVOTDATA("Nom",TCD_internat!$H$14,"Genre","Garçon","Date entrée",$A73)),0,GETPIVOTDATA("Nom",TCD_internat!$H$14,"Genre","Garçon","Date entrée",$A73))</f>
        <v>0</v>
      </c>
      <c r="C73" s="41">
        <f>IF(ISERROR(GETPIVOTDATA("Nom",TCD_internat!$H$14,"Genre","Fille","Date entrée",$A73)),0,GETPIVOTDATA("Nom",TCD_internat!$H$14,"Genre","Fille","Date entrée",$A73))</f>
        <v>0</v>
      </c>
      <c r="D73" s="42">
        <f>SUM(B73:C73)</f>
        <v>0</v>
      </c>
      <c r="E73" s="70" t="e">
        <f>B73/D73</f>
        <v>#DIV/0!</v>
      </c>
      <c r="F73" s="70" t="e">
        <f>C73/D73</f>
        <v>#DIV/0!</v>
      </c>
      <c r="G73" s="45">
        <f>D73/$D$85</f>
        <v>0</v>
      </c>
      <c r="H73" s="117"/>
    </row>
    <row r="74" spans="1:8" x14ac:dyDescent="0.25">
      <c r="A74" s="299" t="s">
        <v>329</v>
      </c>
      <c r="B74" s="41">
        <f>IF(ISERROR(GETPIVOTDATA("Nom",TCD_internat!$H$14,"Genre","Garçon","Date entrée",$A74)),0,GETPIVOTDATA("Nom",TCD_internat!$H$14,"Genre","Garçon","Date entrée",$A74))</f>
        <v>2</v>
      </c>
      <c r="C74" s="41">
        <f>IF(ISERROR(GETPIVOTDATA("Nom",TCD_internat!$H$14,"Genre","Fille","Date entrée",$A74)),0,GETPIVOTDATA("Nom",TCD_internat!$H$14,"Genre","Fille","Date entrée",$A74))</f>
        <v>1</v>
      </c>
      <c r="D74" s="42">
        <f t="shared" ref="D74:D85" si="11">SUM(B74:C74)</f>
        <v>3</v>
      </c>
      <c r="E74" s="70">
        <f t="shared" ref="E74:E83" si="12">B74/D74</f>
        <v>0.66666666666666663</v>
      </c>
      <c r="F74" s="70">
        <f t="shared" ref="F74:F85" si="13">C74/D74</f>
        <v>0.33333333333333331</v>
      </c>
      <c r="G74" s="44">
        <f t="shared" ref="G74:G84" si="14">D74/$D$85</f>
        <v>0.375</v>
      </c>
    </row>
    <row r="75" spans="1:8" x14ac:dyDescent="0.25">
      <c r="A75" s="299" t="s">
        <v>330</v>
      </c>
      <c r="B75" s="41">
        <f>IF(ISERROR(GETPIVOTDATA("Nom",TCD_internat!$H$14,"Genre","Garçon","Date entrée",$A75)),0,GETPIVOTDATA("Nom",TCD_internat!$H$14,"Genre","Garçon","Date entrée",$A75))</f>
        <v>0</v>
      </c>
      <c r="C75" s="41">
        <f>IF(ISERROR(GETPIVOTDATA("Nom",TCD_internat!$H$14,"Genre","Fille","Date entrée",$A75)),0,GETPIVOTDATA("Nom",TCD_internat!$H$14,"Genre","Fille","Date entrée",$A75))</f>
        <v>1</v>
      </c>
      <c r="D75" s="42">
        <f t="shared" si="11"/>
        <v>1</v>
      </c>
      <c r="E75" s="70">
        <f t="shared" si="12"/>
        <v>0</v>
      </c>
      <c r="F75" s="70">
        <f t="shared" si="13"/>
        <v>1</v>
      </c>
      <c r="G75" s="44">
        <f t="shared" si="14"/>
        <v>0.125</v>
      </c>
    </row>
    <row r="76" spans="1:8" x14ac:dyDescent="0.25">
      <c r="A76" s="299" t="s">
        <v>336</v>
      </c>
      <c r="B76" s="41">
        <f>IF(ISERROR(GETPIVOTDATA("Nom",TCD_internat!$H$14,"Genre","Garçon","Date entrée",$A76)),0,GETPIVOTDATA("Nom",TCD_internat!$H$14,"Genre","Garçon","Date entrée",$A76))</f>
        <v>1</v>
      </c>
      <c r="C76" s="41">
        <f>IF(ISERROR(GETPIVOTDATA("Nom",TCD_internat!$H$14,"Genre","Fille","Date entrée",$A76)),0,GETPIVOTDATA("Nom",TCD_internat!$H$14,"Genre","Fille","Date entrée",$A76))</f>
        <v>0</v>
      </c>
      <c r="D76" s="42">
        <f t="shared" si="11"/>
        <v>1</v>
      </c>
      <c r="E76" s="70">
        <f t="shared" si="12"/>
        <v>1</v>
      </c>
      <c r="F76" s="70">
        <f t="shared" si="13"/>
        <v>0</v>
      </c>
      <c r="G76" s="44">
        <f t="shared" si="14"/>
        <v>0.125</v>
      </c>
    </row>
    <row r="77" spans="1:8" x14ac:dyDescent="0.25">
      <c r="A77" s="299" t="s">
        <v>338</v>
      </c>
      <c r="B77" s="41">
        <f>IF(ISERROR(GETPIVOTDATA("Nom",TCD_internat!$H$14,"Genre","Garçon","Date entrée",$A77)),0,GETPIVOTDATA("Nom",TCD_internat!$H$14,"Genre","Garçon","Date entrée",$A77))</f>
        <v>0</v>
      </c>
      <c r="C77" s="41">
        <f>IF(ISERROR(GETPIVOTDATA("Nom",TCD_internat!$H$14,"Genre","Fille","Date entrée",$A77)),0,GETPIVOTDATA("Nom",TCD_internat!$H$14,"Genre","Fille","Date entrée",$A77))</f>
        <v>1</v>
      </c>
      <c r="D77" s="42">
        <f t="shared" si="11"/>
        <v>1</v>
      </c>
      <c r="E77" s="70">
        <f t="shared" si="12"/>
        <v>0</v>
      </c>
      <c r="F77" s="70">
        <f t="shared" si="13"/>
        <v>1</v>
      </c>
      <c r="G77" s="44">
        <f t="shared" si="14"/>
        <v>0.125</v>
      </c>
    </row>
    <row r="78" spans="1:8" x14ac:dyDescent="0.25">
      <c r="A78" s="299" t="s">
        <v>331</v>
      </c>
      <c r="B78" s="41">
        <f>IF(ISERROR(GETPIVOTDATA("Nom",TCD_internat!$H$14,"Genre","Garçon","Date entrée",$A78)),0,GETPIVOTDATA("Nom",TCD_internat!$H$14,"Genre","Garçon","Date entrée",$A78))</f>
        <v>0</v>
      </c>
      <c r="C78" s="41">
        <f>IF(ISERROR(GETPIVOTDATA("Nom",TCD_internat!$H$14,"Genre","Fille","Date entrée",$A78)),0,GETPIVOTDATA("Nom",TCD_internat!$H$14,"Genre","Fille","Date entrée",$A78))</f>
        <v>0</v>
      </c>
      <c r="D78" s="42">
        <f t="shared" si="11"/>
        <v>0</v>
      </c>
      <c r="E78" s="70" t="e">
        <f t="shared" si="12"/>
        <v>#DIV/0!</v>
      </c>
      <c r="F78" s="70" t="e">
        <f t="shared" si="13"/>
        <v>#DIV/0!</v>
      </c>
      <c r="G78" s="44">
        <f t="shared" si="14"/>
        <v>0</v>
      </c>
    </row>
    <row r="79" spans="1:8" x14ac:dyDescent="0.25">
      <c r="A79" s="299" t="s">
        <v>337</v>
      </c>
      <c r="B79" s="41">
        <f>IF(ISERROR(GETPIVOTDATA("Nom",TCD_internat!$H$14,"Genre","Garçon","Date entrée",$A79)),0,GETPIVOTDATA("Nom",TCD_internat!$H$14,"Genre","Garçon","Date entrée",$A79))</f>
        <v>0</v>
      </c>
      <c r="C79" s="41">
        <f>IF(ISERROR(GETPIVOTDATA("Nom",TCD_internat!$H$14,"Genre","Fille","Date entrée",$A79)),0,GETPIVOTDATA("Nom",TCD_internat!$H$14,"Genre","Fille","Date entrée",$A79))</f>
        <v>0</v>
      </c>
      <c r="D79" s="42">
        <f t="shared" si="11"/>
        <v>0</v>
      </c>
      <c r="E79" s="70" t="e">
        <f t="shared" si="12"/>
        <v>#DIV/0!</v>
      </c>
      <c r="F79" s="70" t="e">
        <f t="shared" si="13"/>
        <v>#DIV/0!</v>
      </c>
      <c r="G79" s="44">
        <f t="shared" si="14"/>
        <v>0</v>
      </c>
    </row>
    <row r="80" spans="1:8" x14ac:dyDescent="0.25">
      <c r="A80" s="299" t="s">
        <v>339</v>
      </c>
      <c r="B80" s="41">
        <f>IF(ISERROR(GETPIVOTDATA("Nom",TCD_internat!$H$14,"Genre","Garçon","Date entrée",$A80)),0,GETPIVOTDATA("Nom",TCD_internat!$H$14,"Genre","Garçon","Date entrée",$A80))</f>
        <v>0</v>
      </c>
      <c r="C80" s="41">
        <f>IF(ISERROR(GETPIVOTDATA("Nom",TCD_internat!$H$14,"Genre","Fille","Date entrée",$A80)),0,GETPIVOTDATA("Nom",TCD_internat!$H$14,"Genre","Fille","Date entrée",$A80))</f>
        <v>0</v>
      </c>
      <c r="D80" s="42">
        <f t="shared" si="11"/>
        <v>0</v>
      </c>
      <c r="E80" s="70" t="e">
        <f t="shared" si="12"/>
        <v>#DIV/0!</v>
      </c>
      <c r="F80" s="70" t="e">
        <f t="shared" si="13"/>
        <v>#DIV/0!</v>
      </c>
      <c r="G80" s="44">
        <f t="shared" si="14"/>
        <v>0</v>
      </c>
    </row>
    <row r="81" spans="1:7" x14ac:dyDescent="0.25">
      <c r="A81" s="299" t="s">
        <v>340</v>
      </c>
      <c r="B81" s="41">
        <f>IF(ISERROR(GETPIVOTDATA("Nom",TCD_internat!$H$14,"Genre","Garçon","Date entrée",$A81)),0,GETPIVOTDATA("Nom",TCD_internat!$H$14,"Genre","Garçon","Date entrée",$A81))</f>
        <v>0</v>
      </c>
      <c r="C81" s="41">
        <f>IF(ISERROR(GETPIVOTDATA("Nom",TCD_internat!$H$14,"Genre","Fille","Date entrée",$A81)),0,GETPIVOTDATA("Nom",TCD_internat!$H$14,"Genre","Fille","Date entrée",$A81))</f>
        <v>0</v>
      </c>
      <c r="D81" s="42">
        <f t="shared" si="11"/>
        <v>0</v>
      </c>
      <c r="E81" s="70" t="e">
        <f t="shared" si="12"/>
        <v>#DIV/0!</v>
      </c>
      <c r="F81" s="70" t="e">
        <f t="shared" si="13"/>
        <v>#DIV/0!</v>
      </c>
      <c r="G81" s="44">
        <f t="shared" si="14"/>
        <v>0</v>
      </c>
    </row>
    <row r="82" spans="1:7" x14ac:dyDescent="0.25">
      <c r="A82" s="299" t="s">
        <v>332</v>
      </c>
      <c r="B82" s="41">
        <f>IF(ISERROR(GETPIVOTDATA("Nom",TCD_internat!$H$14,"Genre","Garçon","Date entrée",$A82)),0,GETPIVOTDATA("Nom",TCD_internat!$H$14,"Genre","Garçon","Date entrée",$A82))</f>
        <v>1</v>
      </c>
      <c r="C82" s="41">
        <f>IF(ISERROR(GETPIVOTDATA("Nom",TCD_internat!$H$14,"Genre","Fille","Date entrée",$A82)),0,GETPIVOTDATA("Nom",TCD_internat!$H$14,"Genre","Fille","Date entrée",$A82))</f>
        <v>1</v>
      </c>
      <c r="D82" s="42">
        <f t="shared" si="11"/>
        <v>2</v>
      </c>
      <c r="E82" s="70">
        <f t="shared" si="12"/>
        <v>0.5</v>
      </c>
      <c r="F82" s="70">
        <f t="shared" si="13"/>
        <v>0.5</v>
      </c>
      <c r="G82" s="44">
        <f t="shared" si="14"/>
        <v>0.25</v>
      </c>
    </row>
    <row r="83" spans="1:7" x14ac:dyDescent="0.25">
      <c r="A83" s="299" t="s">
        <v>333</v>
      </c>
      <c r="B83" s="41">
        <f>IF(ISERROR(GETPIVOTDATA("Nom",TCD_internat!$H$14,"Genre","Garçon","Date entrée",$A83)),0,GETPIVOTDATA("Nom",TCD_internat!$H$14,"Genre","Garçon","Date entrée",$A83))</f>
        <v>0</v>
      </c>
      <c r="C83" s="41">
        <f>IF(ISERROR(GETPIVOTDATA("Nom",TCD_internat!$H$14,"Genre","Fille","Date entrée",$A83)),0,GETPIVOTDATA("Nom",TCD_internat!$H$14,"Genre","Fille","Date entrée",$A83))</f>
        <v>0</v>
      </c>
      <c r="D83" s="42">
        <f t="shared" si="11"/>
        <v>0</v>
      </c>
      <c r="E83" s="70" t="e">
        <f t="shared" si="12"/>
        <v>#DIV/0!</v>
      </c>
      <c r="F83" s="70" t="e">
        <f t="shared" si="13"/>
        <v>#DIV/0!</v>
      </c>
      <c r="G83" s="44">
        <f t="shared" si="14"/>
        <v>0</v>
      </c>
    </row>
    <row r="84" spans="1:7" x14ac:dyDescent="0.25">
      <c r="A84" s="299" t="s">
        <v>334</v>
      </c>
      <c r="B84" s="41">
        <f>IF(ISERROR(GETPIVOTDATA("Nom",TCD_internat!$H$14,"Genre","Garçon","Date entrée",$A84)),0,GETPIVOTDATA("Nom",TCD_internat!$H$14,"Genre","Garçon","Date entrée",$A84))</f>
        <v>0</v>
      </c>
      <c r="C84" s="41">
        <f>IF(ISERROR(GETPIVOTDATA("Nom",TCD_internat!$H$14,"Genre","Fille","Date entrée",$A84)),0,GETPIVOTDATA("Nom",TCD_internat!$H$14,"Genre","Fille","Date entrée",$A84))</f>
        <v>0</v>
      </c>
      <c r="D84" s="42">
        <f t="shared" si="11"/>
        <v>0</v>
      </c>
      <c r="E84" s="70" t="e">
        <f>B84/D84</f>
        <v>#DIV/0!</v>
      </c>
      <c r="F84" s="70" t="e">
        <f t="shared" si="13"/>
        <v>#DIV/0!</v>
      </c>
      <c r="G84" s="44">
        <f t="shared" si="14"/>
        <v>0</v>
      </c>
    </row>
    <row r="85" spans="1:7" ht="15.75" thickBot="1" x14ac:dyDescent="0.3">
      <c r="A85" s="118" t="s">
        <v>201</v>
      </c>
      <c r="B85" s="119">
        <f>SUM(B73:B84)</f>
        <v>4</v>
      </c>
      <c r="C85" s="119">
        <f>SUM(C73:C84)</f>
        <v>4</v>
      </c>
      <c r="D85" s="42">
        <f t="shared" si="11"/>
        <v>8</v>
      </c>
      <c r="E85" s="99">
        <f>B85/D85</f>
        <v>0.5</v>
      </c>
      <c r="F85" s="99">
        <f t="shared" si="13"/>
        <v>0.5</v>
      </c>
      <c r="G85" s="53">
        <f>D85/$D$85</f>
        <v>1</v>
      </c>
    </row>
    <row r="86" spans="1:7" ht="53.25" customHeight="1" thickBot="1" x14ac:dyDescent="0.3">
      <c r="A86" s="120" t="s">
        <v>183</v>
      </c>
      <c r="B86" s="121" t="str">
        <f>IF(B85&gt;=B70,"OK","Ces totaux doivent être supérieurs ou égaux aux nombres d'individus admis sur l'année")</f>
        <v>OK</v>
      </c>
      <c r="C86" s="121" t="str">
        <f t="shared" ref="C86:D86" si="15">IF(C85&gt;=C70,"OK","Ces totaux doivent être supérieurs ou égaux aux nombres d'individus admis sur l'année")</f>
        <v>OK</v>
      </c>
      <c r="D86" s="122" t="str">
        <f t="shared" si="15"/>
        <v>OK</v>
      </c>
      <c r="E86" s="78"/>
    </row>
    <row r="87" spans="1:7" ht="15.75" thickBot="1" x14ac:dyDescent="0.3"/>
    <row r="88" spans="1:7" ht="24" x14ac:dyDescent="0.25">
      <c r="A88" s="33" t="s">
        <v>202</v>
      </c>
      <c r="B88" s="34" t="s">
        <v>159</v>
      </c>
      <c r="C88" s="35" t="s">
        <v>160</v>
      </c>
      <c r="D88" s="35" t="s">
        <v>161</v>
      </c>
      <c r="E88" s="36" t="s">
        <v>203</v>
      </c>
      <c r="F88" s="37" t="s">
        <v>204</v>
      </c>
      <c r="G88" s="123"/>
    </row>
    <row r="89" spans="1:7" ht="15.75" thickBot="1" x14ac:dyDescent="0.3">
      <c r="A89" s="39" t="s">
        <v>205</v>
      </c>
      <c r="B89" s="40">
        <f>GETPIVOTDATA("Nom",TCD_internat!$H$32,"Genre","Garçon")</f>
        <v>3</v>
      </c>
      <c r="C89" s="41">
        <f>GETPIVOTDATA("Nom",TCD_internat!$H$32,"Genre","Fille")</f>
        <v>4</v>
      </c>
      <c r="D89" s="42">
        <f>SUM(B89:C89)</f>
        <v>7</v>
      </c>
      <c r="E89" s="124">
        <f>B89/D89</f>
        <v>0.42857142857142855</v>
      </c>
      <c r="F89" s="125">
        <f>C89/D89</f>
        <v>0.5714285714285714</v>
      </c>
      <c r="G89" s="126"/>
    </row>
    <row r="90" spans="1:7" ht="15.75" thickBot="1" x14ac:dyDescent="0.3">
      <c r="A90" s="127" t="s">
        <v>198</v>
      </c>
      <c r="B90" s="128">
        <f>B89/B67</f>
        <v>0.42857142857142855</v>
      </c>
      <c r="C90" s="128">
        <f>C89/C67</f>
        <v>0.36363636363636365</v>
      </c>
      <c r="D90" s="129">
        <f>D89/D67</f>
        <v>0.3888888888888889</v>
      </c>
      <c r="E90" s="130"/>
      <c r="F90" s="131"/>
      <c r="G90" s="126"/>
    </row>
    <row r="91" spans="1:7" ht="72" x14ac:dyDescent="0.25">
      <c r="A91" s="116" t="s">
        <v>206</v>
      </c>
      <c r="B91" s="34" t="s">
        <v>159</v>
      </c>
      <c r="C91" s="35" t="s">
        <v>160</v>
      </c>
      <c r="D91" s="35" t="s">
        <v>161</v>
      </c>
      <c r="E91" s="109" t="s">
        <v>162</v>
      </c>
      <c r="F91" s="109" t="s">
        <v>163</v>
      </c>
      <c r="G91" s="37" t="s">
        <v>207</v>
      </c>
    </row>
    <row r="92" spans="1:7" x14ac:dyDescent="0.25">
      <c r="A92" s="299" t="s">
        <v>328</v>
      </c>
      <c r="B92" s="40">
        <f>IF(ISERROR(GETPIVOTDATA("Nom",TCD_internat!$H$32,"Genre","Garçon","Date sortie",$A92)),0,GETPIVOTDATA("Nom",TCD_internat!$H$32,"Genre","Garçon","Date sortie",$A92))</f>
        <v>0</v>
      </c>
      <c r="C92" s="40">
        <f>IF(ISERROR(GETPIVOTDATA("Nom",TCD_internat!$H$32,"Genre","Fille","Date sortie",$A92)),0,GETPIVOTDATA("Nom",TCD_internat!$H$32,"Genre","Fille","Date sortie",$A92))</f>
        <v>0</v>
      </c>
      <c r="D92" s="42">
        <f>SUM(B92:C92)</f>
        <v>0</v>
      </c>
      <c r="E92" s="70" t="e">
        <f>B92/D92</f>
        <v>#DIV/0!</v>
      </c>
      <c r="F92" s="70" t="e">
        <f>C92/D92</f>
        <v>#DIV/0!</v>
      </c>
      <c r="G92" s="44">
        <f>D92/D$104</f>
        <v>0</v>
      </c>
    </row>
    <row r="93" spans="1:7" x14ac:dyDescent="0.25">
      <c r="A93" s="299" t="s">
        <v>329</v>
      </c>
      <c r="B93" s="40">
        <f>IF(ISERROR(GETPIVOTDATA("Nom",TCD_internat!$H$32,"Genre","Garçon","Date sortie",$A93)),0,GETPIVOTDATA("Nom",TCD_internat!$H$32,"Genre","Garçon","Date sortie",$A93))</f>
        <v>0</v>
      </c>
      <c r="C93" s="40">
        <f>IF(ISERROR(GETPIVOTDATA("Nom",TCD_internat!$H$32,"Genre","Fille","Date sortie",$A93)),0,GETPIVOTDATA("Nom",TCD_internat!$H$32,"Genre","Fille","Date sortie",$A93))</f>
        <v>0</v>
      </c>
      <c r="D93" s="42">
        <f t="shared" ref="D93:D104" si="16">SUM(B93:C93)</f>
        <v>0</v>
      </c>
      <c r="E93" s="70" t="e">
        <f t="shared" ref="E93:E104" si="17">B93/D93</f>
        <v>#DIV/0!</v>
      </c>
      <c r="F93" s="70" t="e">
        <f t="shared" ref="F93:F104" si="18">C93/D93</f>
        <v>#DIV/0!</v>
      </c>
      <c r="G93" s="44">
        <f t="shared" ref="G93:G103" si="19">D93/D$104</f>
        <v>0</v>
      </c>
    </row>
    <row r="94" spans="1:7" x14ac:dyDescent="0.25">
      <c r="A94" s="299" t="s">
        <v>330</v>
      </c>
      <c r="B94" s="40">
        <f>IF(ISERROR(GETPIVOTDATA("Nom",TCD_internat!$H$32,"Genre","Garçon","Date sortie",$A94)),0,GETPIVOTDATA("Nom",TCD_internat!$H$32,"Genre","Garçon","Date sortie",$A94))</f>
        <v>0</v>
      </c>
      <c r="C94" s="40">
        <f>IF(ISERROR(GETPIVOTDATA("Nom",TCD_internat!$H$32,"Genre","Fille","Date sortie",$A94)),0,GETPIVOTDATA("Nom",TCD_internat!$H$32,"Genre","Fille","Date sortie",$A94))</f>
        <v>0</v>
      </c>
      <c r="D94" s="42">
        <f t="shared" si="16"/>
        <v>0</v>
      </c>
      <c r="E94" s="70" t="e">
        <f t="shared" si="17"/>
        <v>#DIV/0!</v>
      </c>
      <c r="F94" s="70" t="e">
        <f t="shared" si="18"/>
        <v>#DIV/0!</v>
      </c>
      <c r="G94" s="44">
        <f t="shared" si="19"/>
        <v>0</v>
      </c>
    </row>
    <row r="95" spans="1:7" x14ac:dyDescent="0.25">
      <c r="A95" s="299" t="s">
        <v>336</v>
      </c>
      <c r="B95" s="40">
        <f>IF(ISERROR(GETPIVOTDATA("Nom",TCD_internat!$H$32,"Genre","Garçon","Date sortie",$A95)),0,GETPIVOTDATA("Nom",TCD_internat!$H$32,"Genre","Garçon","Date sortie",$A95))</f>
        <v>1</v>
      </c>
      <c r="C95" s="40">
        <f>IF(ISERROR(GETPIVOTDATA("Nom",TCD_internat!$H$32,"Genre","Fille","Date sortie",$A95)),0,GETPIVOTDATA("Nom",TCD_internat!$H$32,"Genre","Fille","Date sortie",$A95))</f>
        <v>0</v>
      </c>
      <c r="D95" s="42">
        <f t="shared" si="16"/>
        <v>1</v>
      </c>
      <c r="E95" s="70">
        <f t="shared" si="17"/>
        <v>1</v>
      </c>
      <c r="F95" s="70">
        <f t="shared" si="18"/>
        <v>0</v>
      </c>
      <c r="G95" s="44">
        <f t="shared" si="19"/>
        <v>0.14285714285714285</v>
      </c>
    </row>
    <row r="96" spans="1:7" x14ac:dyDescent="0.25">
      <c r="A96" s="299" t="s">
        <v>338</v>
      </c>
      <c r="B96" s="40">
        <f>IF(ISERROR(GETPIVOTDATA("Nom",TCD_internat!$H$32,"Genre","Garçon","Date sortie",$A96)),0,GETPIVOTDATA("Nom",TCD_internat!$H$32,"Genre","Garçon","Date sortie",$A96))</f>
        <v>1</v>
      </c>
      <c r="C96" s="40">
        <f>IF(ISERROR(GETPIVOTDATA("Nom",TCD_internat!$H$32,"Genre","Fille","Date sortie",$A96)),0,GETPIVOTDATA("Nom",TCD_internat!$H$32,"Genre","Fille","Date sortie",$A96))</f>
        <v>2</v>
      </c>
      <c r="D96" s="42">
        <f t="shared" si="16"/>
        <v>3</v>
      </c>
      <c r="E96" s="70">
        <f t="shared" si="17"/>
        <v>0.33333333333333331</v>
      </c>
      <c r="F96" s="70">
        <f t="shared" si="18"/>
        <v>0.66666666666666663</v>
      </c>
      <c r="G96" s="44">
        <f t="shared" si="19"/>
        <v>0.42857142857142855</v>
      </c>
    </row>
    <row r="97" spans="1:7" x14ac:dyDescent="0.25">
      <c r="A97" s="299" t="s">
        <v>331</v>
      </c>
      <c r="B97" s="40">
        <f>IF(ISERROR(GETPIVOTDATA("Nom",TCD_internat!$H$32,"Genre","Garçon","Date sortie",$A97)),0,GETPIVOTDATA("Nom",TCD_internat!$H$32,"Genre","Garçon","Date sortie",$A97))</f>
        <v>0</v>
      </c>
      <c r="C97" s="40">
        <f>IF(ISERROR(GETPIVOTDATA("Nom",TCD_internat!$H$32,"Genre","Fille","Date sortie",$A97)),0,GETPIVOTDATA("Nom",TCD_internat!$H$32,"Genre","Fille","Date sortie",$A97))</f>
        <v>1</v>
      </c>
      <c r="D97" s="42">
        <f t="shared" si="16"/>
        <v>1</v>
      </c>
      <c r="E97" s="70">
        <f t="shared" si="17"/>
        <v>0</v>
      </c>
      <c r="F97" s="70">
        <f t="shared" si="18"/>
        <v>1</v>
      </c>
      <c r="G97" s="44">
        <f t="shared" si="19"/>
        <v>0.14285714285714285</v>
      </c>
    </row>
    <row r="98" spans="1:7" x14ac:dyDescent="0.25">
      <c r="A98" s="299" t="s">
        <v>337</v>
      </c>
      <c r="B98" s="40">
        <f>IF(ISERROR(GETPIVOTDATA("Nom",TCD_internat!$H$32,"Genre","Garçon","Date sortie",$A98)),0,GETPIVOTDATA("Nom",TCD_internat!$H$32,"Genre","Garçon","Date sortie",$A98))</f>
        <v>0</v>
      </c>
      <c r="C98" s="40">
        <f>IF(ISERROR(GETPIVOTDATA("Nom",TCD_internat!$H$32,"Genre","Fille","Date sortie",$A98)),0,GETPIVOTDATA("Nom",TCD_internat!$H$32,"Genre","Fille","Date sortie",$A98))</f>
        <v>0</v>
      </c>
      <c r="D98" s="42">
        <f t="shared" si="16"/>
        <v>0</v>
      </c>
      <c r="E98" s="70" t="e">
        <f t="shared" si="17"/>
        <v>#DIV/0!</v>
      </c>
      <c r="F98" s="70" t="e">
        <f t="shared" si="18"/>
        <v>#DIV/0!</v>
      </c>
      <c r="G98" s="44">
        <f t="shared" si="19"/>
        <v>0</v>
      </c>
    </row>
    <row r="99" spans="1:7" x14ac:dyDescent="0.25">
      <c r="A99" s="299" t="s">
        <v>339</v>
      </c>
      <c r="B99" s="40">
        <f>IF(ISERROR(GETPIVOTDATA("Nom",TCD_internat!$H$32,"Genre","Garçon","Date sortie",$A99)),0,GETPIVOTDATA("Nom",TCD_internat!$H$32,"Genre","Garçon","Date sortie",$A99))</f>
        <v>0</v>
      </c>
      <c r="C99" s="40">
        <f>IF(ISERROR(GETPIVOTDATA("Nom",TCD_internat!$H$32,"Genre","Fille","Date sortie",$A99)),0,GETPIVOTDATA("Nom",TCD_internat!$H$32,"Genre","Fille","Date sortie",$A99))</f>
        <v>0</v>
      </c>
      <c r="D99" s="42">
        <f t="shared" si="16"/>
        <v>0</v>
      </c>
      <c r="E99" s="70" t="e">
        <f t="shared" si="17"/>
        <v>#DIV/0!</v>
      </c>
      <c r="F99" s="70" t="e">
        <f t="shared" si="18"/>
        <v>#DIV/0!</v>
      </c>
      <c r="G99" s="44">
        <f t="shared" si="19"/>
        <v>0</v>
      </c>
    </row>
    <row r="100" spans="1:7" x14ac:dyDescent="0.25">
      <c r="A100" s="299" t="s">
        <v>340</v>
      </c>
      <c r="B100" s="40">
        <f>IF(ISERROR(GETPIVOTDATA("Nom",TCD_internat!$H$32,"Genre","Garçon","Date sortie",$A100)),0,GETPIVOTDATA("Nom",TCD_internat!$H$32,"Genre","Garçon","Date sortie",$A100))</f>
        <v>1</v>
      </c>
      <c r="C100" s="40">
        <f>IF(ISERROR(GETPIVOTDATA("Nom",TCD_internat!$H$32,"Genre","Fille","Date sortie",$A100)),0,GETPIVOTDATA("Nom",TCD_internat!$H$32,"Genre","Fille","Date sortie",$A100))</f>
        <v>0</v>
      </c>
      <c r="D100" s="42">
        <f t="shared" si="16"/>
        <v>1</v>
      </c>
      <c r="E100" s="70">
        <f t="shared" si="17"/>
        <v>1</v>
      </c>
      <c r="F100" s="70">
        <f t="shared" si="18"/>
        <v>0</v>
      </c>
      <c r="G100" s="44">
        <f t="shared" si="19"/>
        <v>0.14285714285714285</v>
      </c>
    </row>
    <row r="101" spans="1:7" x14ac:dyDescent="0.25">
      <c r="A101" s="299" t="s">
        <v>332</v>
      </c>
      <c r="B101" s="40">
        <f>IF(ISERROR(GETPIVOTDATA("Nom",TCD_internat!$H$32,"Genre","Garçon","Date sortie",$A101)),0,GETPIVOTDATA("Nom",TCD_internat!$H$32,"Genre","Garçon","Date sortie",$A101))</f>
        <v>0</v>
      </c>
      <c r="C101" s="40">
        <f>IF(ISERROR(GETPIVOTDATA("Nom",TCD_internat!$H$32,"Genre","Fille","Date sortie",$A101)),0,GETPIVOTDATA("Nom",TCD_internat!$H$32,"Genre","Fille","Date sortie",$A101))</f>
        <v>1</v>
      </c>
      <c r="D101" s="42">
        <f t="shared" si="16"/>
        <v>1</v>
      </c>
      <c r="E101" s="70">
        <f t="shared" si="17"/>
        <v>0</v>
      </c>
      <c r="F101" s="70">
        <f t="shared" si="18"/>
        <v>1</v>
      </c>
      <c r="G101" s="44">
        <f t="shared" si="19"/>
        <v>0.14285714285714285</v>
      </c>
    </row>
    <row r="102" spans="1:7" x14ac:dyDescent="0.25">
      <c r="A102" s="299" t="s">
        <v>333</v>
      </c>
      <c r="B102" s="40">
        <f>IF(ISERROR(GETPIVOTDATA("Nom",TCD_internat!$H$32,"Genre","Garçon","Date sortie",$A102)),0,GETPIVOTDATA("Nom",TCD_internat!$H$32,"Genre","Garçon","Date sortie",$A102))</f>
        <v>0</v>
      </c>
      <c r="C102" s="40">
        <f>IF(ISERROR(GETPIVOTDATA("Nom",TCD_internat!$H$32,"Genre","Fille","Date sortie",$A102)),0,GETPIVOTDATA("Nom",TCD_internat!$H$32,"Genre","Fille","Date sortie",$A102))</f>
        <v>0</v>
      </c>
      <c r="D102" s="42">
        <f t="shared" si="16"/>
        <v>0</v>
      </c>
      <c r="E102" s="70" t="e">
        <f t="shared" si="17"/>
        <v>#DIV/0!</v>
      </c>
      <c r="F102" s="70" t="e">
        <f t="shared" si="18"/>
        <v>#DIV/0!</v>
      </c>
      <c r="G102" s="44">
        <f t="shared" si="19"/>
        <v>0</v>
      </c>
    </row>
    <row r="103" spans="1:7" x14ac:dyDescent="0.25">
      <c r="A103" s="299" t="s">
        <v>334</v>
      </c>
      <c r="B103" s="40">
        <f>IF(ISERROR(GETPIVOTDATA("Nom",TCD_internat!$H$32,"Genre","Garçon","Date sortie",$A103)),0,GETPIVOTDATA("Nom",TCD_internat!$H$32,"Genre","Garçon","Date sortie",$A103))</f>
        <v>0</v>
      </c>
      <c r="C103" s="40">
        <f>IF(ISERROR(GETPIVOTDATA("Nom",TCD_internat!$H$32,"Genre","Fille","Date sortie",$A103)),0,GETPIVOTDATA("Nom",TCD_internat!$H$32,"Genre","Garçon","Date sortie",$A103))</f>
        <v>0</v>
      </c>
      <c r="D103" s="42">
        <f t="shared" si="16"/>
        <v>0</v>
      </c>
      <c r="E103" s="70" t="e">
        <f t="shared" si="17"/>
        <v>#DIV/0!</v>
      </c>
      <c r="F103" s="70" t="e">
        <f t="shared" si="18"/>
        <v>#DIV/0!</v>
      </c>
      <c r="G103" s="44">
        <f t="shared" si="19"/>
        <v>0</v>
      </c>
    </row>
    <row r="104" spans="1:7" ht="15.75" thickBot="1" x14ac:dyDescent="0.3">
      <c r="A104" s="118" t="s">
        <v>201</v>
      </c>
      <c r="B104" s="119">
        <f>SUM(B92:B103)</f>
        <v>3</v>
      </c>
      <c r="C104" s="119">
        <f>SUM(C92:C103)</f>
        <v>4</v>
      </c>
      <c r="D104" s="42">
        <f t="shared" si="16"/>
        <v>7</v>
      </c>
      <c r="E104" s="99">
        <f t="shared" si="17"/>
        <v>0.42857142857142855</v>
      </c>
      <c r="F104" s="99">
        <f t="shared" si="18"/>
        <v>0.5714285714285714</v>
      </c>
      <c r="G104" s="53">
        <f>D104/D$104</f>
        <v>1</v>
      </c>
    </row>
    <row r="105" spans="1:7" ht="15.75" thickBot="1" x14ac:dyDescent="0.3">
      <c r="A105" s="120" t="s">
        <v>183</v>
      </c>
      <c r="B105" s="121" t="str">
        <f>IF(B104&gt;=B89,"OK","Ces totaux doivent être supérieurs ou égaux aux nombres d'individus sortis sur l'année")</f>
        <v>OK</v>
      </c>
      <c r="C105" s="121" t="str">
        <f>IF(C104&gt;=C89,"OK","Ces totaux doivent être supérieurs ou égaux aux nombres d'individus sortis sur l'année")</f>
        <v>OK</v>
      </c>
      <c r="D105" s="122" t="str">
        <f>IF(D104&gt;=D89,"OK","Ces totaux doivent être supérieurs ou égaux aux nombres d'individus sortis sur l'année")</f>
        <v>OK</v>
      </c>
      <c r="E105" s="117"/>
    </row>
    <row r="106" spans="1:7" ht="15.75" thickBot="1" x14ac:dyDescent="0.3"/>
    <row r="107" spans="1:7" ht="27" customHeight="1" x14ac:dyDescent="0.25">
      <c r="A107" s="33" t="s">
        <v>208</v>
      </c>
      <c r="B107" s="34" t="s">
        <v>176</v>
      </c>
      <c r="C107" s="35" t="s">
        <v>177</v>
      </c>
      <c r="D107" s="80" t="s">
        <v>178</v>
      </c>
    </row>
    <row r="108" spans="1:7" ht="15.75" thickBot="1" x14ac:dyDescent="0.3">
      <c r="A108" s="97" t="s">
        <v>209</v>
      </c>
      <c r="B108" s="132"/>
      <c r="C108" s="133"/>
      <c r="D108" s="134"/>
      <c r="E108" s="135" t="s">
        <v>210</v>
      </c>
    </row>
    <row r="109" spans="1:7" ht="15.75" thickBot="1" x14ac:dyDescent="0.3"/>
    <row r="110" spans="1:7" ht="24" x14ac:dyDescent="0.25">
      <c r="A110" s="33" t="s">
        <v>211</v>
      </c>
      <c r="B110" s="34" t="s">
        <v>159</v>
      </c>
      <c r="C110" s="35" t="s">
        <v>160</v>
      </c>
      <c r="D110" s="35" t="s">
        <v>161</v>
      </c>
      <c r="E110" s="36" t="s">
        <v>191</v>
      </c>
      <c r="F110" s="37" t="s">
        <v>192</v>
      </c>
    </row>
    <row r="111" spans="1:7" ht="15.75" thickBot="1" x14ac:dyDescent="0.3">
      <c r="A111" s="39" t="s">
        <v>212</v>
      </c>
      <c r="B111" s="40">
        <f>GETPIVOTDATA("Nom",TCD_internat!$H$48,"Genre","Garçon")</f>
        <v>4</v>
      </c>
      <c r="C111" s="40">
        <f>GETPIVOTDATA("Nom",TCD_internat!$H$48,"Genre","Fille")</f>
        <v>7</v>
      </c>
      <c r="D111" s="42">
        <f>SUM(B111:C111)</f>
        <v>11</v>
      </c>
      <c r="E111" s="124">
        <f>B111/D111</f>
        <v>0.36363636363636365</v>
      </c>
      <c r="F111" s="125">
        <f>C111/D111</f>
        <v>0.63636363636363635</v>
      </c>
    </row>
    <row r="112" spans="1:7" ht="15.75" thickBot="1" x14ac:dyDescent="0.3">
      <c r="A112" s="75" t="s">
        <v>198</v>
      </c>
      <c r="B112" s="136">
        <f>B111/B67</f>
        <v>0.5714285714285714</v>
      </c>
      <c r="C112" s="136">
        <f t="shared" ref="C112" si="20">C111/C67</f>
        <v>0.63636363636363635</v>
      </c>
      <c r="D112" s="136">
        <f>D111/D67</f>
        <v>0.61111111111111116</v>
      </c>
      <c r="E112" s="137"/>
      <c r="F112" s="138"/>
    </row>
    <row r="114" spans="1:7" x14ac:dyDescent="0.25">
      <c r="A114" s="103" t="s">
        <v>213</v>
      </c>
      <c r="B114" s="104"/>
      <c r="C114" s="38"/>
      <c r="D114" s="38"/>
      <c r="E114" s="38"/>
      <c r="F114" s="38"/>
      <c r="G114" s="139"/>
    </row>
    <row r="115" spans="1:7" ht="108" customHeight="1" x14ac:dyDescent="0.25">
      <c r="A115" s="319"/>
      <c r="B115" s="319"/>
      <c r="C115" s="319"/>
      <c r="D115" s="319"/>
      <c r="E115" s="319"/>
      <c r="F115" s="319"/>
      <c r="G115" s="319"/>
    </row>
    <row r="118" spans="1:7" ht="15.75" x14ac:dyDescent="0.25">
      <c r="A118" s="305" t="s">
        <v>214</v>
      </c>
      <c r="B118" s="320"/>
      <c r="C118" s="320"/>
      <c r="D118" s="320"/>
      <c r="E118" s="320"/>
      <c r="F118" s="320"/>
      <c r="G118" s="320"/>
    </row>
    <row r="119" spans="1:7" ht="15.75" thickBot="1" x14ac:dyDescent="0.3"/>
    <row r="120" spans="1:7" ht="60" x14ac:dyDescent="0.25">
      <c r="A120" s="33" t="s">
        <v>215</v>
      </c>
      <c r="B120" s="34" t="s">
        <v>159</v>
      </c>
      <c r="C120" s="35" t="s">
        <v>160</v>
      </c>
      <c r="D120" s="35" t="s">
        <v>161</v>
      </c>
      <c r="E120" s="109" t="s">
        <v>162</v>
      </c>
      <c r="F120" s="109" t="s">
        <v>163</v>
      </c>
      <c r="G120" s="37" t="s">
        <v>216</v>
      </c>
    </row>
    <row r="121" spans="1:7" x14ac:dyDescent="0.25">
      <c r="A121" s="39" t="s">
        <v>217</v>
      </c>
      <c r="B121" s="46">
        <v>0</v>
      </c>
      <c r="C121" s="47">
        <v>0</v>
      </c>
      <c r="D121" s="42">
        <f>SUM(B121:C121)</f>
        <v>0</v>
      </c>
      <c r="E121" s="114" t="e">
        <f>B121/$D121</f>
        <v>#DIV/0!</v>
      </c>
      <c r="F121" s="114" t="e">
        <f>C121/$D121</f>
        <v>#DIV/0!</v>
      </c>
      <c r="G121" s="44">
        <f>D121/D$70</f>
        <v>0</v>
      </c>
    </row>
    <row r="122" spans="1:7" x14ac:dyDescent="0.25">
      <c r="A122" s="39" t="s">
        <v>218</v>
      </c>
      <c r="B122" s="46">
        <v>0</v>
      </c>
      <c r="C122" s="47">
        <v>0</v>
      </c>
      <c r="D122" s="42">
        <f t="shared" ref="D122:D126" si="21">SUM(B122:C122)</f>
        <v>0</v>
      </c>
      <c r="E122" s="114" t="e">
        <f t="shared" ref="E122:F126" si="22">B122/$D122</f>
        <v>#DIV/0!</v>
      </c>
      <c r="F122" s="114" t="e">
        <f t="shared" si="22"/>
        <v>#DIV/0!</v>
      </c>
      <c r="G122" s="44">
        <f t="shared" ref="G122:G126" si="23">D122/D$70</f>
        <v>0</v>
      </c>
    </row>
    <row r="123" spans="1:7" x14ac:dyDescent="0.25">
      <c r="A123" s="39" t="s">
        <v>219</v>
      </c>
      <c r="B123" s="46">
        <v>0</v>
      </c>
      <c r="C123" s="47">
        <v>0</v>
      </c>
      <c r="D123" s="42">
        <f t="shared" si="21"/>
        <v>0</v>
      </c>
      <c r="E123" s="114" t="e">
        <f t="shared" si="22"/>
        <v>#DIV/0!</v>
      </c>
      <c r="F123" s="114" t="e">
        <f t="shared" si="22"/>
        <v>#DIV/0!</v>
      </c>
      <c r="G123" s="44">
        <f t="shared" si="23"/>
        <v>0</v>
      </c>
    </row>
    <row r="124" spans="1:7" x14ac:dyDescent="0.25">
      <c r="A124" s="39" t="s">
        <v>220</v>
      </c>
      <c r="B124" s="46">
        <v>2</v>
      </c>
      <c r="C124" s="47">
        <v>1</v>
      </c>
      <c r="D124" s="42">
        <f t="shared" si="21"/>
        <v>3</v>
      </c>
      <c r="E124" s="114">
        <f t="shared" si="22"/>
        <v>0.66666666666666663</v>
      </c>
      <c r="F124" s="114">
        <f t="shared" si="22"/>
        <v>0.33333333333333331</v>
      </c>
      <c r="G124" s="44">
        <f t="shared" si="23"/>
        <v>0.375</v>
      </c>
    </row>
    <row r="125" spans="1:7" x14ac:dyDescent="0.25">
      <c r="A125" s="39" t="s">
        <v>221</v>
      </c>
      <c r="B125" s="46">
        <v>0</v>
      </c>
      <c r="C125" s="47">
        <v>1</v>
      </c>
      <c r="D125" s="42">
        <f t="shared" si="21"/>
        <v>1</v>
      </c>
      <c r="E125" s="114">
        <f t="shared" si="22"/>
        <v>0</v>
      </c>
      <c r="F125" s="114">
        <f t="shared" si="22"/>
        <v>1</v>
      </c>
      <c r="G125" s="44">
        <f t="shared" si="23"/>
        <v>0.125</v>
      </c>
    </row>
    <row r="126" spans="1:7" x14ac:dyDescent="0.25">
      <c r="A126" s="39" t="s">
        <v>222</v>
      </c>
      <c r="B126" s="46">
        <v>0</v>
      </c>
      <c r="C126" s="47">
        <v>0</v>
      </c>
      <c r="D126" s="42">
        <f t="shared" si="21"/>
        <v>0</v>
      </c>
      <c r="E126" s="114" t="e">
        <f t="shared" si="22"/>
        <v>#DIV/0!</v>
      </c>
      <c r="F126" s="114" t="e">
        <f t="shared" si="22"/>
        <v>#DIV/0!</v>
      </c>
      <c r="G126" s="44">
        <f t="shared" si="23"/>
        <v>0</v>
      </c>
    </row>
    <row r="127" spans="1:7" x14ac:dyDescent="0.25">
      <c r="A127" s="140" t="s">
        <v>150</v>
      </c>
      <c r="B127" s="141">
        <f>SUM(B121:B126)</f>
        <v>2</v>
      </c>
      <c r="C127" s="119">
        <f>SUM(C121:C126)</f>
        <v>2</v>
      </c>
      <c r="D127" s="142">
        <f>SUM(B127:C127)</f>
        <v>4</v>
      </c>
      <c r="E127" s="114">
        <f>B127/$D127</f>
        <v>0.5</v>
      </c>
      <c r="F127" s="114">
        <f>C127/$D127</f>
        <v>0.5</v>
      </c>
      <c r="G127" s="44">
        <f>D127/D$70</f>
        <v>0.5</v>
      </c>
    </row>
    <row r="128" spans="1:7" ht="54.75" customHeight="1" thickBot="1" x14ac:dyDescent="0.3">
      <c r="A128" s="120" t="s">
        <v>183</v>
      </c>
      <c r="B128" s="121" t="str">
        <f>IF(B127=B70,"OK","Ces totaux généraux doivent être égaux aux nombres d'individus admis sur l'année - § C.2")</f>
        <v>Ces totaux généraux doivent être égaux aux nombres d'individus admis sur l'année - § C.2</v>
      </c>
      <c r="C128" s="121" t="str">
        <f t="shared" ref="C128:D128" si="24">IF(C127=C70,"OK","Ces totaux doivent être égaux aux nombres d'individus admis sur l'année - § C.2")</f>
        <v>Ces totaux doivent être égaux aux nombres d'individus admis sur l'année - § C.2</v>
      </c>
      <c r="D128" s="122" t="str">
        <f t="shared" si="24"/>
        <v>Ces totaux doivent être égaux aux nombres d'individus admis sur l'année - § C.2</v>
      </c>
      <c r="E128" s="143"/>
    </row>
    <row r="129" spans="1:7" ht="15.75" thickBot="1" x14ac:dyDescent="0.3">
      <c r="A129" s="144"/>
      <c r="B129" s="145"/>
      <c r="C129" s="146"/>
      <c r="D129" s="146"/>
      <c r="E129" s="147"/>
      <c r="F129" s="148"/>
      <c r="G129" s="139"/>
    </row>
    <row r="130" spans="1:7" x14ac:dyDescent="0.25">
      <c r="A130" s="33" t="s">
        <v>223</v>
      </c>
      <c r="B130" s="34" t="s">
        <v>176</v>
      </c>
      <c r="C130" s="35" t="s">
        <v>177</v>
      </c>
      <c r="D130" s="80" t="s">
        <v>178</v>
      </c>
      <c r="E130" s="147"/>
      <c r="F130" s="148"/>
      <c r="G130" s="139"/>
    </row>
    <row r="131" spans="1:7" ht="15.75" thickBot="1" x14ac:dyDescent="0.3">
      <c r="A131" s="97" t="s">
        <v>224</v>
      </c>
      <c r="B131" s="82">
        <v>14.9</v>
      </c>
      <c r="C131" s="82">
        <v>15.5</v>
      </c>
      <c r="D131" s="149"/>
      <c r="E131" s="147"/>
      <c r="F131" s="148"/>
      <c r="G131" s="139"/>
    </row>
    <row r="132" spans="1:7" ht="15.75" thickBot="1" x14ac:dyDescent="0.3"/>
    <row r="133" spans="1:7" ht="60" x14ac:dyDescent="0.25">
      <c r="A133" s="33" t="s">
        <v>225</v>
      </c>
      <c r="B133" s="34" t="s">
        <v>159</v>
      </c>
      <c r="C133" s="35" t="s">
        <v>160</v>
      </c>
      <c r="D133" s="35" t="s">
        <v>161</v>
      </c>
      <c r="E133" s="109" t="s">
        <v>162</v>
      </c>
      <c r="F133" s="109" t="s">
        <v>163</v>
      </c>
      <c r="G133" s="37" t="s">
        <v>226</v>
      </c>
    </row>
    <row r="134" spans="1:7" x14ac:dyDescent="0.25">
      <c r="A134" s="39" t="s">
        <v>217</v>
      </c>
      <c r="B134" s="46">
        <v>0</v>
      </c>
      <c r="C134" s="47">
        <v>0</v>
      </c>
      <c r="D134" s="42">
        <f>SUM(B134:C134)</f>
        <v>0</v>
      </c>
      <c r="E134" s="113" t="e">
        <f>B134/$D134</f>
        <v>#DIV/0!</v>
      </c>
      <c r="F134" s="113" t="e">
        <f>C134/$D134</f>
        <v>#DIV/0!</v>
      </c>
      <c r="G134" s="44">
        <f>D134/D$89</f>
        <v>0</v>
      </c>
    </row>
    <row r="135" spans="1:7" x14ac:dyDescent="0.25">
      <c r="A135" s="39" t="s">
        <v>218</v>
      </c>
      <c r="B135" s="46">
        <v>0</v>
      </c>
      <c r="C135" s="47">
        <v>0</v>
      </c>
      <c r="D135" s="42">
        <f t="shared" ref="D135:D139" si="25">SUM(B135:C135)</f>
        <v>0</v>
      </c>
      <c r="E135" s="113" t="e">
        <f t="shared" ref="E135:F140" si="26">B135/$D135</f>
        <v>#DIV/0!</v>
      </c>
      <c r="F135" s="113" t="e">
        <f t="shared" si="26"/>
        <v>#DIV/0!</v>
      </c>
      <c r="G135" s="44">
        <f t="shared" ref="G135:G140" si="27">D135/D$89</f>
        <v>0</v>
      </c>
    </row>
    <row r="136" spans="1:7" x14ac:dyDescent="0.25">
      <c r="A136" s="39" t="s">
        <v>219</v>
      </c>
      <c r="B136" s="46">
        <v>0</v>
      </c>
      <c r="C136" s="47">
        <v>0</v>
      </c>
      <c r="D136" s="42">
        <f t="shared" si="25"/>
        <v>0</v>
      </c>
      <c r="E136" s="113" t="e">
        <f t="shared" si="26"/>
        <v>#DIV/0!</v>
      </c>
      <c r="F136" s="113" t="e">
        <f t="shared" si="26"/>
        <v>#DIV/0!</v>
      </c>
      <c r="G136" s="44">
        <f t="shared" si="27"/>
        <v>0</v>
      </c>
    </row>
    <row r="137" spans="1:7" x14ac:dyDescent="0.25">
      <c r="A137" s="39" t="s">
        <v>220</v>
      </c>
      <c r="B137" s="46">
        <v>1</v>
      </c>
      <c r="C137" s="47">
        <v>1</v>
      </c>
      <c r="D137" s="42">
        <f t="shared" si="25"/>
        <v>2</v>
      </c>
      <c r="E137" s="113">
        <f t="shared" si="26"/>
        <v>0.5</v>
      </c>
      <c r="F137" s="113">
        <f t="shared" si="26"/>
        <v>0.5</v>
      </c>
      <c r="G137" s="44">
        <f t="shared" si="27"/>
        <v>0.2857142857142857</v>
      </c>
    </row>
    <row r="138" spans="1:7" x14ac:dyDescent="0.25">
      <c r="A138" s="39" t="s">
        <v>221</v>
      </c>
      <c r="B138" s="46">
        <v>2</v>
      </c>
      <c r="C138" s="47">
        <v>0</v>
      </c>
      <c r="D138" s="42">
        <f t="shared" si="25"/>
        <v>2</v>
      </c>
      <c r="E138" s="150">
        <f t="shared" si="26"/>
        <v>1</v>
      </c>
      <c r="F138" s="150">
        <f t="shared" si="26"/>
        <v>0</v>
      </c>
      <c r="G138" s="44">
        <f t="shared" si="27"/>
        <v>0.2857142857142857</v>
      </c>
    </row>
    <row r="139" spans="1:7" x14ac:dyDescent="0.25">
      <c r="A139" s="39" t="s">
        <v>222</v>
      </c>
      <c r="B139" s="46">
        <v>0</v>
      </c>
      <c r="C139" s="47">
        <v>1</v>
      </c>
      <c r="D139" s="42">
        <f t="shared" si="25"/>
        <v>1</v>
      </c>
      <c r="E139" s="150">
        <f t="shared" si="26"/>
        <v>0</v>
      </c>
      <c r="F139" s="150">
        <f t="shared" si="26"/>
        <v>1</v>
      </c>
      <c r="G139" s="44">
        <f t="shared" si="27"/>
        <v>0.14285714285714285</v>
      </c>
    </row>
    <row r="140" spans="1:7" ht="15.75" thickBot="1" x14ac:dyDescent="0.3">
      <c r="A140" s="87" t="s">
        <v>150</v>
      </c>
      <c r="B140" s="88">
        <f>SUM(B134:B139)</f>
        <v>3</v>
      </c>
      <c r="C140" s="88">
        <f>SUM(C134:C139)</f>
        <v>2</v>
      </c>
      <c r="D140" s="65">
        <f>SUM(B140:C140)</f>
        <v>5</v>
      </c>
      <c r="E140" s="151">
        <f t="shared" si="26"/>
        <v>0.6</v>
      </c>
      <c r="F140" s="151">
        <f>C140/$D140</f>
        <v>0.4</v>
      </c>
      <c r="G140" s="53">
        <f t="shared" si="27"/>
        <v>0.7142857142857143</v>
      </c>
    </row>
    <row r="141" spans="1:7" ht="48.75" thickBot="1" x14ac:dyDescent="0.3">
      <c r="A141" s="120" t="s">
        <v>183</v>
      </c>
      <c r="B141" s="121" t="str">
        <f>IF(B140=B89,"OK","Ces totaux généraux doivent être égaux aux nombres d'individus sortis sur l'année - § C.3")</f>
        <v>OK</v>
      </c>
      <c r="C141" s="121" t="str">
        <f t="shared" ref="C141" si="28">IF(C140=C89,"OK","Ces totaux généraux doivent être égaux aux nombres d'individus sortis sur l'année - § C.3")</f>
        <v>Ces totaux généraux doivent être égaux aux nombres d'individus sortis sur l'année - § C.3</v>
      </c>
      <c r="D141" s="121" t="str">
        <f>IF(D140=D89,"OK","Ces totaux généraux doivent être égaux aux nombres d'individus sortis sur l'année - § C.3")</f>
        <v>Ces totaux généraux doivent être égaux aux nombres d'individus sortis sur l'année - § C.3</v>
      </c>
      <c r="E141" s="117"/>
    </row>
    <row r="142" spans="1:7" ht="15.75" thickBot="1" x14ac:dyDescent="0.3">
      <c r="A142" s="144"/>
      <c r="B142" s="146"/>
      <c r="C142" s="146"/>
      <c r="D142" s="146"/>
      <c r="E142" s="147"/>
      <c r="F142" s="147"/>
      <c r="G142" s="139"/>
    </row>
    <row r="143" spans="1:7" x14ac:dyDescent="0.25">
      <c r="A143" s="33" t="s">
        <v>227</v>
      </c>
      <c r="B143" s="34" t="s">
        <v>176</v>
      </c>
      <c r="C143" s="35" t="s">
        <v>177</v>
      </c>
      <c r="D143" s="80" t="s">
        <v>178</v>
      </c>
      <c r="E143" s="147"/>
      <c r="F143" s="147"/>
      <c r="G143" s="139"/>
    </row>
    <row r="144" spans="1:7" ht="15.75" thickBot="1" x14ac:dyDescent="0.3">
      <c r="A144" s="97" t="s">
        <v>224</v>
      </c>
      <c r="B144" s="82">
        <v>16.3</v>
      </c>
      <c r="C144" s="82">
        <v>16.5</v>
      </c>
      <c r="D144" s="149"/>
      <c r="E144" s="147"/>
      <c r="F144" s="148"/>
      <c r="G144" s="139"/>
    </row>
    <row r="145" spans="1:7" ht="15.75" thickBot="1" x14ac:dyDescent="0.3"/>
    <row r="146" spans="1:7" ht="72" x14ac:dyDescent="0.25">
      <c r="A146" s="33" t="s">
        <v>228</v>
      </c>
      <c r="B146" s="34" t="s">
        <v>159</v>
      </c>
      <c r="C146" s="35" t="s">
        <v>160</v>
      </c>
      <c r="D146" s="35" t="s">
        <v>161</v>
      </c>
      <c r="E146" s="109" t="s">
        <v>162</v>
      </c>
      <c r="F146" s="36" t="s">
        <v>163</v>
      </c>
      <c r="G146" s="107" t="s">
        <v>229</v>
      </c>
    </row>
    <row r="147" spans="1:7" x14ac:dyDescent="0.25">
      <c r="A147" s="39" t="s">
        <v>217</v>
      </c>
      <c r="B147" s="46"/>
      <c r="C147" s="47"/>
      <c r="D147" s="42">
        <f>SUM(B147:C147)</f>
        <v>0</v>
      </c>
      <c r="E147" s="114" t="e">
        <f>B147/$D147</f>
        <v>#DIV/0!</v>
      </c>
      <c r="F147" s="113" t="e">
        <f>C147/$D147</f>
        <v>#DIV/0!</v>
      </c>
      <c r="G147" s="152">
        <f>D147/D$111</f>
        <v>0</v>
      </c>
    </row>
    <row r="148" spans="1:7" x14ac:dyDescent="0.25">
      <c r="A148" s="39" t="s">
        <v>218</v>
      </c>
      <c r="B148" s="46"/>
      <c r="C148" s="47"/>
      <c r="D148" s="42">
        <f t="shared" ref="D148:D153" si="29">SUM(B148:C148)</f>
        <v>0</v>
      </c>
      <c r="E148" s="114" t="e">
        <f t="shared" ref="E148:F153" si="30">B148/$D148</f>
        <v>#DIV/0!</v>
      </c>
      <c r="F148" s="113" t="e">
        <f t="shared" si="30"/>
        <v>#DIV/0!</v>
      </c>
      <c r="G148" s="152">
        <f t="shared" ref="G148:G152" si="31">D148/D$111</f>
        <v>0</v>
      </c>
    </row>
    <row r="149" spans="1:7" x14ac:dyDescent="0.25">
      <c r="A149" s="39" t="s">
        <v>219</v>
      </c>
      <c r="B149" s="46"/>
      <c r="C149" s="47"/>
      <c r="D149" s="42">
        <f t="shared" si="29"/>
        <v>0</v>
      </c>
      <c r="E149" s="114" t="e">
        <f t="shared" si="30"/>
        <v>#DIV/0!</v>
      </c>
      <c r="F149" s="113" t="e">
        <f t="shared" si="30"/>
        <v>#DIV/0!</v>
      </c>
      <c r="G149" s="152">
        <f t="shared" si="31"/>
        <v>0</v>
      </c>
    </row>
    <row r="150" spans="1:7" x14ac:dyDescent="0.25">
      <c r="A150" s="39" t="s">
        <v>220</v>
      </c>
      <c r="B150" s="46"/>
      <c r="C150" s="47"/>
      <c r="D150" s="42">
        <f t="shared" si="29"/>
        <v>0</v>
      </c>
      <c r="E150" s="114" t="e">
        <f t="shared" si="30"/>
        <v>#DIV/0!</v>
      </c>
      <c r="F150" s="113" t="e">
        <f t="shared" si="30"/>
        <v>#DIV/0!</v>
      </c>
      <c r="G150" s="152">
        <f t="shared" si="31"/>
        <v>0</v>
      </c>
    </row>
    <row r="151" spans="1:7" x14ac:dyDescent="0.25">
      <c r="A151" s="39" t="s">
        <v>221</v>
      </c>
      <c r="B151" s="46"/>
      <c r="C151" s="47"/>
      <c r="D151" s="42">
        <f t="shared" si="29"/>
        <v>0</v>
      </c>
      <c r="E151" s="114" t="e">
        <f t="shared" si="30"/>
        <v>#DIV/0!</v>
      </c>
      <c r="F151" s="113" t="e">
        <f t="shared" si="30"/>
        <v>#DIV/0!</v>
      </c>
      <c r="G151" s="152">
        <f t="shared" si="31"/>
        <v>0</v>
      </c>
    </row>
    <row r="152" spans="1:7" x14ac:dyDescent="0.25">
      <c r="A152" s="39" t="s">
        <v>222</v>
      </c>
      <c r="B152" s="46"/>
      <c r="C152" s="47"/>
      <c r="D152" s="42">
        <f t="shared" si="29"/>
        <v>0</v>
      </c>
      <c r="E152" s="114" t="e">
        <f t="shared" si="30"/>
        <v>#DIV/0!</v>
      </c>
      <c r="F152" s="113" t="e">
        <f t="shared" si="30"/>
        <v>#DIV/0!</v>
      </c>
      <c r="G152" s="152">
        <f t="shared" si="31"/>
        <v>0</v>
      </c>
    </row>
    <row r="153" spans="1:7" ht="15.75" thickBot="1" x14ac:dyDescent="0.3">
      <c r="A153" s="87" t="s">
        <v>150</v>
      </c>
      <c r="B153" s="153">
        <f>SUM(B147:B152)</f>
        <v>0</v>
      </c>
      <c r="C153" s="153">
        <f>SUM(C147:C152)</f>
        <v>0</v>
      </c>
      <c r="D153" s="42">
        <f t="shared" si="29"/>
        <v>0</v>
      </c>
      <c r="E153" s="154" t="e">
        <f t="shared" si="30"/>
        <v>#DIV/0!</v>
      </c>
      <c r="F153" s="124" t="e">
        <f t="shared" si="30"/>
        <v>#DIV/0!</v>
      </c>
      <c r="G153" s="155">
        <f>D153/D$111</f>
        <v>0</v>
      </c>
    </row>
    <row r="154" spans="1:7" ht="48.75" thickBot="1" x14ac:dyDescent="0.3">
      <c r="A154" s="120" t="s">
        <v>183</v>
      </c>
      <c r="B154" s="121" t="str">
        <f>IF(B153=B111,"OK","Ces totaux généraux doivent être égaux aux nombres d'individus présents au 31/12/N - § C.5")</f>
        <v>Ces totaux généraux doivent être égaux aux nombres d'individus présents au 31/12/N - § C.5</v>
      </c>
      <c r="C154" s="121" t="str">
        <f t="shared" ref="C154:D154" si="32">IF(C153=C111,"OK","Ces totaux généraux doivent être égaux aux nombres d'individus présents au 31/12/N - § C.5")</f>
        <v>Ces totaux généraux doivent être égaux aux nombres d'individus présents au 31/12/N - § C.5</v>
      </c>
      <c r="D154" s="121" t="str">
        <f t="shared" si="32"/>
        <v>Ces totaux généraux doivent être égaux aux nombres d'individus présents au 31/12/N - § C.5</v>
      </c>
      <c r="E154" s="78"/>
      <c r="F154" s="156" t="s">
        <v>230</v>
      </c>
    </row>
    <row r="155" spans="1:7" ht="15.75" thickBot="1" x14ac:dyDescent="0.3"/>
    <row r="156" spans="1:7" x14ac:dyDescent="0.25">
      <c r="A156" s="33" t="s">
        <v>231</v>
      </c>
      <c r="B156" s="34" t="s">
        <v>176</v>
      </c>
      <c r="C156" s="35" t="s">
        <v>177</v>
      </c>
      <c r="D156" s="80" t="s">
        <v>178</v>
      </c>
    </row>
    <row r="157" spans="1:7" ht="24" thickBot="1" x14ac:dyDescent="0.3">
      <c r="A157" s="97" t="s">
        <v>224</v>
      </c>
      <c r="B157" s="82"/>
      <c r="C157" s="82"/>
      <c r="D157" s="149"/>
      <c r="F157" s="156" t="s">
        <v>230</v>
      </c>
    </row>
    <row r="159" spans="1:7" x14ac:dyDescent="0.25">
      <c r="A159" s="103" t="s">
        <v>232</v>
      </c>
      <c r="B159" s="104"/>
      <c r="C159" s="38"/>
      <c r="D159" s="38"/>
      <c r="E159" s="38"/>
      <c r="F159" s="38"/>
      <c r="G159" s="139"/>
    </row>
    <row r="160" spans="1:7" ht="117" customHeight="1" x14ac:dyDescent="0.25">
      <c r="A160" s="319"/>
      <c r="B160" s="319"/>
      <c r="C160" s="319"/>
      <c r="D160" s="319"/>
      <c r="E160" s="319"/>
      <c r="F160" s="319"/>
      <c r="G160" s="319"/>
    </row>
    <row r="163" spans="1:8" ht="15.75" x14ac:dyDescent="0.25">
      <c r="A163" s="305" t="s">
        <v>233</v>
      </c>
      <c r="B163" s="305"/>
      <c r="C163" s="305"/>
      <c r="D163" s="305"/>
      <c r="E163" s="305"/>
      <c r="F163" s="305"/>
      <c r="G163" s="305"/>
    </row>
    <row r="164" spans="1:8" ht="15.75" thickBot="1" x14ac:dyDescent="0.3"/>
    <row r="165" spans="1:8" ht="72" x14ac:dyDescent="0.25">
      <c r="A165" s="23" t="s">
        <v>136</v>
      </c>
      <c r="B165" s="157" t="s">
        <v>159</v>
      </c>
      <c r="C165" s="158" t="s">
        <v>160</v>
      </c>
      <c r="D165" s="158" t="s">
        <v>161</v>
      </c>
      <c r="E165" s="159" t="s">
        <v>162</v>
      </c>
      <c r="F165" s="160" t="s">
        <v>163</v>
      </c>
      <c r="G165" s="37" t="s">
        <v>234</v>
      </c>
    </row>
    <row r="166" spans="1:8" x14ac:dyDescent="0.25">
      <c r="A166" s="87" t="s">
        <v>150</v>
      </c>
      <c r="B166" s="161">
        <f>SUM(B168:B179)</f>
        <v>2</v>
      </c>
      <c r="C166" s="161">
        <f>SUM(C168:C179)</f>
        <v>2</v>
      </c>
      <c r="D166" s="162">
        <f>SUM(B166:C166)</f>
        <v>4</v>
      </c>
      <c r="E166" s="163">
        <f>B166/$D166</f>
        <v>0.5</v>
      </c>
      <c r="F166" s="164">
        <f>C166/$D166</f>
        <v>0.5</v>
      </c>
      <c r="G166" s="165">
        <f>SUM(G168:G179)</f>
        <v>0.5</v>
      </c>
      <c r="H166" s="117"/>
    </row>
    <row r="167" spans="1:8" ht="48" x14ac:dyDescent="0.25">
      <c r="A167" s="166" t="s">
        <v>183</v>
      </c>
      <c r="B167" s="167" t="str">
        <f>IF(B166=B70,"OK","Ces totaux généraux doivent être égaux aux nombres d'individus admis sur l'année - § C.2")</f>
        <v>Ces totaux généraux doivent être égaux aux nombres d'individus admis sur l'année - § C.2</v>
      </c>
      <c r="C167" s="167" t="str">
        <f t="shared" ref="C167" si="33">IF(C166=C70,"OK","Ces totaux généraux doivent être égaux aux nombres d'individus admis sur l'année - § C.2")</f>
        <v>Ces totaux généraux doivent être égaux aux nombres d'individus admis sur l'année - § C.2</v>
      </c>
      <c r="D167" s="167" t="str">
        <f>IF(D166=D70,"OK","Ces totaux généraux doivent être égaux aux nombres d'individus admis sur l'année - § C.2")</f>
        <v>Ces totaux généraux doivent être égaux aux nombres d'individus admis sur l'année - § C.2</v>
      </c>
      <c r="E167" s="168" t="str">
        <f>IF(E166=E70,"OK","Ce pourcentage doit être égal au pourcentage garçons admis effectivement - § C.2")</f>
        <v>OK</v>
      </c>
      <c r="F167" s="168" t="str">
        <f>IF(F166=F70,"OK","Ce pourcentage doit être égal au pourcentage filles admises effectivement - § C.2")</f>
        <v>OK</v>
      </c>
      <c r="G167" s="168" t="str">
        <f>IF(G166=100%,"OK","Ce pourcentage doit être égal à 100 %")</f>
        <v>Ce pourcentage doit être égal à 100 %</v>
      </c>
    </row>
    <row r="168" spans="1:8" x14ac:dyDescent="0.25">
      <c r="A168" s="39" t="s">
        <v>137</v>
      </c>
      <c r="B168" s="169">
        <v>0</v>
      </c>
      <c r="C168" s="169">
        <v>0</v>
      </c>
      <c r="D168" s="170">
        <f>SUM(B168:C168)</f>
        <v>0</v>
      </c>
      <c r="E168" s="163" t="e">
        <f>B168/$D168</f>
        <v>#DIV/0!</v>
      </c>
      <c r="F168" s="163" t="e">
        <f>C168/$D168</f>
        <v>#DIV/0!</v>
      </c>
      <c r="G168" s="171">
        <f>D168/D$70</f>
        <v>0</v>
      </c>
    </row>
    <row r="169" spans="1:8" x14ac:dyDescent="0.25">
      <c r="A169" s="39" t="s">
        <v>138</v>
      </c>
      <c r="B169" s="169">
        <v>0</v>
      </c>
      <c r="C169" s="169">
        <v>0</v>
      </c>
      <c r="D169" s="170">
        <f t="shared" ref="D169:D178" si="34">SUM(B169:C169)</f>
        <v>0</v>
      </c>
      <c r="E169" s="163" t="e">
        <f t="shared" ref="E169:F179" si="35">B169/$D169</f>
        <v>#DIV/0!</v>
      </c>
      <c r="F169" s="163" t="e">
        <f t="shared" si="35"/>
        <v>#DIV/0!</v>
      </c>
      <c r="G169" s="171">
        <f t="shared" ref="G169:G179" si="36">D169/D$70</f>
        <v>0</v>
      </c>
    </row>
    <row r="170" spans="1:8" x14ac:dyDescent="0.25">
      <c r="A170" s="39" t="s">
        <v>139</v>
      </c>
      <c r="B170" s="169">
        <v>0</v>
      </c>
      <c r="C170" s="169">
        <v>2</v>
      </c>
      <c r="D170" s="170">
        <f t="shared" si="34"/>
        <v>2</v>
      </c>
      <c r="E170" s="163">
        <f t="shared" si="35"/>
        <v>0</v>
      </c>
      <c r="F170" s="163">
        <f t="shared" si="35"/>
        <v>1</v>
      </c>
      <c r="G170" s="171">
        <f t="shared" si="36"/>
        <v>0.25</v>
      </c>
    </row>
    <row r="171" spans="1:8" x14ac:dyDescent="0.25">
      <c r="A171" s="39" t="s">
        <v>140</v>
      </c>
      <c r="B171" s="169">
        <v>0</v>
      </c>
      <c r="C171" s="169">
        <v>0</v>
      </c>
      <c r="D171" s="170">
        <f t="shared" si="34"/>
        <v>0</v>
      </c>
      <c r="E171" s="163" t="e">
        <f t="shared" si="35"/>
        <v>#DIV/0!</v>
      </c>
      <c r="F171" s="163" t="e">
        <f t="shared" si="35"/>
        <v>#DIV/0!</v>
      </c>
      <c r="G171" s="171">
        <f t="shared" si="36"/>
        <v>0</v>
      </c>
    </row>
    <row r="172" spans="1:8" x14ac:dyDescent="0.25">
      <c r="A172" s="39" t="s">
        <v>141</v>
      </c>
      <c r="B172" s="169">
        <v>2</v>
      </c>
      <c r="C172" s="169">
        <v>0</v>
      </c>
      <c r="D172" s="170">
        <f t="shared" si="34"/>
        <v>2</v>
      </c>
      <c r="E172" s="163">
        <f t="shared" si="35"/>
        <v>1</v>
      </c>
      <c r="F172" s="163">
        <f t="shared" si="35"/>
        <v>0</v>
      </c>
      <c r="G172" s="171">
        <f t="shared" si="36"/>
        <v>0.25</v>
      </c>
    </row>
    <row r="173" spans="1:8" x14ac:dyDescent="0.25">
      <c r="A173" s="39" t="s">
        <v>142</v>
      </c>
      <c r="B173" s="169">
        <v>0</v>
      </c>
      <c r="C173" s="169">
        <v>0</v>
      </c>
      <c r="D173" s="170">
        <f t="shared" si="34"/>
        <v>0</v>
      </c>
      <c r="E173" s="163" t="e">
        <f t="shared" si="35"/>
        <v>#DIV/0!</v>
      </c>
      <c r="F173" s="163" t="e">
        <f t="shared" si="35"/>
        <v>#DIV/0!</v>
      </c>
      <c r="G173" s="171">
        <f t="shared" si="36"/>
        <v>0</v>
      </c>
    </row>
    <row r="174" spans="1:8" x14ac:dyDescent="0.25">
      <c r="A174" s="39" t="s">
        <v>143</v>
      </c>
      <c r="B174" s="169">
        <v>0</v>
      </c>
      <c r="C174" s="169">
        <v>0</v>
      </c>
      <c r="D174" s="170">
        <f t="shared" si="34"/>
        <v>0</v>
      </c>
      <c r="E174" s="163" t="e">
        <f t="shared" si="35"/>
        <v>#DIV/0!</v>
      </c>
      <c r="F174" s="163" t="e">
        <f t="shared" si="35"/>
        <v>#DIV/0!</v>
      </c>
      <c r="G174" s="171">
        <f t="shared" si="36"/>
        <v>0</v>
      </c>
    </row>
    <row r="175" spans="1:8" x14ac:dyDescent="0.25">
      <c r="A175" s="39" t="s">
        <v>144</v>
      </c>
      <c r="B175" s="169">
        <v>0</v>
      </c>
      <c r="C175" s="169">
        <v>0</v>
      </c>
      <c r="D175" s="170">
        <f t="shared" si="34"/>
        <v>0</v>
      </c>
      <c r="E175" s="163" t="e">
        <f t="shared" si="35"/>
        <v>#DIV/0!</v>
      </c>
      <c r="F175" s="163" t="e">
        <f>C175/$D175</f>
        <v>#DIV/0!</v>
      </c>
      <c r="G175" s="171">
        <f t="shared" si="36"/>
        <v>0</v>
      </c>
    </row>
    <row r="176" spans="1:8" x14ac:dyDescent="0.25">
      <c r="A176" s="39" t="s">
        <v>145</v>
      </c>
      <c r="B176" s="169">
        <v>0</v>
      </c>
      <c r="C176" s="169">
        <v>0</v>
      </c>
      <c r="D176" s="170">
        <f t="shared" si="34"/>
        <v>0</v>
      </c>
      <c r="E176" s="163" t="e">
        <f t="shared" si="35"/>
        <v>#DIV/0!</v>
      </c>
      <c r="F176" s="163" t="e">
        <f t="shared" si="35"/>
        <v>#DIV/0!</v>
      </c>
      <c r="G176" s="171">
        <f t="shared" si="36"/>
        <v>0</v>
      </c>
    </row>
    <row r="177" spans="1:8" x14ac:dyDescent="0.25">
      <c r="A177" s="49" t="s">
        <v>146</v>
      </c>
      <c r="B177" s="172">
        <v>0</v>
      </c>
      <c r="C177" s="172">
        <v>0</v>
      </c>
      <c r="D177" s="170">
        <f t="shared" si="34"/>
        <v>0</v>
      </c>
      <c r="E177" s="163" t="e">
        <f t="shared" si="35"/>
        <v>#DIV/0!</v>
      </c>
      <c r="F177" s="163" t="e">
        <f t="shared" si="35"/>
        <v>#DIV/0!</v>
      </c>
      <c r="G177" s="171">
        <f>D177/D$70</f>
        <v>0</v>
      </c>
    </row>
    <row r="178" spans="1:8" x14ac:dyDescent="0.25">
      <c r="A178" s="49" t="s">
        <v>147</v>
      </c>
      <c r="B178" s="172">
        <v>0</v>
      </c>
      <c r="C178" s="172">
        <v>0</v>
      </c>
      <c r="D178" s="170">
        <f t="shared" si="34"/>
        <v>0</v>
      </c>
      <c r="E178" s="163" t="e">
        <f t="shared" si="35"/>
        <v>#DIV/0!</v>
      </c>
      <c r="F178" s="163" t="e">
        <f t="shared" si="35"/>
        <v>#DIV/0!</v>
      </c>
      <c r="G178" s="171">
        <f t="shared" si="36"/>
        <v>0</v>
      </c>
    </row>
    <row r="179" spans="1:8" ht="15.75" thickBot="1" x14ac:dyDescent="0.3">
      <c r="A179" s="173" t="s">
        <v>235</v>
      </c>
      <c r="B179" s="174">
        <v>0</v>
      </c>
      <c r="C179" s="174">
        <v>0</v>
      </c>
      <c r="D179" s="175">
        <f>SUM(B179:C179)</f>
        <v>0</v>
      </c>
      <c r="E179" s="176" t="e">
        <f>B179/$D179</f>
        <v>#DIV/0!</v>
      </c>
      <c r="F179" s="176" t="e">
        <f t="shared" si="35"/>
        <v>#DIV/0!</v>
      </c>
      <c r="G179" s="177">
        <f t="shared" si="36"/>
        <v>0</v>
      </c>
    </row>
    <row r="180" spans="1:8" ht="15.75" thickBot="1" x14ac:dyDescent="0.3"/>
    <row r="181" spans="1:8" ht="72" x14ac:dyDescent="0.25">
      <c r="A181" s="33" t="s">
        <v>236</v>
      </c>
      <c r="B181" s="34" t="s">
        <v>159</v>
      </c>
      <c r="C181" s="35" t="s">
        <v>160</v>
      </c>
      <c r="D181" s="35" t="s">
        <v>161</v>
      </c>
      <c r="E181" s="159" t="s">
        <v>162</v>
      </c>
      <c r="F181" s="160" t="s">
        <v>163</v>
      </c>
      <c r="G181" s="37" t="s">
        <v>237</v>
      </c>
    </row>
    <row r="182" spans="1:8" x14ac:dyDescent="0.25">
      <c r="A182" s="178" t="s">
        <v>150</v>
      </c>
      <c r="B182" s="179">
        <f>SUM(B184:B192)</f>
        <v>2</v>
      </c>
      <c r="C182" s="179">
        <f>SUM(C184:C192)</f>
        <v>2</v>
      </c>
      <c r="D182" s="180">
        <f>SUM(B182:C182)</f>
        <v>4</v>
      </c>
      <c r="E182" s="163">
        <f>B182/$D182</f>
        <v>0.5</v>
      </c>
      <c r="F182" s="163">
        <f>C182/$D182</f>
        <v>0.5</v>
      </c>
      <c r="G182" s="181">
        <f>SUM(G184:G196)</f>
        <v>0.71428571428571419</v>
      </c>
      <c r="H182" s="117"/>
    </row>
    <row r="183" spans="1:8" ht="48" x14ac:dyDescent="0.25">
      <c r="A183" s="166" t="s">
        <v>183</v>
      </c>
      <c r="B183" s="182" t="str">
        <f>IF(B182=B89,"OK","Ces totaux généraux doivent être égaux aux nombres d'individus sortis sur l'année - § C.3")</f>
        <v>Ces totaux généraux doivent être égaux aux nombres d'individus sortis sur l'année - § C.3</v>
      </c>
      <c r="C183" s="182" t="str">
        <f t="shared" ref="C183:D183" si="37">IF(C182=C89,"OK","Ces totaux généraux doivent être égaux aux nombres d'individus sortis sur l'année - § C.3")</f>
        <v>Ces totaux généraux doivent être égaux aux nombres d'individus sortis sur l'année - § C.3</v>
      </c>
      <c r="D183" s="182" t="str">
        <f t="shared" si="37"/>
        <v>Ces totaux généraux doivent être égaux aux nombres d'individus sortis sur l'année - § C.3</v>
      </c>
      <c r="E183" s="182" t="str">
        <f>IF(E182=E89,"OK","Ce pourcentage doit être égal au pourcentage garçons sortis - § C.3")</f>
        <v>Ce pourcentage doit être égal au pourcentage garçons sortis - § C.3</v>
      </c>
      <c r="F183" s="168" t="str">
        <f>IF(F182=F89,"OK","Ce pourcentage doit être égal au pourcentage filles sorties - § C.3")</f>
        <v>Ce pourcentage doit être égal au pourcentage filles sorties - § C.3</v>
      </c>
      <c r="G183" s="182" t="str">
        <f>IF(G182=100%,"OK","Ce pourcentage doit être égal à 100 %")</f>
        <v>Ce pourcentage doit être égal à 100 %</v>
      </c>
    </row>
    <row r="184" spans="1:8" x14ac:dyDescent="0.25">
      <c r="A184" s="39" t="s">
        <v>238</v>
      </c>
      <c r="B184" s="183">
        <v>0</v>
      </c>
      <c r="C184" s="183">
        <v>1</v>
      </c>
      <c r="D184" s="180">
        <f t="shared" ref="D184:D196" si="38">SUM(B184:C184)</f>
        <v>1</v>
      </c>
      <c r="E184" s="163">
        <f t="shared" ref="E184:F196" si="39">B184/$D184</f>
        <v>0</v>
      </c>
      <c r="F184" s="163">
        <f t="shared" si="39"/>
        <v>1</v>
      </c>
      <c r="G184" s="95">
        <f t="shared" ref="G184:G195" si="40">D184/D$89</f>
        <v>0.14285714285714285</v>
      </c>
    </row>
    <row r="185" spans="1:8" x14ac:dyDescent="0.25">
      <c r="A185" s="39" t="s">
        <v>138</v>
      </c>
      <c r="B185" s="183">
        <v>0</v>
      </c>
      <c r="C185" s="183">
        <v>0</v>
      </c>
      <c r="D185" s="180">
        <f t="shared" si="38"/>
        <v>0</v>
      </c>
      <c r="E185" s="163" t="e">
        <f t="shared" si="39"/>
        <v>#DIV/0!</v>
      </c>
      <c r="F185" s="163" t="e">
        <f t="shared" si="39"/>
        <v>#DIV/0!</v>
      </c>
      <c r="G185" s="95">
        <f t="shared" si="40"/>
        <v>0</v>
      </c>
    </row>
    <row r="186" spans="1:8" x14ac:dyDescent="0.25">
      <c r="A186" s="39" t="s">
        <v>139</v>
      </c>
      <c r="B186" s="183">
        <v>0</v>
      </c>
      <c r="C186" s="183">
        <v>0</v>
      </c>
      <c r="D186" s="180">
        <f t="shared" si="38"/>
        <v>0</v>
      </c>
      <c r="E186" s="163" t="e">
        <f t="shared" si="39"/>
        <v>#DIV/0!</v>
      </c>
      <c r="F186" s="163" t="e">
        <f t="shared" si="39"/>
        <v>#DIV/0!</v>
      </c>
      <c r="G186" s="95">
        <f t="shared" si="40"/>
        <v>0</v>
      </c>
    </row>
    <row r="187" spans="1:8" x14ac:dyDescent="0.25">
      <c r="A187" s="39" t="s">
        <v>140</v>
      </c>
      <c r="B187" s="183">
        <v>1</v>
      </c>
      <c r="C187" s="183">
        <v>1</v>
      </c>
      <c r="D187" s="180">
        <f t="shared" si="38"/>
        <v>2</v>
      </c>
      <c r="E187" s="163">
        <f t="shared" si="39"/>
        <v>0.5</v>
      </c>
      <c r="F187" s="163">
        <f t="shared" si="39"/>
        <v>0.5</v>
      </c>
      <c r="G187" s="95">
        <f t="shared" si="40"/>
        <v>0.2857142857142857</v>
      </c>
    </row>
    <row r="188" spans="1:8" x14ac:dyDescent="0.25">
      <c r="A188" s="39" t="s">
        <v>141</v>
      </c>
      <c r="B188" s="183">
        <v>1</v>
      </c>
      <c r="C188" s="183">
        <v>0</v>
      </c>
      <c r="D188" s="180">
        <f t="shared" si="38"/>
        <v>1</v>
      </c>
      <c r="E188" s="163">
        <f t="shared" si="39"/>
        <v>1</v>
      </c>
      <c r="F188" s="163">
        <f t="shared" si="39"/>
        <v>0</v>
      </c>
      <c r="G188" s="95">
        <f t="shared" si="40"/>
        <v>0.14285714285714285</v>
      </c>
    </row>
    <row r="189" spans="1:8" x14ac:dyDescent="0.25">
      <c r="A189" s="39" t="s">
        <v>142</v>
      </c>
      <c r="B189" s="183">
        <v>0</v>
      </c>
      <c r="C189" s="183">
        <v>0</v>
      </c>
      <c r="D189" s="180">
        <f t="shared" si="38"/>
        <v>0</v>
      </c>
      <c r="E189" s="163" t="e">
        <f t="shared" si="39"/>
        <v>#DIV/0!</v>
      </c>
      <c r="F189" s="163" t="e">
        <f t="shared" si="39"/>
        <v>#DIV/0!</v>
      </c>
      <c r="G189" s="95">
        <f t="shared" si="40"/>
        <v>0</v>
      </c>
    </row>
    <row r="190" spans="1:8" x14ac:dyDescent="0.25">
      <c r="A190" s="39" t="s">
        <v>143</v>
      </c>
      <c r="B190" s="183">
        <v>0</v>
      </c>
      <c r="C190" s="183">
        <v>0</v>
      </c>
      <c r="D190" s="180">
        <f t="shared" si="38"/>
        <v>0</v>
      </c>
      <c r="E190" s="163" t="e">
        <f t="shared" si="39"/>
        <v>#DIV/0!</v>
      </c>
      <c r="F190" s="163" t="e">
        <f t="shared" si="39"/>
        <v>#DIV/0!</v>
      </c>
      <c r="G190" s="95">
        <f t="shared" si="40"/>
        <v>0</v>
      </c>
    </row>
    <row r="191" spans="1:8" x14ac:dyDescent="0.25">
      <c r="A191" s="39" t="s">
        <v>144</v>
      </c>
      <c r="B191" s="183">
        <v>0</v>
      </c>
      <c r="C191" s="183">
        <v>0</v>
      </c>
      <c r="D191" s="180">
        <f t="shared" si="38"/>
        <v>0</v>
      </c>
      <c r="E191" s="163" t="e">
        <f t="shared" si="39"/>
        <v>#DIV/0!</v>
      </c>
      <c r="F191" s="163" t="e">
        <f t="shared" si="39"/>
        <v>#DIV/0!</v>
      </c>
      <c r="G191" s="95">
        <f t="shared" si="40"/>
        <v>0</v>
      </c>
    </row>
    <row r="192" spans="1:8" x14ac:dyDescent="0.25">
      <c r="A192" s="39" t="s">
        <v>145</v>
      </c>
      <c r="B192" s="183">
        <v>0</v>
      </c>
      <c r="C192" s="183">
        <v>0</v>
      </c>
      <c r="D192" s="180">
        <f t="shared" si="38"/>
        <v>0</v>
      </c>
      <c r="E192" s="163" t="e">
        <f t="shared" si="39"/>
        <v>#DIV/0!</v>
      </c>
      <c r="F192" s="163" t="e">
        <f t="shared" si="39"/>
        <v>#DIV/0!</v>
      </c>
      <c r="G192" s="95">
        <f t="shared" si="40"/>
        <v>0</v>
      </c>
    </row>
    <row r="193" spans="1:10" x14ac:dyDescent="0.25">
      <c r="A193" s="49" t="s">
        <v>146</v>
      </c>
      <c r="B193" s="183">
        <v>0</v>
      </c>
      <c r="C193" s="183">
        <v>0</v>
      </c>
      <c r="D193" s="180">
        <f t="shared" si="38"/>
        <v>0</v>
      </c>
      <c r="E193" s="163" t="e">
        <f t="shared" si="39"/>
        <v>#DIV/0!</v>
      </c>
      <c r="F193" s="163" t="e">
        <f t="shared" si="39"/>
        <v>#DIV/0!</v>
      </c>
      <c r="G193" s="95">
        <f t="shared" si="40"/>
        <v>0</v>
      </c>
    </row>
    <row r="194" spans="1:10" x14ac:dyDescent="0.25">
      <c r="A194" s="49" t="s">
        <v>147</v>
      </c>
      <c r="B194" s="183">
        <v>0</v>
      </c>
      <c r="C194" s="183">
        <v>0</v>
      </c>
      <c r="D194" s="180">
        <f t="shared" si="38"/>
        <v>0</v>
      </c>
      <c r="E194" s="163" t="e">
        <f t="shared" si="39"/>
        <v>#DIV/0!</v>
      </c>
      <c r="F194" s="163" t="e">
        <f t="shared" si="39"/>
        <v>#DIV/0!</v>
      </c>
      <c r="G194" s="95">
        <f t="shared" si="40"/>
        <v>0</v>
      </c>
    </row>
    <row r="195" spans="1:10" x14ac:dyDescent="0.25">
      <c r="A195" s="49" t="s">
        <v>239</v>
      </c>
      <c r="B195" s="184">
        <v>0</v>
      </c>
      <c r="C195" s="184">
        <v>0</v>
      </c>
      <c r="D195" s="180">
        <f t="shared" si="38"/>
        <v>0</v>
      </c>
      <c r="E195" s="163" t="e">
        <f t="shared" si="39"/>
        <v>#DIV/0!</v>
      </c>
      <c r="F195" s="163" t="e">
        <f t="shared" si="39"/>
        <v>#DIV/0!</v>
      </c>
      <c r="G195" s="95">
        <f t="shared" si="40"/>
        <v>0</v>
      </c>
    </row>
    <row r="196" spans="1:10" ht="15.75" thickBot="1" x14ac:dyDescent="0.3">
      <c r="A196" s="173" t="s">
        <v>235</v>
      </c>
      <c r="B196" s="185">
        <v>1</v>
      </c>
      <c r="C196" s="185">
        <v>0</v>
      </c>
      <c r="D196" s="186">
        <f t="shared" si="38"/>
        <v>1</v>
      </c>
      <c r="E196" s="176">
        <f>B196/$D196</f>
        <v>1</v>
      </c>
      <c r="F196" s="176">
        <f t="shared" si="39"/>
        <v>0</v>
      </c>
      <c r="G196" s="74">
        <f>D196/D$89</f>
        <v>0.14285714285714285</v>
      </c>
    </row>
    <row r="197" spans="1:10" ht="18.75" x14ac:dyDescent="0.3">
      <c r="B197" s="187" t="s">
        <v>240</v>
      </c>
    </row>
    <row r="198" spans="1:10" x14ac:dyDescent="0.25">
      <c r="A198" s="103" t="s">
        <v>241</v>
      </c>
      <c r="B198" s="104"/>
      <c r="C198" s="38"/>
      <c r="D198" s="38"/>
      <c r="E198" s="38"/>
      <c r="F198" s="38"/>
      <c r="G198" s="139"/>
    </row>
    <row r="199" spans="1:10" ht="123" customHeight="1" x14ac:dyDescent="0.25">
      <c r="A199" s="319"/>
      <c r="B199" s="319"/>
      <c r="C199" s="319"/>
      <c r="D199" s="319"/>
      <c r="E199" s="319"/>
      <c r="F199" s="319"/>
      <c r="G199" s="319"/>
    </row>
    <row r="202" spans="1:10" ht="15.75" x14ac:dyDescent="0.25">
      <c r="A202" s="305" t="s">
        <v>242</v>
      </c>
      <c r="B202" s="305"/>
      <c r="C202" s="305"/>
      <c r="D202" s="305"/>
      <c r="E202" s="305"/>
      <c r="F202" s="305"/>
      <c r="G202" s="305"/>
    </row>
    <row r="203" spans="1:10" ht="21.75" thickBot="1" x14ac:dyDescent="0.4">
      <c r="B203" s="188" t="s">
        <v>243</v>
      </c>
    </row>
    <row r="204" spans="1:10" ht="72" x14ac:dyDescent="0.25">
      <c r="A204" s="33" t="s">
        <v>244</v>
      </c>
      <c r="B204" s="34" t="s">
        <v>159</v>
      </c>
      <c r="C204" s="35" t="s">
        <v>160</v>
      </c>
      <c r="D204" s="35" t="s">
        <v>161</v>
      </c>
      <c r="E204" s="159" t="s">
        <v>162</v>
      </c>
      <c r="F204" s="160" t="s">
        <v>163</v>
      </c>
      <c r="G204" s="37" t="s">
        <v>245</v>
      </c>
    </row>
    <row r="205" spans="1:10" x14ac:dyDescent="0.25">
      <c r="A205" s="189" t="s">
        <v>150</v>
      </c>
      <c r="B205" s="190">
        <f>SUM(B207,B208,B215,B220)</f>
        <v>0</v>
      </c>
      <c r="C205" s="190">
        <f>SUM(C207,C208,C215,C220)</f>
        <v>0</v>
      </c>
      <c r="D205" s="190">
        <f>SUM(B205:C205)</f>
        <v>0</v>
      </c>
      <c r="E205" s="191" t="e">
        <f>B205/$D205</f>
        <v>#DIV/0!</v>
      </c>
      <c r="F205" s="191" t="e">
        <f>C205/$D205</f>
        <v>#DIV/0!</v>
      </c>
      <c r="G205" s="192">
        <f>SUM(G207:G208,G215,G220)</f>
        <v>0</v>
      </c>
    </row>
    <row r="206" spans="1:10" ht="48" x14ac:dyDescent="0.25">
      <c r="A206" s="166" t="s">
        <v>183</v>
      </c>
      <c r="B206" s="193" t="str">
        <f>IF(B205=B70,"OK","Ces totaux généraux doivent être égaux aux nombres d'individus admis sur l'année - § C.2")</f>
        <v>Ces totaux généraux doivent être égaux aux nombres d'individus admis sur l'année - § C.2</v>
      </c>
      <c r="C206" s="193" t="str">
        <f t="shared" ref="C206" si="41">IF(C205=C70,"OK","Ces totaux généraux doivent être égaux aux nombres d'individus admis sur l'année - § C.2")</f>
        <v>Ces totaux généraux doivent être égaux aux nombres d'individus admis sur l'année - § C.2</v>
      </c>
      <c r="D206" s="193" t="str">
        <f>IF(D205=D70,"OK","Ces totaux généraux doivent être égaux aux nombres d'individus admis sur l'année - § C.2")</f>
        <v>Ces totaux généraux doivent être égaux aux nombres d'individus admis sur l'année - § C.2</v>
      </c>
      <c r="E206" s="193" t="e">
        <f>IF(E205=E70,"OK","Ce pourcentage doit être égal au pourcentage garçons admis - § C.2")</f>
        <v>#DIV/0!</v>
      </c>
      <c r="F206" s="194" t="e">
        <f>IF(F205=F70,"OK","Ce pourcentage doit être égal au pourcentage filles sorties - § C.2")</f>
        <v>#DIV/0!</v>
      </c>
      <c r="G206" s="195" t="str">
        <f>IF(G205=100%,"OK","Ce pourcentage doit être égal à 100 %")</f>
        <v>Ce pourcentage doit être égal à 100 %</v>
      </c>
      <c r="H206" s="117"/>
      <c r="J206" s="59"/>
    </row>
    <row r="207" spans="1:10" x14ac:dyDescent="0.25">
      <c r="A207" s="39" t="s">
        <v>85</v>
      </c>
      <c r="B207" s="169"/>
      <c r="C207" s="169"/>
      <c r="D207" s="161">
        <f t="shared" ref="D207:D215" si="42">SUM(B207:C207)</f>
        <v>0</v>
      </c>
      <c r="E207" s="163" t="e">
        <f>B207/$D207</f>
        <v>#DIV/0!</v>
      </c>
      <c r="F207" s="163" t="e">
        <f t="shared" ref="F207:F220" si="43">C207/$D207</f>
        <v>#DIV/0!</v>
      </c>
      <c r="G207" s="95">
        <f>D207/D$70</f>
        <v>0</v>
      </c>
    </row>
    <row r="208" spans="1:10" x14ac:dyDescent="0.25">
      <c r="A208" s="87" t="s">
        <v>246</v>
      </c>
      <c r="B208" s="161">
        <f>SUM(B209:B214)</f>
        <v>0</v>
      </c>
      <c r="C208" s="161">
        <f>SUM(C209:C214)</f>
        <v>0</v>
      </c>
      <c r="D208" s="161">
        <f>SUM(B208:C208)</f>
        <v>0</v>
      </c>
      <c r="E208" s="191" t="e">
        <f>B208/$D208</f>
        <v>#DIV/0!</v>
      </c>
      <c r="F208" s="191" t="e">
        <f t="shared" si="43"/>
        <v>#DIV/0!</v>
      </c>
      <c r="G208" s="96">
        <f t="shared" ref="G208:G219" si="44">D208/D$70</f>
        <v>0</v>
      </c>
    </row>
    <row r="209" spans="1:8" x14ac:dyDescent="0.25">
      <c r="A209" s="39" t="s">
        <v>86</v>
      </c>
      <c r="B209" s="169"/>
      <c r="C209" s="169"/>
      <c r="D209" s="161">
        <f t="shared" si="42"/>
        <v>0</v>
      </c>
      <c r="E209" s="163" t="e">
        <f t="shared" ref="E209:E220" si="45">B209/$D209</f>
        <v>#DIV/0!</v>
      </c>
      <c r="F209" s="163" t="e">
        <f t="shared" si="43"/>
        <v>#DIV/0!</v>
      </c>
      <c r="G209" s="95">
        <f t="shared" si="44"/>
        <v>0</v>
      </c>
    </row>
    <row r="210" spans="1:8" x14ac:dyDescent="0.25">
      <c r="A210" s="39" t="s">
        <v>87</v>
      </c>
      <c r="B210" s="169"/>
      <c r="C210" s="169"/>
      <c r="D210" s="161">
        <f t="shared" si="42"/>
        <v>0</v>
      </c>
      <c r="E210" s="163" t="e">
        <f t="shared" si="45"/>
        <v>#DIV/0!</v>
      </c>
      <c r="F210" s="163" t="e">
        <f t="shared" si="43"/>
        <v>#DIV/0!</v>
      </c>
      <c r="G210" s="95">
        <f t="shared" si="44"/>
        <v>0</v>
      </c>
    </row>
    <row r="211" spans="1:8" x14ac:dyDescent="0.25">
      <c r="A211" s="39" t="s">
        <v>88</v>
      </c>
      <c r="B211" s="169"/>
      <c r="C211" s="169"/>
      <c r="D211" s="161">
        <f t="shared" si="42"/>
        <v>0</v>
      </c>
      <c r="E211" s="163" t="e">
        <f t="shared" si="45"/>
        <v>#DIV/0!</v>
      </c>
      <c r="F211" s="163" t="e">
        <f t="shared" si="43"/>
        <v>#DIV/0!</v>
      </c>
      <c r="G211" s="95">
        <f t="shared" si="44"/>
        <v>0</v>
      </c>
    </row>
    <row r="212" spans="1:8" x14ac:dyDescent="0.25">
      <c r="A212" s="39" t="s">
        <v>89</v>
      </c>
      <c r="B212" s="169"/>
      <c r="C212" s="169"/>
      <c r="D212" s="161">
        <f t="shared" si="42"/>
        <v>0</v>
      </c>
      <c r="E212" s="163" t="e">
        <f t="shared" si="45"/>
        <v>#DIV/0!</v>
      </c>
      <c r="F212" s="163" t="e">
        <f t="shared" si="43"/>
        <v>#DIV/0!</v>
      </c>
      <c r="G212" s="95">
        <f t="shared" si="44"/>
        <v>0</v>
      </c>
    </row>
    <row r="213" spans="1:8" x14ac:dyDescent="0.25">
      <c r="A213" s="39" t="s">
        <v>90</v>
      </c>
      <c r="B213" s="169"/>
      <c r="C213" s="169"/>
      <c r="D213" s="161">
        <f t="shared" si="42"/>
        <v>0</v>
      </c>
      <c r="E213" s="163" t="e">
        <f t="shared" si="45"/>
        <v>#DIV/0!</v>
      </c>
      <c r="F213" s="163" t="e">
        <f t="shared" si="43"/>
        <v>#DIV/0!</v>
      </c>
      <c r="G213" s="95">
        <f>D213/D$70</f>
        <v>0</v>
      </c>
    </row>
    <row r="214" spans="1:8" x14ac:dyDescent="0.25">
      <c r="A214" s="39" t="s">
        <v>91</v>
      </c>
      <c r="B214" s="169"/>
      <c r="C214" s="169"/>
      <c r="D214" s="161">
        <f t="shared" si="42"/>
        <v>0</v>
      </c>
      <c r="E214" s="163" t="e">
        <f>B214/$D214</f>
        <v>#DIV/0!</v>
      </c>
      <c r="F214" s="163" t="e">
        <f t="shared" si="43"/>
        <v>#DIV/0!</v>
      </c>
      <c r="G214" s="95">
        <f t="shared" si="44"/>
        <v>0</v>
      </c>
    </row>
    <row r="215" spans="1:8" x14ac:dyDescent="0.25">
      <c r="A215" s="87" t="s">
        <v>247</v>
      </c>
      <c r="B215" s="161">
        <f>SUM(B216:B219)</f>
        <v>0</v>
      </c>
      <c r="C215" s="161">
        <f>SUM(C216:C219)</f>
        <v>0</v>
      </c>
      <c r="D215" s="161">
        <f t="shared" si="42"/>
        <v>0</v>
      </c>
      <c r="E215" s="191" t="e">
        <f>B215/$D215</f>
        <v>#DIV/0!</v>
      </c>
      <c r="F215" s="191" t="e">
        <f t="shared" si="43"/>
        <v>#DIV/0!</v>
      </c>
      <c r="G215" s="96">
        <f t="shared" si="44"/>
        <v>0</v>
      </c>
    </row>
    <row r="216" spans="1:8" x14ac:dyDescent="0.25">
      <c r="A216" s="39" t="s">
        <v>92</v>
      </c>
      <c r="B216" s="169"/>
      <c r="C216" s="169"/>
      <c r="D216" s="161">
        <f t="shared" ref="D216:D220" si="46">SUM(B216:C216)</f>
        <v>0</v>
      </c>
      <c r="E216" s="163" t="e">
        <f t="shared" si="45"/>
        <v>#DIV/0!</v>
      </c>
      <c r="F216" s="163" t="e">
        <f t="shared" si="43"/>
        <v>#DIV/0!</v>
      </c>
      <c r="G216" s="95">
        <f t="shared" si="44"/>
        <v>0</v>
      </c>
    </row>
    <row r="217" spans="1:8" x14ac:dyDescent="0.25">
      <c r="A217" s="39" t="s">
        <v>93</v>
      </c>
      <c r="B217" s="169"/>
      <c r="C217" s="169"/>
      <c r="D217" s="161">
        <f t="shared" si="46"/>
        <v>0</v>
      </c>
      <c r="E217" s="163" t="e">
        <f t="shared" si="45"/>
        <v>#DIV/0!</v>
      </c>
      <c r="F217" s="163" t="e">
        <f t="shared" si="43"/>
        <v>#DIV/0!</v>
      </c>
      <c r="G217" s="95">
        <f t="shared" si="44"/>
        <v>0</v>
      </c>
    </row>
    <row r="218" spans="1:8" x14ac:dyDescent="0.25">
      <c r="A218" s="39" t="s">
        <v>94</v>
      </c>
      <c r="B218" s="169"/>
      <c r="C218" s="169"/>
      <c r="D218" s="161">
        <f t="shared" si="46"/>
        <v>0</v>
      </c>
      <c r="E218" s="163" t="e">
        <f t="shared" si="45"/>
        <v>#DIV/0!</v>
      </c>
      <c r="F218" s="163" t="e">
        <f t="shared" si="43"/>
        <v>#DIV/0!</v>
      </c>
      <c r="G218" s="95">
        <f t="shared" si="44"/>
        <v>0</v>
      </c>
    </row>
    <row r="219" spans="1:8" x14ac:dyDescent="0.25">
      <c r="A219" s="39" t="s">
        <v>95</v>
      </c>
      <c r="B219" s="169"/>
      <c r="C219" s="169"/>
      <c r="D219" s="161">
        <f t="shared" si="46"/>
        <v>0</v>
      </c>
      <c r="E219" s="163" t="e">
        <f t="shared" si="45"/>
        <v>#DIV/0!</v>
      </c>
      <c r="F219" s="163" t="e">
        <f t="shared" si="43"/>
        <v>#DIV/0!</v>
      </c>
      <c r="G219" s="95">
        <f t="shared" si="44"/>
        <v>0</v>
      </c>
    </row>
    <row r="220" spans="1:8" ht="15.75" thickBot="1" x14ac:dyDescent="0.3">
      <c r="A220" s="173" t="s">
        <v>235</v>
      </c>
      <c r="B220" s="196"/>
      <c r="C220" s="197"/>
      <c r="D220" s="198">
        <f t="shared" si="46"/>
        <v>0</v>
      </c>
      <c r="E220" s="176" t="e">
        <f t="shared" si="45"/>
        <v>#DIV/0!</v>
      </c>
      <c r="F220" s="176" t="e">
        <f t="shared" si="43"/>
        <v>#DIV/0!</v>
      </c>
      <c r="G220" s="74">
        <f>D220/D$70</f>
        <v>0</v>
      </c>
    </row>
    <row r="221" spans="1:8" ht="15.75" thickBot="1" x14ac:dyDescent="0.3">
      <c r="A221" s="30"/>
      <c r="B221" s="146"/>
      <c r="C221" s="146"/>
      <c r="D221" s="123"/>
      <c r="E221" s="199"/>
      <c r="F221" s="199"/>
      <c r="G221" s="199"/>
    </row>
    <row r="222" spans="1:8" ht="72" x14ac:dyDescent="0.25">
      <c r="A222" s="33" t="s">
        <v>248</v>
      </c>
      <c r="B222" s="34" t="s">
        <v>159</v>
      </c>
      <c r="C222" s="35" t="s">
        <v>160</v>
      </c>
      <c r="D222" s="35" t="s">
        <v>161</v>
      </c>
      <c r="E222" s="159" t="s">
        <v>162</v>
      </c>
      <c r="F222" s="36" t="s">
        <v>163</v>
      </c>
      <c r="G222" s="107" t="s">
        <v>245</v>
      </c>
    </row>
    <row r="223" spans="1:8" x14ac:dyDescent="0.25">
      <c r="A223" s="189" t="s">
        <v>150</v>
      </c>
      <c r="B223" s="190">
        <f>SUM(B225,B226,B233,B238)</f>
        <v>0</v>
      </c>
      <c r="C223" s="190">
        <f>SUM(C225,C226,C233,C238)</f>
        <v>0</v>
      </c>
      <c r="D223" s="190">
        <f>SUM(B223:C223)</f>
        <v>0</v>
      </c>
      <c r="E223" s="163" t="e">
        <f>B223/$D223</f>
        <v>#DIV/0!</v>
      </c>
      <c r="F223" s="163" t="e">
        <f>C223/$D223</f>
        <v>#DIV/0!</v>
      </c>
      <c r="G223" s="192">
        <f>SUM(G225:G226,G233,G238)</f>
        <v>0</v>
      </c>
    </row>
    <row r="224" spans="1:8" ht="48" x14ac:dyDescent="0.25">
      <c r="A224" s="166" t="s">
        <v>183</v>
      </c>
      <c r="B224" s="168" t="str">
        <f>IF(B223=B70,"OK","Ces totaux généraux doivent être égaux aux nombres d'individus admis sur l'année - § C.2")</f>
        <v>Ces totaux généraux doivent être égaux aux nombres d'individus admis sur l'année - § C.2</v>
      </c>
      <c r="C224" s="168" t="str">
        <f t="shared" ref="C224:D224" si="47">IF(C223=C70,"OK","Ces totaux généraux doivent être égaux aux nombres d'individus admis sur l'année - § C.2")</f>
        <v>Ces totaux généraux doivent être égaux aux nombres d'individus admis sur l'année - § C.2</v>
      </c>
      <c r="D224" s="168" t="str">
        <f t="shared" si="47"/>
        <v>Ces totaux généraux doivent être égaux aux nombres d'individus admis sur l'année - § C.2</v>
      </c>
      <c r="E224" s="168" t="e">
        <f>IF(E223=E70,"OK","Ce pourcentage doit être égal au pourcentage garçons admis - § C.2")</f>
        <v>#DIV/0!</v>
      </c>
      <c r="F224" s="182" t="e">
        <f>IF(F223=F70,"OK","Ce pourcentage doit être égal au pourcentage filles admises - § C.2")</f>
        <v>#DIV/0!</v>
      </c>
      <c r="G224" s="200" t="str">
        <f>IF(G223=100%,"OK","Ce pourcentage doit être égal à 100 %")</f>
        <v>Ce pourcentage doit être égal à 100 %</v>
      </c>
      <c r="H224" s="117"/>
    </row>
    <row r="225" spans="1:7" x14ac:dyDescent="0.25">
      <c r="A225" s="39" t="s">
        <v>85</v>
      </c>
      <c r="B225" s="169"/>
      <c r="C225" s="169"/>
      <c r="D225" s="161">
        <f t="shared" ref="D225:D233" si="48">SUM(B225:C225)</f>
        <v>0</v>
      </c>
      <c r="E225" s="163" t="e">
        <f>B225/$D225</f>
        <v>#DIV/0!</v>
      </c>
      <c r="F225" s="163" t="e">
        <f t="shared" ref="E225:F238" si="49">C225/$D225</f>
        <v>#DIV/0!</v>
      </c>
      <c r="G225" s="95">
        <f t="shared" ref="G225:G237" si="50">D225/D$70</f>
        <v>0</v>
      </c>
    </row>
    <row r="226" spans="1:7" x14ac:dyDescent="0.25">
      <c r="A226" s="87" t="s">
        <v>246</v>
      </c>
      <c r="B226" s="161">
        <f>SUM(B227:B232)</f>
        <v>0</v>
      </c>
      <c r="C226" s="161">
        <f>SUM(C227:C232)</f>
        <v>0</v>
      </c>
      <c r="D226" s="161">
        <f t="shared" si="48"/>
        <v>0</v>
      </c>
      <c r="E226" s="191" t="e">
        <f t="shared" si="49"/>
        <v>#DIV/0!</v>
      </c>
      <c r="F226" s="191" t="e">
        <f t="shared" si="49"/>
        <v>#DIV/0!</v>
      </c>
      <c r="G226" s="96">
        <f t="shared" si="50"/>
        <v>0</v>
      </c>
    </row>
    <row r="227" spans="1:7" x14ac:dyDescent="0.25">
      <c r="A227" s="39" t="s">
        <v>86</v>
      </c>
      <c r="B227" s="169"/>
      <c r="C227" s="169"/>
      <c r="D227" s="161">
        <f t="shared" si="48"/>
        <v>0</v>
      </c>
      <c r="E227" s="163" t="e">
        <f t="shared" si="49"/>
        <v>#DIV/0!</v>
      </c>
      <c r="F227" s="163" t="e">
        <f t="shared" si="49"/>
        <v>#DIV/0!</v>
      </c>
      <c r="G227" s="95">
        <f t="shared" si="50"/>
        <v>0</v>
      </c>
    </row>
    <row r="228" spans="1:7" x14ac:dyDescent="0.25">
      <c r="A228" s="39" t="s">
        <v>87</v>
      </c>
      <c r="B228" s="169"/>
      <c r="C228" s="169"/>
      <c r="D228" s="161">
        <f t="shared" si="48"/>
        <v>0</v>
      </c>
      <c r="E228" s="163" t="e">
        <f t="shared" si="49"/>
        <v>#DIV/0!</v>
      </c>
      <c r="F228" s="163" t="e">
        <f t="shared" si="49"/>
        <v>#DIV/0!</v>
      </c>
      <c r="G228" s="95">
        <f t="shared" si="50"/>
        <v>0</v>
      </c>
    </row>
    <row r="229" spans="1:7" x14ac:dyDescent="0.25">
      <c r="A229" s="39" t="s">
        <v>88</v>
      </c>
      <c r="B229" s="169"/>
      <c r="C229" s="169"/>
      <c r="D229" s="161">
        <f t="shared" si="48"/>
        <v>0</v>
      </c>
      <c r="E229" s="163" t="e">
        <f t="shared" si="49"/>
        <v>#DIV/0!</v>
      </c>
      <c r="F229" s="163" t="e">
        <f t="shared" si="49"/>
        <v>#DIV/0!</v>
      </c>
      <c r="G229" s="95">
        <f t="shared" si="50"/>
        <v>0</v>
      </c>
    </row>
    <row r="230" spans="1:7" x14ac:dyDescent="0.25">
      <c r="A230" s="39" t="s">
        <v>89</v>
      </c>
      <c r="B230" s="169"/>
      <c r="C230" s="169"/>
      <c r="D230" s="161">
        <f t="shared" si="48"/>
        <v>0</v>
      </c>
      <c r="E230" s="163" t="e">
        <f t="shared" si="49"/>
        <v>#DIV/0!</v>
      </c>
      <c r="F230" s="163" t="e">
        <f t="shared" si="49"/>
        <v>#DIV/0!</v>
      </c>
      <c r="G230" s="95">
        <f t="shared" si="50"/>
        <v>0</v>
      </c>
    </row>
    <row r="231" spans="1:7" x14ac:dyDescent="0.25">
      <c r="A231" s="39" t="s">
        <v>90</v>
      </c>
      <c r="B231" s="169"/>
      <c r="C231" s="169"/>
      <c r="D231" s="161">
        <f t="shared" si="48"/>
        <v>0</v>
      </c>
      <c r="E231" s="163" t="e">
        <f t="shared" si="49"/>
        <v>#DIV/0!</v>
      </c>
      <c r="F231" s="163" t="e">
        <f t="shared" si="49"/>
        <v>#DIV/0!</v>
      </c>
      <c r="G231" s="95">
        <f t="shared" si="50"/>
        <v>0</v>
      </c>
    </row>
    <row r="232" spans="1:7" x14ac:dyDescent="0.25">
      <c r="A232" s="39" t="s">
        <v>91</v>
      </c>
      <c r="B232" s="169"/>
      <c r="C232" s="169"/>
      <c r="D232" s="161">
        <f>SUM(B232:C232)</f>
        <v>0</v>
      </c>
      <c r="E232" s="163" t="e">
        <f t="shared" si="49"/>
        <v>#DIV/0!</v>
      </c>
      <c r="F232" s="163" t="e">
        <f t="shared" si="49"/>
        <v>#DIV/0!</v>
      </c>
      <c r="G232" s="95">
        <f t="shared" si="50"/>
        <v>0</v>
      </c>
    </row>
    <row r="233" spans="1:7" x14ac:dyDescent="0.25">
      <c r="A233" s="87" t="s">
        <v>247</v>
      </c>
      <c r="B233" s="161">
        <f>SUM(B234:B237)</f>
        <v>0</v>
      </c>
      <c r="C233" s="161">
        <f>SUM(C234:C237)</f>
        <v>0</v>
      </c>
      <c r="D233" s="161">
        <f t="shared" si="48"/>
        <v>0</v>
      </c>
      <c r="E233" s="191" t="e">
        <f t="shared" si="49"/>
        <v>#DIV/0!</v>
      </c>
      <c r="F233" s="191" t="e">
        <f t="shared" si="49"/>
        <v>#DIV/0!</v>
      </c>
      <c r="G233" s="96">
        <f t="shared" si="50"/>
        <v>0</v>
      </c>
    </row>
    <row r="234" spans="1:7" x14ac:dyDescent="0.25">
      <c r="A234" s="39" t="s">
        <v>92</v>
      </c>
      <c r="B234" s="169"/>
      <c r="C234" s="169"/>
      <c r="D234" s="161">
        <f t="shared" ref="D234:D238" si="51">SUM(B234:C234)</f>
        <v>0</v>
      </c>
      <c r="E234" s="163" t="e">
        <f t="shared" si="49"/>
        <v>#DIV/0!</v>
      </c>
      <c r="F234" s="163" t="e">
        <f t="shared" si="49"/>
        <v>#DIV/0!</v>
      </c>
      <c r="G234" s="95">
        <f t="shared" si="50"/>
        <v>0</v>
      </c>
    </row>
    <row r="235" spans="1:7" x14ac:dyDescent="0.25">
      <c r="A235" s="39" t="s">
        <v>93</v>
      </c>
      <c r="B235" s="169"/>
      <c r="C235" s="169"/>
      <c r="D235" s="161">
        <f t="shared" si="51"/>
        <v>0</v>
      </c>
      <c r="E235" s="163" t="e">
        <f t="shared" si="49"/>
        <v>#DIV/0!</v>
      </c>
      <c r="F235" s="163" t="e">
        <f t="shared" si="49"/>
        <v>#DIV/0!</v>
      </c>
      <c r="G235" s="95">
        <f t="shared" si="50"/>
        <v>0</v>
      </c>
    </row>
    <row r="236" spans="1:7" x14ac:dyDescent="0.25">
      <c r="A236" s="39" t="s">
        <v>94</v>
      </c>
      <c r="B236" s="169"/>
      <c r="C236" s="169"/>
      <c r="D236" s="161">
        <f t="shared" si="51"/>
        <v>0</v>
      </c>
      <c r="E236" s="163" t="e">
        <f t="shared" si="49"/>
        <v>#DIV/0!</v>
      </c>
      <c r="F236" s="163" t="e">
        <f t="shared" si="49"/>
        <v>#DIV/0!</v>
      </c>
      <c r="G236" s="95">
        <f t="shared" si="50"/>
        <v>0</v>
      </c>
    </row>
    <row r="237" spans="1:7" x14ac:dyDescent="0.25">
      <c r="A237" s="39" t="s">
        <v>95</v>
      </c>
      <c r="B237" s="169"/>
      <c r="C237" s="169"/>
      <c r="D237" s="161">
        <f t="shared" si="51"/>
        <v>0</v>
      </c>
      <c r="E237" s="163" t="e">
        <f t="shared" si="49"/>
        <v>#DIV/0!</v>
      </c>
      <c r="F237" s="163" t="e">
        <f t="shared" si="49"/>
        <v>#DIV/0!</v>
      </c>
      <c r="G237" s="95">
        <f t="shared" si="50"/>
        <v>0</v>
      </c>
    </row>
    <row r="238" spans="1:7" ht="15.75" thickBot="1" x14ac:dyDescent="0.3">
      <c r="A238" s="173" t="s">
        <v>235</v>
      </c>
      <c r="B238" s="196"/>
      <c r="C238" s="197"/>
      <c r="D238" s="198">
        <f t="shared" si="51"/>
        <v>0</v>
      </c>
      <c r="E238" s="176" t="e">
        <f t="shared" si="49"/>
        <v>#DIV/0!</v>
      </c>
      <c r="F238" s="176" t="e">
        <f t="shared" si="49"/>
        <v>#DIV/0!</v>
      </c>
      <c r="G238" s="74">
        <f>D238/D$70</f>
        <v>0</v>
      </c>
    </row>
    <row r="239" spans="1:7" ht="15.75" thickBot="1" x14ac:dyDescent="0.3">
      <c r="A239" s="30"/>
      <c r="B239" s="146"/>
      <c r="C239" s="146"/>
      <c r="D239" s="123"/>
      <c r="E239" s="199"/>
      <c r="F239" s="199"/>
      <c r="G239" s="199"/>
    </row>
    <row r="240" spans="1:7" ht="60" x14ac:dyDescent="0.25">
      <c r="A240" s="33" t="s">
        <v>249</v>
      </c>
      <c r="B240" s="34" t="s">
        <v>159</v>
      </c>
      <c r="C240" s="35" t="s">
        <v>160</v>
      </c>
      <c r="D240" s="35" t="s">
        <v>161</v>
      </c>
      <c r="E240" s="159" t="s">
        <v>162</v>
      </c>
      <c r="F240" s="160" t="s">
        <v>163</v>
      </c>
      <c r="G240" s="37" t="s">
        <v>250</v>
      </c>
    </row>
    <row r="241" spans="1:8" x14ac:dyDescent="0.25">
      <c r="A241" s="189" t="s">
        <v>150</v>
      </c>
      <c r="B241" s="190">
        <f>SUM(B243,B244,B251,B256)</f>
        <v>0</v>
      </c>
      <c r="C241" s="190">
        <f>SUM(C243,C244,C251,C256)</f>
        <v>0</v>
      </c>
      <c r="D241" s="161">
        <f>SUM(B241:C241)</f>
        <v>0</v>
      </c>
      <c r="E241" s="191" t="e">
        <f>B241/$D241</f>
        <v>#DIV/0!</v>
      </c>
      <c r="F241" s="191" t="e">
        <f>C241/$D241</f>
        <v>#DIV/0!</v>
      </c>
      <c r="G241" s="181">
        <f>SUM(G243:G244,G251,G256)</f>
        <v>0</v>
      </c>
      <c r="H241" s="117"/>
    </row>
    <row r="242" spans="1:8" ht="48" x14ac:dyDescent="0.25">
      <c r="A242" s="166" t="s">
        <v>183</v>
      </c>
      <c r="B242" s="168" t="str">
        <f>IF(B241=B89,"OK","Ces totaux généraux doivent être égaux aux nombres d'individus sortis sur l'année - § C.3")</f>
        <v>Ces totaux généraux doivent être égaux aux nombres d'individus sortis sur l'année - § C.3</v>
      </c>
      <c r="C242" s="168" t="str">
        <f t="shared" ref="C242:D242" si="52">IF(C241=C89,"OK","Ces totaux généraux doivent être égaux aux nombres d'individus sortis sur l'année - § C.3")</f>
        <v>Ces totaux généraux doivent être égaux aux nombres d'individus sortis sur l'année - § C.3</v>
      </c>
      <c r="D242" s="168" t="str">
        <f t="shared" si="52"/>
        <v>Ces totaux généraux doivent être égaux aux nombres d'individus sortis sur l'année - § C.3</v>
      </c>
      <c r="E242" s="168" t="e">
        <f>IF(E241=E89,"OK","Ce pourcentage doit être égal au pourcentage garçons sortis - § C.3")</f>
        <v>#DIV/0!</v>
      </c>
      <c r="F242" s="168" t="e">
        <f>IF(F241=F89,"OK","Ce pourcentage doit être égal au pourcentage filles sorties - § C.3")</f>
        <v>#DIV/0!</v>
      </c>
      <c r="G242" s="168" t="str">
        <f>IF(G241=100%,"OK","Ce pourcentage doit être égal à 100 %")</f>
        <v>Ce pourcentage doit être égal à 100 %</v>
      </c>
    </row>
    <row r="243" spans="1:8" x14ac:dyDescent="0.25">
      <c r="A243" s="39" t="s">
        <v>85</v>
      </c>
      <c r="B243" s="169"/>
      <c r="C243" s="169"/>
      <c r="D243" s="161">
        <f t="shared" ref="D243:D251" si="53">SUM(B243:C243)</f>
        <v>0</v>
      </c>
      <c r="E243" s="163" t="e">
        <f t="shared" ref="E243:F256" si="54">B243/$D243</f>
        <v>#DIV/0!</v>
      </c>
      <c r="F243" s="163" t="e">
        <f t="shared" si="54"/>
        <v>#DIV/0!</v>
      </c>
      <c r="G243" s="95">
        <f t="shared" ref="G243:G256" si="55">D243/D$89</f>
        <v>0</v>
      </c>
    </row>
    <row r="244" spans="1:8" x14ac:dyDescent="0.25">
      <c r="A244" s="87" t="s">
        <v>246</v>
      </c>
      <c r="B244" s="161">
        <f>SUM(B245:B250)</f>
        <v>0</v>
      </c>
      <c r="C244" s="161">
        <f>SUM(C245:C250)</f>
        <v>0</v>
      </c>
      <c r="D244" s="161">
        <f t="shared" si="53"/>
        <v>0</v>
      </c>
      <c r="E244" s="191" t="e">
        <f t="shared" si="54"/>
        <v>#DIV/0!</v>
      </c>
      <c r="F244" s="191" t="e">
        <f t="shared" si="54"/>
        <v>#DIV/0!</v>
      </c>
      <c r="G244" s="96">
        <f t="shared" si="55"/>
        <v>0</v>
      </c>
    </row>
    <row r="245" spans="1:8" x14ac:dyDescent="0.25">
      <c r="A245" s="39" t="s">
        <v>86</v>
      </c>
      <c r="B245" s="169"/>
      <c r="C245" s="169"/>
      <c r="D245" s="161">
        <f t="shared" si="53"/>
        <v>0</v>
      </c>
      <c r="E245" s="163" t="e">
        <f t="shared" si="54"/>
        <v>#DIV/0!</v>
      </c>
      <c r="F245" s="163" t="e">
        <f t="shared" si="54"/>
        <v>#DIV/0!</v>
      </c>
      <c r="G245" s="95">
        <f t="shared" si="55"/>
        <v>0</v>
      </c>
    </row>
    <row r="246" spans="1:8" x14ac:dyDescent="0.25">
      <c r="A246" s="39" t="s">
        <v>87</v>
      </c>
      <c r="B246" s="169"/>
      <c r="C246" s="169"/>
      <c r="D246" s="161">
        <f t="shared" si="53"/>
        <v>0</v>
      </c>
      <c r="E246" s="163" t="e">
        <f t="shared" si="54"/>
        <v>#DIV/0!</v>
      </c>
      <c r="F246" s="163" t="e">
        <f t="shared" si="54"/>
        <v>#DIV/0!</v>
      </c>
      <c r="G246" s="95">
        <f t="shared" si="55"/>
        <v>0</v>
      </c>
    </row>
    <row r="247" spans="1:8" x14ac:dyDescent="0.25">
      <c r="A247" s="39" t="s">
        <v>88</v>
      </c>
      <c r="B247" s="169"/>
      <c r="C247" s="169"/>
      <c r="D247" s="161">
        <f t="shared" si="53"/>
        <v>0</v>
      </c>
      <c r="E247" s="163" t="e">
        <f t="shared" si="54"/>
        <v>#DIV/0!</v>
      </c>
      <c r="F247" s="163" t="e">
        <f t="shared" si="54"/>
        <v>#DIV/0!</v>
      </c>
      <c r="G247" s="95">
        <f t="shared" si="55"/>
        <v>0</v>
      </c>
    </row>
    <row r="248" spans="1:8" x14ac:dyDescent="0.25">
      <c r="A248" s="39" t="s">
        <v>89</v>
      </c>
      <c r="B248" s="169"/>
      <c r="C248" s="169"/>
      <c r="D248" s="161">
        <f t="shared" si="53"/>
        <v>0</v>
      </c>
      <c r="E248" s="163" t="e">
        <f t="shared" si="54"/>
        <v>#DIV/0!</v>
      </c>
      <c r="F248" s="163" t="e">
        <f t="shared" si="54"/>
        <v>#DIV/0!</v>
      </c>
      <c r="G248" s="95">
        <f t="shared" si="55"/>
        <v>0</v>
      </c>
    </row>
    <row r="249" spans="1:8" x14ac:dyDescent="0.25">
      <c r="A249" s="39" t="s">
        <v>90</v>
      </c>
      <c r="B249" s="169"/>
      <c r="C249" s="169"/>
      <c r="D249" s="161">
        <f t="shared" si="53"/>
        <v>0</v>
      </c>
      <c r="E249" s="163" t="e">
        <f t="shared" si="54"/>
        <v>#DIV/0!</v>
      </c>
      <c r="F249" s="163" t="e">
        <f t="shared" si="54"/>
        <v>#DIV/0!</v>
      </c>
      <c r="G249" s="95">
        <f t="shared" si="55"/>
        <v>0</v>
      </c>
    </row>
    <row r="250" spans="1:8" x14ac:dyDescent="0.25">
      <c r="A250" s="39" t="s">
        <v>91</v>
      </c>
      <c r="B250" s="169"/>
      <c r="C250" s="169"/>
      <c r="D250" s="161">
        <f t="shared" si="53"/>
        <v>0</v>
      </c>
      <c r="E250" s="163" t="e">
        <f t="shared" si="54"/>
        <v>#DIV/0!</v>
      </c>
      <c r="F250" s="163" t="e">
        <f t="shared" si="54"/>
        <v>#DIV/0!</v>
      </c>
      <c r="G250" s="95">
        <f t="shared" si="55"/>
        <v>0</v>
      </c>
    </row>
    <row r="251" spans="1:8" x14ac:dyDescent="0.25">
      <c r="A251" s="87" t="s">
        <v>247</v>
      </c>
      <c r="B251" s="161">
        <f>SUM(B252:B255)</f>
        <v>0</v>
      </c>
      <c r="C251" s="161">
        <f>SUM(C252:C255)</f>
        <v>0</v>
      </c>
      <c r="D251" s="161">
        <f t="shared" si="53"/>
        <v>0</v>
      </c>
      <c r="E251" s="191" t="e">
        <f t="shared" si="54"/>
        <v>#DIV/0!</v>
      </c>
      <c r="F251" s="191" t="e">
        <f t="shared" si="54"/>
        <v>#DIV/0!</v>
      </c>
      <c r="G251" s="96">
        <f t="shared" si="55"/>
        <v>0</v>
      </c>
    </row>
    <row r="252" spans="1:8" x14ac:dyDescent="0.25">
      <c r="A252" s="39" t="s">
        <v>92</v>
      </c>
      <c r="B252" s="169"/>
      <c r="C252" s="169"/>
      <c r="D252" s="161">
        <f t="shared" ref="D252:D256" si="56">SUM(B252:C252)</f>
        <v>0</v>
      </c>
      <c r="E252" s="163" t="e">
        <f t="shared" si="54"/>
        <v>#DIV/0!</v>
      </c>
      <c r="F252" s="163" t="e">
        <f t="shared" si="54"/>
        <v>#DIV/0!</v>
      </c>
      <c r="G252" s="95">
        <f t="shared" si="55"/>
        <v>0</v>
      </c>
    </row>
    <row r="253" spans="1:8" x14ac:dyDescent="0.25">
      <c r="A253" s="39" t="s">
        <v>93</v>
      </c>
      <c r="B253" s="169"/>
      <c r="C253" s="169"/>
      <c r="D253" s="161">
        <f t="shared" si="56"/>
        <v>0</v>
      </c>
      <c r="E253" s="163" t="e">
        <f t="shared" si="54"/>
        <v>#DIV/0!</v>
      </c>
      <c r="F253" s="163" t="e">
        <f t="shared" si="54"/>
        <v>#DIV/0!</v>
      </c>
      <c r="G253" s="95">
        <f t="shared" si="55"/>
        <v>0</v>
      </c>
    </row>
    <row r="254" spans="1:8" x14ac:dyDescent="0.25">
      <c r="A254" s="39" t="s">
        <v>94</v>
      </c>
      <c r="B254" s="169"/>
      <c r="C254" s="169"/>
      <c r="D254" s="161">
        <f t="shared" si="56"/>
        <v>0</v>
      </c>
      <c r="E254" s="163" t="e">
        <f t="shared" si="54"/>
        <v>#DIV/0!</v>
      </c>
      <c r="F254" s="163" t="e">
        <f t="shared" si="54"/>
        <v>#DIV/0!</v>
      </c>
      <c r="G254" s="95">
        <f t="shared" si="55"/>
        <v>0</v>
      </c>
    </row>
    <row r="255" spans="1:8" x14ac:dyDescent="0.25">
      <c r="A255" s="39" t="s">
        <v>95</v>
      </c>
      <c r="B255" s="169"/>
      <c r="C255" s="169"/>
      <c r="D255" s="161">
        <f t="shared" si="56"/>
        <v>0</v>
      </c>
      <c r="E255" s="163" t="e">
        <f t="shared" si="54"/>
        <v>#DIV/0!</v>
      </c>
      <c r="F255" s="163" t="e">
        <f t="shared" si="54"/>
        <v>#DIV/0!</v>
      </c>
      <c r="G255" s="95">
        <f t="shared" si="55"/>
        <v>0</v>
      </c>
    </row>
    <row r="256" spans="1:8" ht="15.75" thickBot="1" x14ac:dyDescent="0.3">
      <c r="A256" s="173" t="s">
        <v>235</v>
      </c>
      <c r="B256" s="196"/>
      <c r="C256" s="197"/>
      <c r="D256" s="198">
        <f t="shared" si="56"/>
        <v>0</v>
      </c>
      <c r="E256" s="176" t="e">
        <f t="shared" si="54"/>
        <v>#DIV/0!</v>
      </c>
      <c r="F256" s="176" t="e">
        <f t="shared" si="54"/>
        <v>#DIV/0!</v>
      </c>
      <c r="G256" s="74">
        <f t="shared" si="55"/>
        <v>0</v>
      </c>
    </row>
    <row r="257" spans="1:10" x14ac:dyDescent="0.25">
      <c r="A257" s="30"/>
      <c r="B257" s="146"/>
      <c r="C257" s="146"/>
      <c r="D257" s="123"/>
      <c r="E257" s="199"/>
      <c r="F257" s="199"/>
      <c r="G257" s="199"/>
    </row>
    <row r="258" spans="1:10" x14ac:dyDescent="0.25">
      <c r="A258" s="103" t="s">
        <v>251</v>
      </c>
      <c r="B258" s="104"/>
      <c r="C258" s="38"/>
      <c r="D258" s="38"/>
      <c r="E258" s="38"/>
      <c r="F258" s="38"/>
      <c r="G258" s="139"/>
    </row>
    <row r="259" spans="1:10" ht="101.25" customHeight="1" x14ac:dyDescent="0.25">
      <c r="A259" s="319"/>
      <c r="B259" s="319"/>
      <c r="C259" s="319"/>
      <c r="D259" s="319"/>
      <c r="E259" s="319"/>
      <c r="F259" s="319"/>
      <c r="G259" s="319"/>
    </row>
    <row r="262" spans="1:10" ht="15.75" x14ac:dyDescent="0.25">
      <c r="A262" s="305" t="s">
        <v>252</v>
      </c>
      <c r="B262" s="305"/>
      <c r="C262" s="305"/>
      <c r="D262" s="305"/>
      <c r="E262" s="305"/>
      <c r="F262" s="305"/>
      <c r="G262" s="305"/>
    </row>
    <row r="263" spans="1:10" ht="16.5" thickBot="1" x14ac:dyDescent="0.3">
      <c r="A263" s="144"/>
      <c r="B263" s="201" t="s">
        <v>253</v>
      </c>
      <c r="C263" s="202"/>
      <c r="D263" s="202"/>
      <c r="E263" s="202"/>
      <c r="F263" s="202"/>
      <c r="G263" s="32"/>
    </row>
    <row r="264" spans="1:10" ht="72" x14ac:dyDescent="0.25">
      <c r="A264" s="33" t="s">
        <v>96</v>
      </c>
      <c r="B264" s="34" t="s">
        <v>159</v>
      </c>
      <c r="C264" s="35" t="s">
        <v>160</v>
      </c>
      <c r="D264" s="35" t="s">
        <v>161</v>
      </c>
      <c r="E264" s="159" t="s">
        <v>162</v>
      </c>
      <c r="F264" s="159" t="s">
        <v>163</v>
      </c>
      <c r="G264" s="37" t="s">
        <v>254</v>
      </c>
    </row>
    <row r="265" spans="1:10" x14ac:dyDescent="0.25">
      <c r="A265" s="203" t="s">
        <v>97</v>
      </c>
      <c r="B265" s="204"/>
      <c r="C265" s="204"/>
      <c r="D265" s="205">
        <f>SUM(B265:C265)</f>
        <v>0</v>
      </c>
      <c r="E265" s="206" t="e">
        <f>B265/$D265</f>
        <v>#DIV/0!</v>
      </c>
      <c r="F265" s="206" t="e">
        <f>C265/$D265</f>
        <v>#DIV/0!</v>
      </c>
      <c r="G265" s="207">
        <f>D265/D$70</f>
        <v>0</v>
      </c>
    </row>
    <row r="266" spans="1:10" x14ac:dyDescent="0.25">
      <c r="A266" s="208" t="s">
        <v>98</v>
      </c>
      <c r="B266" s="204"/>
      <c r="C266" s="204"/>
      <c r="D266" s="205">
        <f t="shared" ref="D266:D269" si="57">SUM(B266:C266)</f>
        <v>0</v>
      </c>
      <c r="E266" s="206" t="e">
        <f t="shared" ref="E266:F270" si="58">B266/$D266</f>
        <v>#DIV/0!</v>
      </c>
      <c r="F266" s="206" t="e">
        <f t="shared" si="58"/>
        <v>#DIV/0!</v>
      </c>
      <c r="G266" s="207">
        <f t="shared" ref="G266:G270" si="59">D266/D$70</f>
        <v>0</v>
      </c>
    </row>
    <row r="267" spans="1:10" x14ac:dyDescent="0.25">
      <c r="A267" s="208" t="s">
        <v>99</v>
      </c>
      <c r="B267" s="204"/>
      <c r="C267" s="204"/>
      <c r="D267" s="205">
        <f t="shared" si="57"/>
        <v>0</v>
      </c>
      <c r="E267" s="206" t="e">
        <f t="shared" si="58"/>
        <v>#DIV/0!</v>
      </c>
      <c r="F267" s="206" t="e">
        <f t="shared" si="58"/>
        <v>#DIV/0!</v>
      </c>
      <c r="G267" s="207">
        <f t="shared" si="59"/>
        <v>0</v>
      </c>
    </row>
    <row r="268" spans="1:10" x14ac:dyDescent="0.25">
      <c r="A268" s="203" t="s">
        <v>100</v>
      </c>
      <c r="B268" s="204"/>
      <c r="C268" s="204"/>
      <c r="D268" s="205">
        <f t="shared" si="57"/>
        <v>0</v>
      </c>
      <c r="E268" s="206" t="e">
        <f t="shared" si="58"/>
        <v>#DIV/0!</v>
      </c>
      <c r="F268" s="206" t="e">
        <f t="shared" si="58"/>
        <v>#DIV/0!</v>
      </c>
      <c r="G268" s="207">
        <f t="shared" si="59"/>
        <v>0</v>
      </c>
    </row>
    <row r="269" spans="1:10" x14ac:dyDescent="0.25">
      <c r="A269" s="208" t="s">
        <v>101</v>
      </c>
      <c r="B269" s="204"/>
      <c r="C269" s="204"/>
      <c r="D269" s="205">
        <f t="shared" si="57"/>
        <v>0</v>
      </c>
      <c r="E269" s="206" t="e">
        <f t="shared" si="58"/>
        <v>#DIV/0!</v>
      </c>
      <c r="F269" s="206" t="e">
        <f t="shared" si="58"/>
        <v>#DIV/0!</v>
      </c>
      <c r="G269" s="207">
        <f t="shared" si="59"/>
        <v>0</v>
      </c>
    </row>
    <row r="270" spans="1:10" x14ac:dyDescent="0.25">
      <c r="A270" s="118" t="s">
        <v>150</v>
      </c>
      <c r="B270" s="209">
        <f>SUM(B265:B269)</f>
        <v>0</v>
      </c>
      <c r="C270" s="210">
        <f t="shared" ref="C270" si="60">SUM(C265:C269)</f>
        <v>0</v>
      </c>
      <c r="D270" s="209">
        <f>SUM(D265:D269)</f>
        <v>0</v>
      </c>
      <c r="E270" s="211" t="e">
        <f t="shared" si="58"/>
        <v>#DIV/0!</v>
      </c>
      <c r="F270" s="211" t="e">
        <f t="shared" si="58"/>
        <v>#DIV/0!</v>
      </c>
      <c r="G270" s="212">
        <f t="shared" si="59"/>
        <v>0</v>
      </c>
    </row>
    <row r="271" spans="1:10" ht="60.75" thickBot="1" x14ac:dyDescent="0.3">
      <c r="A271" s="120" t="s">
        <v>183</v>
      </c>
      <c r="B271" s="213" t="str">
        <f>IF(B270=B70,"OK","Ces totaux généraux doivent être égaux aux nombres d'individus admis sur l'année - § C.2")</f>
        <v>Ces totaux généraux doivent être égaux aux nombres d'individus admis sur l'année - § C.2</v>
      </c>
      <c r="C271" s="213" t="str">
        <f t="shared" ref="C271:D271" si="61">IF(C270=C70,"OK","Ces totaux généraux doivent être égaux aux nombres d'individus admis sur l'année - § C.2")</f>
        <v>Ces totaux généraux doivent être égaux aux nombres d'individus admis sur l'année - § C.2</v>
      </c>
      <c r="D271" s="213" t="str">
        <f t="shared" si="61"/>
        <v>Ces totaux généraux doivent être égaux aux nombres d'individus admis sur l'année - § C.2</v>
      </c>
      <c r="E271" s="214" t="e">
        <f>IF(E270=E70,"OK","Ce pourcentage doit être égal au pourcentage garçons admis - § C.2")</f>
        <v>#DIV/0!</v>
      </c>
      <c r="F271" s="214" t="e">
        <f>IF(F270=F70,"OK","Ce pourcentage doit être égal au pourcentage filles admises - § C.2")</f>
        <v>#DIV/0!</v>
      </c>
      <c r="G271" s="215" t="str">
        <f>IF(G270=100%,"OK","Ce pourcentage doit être égal à 100 %")</f>
        <v>Ce pourcentage doit être égal à 100 %</v>
      </c>
      <c r="I271" s="59"/>
    </row>
    <row r="272" spans="1:10" ht="15.75" thickBot="1" x14ac:dyDescent="0.3">
      <c r="A272" s="216"/>
      <c r="B272" s="217"/>
      <c r="C272" s="217"/>
      <c r="D272" s="217"/>
      <c r="J272" s="59"/>
    </row>
    <row r="273" spans="1:9" ht="72" x14ac:dyDescent="0.25">
      <c r="A273" s="33" t="s">
        <v>102</v>
      </c>
      <c r="B273" s="34" t="s">
        <v>159</v>
      </c>
      <c r="C273" s="35" t="s">
        <v>160</v>
      </c>
      <c r="D273" s="35" t="s">
        <v>161</v>
      </c>
      <c r="E273" s="159" t="s">
        <v>162</v>
      </c>
      <c r="F273" s="159" t="s">
        <v>163</v>
      </c>
      <c r="G273" s="37" t="s">
        <v>255</v>
      </c>
    </row>
    <row r="274" spans="1:9" x14ac:dyDescent="0.25">
      <c r="A274" s="208" t="s">
        <v>103</v>
      </c>
      <c r="B274" s="204"/>
      <c r="C274" s="204"/>
      <c r="D274" s="218">
        <f>SUM(B274:C274)</f>
        <v>0</v>
      </c>
      <c r="E274" s="219" t="e">
        <f>B274/$D274</f>
        <v>#DIV/0!</v>
      </c>
      <c r="F274" s="219" t="e">
        <f>C274/$D274</f>
        <v>#DIV/0!</v>
      </c>
      <c r="G274" s="165">
        <f>D274/D$70</f>
        <v>0</v>
      </c>
    </row>
    <row r="275" spans="1:9" x14ac:dyDescent="0.25">
      <c r="A275" s="208" t="s">
        <v>104</v>
      </c>
      <c r="B275" s="204"/>
      <c r="C275" s="204"/>
      <c r="D275" s="218">
        <f t="shared" ref="D275:D278" si="62">SUM(B275:C275)</f>
        <v>0</v>
      </c>
      <c r="E275" s="219" t="e">
        <f t="shared" ref="E275:F279" si="63">B275/$D275</f>
        <v>#DIV/0!</v>
      </c>
      <c r="F275" s="219" t="e">
        <f t="shared" si="63"/>
        <v>#DIV/0!</v>
      </c>
      <c r="G275" s="165">
        <f t="shared" ref="G275:G279" si="64">D275/D$70</f>
        <v>0</v>
      </c>
    </row>
    <row r="276" spans="1:9" x14ac:dyDescent="0.25">
      <c r="A276" s="208" t="s">
        <v>105</v>
      </c>
      <c r="B276" s="204"/>
      <c r="C276" s="204"/>
      <c r="D276" s="218">
        <f t="shared" si="62"/>
        <v>0</v>
      </c>
      <c r="E276" s="219" t="e">
        <f t="shared" si="63"/>
        <v>#DIV/0!</v>
      </c>
      <c r="F276" s="219" t="e">
        <f t="shared" si="63"/>
        <v>#DIV/0!</v>
      </c>
      <c r="G276" s="165">
        <f t="shared" si="64"/>
        <v>0</v>
      </c>
    </row>
    <row r="277" spans="1:9" x14ac:dyDescent="0.25">
      <c r="A277" s="208" t="s">
        <v>106</v>
      </c>
      <c r="B277" s="204"/>
      <c r="C277" s="204"/>
      <c r="D277" s="218">
        <f t="shared" si="62"/>
        <v>0</v>
      </c>
      <c r="E277" s="219" t="e">
        <f t="shared" si="63"/>
        <v>#DIV/0!</v>
      </c>
      <c r="F277" s="219" t="e">
        <f t="shared" si="63"/>
        <v>#DIV/0!</v>
      </c>
      <c r="G277" s="165">
        <f t="shared" si="64"/>
        <v>0</v>
      </c>
    </row>
    <row r="278" spans="1:9" x14ac:dyDescent="0.25">
      <c r="A278" s="208" t="s">
        <v>101</v>
      </c>
      <c r="B278" s="204"/>
      <c r="C278" s="204"/>
      <c r="D278" s="218">
        <f t="shared" si="62"/>
        <v>0</v>
      </c>
      <c r="E278" s="219" t="e">
        <f t="shared" si="63"/>
        <v>#DIV/0!</v>
      </c>
      <c r="F278" s="219" t="e">
        <f t="shared" si="63"/>
        <v>#DIV/0!</v>
      </c>
      <c r="G278" s="165">
        <f t="shared" si="64"/>
        <v>0</v>
      </c>
    </row>
    <row r="279" spans="1:9" x14ac:dyDescent="0.25">
      <c r="A279" s="118" t="s">
        <v>150</v>
      </c>
      <c r="B279" s="209">
        <f>SUM(B274:B278)</f>
        <v>0</v>
      </c>
      <c r="C279" s="209">
        <f t="shared" ref="C279:D279" si="65">SUM(C274:C278)</f>
        <v>0</v>
      </c>
      <c r="D279" s="209">
        <f t="shared" si="65"/>
        <v>0</v>
      </c>
      <c r="E279" s="220" t="e">
        <f>B279/$D279</f>
        <v>#DIV/0!</v>
      </c>
      <c r="F279" s="220" t="e">
        <f t="shared" si="63"/>
        <v>#DIV/0!</v>
      </c>
      <c r="G279" s="221">
        <f t="shared" si="64"/>
        <v>0</v>
      </c>
    </row>
    <row r="280" spans="1:9" ht="60.75" thickBot="1" x14ac:dyDescent="0.3">
      <c r="A280" s="120" t="s">
        <v>183</v>
      </c>
      <c r="B280" s="222" t="str">
        <f>IF(B279=B70,"OK","Ces totaux généraux doivent être égaux aux nombres d'individus admis sur l'année - § C.2")</f>
        <v>Ces totaux généraux doivent être égaux aux nombres d'individus admis sur l'année - § C.2</v>
      </c>
      <c r="C280" s="222" t="str">
        <f t="shared" ref="C280:D280" si="66">IF(C279=C70,"OK","Ces totaux généraux doivent être égaux aux nombres d'individus admis sur l'année - § C.2")</f>
        <v>Ces totaux généraux doivent être égaux aux nombres d'individus admis sur l'année - § C.2</v>
      </c>
      <c r="D280" s="222" t="str">
        <f t="shared" si="66"/>
        <v>Ces totaux généraux doivent être égaux aux nombres d'individus admis sur l'année - § C.2</v>
      </c>
      <c r="E280" s="222" t="e">
        <f>IF(E279=E70,"OK","Ce pourcentage doit être égal au pourcentage garçons admis - § C.2")</f>
        <v>#DIV/0!</v>
      </c>
      <c r="F280" s="222" t="e">
        <f>IF(F279=F70,"OK","Ce pourcentage doit être égal au pourcentage filles admises - § C.2")</f>
        <v>#DIV/0!</v>
      </c>
      <c r="G280" s="223" t="str">
        <f>IF(G279=100%,"OK","Ce pourcentage doit être égal à 100 %")</f>
        <v>Ce pourcentage doit être égal à 100 %</v>
      </c>
    </row>
    <row r="281" spans="1:9" ht="15.75" thickBot="1" x14ac:dyDescent="0.3"/>
    <row r="282" spans="1:9" ht="72" x14ac:dyDescent="0.25">
      <c r="A282" s="33" t="s">
        <v>107</v>
      </c>
      <c r="B282" s="34" t="s">
        <v>159</v>
      </c>
      <c r="C282" s="35" t="s">
        <v>160</v>
      </c>
      <c r="D282" s="35" t="s">
        <v>161</v>
      </c>
      <c r="E282" s="159" t="s">
        <v>162</v>
      </c>
      <c r="F282" s="159" t="s">
        <v>163</v>
      </c>
      <c r="G282" s="37" t="s">
        <v>254</v>
      </c>
    </row>
    <row r="283" spans="1:9" x14ac:dyDescent="0.25">
      <c r="A283" s="208" t="s">
        <v>108</v>
      </c>
      <c r="B283" s="204"/>
      <c r="C283" s="204"/>
      <c r="D283" s="218">
        <f>SUM(B283:C283)</f>
        <v>0</v>
      </c>
      <c r="E283" s="219" t="e">
        <f>B283/$D283</f>
        <v>#DIV/0!</v>
      </c>
      <c r="F283" s="219" t="e">
        <f>C283/$D283</f>
        <v>#DIV/0!</v>
      </c>
      <c r="G283" s="165">
        <f>D283/D$70</f>
        <v>0</v>
      </c>
      <c r="I283" s="59"/>
    </row>
    <row r="284" spans="1:9" x14ac:dyDescent="0.25">
      <c r="A284" s="208" t="s">
        <v>109</v>
      </c>
      <c r="B284" s="204"/>
      <c r="C284" s="204"/>
      <c r="D284" s="218">
        <f t="shared" ref="D284:D285" si="67">SUM(B284:C284)</f>
        <v>0</v>
      </c>
      <c r="E284" s="219" t="e">
        <f t="shared" ref="E284:F286" si="68">B284/$D284</f>
        <v>#DIV/0!</v>
      </c>
      <c r="F284" s="219" t="e">
        <f t="shared" si="68"/>
        <v>#DIV/0!</v>
      </c>
      <c r="G284" s="165">
        <f t="shared" ref="G284:G286" si="69">D284/D$70</f>
        <v>0</v>
      </c>
    </row>
    <row r="285" spans="1:9" x14ac:dyDescent="0.25">
      <c r="A285" s="208" t="s">
        <v>101</v>
      </c>
      <c r="B285" s="204"/>
      <c r="C285" s="204"/>
      <c r="D285" s="218">
        <f t="shared" si="67"/>
        <v>0</v>
      </c>
      <c r="E285" s="219" t="e">
        <f t="shared" si="68"/>
        <v>#DIV/0!</v>
      </c>
      <c r="F285" s="219" t="e">
        <f t="shared" si="68"/>
        <v>#DIV/0!</v>
      </c>
      <c r="G285" s="165">
        <f t="shared" si="69"/>
        <v>0</v>
      </c>
      <c r="H285" s="59"/>
    </row>
    <row r="286" spans="1:9" x14ac:dyDescent="0.25">
      <c r="A286" s="118" t="s">
        <v>150</v>
      </c>
      <c r="B286" s="224">
        <f>SUM(B283:B285)</f>
        <v>0</v>
      </c>
      <c r="C286" s="224">
        <f>SUM(C283:C285)</f>
        <v>0</v>
      </c>
      <c r="D286" s="224">
        <f>SUM(D283:D285)</f>
        <v>0</v>
      </c>
      <c r="E286" s="219" t="e">
        <f t="shared" si="68"/>
        <v>#DIV/0!</v>
      </c>
      <c r="F286" s="225" t="e">
        <f t="shared" si="68"/>
        <v>#DIV/0!</v>
      </c>
      <c r="G286" s="226">
        <f t="shared" si="69"/>
        <v>0</v>
      </c>
    </row>
    <row r="287" spans="1:9" ht="60.75" thickBot="1" x14ac:dyDescent="0.3">
      <c r="A287" s="120" t="s">
        <v>183</v>
      </c>
      <c r="B287" s="213" t="str">
        <f>IF(B286=B70,"OK","Ces totaux généraux doivent être égaux aux nombres d'individus admis sur l'année - § C.2")</f>
        <v>Ces totaux généraux doivent être égaux aux nombres d'individus admis sur l'année - § C.2</v>
      </c>
      <c r="C287" s="213" t="str">
        <f t="shared" ref="C287:D287" si="70">IF(C286=C70,"OK","Ces totaux généraux doivent être égaux aux nombres d'individus admis sur l'année - § C.2")</f>
        <v>Ces totaux généraux doivent être égaux aux nombres d'individus admis sur l'année - § C.2</v>
      </c>
      <c r="D287" s="213" t="str">
        <f t="shared" si="70"/>
        <v>Ces totaux généraux doivent être égaux aux nombres d'individus admis sur l'année - § C.2</v>
      </c>
      <c r="E287" s="214" t="e">
        <f>IF(E286=E70,"OK","Ce pourcentage doit être égal au pourcentage garçons admis - § C.2")</f>
        <v>#DIV/0!</v>
      </c>
      <c r="F287" s="222" t="e">
        <f>IF(F286=F70,"OK","Ce pourcentage doit être égal au pourcentage filles admises - § C.2")</f>
        <v>#DIV/0!</v>
      </c>
      <c r="G287" s="213" t="str">
        <f>IF(G286=100%,"OK","Ce pourcentage doit être égal à 100 %")</f>
        <v>Ce pourcentage doit être égal à 100 %</v>
      </c>
      <c r="H287" s="117"/>
    </row>
    <row r="289" spans="1:7" x14ac:dyDescent="0.25">
      <c r="A289" s="30" t="s">
        <v>256</v>
      </c>
      <c r="B289" s="13"/>
      <c r="C289" s="13"/>
      <c r="D289" s="13"/>
      <c r="E289" s="13"/>
      <c r="F289" s="13"/>
    </row>
    <row r="290" spans="1:7" ht="100.5" customHeight="1" x14ac:dyDescent="0.25">
      <c r="A290" s="304"/>
      <c r="B290" s="304"/>
      <c r="C290" s="304"/>
      <c r="D290" s="304"/>
      <c r="E290" s="304"/>
      <c r="F290" s="304"/>
      <c r="G290" s="304"/>
    </row>
    <row r="293" spans="1:7" ht="15.75" x14ac:dyDescent="0.25">
      <c r="A293" s="305" t="s">
        <v>257</v>
      </c>
      <c r="B293" s="305"/>
      <c r="C293" s="305"/>
      <c r="D293" s="305"/>
      <c r="E293" s="305"/>
      <c r="F293" s="305"/>
      <c r="G293" s="305"/>
    </row>
    <row r="294" spans="1:7" x14ac:dyDescent="0.25">
      <c r="A294" s="317" t="s">
        <v>258</v>
      </c>
      <c r="B294" s="317"/>
      <c r="C294" s="317"/>
      <c r="D294" s="317"/>
      <c r="E294" s="317"/>
      <c r="F294" s="317"/>
      <c r="G294" s="317"/>
    </row>
    <row r="295" spans="1:7" ht="15.75" thickBot="1" x14ac:dyDescent="0.3">
      <c r="A295" s="30"/>
      <c r="B295" s="227"/>
      <c r="C295" s="227"/>
      <c r="D295" s="227"/>
      <c r="E295" s="227"/>
      <c r="F295" s="32"/>
      <c r="G295" s="32"/>
    </row>
    <row r="296" spans="1:7" ht="72" x14ac:dyDescent="0.25">
      <c r="A296" s="33" t="s">
        <v>259</v>
      </c>
      <c r="B296" s="34" t="s">
        <v>159</v>
      </c>
      <c r="C296" s="35" t="s">
        <v>160</v>
      </c>
      <c r="D296" s="35" t="s">
        <v>260</v>
      </c>
      <c r="E296" s="36" t="s">
        <v>191</v>
      </c>
      <c r="F296" s="228" t="s">
        <v>192</v>
      </c>
      <c r="G296" s="37" t="s">
        <v>261</v>
      </c>
    </row>
    <row r="297" spans="1:7" x14ac:dyDescent="0.25">
      <c r="A297" s="229" t="s">
        <v>110</v>
      </c>
      <c r="B297" s="230"/>
      <c r="C297" s="231"/>
      <c r="D297" s="232">
        <f>SUM(B297:C297)</f>
        <v>0</v>
      </c>
      <c r="E297" s="163" t="e">
        <f>B297/$D297</f>
        <v>#DIV/0!</v>
      </c>
      <c r="F297" s="163" t="e">
        <f>C297/$D297</f>
        <v>#DIV/0!</v>
      </c>
      <c r="G297" s="233">
        <f>D297/D$70</f>
        <v>0</v>
      </c>
    </row>
    <row r="298" spans="1:7" x14ac:dyDescent="0.25">
      <c r="A298" s="208" t="s">
        <v>111</v>
      </c>
      <c r="B298" s="230"/>
      <c r="C298" s="231"/>
      <c r="D298" s="232">
        <f>SUM(B298:C298)</f>
        <v>0</v>
      </c>
      <c r="E298" s="163" t="e">
        <f>B298/$D298</f>
        <v>#DIV/0!</v>
      </c>
      <c r="F298" s="163" t="e">
        <f t="shared" ref="E298:F322" si="71">C298/$D298</f>
        <v>#DIV/0!</v>
      </c>
      <c r="G298" s="233">
        <f t="shared" ref="G298:G322" si="72">D298/D$70</f>
        <v>0</v>
      </c>
    </row>
    <row r="299" spans="1:7" x14ac:dyDescent="0.25">
      <c r="A299" s="208" t="s">
        <v>112</v>
      </c>
      <c r="B299" s="230"/>
      <c r="C299" s="231"/>
      <c r="D299" s="232">
        <f t="shared" ref="D299:D306" si="73">SUM(B299:C299)</f>
        <v>0</v>
      </c>
      <c r="E299" s="163" t="e">
        <f t="shared" si="71"/>
        <v>#DIV/0!</v>
      </c>
      <c r="F299" s="163" t="e">
        <f t="shared" si="71"/>
        <v>#DIV/0!</v>
      </c>
      <c r="G299" s="233">
        <f t="shared" si="72"/>
        <v>0</v>
      </c>
    </row>
    <row r="300" spans="1:7" x14ac:dyDescent="0.25">
      <c r="A300" s="208" t="s">
        <v>113</v>
      </c>
      <c r="B300" s="230"/>
      <c r="C300" s="231"/>
      <c r="D300" s="232">
        <f t="shared" si="73"/>
        <v>0</v>
      </c>
      <c r="E300" s="163" t="e">
        <f t="shared" si="71"/>
        <v>#DIV/0!</v>
      </c>
      <c r="F300" s="163" t="e">
        <f t="shared" si="71"/>
        <v>#DIV/0!</v>
      </c>
      <c r="G300" s="233">
        <f t="shared" si="72"/>
        <v>0</v>
      </c>
    </row>
    <row r="301" spans="1:7" x14ac:dyDescent="0.25">
      <c r="A301" s="208" t="s">
        <v>114</v>
      </c>
      <c r="B301" s="230"/>
      <c r="C301" s="231"/>
      <c r="D301" s="232">
        <f t="shared" si="73"/>
        <v>0</v>
      </c>
      <c r="E301" s="163" t="e">
        <f t="shared" si="71"/>
        <v>#DIV/0!</v>
      </c>
      <c r="F301" s="163" t="e">
        <f t="shared" si="71"/>
        <v>#DIV/0!</v>
      </c>
      <c r="G301" s="233">
        <f t="shared" si="72"/>
        <v>0</v>
      </c>
    </row>
    <row r="302" spans="1:7" x14ac:dyDescent="0.25">
      <c r="A302" s="208" t="s">
        <v>115</v>
      </c>
      <c r="B302" s="230"/>
      <c r="C302" s="231"/>
      <c r="D302" s="232">
        <f t="shared" si="73"/>
        <v>0</v>
      </c>
      <c r="E302" s="163" t="e">
        <f t="shared" si="71"/>
        <v>#DIV/0!</v>
      </c>
      <c r="F302" s="163" t="e">
        <f t="shared" si="71"/>
        <v>#DIV/0!</v>
      </c>
      <c r="G302" s="233">
        <f t="shared" si="72"/>
        <v>0</v>
      </c>
    </row>
    <row r="303" spans="1:7" x14ac:dyDescent="0.25">
      <c r="A303" s="229" t="s">
        <v>262</v>
      </c>
      <c r="B303" s="162">
        <f>SUM(B298:B302)</f>
        <v>0</v>
      </c>
      <c r="C303" s="162">
        <f>SUM(C298:C302)</f>
        <v>0</v>
      </c>
      <c r="D303" s="170">
        <f>SUM(B303:C303)</f>
        <v>0</v>
      </c>
      <c r="E303" s="163" t="e">
        <f>B303/$D303</f>
        <v>#DIV/0!</v>
      </c>
      <c r="F303" s="163" t="e">
        <f t="shared" si="71"/>
        <v>#DIV/0!</v>
      </c>
      <c r="G303" s="233">
        <f t="shared" si="72"/>
        <v>0</v>
      </c>
    </row>
    <row r="304" spans="1:7" x14ac:dyDescent="0.25">
      <c r="A304" s="208" t="s">
        <v>116</v>
      </c>
      <c r="B304" s="230"/>
      <c r="C304" s="231"/>
      <c r="D304" s="232">
        <f t="shared" si="73"/>
        <v>0</v>
      </c>
      <c r="E304" s="163" t="e">
        <f t="shared" si="71"/>
        <v>#DIV/0!</v>
      </c>
      <c r="F304" s="163" t="e">
        <f t="shared" si="71"/>
        <v>#DIV/0!</v>
      </c>
      <c r="G304" s="233">
        <f t="shared" si="72"/>
        <v>0</v>
      </c>
    </row>
    <row r="305" spans="1:9" x14ac:dyDescent="0.25">
      <c r="A305" s="208" t="s">
        <v>117</v>
      </c>
      <c r="B305" s="230"/>
      <c r="C305" s="231"/>
      <c r="D305" s="232">
        <f t="shared" si="73"/>
        <v>0</v>
      </c>
      <c r="E305" s="163" t="e">
        <f t="shared" si="71"/>
        <v>#DIV/0!</v>
      </c>
      <c r="F305" s="163" t="e">
        <f t="shared" si="71"/>
        <v>#DIV/0!</v>
      </c>
      <c r="G305" s="233">
        <f t="shared" si="72"/>
        <v>0</v>
      </c>
    </row>
    <row r="306" spans="1:9" x14ac:dyDescent="0.25">
      <c r="A306" s="229" t="s">
        <v>263</v>
      </c>
      <c r="B306" s="162">
        <f>SUM(B304:B305)</f>
        <v>0</v>
      </c>
      <c r="C306" s="162">
        <f>SUM(C304:C305)</f>
        <v>0</v>
      </c>
      <c r="D306" s="170">
        <f t="shared" si="73"/>
        <v>0</v>
      </c>
      <c r="E306" s="163" t="e">
        <f t="shared" si="71"/>
        <v>#DIV/0!</v>
      </c>
      <c r="F306" s="163" t="e">
        <f t="shared" si="71"/>
        <v>#DIV/0!</v>
      </c>
      <c r="G306" s="233">
        <f t="shared" si="72"/>
        <v>0</v>
      </c>
    </row>
    <row r="307" spans="1:9" x14ac:dyDescent="0.25">
      <c r="A307" s="234" t="s">
        <v>264</v>
      </c>
      <c r="B307" s="162">
        <f>SUM(B303,B306)</f>
        <v>0</v>
      </c>
      <c r="C307" s="162">
        <f>SUM(C303,C306)</f>
        <v>0</v>
      </c>
      <c r="D307" s="170">
        <f>SUM(B307:C307)</f>
        <v>0</v>
      </c>
      <c r="E307" s="163" t="e">
        <f t="shared" si="71"/>
        <v>#DIV/0!</v>
      </c>
      <c r="F307" s="235" t="e">
        <f t="shared" si="71"/>
        <v>#DIV/0!</v>
      </c>
      <c r="G307" s="233">
        <f t="shared" si="72"/>
        <v>0</v>
      </c>
    </row>
    <row r="308" spans="1:9" x14ac:dyDescent="0.25">
      <c r="A308" s="229" t="s">
        <v>118</v>
      </c>
      <c r="B308" s="183"/>
      <c r="C308" s="236"/>
      <c r="D308" s="170">
        <f>SUM(B308:C308)</f>
        <v>0</v>
      </c>
      <c r="E308" s="163" t="e">
        <f t="shared" si="71"/>
        <v>#DIV/0!</v>
      </c>
      <c r="F308" s="163" t="e">
        <f t="shared" si="71"/>
        <v>#DIV/0!</v>
      </c>
      <c r="G308" s="233">
        <f>D308/D$70</f>
        <v>0</v>
      </c>
      <c r="I308" s="59"/>
    </row>
    <row r="309" spans="1:9" x14ac:dyDescent="0.25">
      <c r="A309" s="39" t="s">
        <v>119</v>
      </c>
      <c r="B309" s="230"/>
      <c r="C309" s="231"/>
      <c r="D309" s="232">
        <f>SUM(B309:C309)</f>
        <v>0</v>
      </c>
      <c r="E309" s="163" t="e">
        <f t="shared" si="71"/>
        <v>#DIV/0!</v>
      </c>
      <c r="F309" s="163" t="e">
        <f t="shared" si="71"/>
        <v>#DIV/0!</v>
      </c>
      <c r="G309" s="233">
        <f t="shared" si="72"/>
        <v>0</v>
      </c>
    </row>
    <row r="310" spans="1:9" x14ac:dyDescent="0.25">
      <c r="A310" s="39" t="s">
        <v>120</v>
      </c>
      <c r="B310" s="230"/>
      <c r="C310" s="231"/>
      <c r="D310" s="232">
        <f t="shared" ref="D310:D312" si="74">SUM(B310:C310)</f>
        <v>0</v>
      </c>
      <c r="E310" s="163" t="e">
        <f t="shared" si="71"/>
        <v>#DIV/0!</v>
      </c>
      <c r="F310" s="163" t="e">
        <f t="shared" si="71"/>
        <v>#DIV/0!</v>
      </c>
      <c r="G310" s="233">
        <f t="shared" si="72"/>
        <v>0</v>
      </c>
    </row>
    <row r="311" spans="1:9" x14ac:dyDescent="0.25">
      <c r="A311" s="39" t="s">
        <v>121</v>
      </c>
      <c r="B311" s="230"/>
      <c r="C311" s="231"/>
      <c r="D311" s="232">
        <f t="shared" si="74"/>
        <v>0</v>
      </c>
      <c r="E311" s="163" t="e">
        <f t="shared" si="71"/>
        <v>#DIV/0!</v>
      </c>
      <c r="F311" s="163" t="e">
        <f t="shared" si="71"/>
        <v>#DIV/0!</v>
      </c>
      <c r="G311" s="233">
        <f t="shared" si="72"/>
        <v>0</v>
      </c>
    </row>
    <row r="312" spans="1:9" ht="26.25" customHeight="1" x14ac:dyDescent="0.25">
      <c r="A312" s="234" t="s">
        <v>265</v>
      </c>
      <c r="B312" s="162">
        <f>SUM(B309:B311)</f>
        <v>0</v>
      </c>
      <c r="C312" s="162">
        <f>SUM(C309:C311)</f>
        <v>0</v>
      </c>
      <c r="D312" s="170">
        <f t="shared" si="74"/>
        <v>0</v>
      </c>
      <c r="E312" s="163" t="e">
        <f t="shared" si="71"/>
        <v>#DIV/0!</v>
      </c>
      <c r="F312" s="163" t="e">
        <f t="shared" si="71"/>
        <v>#DIV/0!</v>
      </c>
      <c r="G312" s="233">
        <f t="shared" si="72"/>
        <v>0</v>
      </c>
    </row>
    <row r="313" spans="1:9" x14ac:dyDescent="0.25">
      <c r="A313" s="39" t="s">
        <v>122</v>
      </c>
      <c r="B313" s="230"/>
      <c r="C313" s="231"/>
      <c r="D313" s="232">
        <f>SUM(B313:C313)</f>
        <v>0</v>
      </c>
      <c r="E313" s="163" t="e">
        <f t="shared" si="71"/>
        <v>#DIV/0!</v>
      </c>
      <c r="F313" s="163" t="e">
        <f t="shared" si="71"/>
        <v>#DIV/0!</v>
      </c>
      <c r="G313" s="233">
        <f t="shared" si="72"/>
        <v>0</v>
      </c>
    </row>
    <row r="314" spans="1:9" x14ac:dyDescent="0.25">
      <c r="A314" s="39" t="s">
        <v>123</v>
      </c>
      <c r="B314" s="230"/>
      <c r="C314" s="231"/>
      <c r="D314" s="232">
        <f t="shared" ref="D314:D319" si="75">SUM(B314:C314)</f>
        <v>0</v>
      </c>
      <c r="E314" s="163" t="e">
        <f t="shared" si="71"/>
        <v>#DIV/0!</v>
      </c>
      <c r="F314" s="163" t="e">
        <f t="shared" si="71"/>
        <v>#DIV/0!</v>
      </c>
      <c r="G314" s="233">
        <f t="shared" si="72"/>
        <v>0</v>
      </c>
    </row>
    <row r="315" spans="1:9" x14ac:dyDescent="0.25">
      <c r="A315" s="39" t="s">
        <v>124</v>
      </c>
      <c r="B315" s="230"/>
      <c r="C315" s="231"/>
      <c r="D315" s="232">
        <f t="shared" si="75"/>
        <v>0</v>
      </c>
      <c r="E315" s="163" t="e">
        <f t="shared" si="71"/>
        <v>#DIV/0!</v>
      </c>
      <c r="F315" s="163" t="e">
        <f t="shared" si="71"/>
        <v>#DIV/0!</v>
      </c>
      <c r="G315" s="233">
        <f t="shared" si="72"/>
        <v>0</v>
      </c>
    </row>
    <row r="316" spans="1:9" x14ac:dyDescent="0.25">
      <c r="A316" s="39" t="s">
        <v>125</v>
      </c>
      <c r="B316" s="230"/>
      <c r="C316" s="231"/>
      <c r="D316" s="232">
        <f t="shared" si="75"/>
        <v>0</v>
      </c>
      <c r="E316" s="163" t="e">
        <f t="shared" si="71"/>
        <v>#DIV/0!</v>
      </c>
      <c r="F316" s="163" t="e">
        <f t="shared" si="71"/>
        <v>#DIV/0!</v>
      </c>
      <c r="G316" s="233">
        <f t="shared" si="72"/>
        <v>0</v>
      </c>
    </row>
    <row r="317" spans="1:9" x14ac:dyDescent="0.25">
      <c r="A317" s="39" t="s">
        <v>126</v>
      </c>
      <c r="B317" s="230"/>
      <c r="C317" s="231"/>
      <c r="D317" s="232">
        <f t="shared" si="75"/>
        <v>0</v>
      </c>
      <c r="E317" s="163" t="e">
        <f t="shared" si="71"/>
        <v>#DIV/0!</v>
      </c>
      <c r="F317" s="163" t="e">
        <f t="shared" si="71"/>
        <v>#DIV/0!</v>
      </c>
      <c r="G317" s="233">
        <f t="shared" si="72"/>
        <v>0</v>
      </c>
    </row>
    <row r="318" spans="1:9" x14ac:dyDescent="0.25">
      <c r="A318" s="39" t="s">
        <v>127</v>
      </c>
      <c r="B318" s="230"/>
      <c r="C318" s="231"/>
      <c r="D318" s="232">
        <f t="shared" si="75"/>
        <v>0</v>
      </c>
      <c r="E318" s="163" t="e">
        <f t="shared" si="71"/>
        <v>#DIV/0!</v>
      </c>
      <c r="F318" s="163" t="e">
        <f t="shared" si="71"/>
        <v>#DIV/0!</v>
      </c>
      <c r="G318" s="233">
        <f t="shared" si="72"/>
        <v>0</v>
      </c>
    </row>
    <row r="319" spans="1:9" x14ac:dyDescent="0.25">
      <c r="A319" s="234" t="s">
        <v>266</v>
      </c>
      <c r="B319" s="162">
        <f>SUM(B313:B318)</f>
        <v>0</v>
      </c>
      <c r="C319" s="162">
        <f>SUM(C313:C318)</f>
        <v>0</v>
      </c>
      <c r="D319" s="170">
        <f t="shared" si="75"/>
        <v>0</v>
      </c>
      <c r="E319" s="163" t="e">
        <f t="shared" si="71"/>
        <v>#DIV/0!</v>
      </c>
      <c r="F319" s="163" t="e">
        <f t="shared" si="71"/>
        <v>#DIV/0!</v>
      </c>
      <c r="G319" s="233">
        <f t="shared" si="72"/>
        <v>0</v>
      </c>
    </row>
    <row r="320" spans="1:9" x14ac:dyDescent="0.25">
      <c r="A320" s="234" t="s">
        <v>128</v>
      </c>
      <c r="B320" s="230"/>
      <c r="C320" s="231"/>
      <c r="D320" s="232">
        <f>SUM(B320:C320)</f>
        <v>0</v>
      </c>
      <c r="E320" s="163" t="e">
        <f t="shared" si="71"/>
        <v>#DIV/0!</v>
      </c>
      <c r="F320" s="163" t="e">
        <f t="shared" si="71"/>
        <v>#DIV/0!</v>
      </c>
      <c r="G320" s="233">
        <f t="shared" si="72"/>
        <v>0</v>
      </c>
    </row>
    <row r="321" spans="1:7" x14ac:dyDescent="0.25">
      <c r="A321" s="234" t="s">
        <v>101</v>
      </c>
      <c r="B321" s="230"/>
      <c r="C321" s="231"/>
      <c r="D321" s="232">
        <f t="shared" ref="D321" si="76">SUM(B321:C321)</f>
        <v>0</v>
      </c>
      <c r="E321" s="163" t="e">
        <f t="shared" si="71"/>
        <v>#DIV/0!</v>
      </c>
      <c r="F321" s="163" t="e">
        <f t="shared" si="71"/>
        <v>#DIV/0!</v>
      </c>
      <c r="G321" s="233">
        <f t="shared" si="72"/>
        <v>0</v>
      </c>
    </row>
    <row r="322" spans="1:7" x14ac:dyDescent="0.25">
      <c r="A322" s="87" t="s">
        <v>150</v>
      </c>
      <c r="B322" s="237">
        <f>SUM(B297,B307,B308,B312,B319,B320,B321)</f>
        <v>0</v>
      </c>
      <c r="C322" s="238">
        <f>SUM(C297,C307,C308,C312,C319,C320,C321)</f>
        <v>0</v>
      </c>
      <c r="D322" s="88">
        <f>SUM(B322:C322)</f>
        <v>0</v>
      </c>
      <c r="E322" s="239" t="e">
        <f>B322/$D322</f>
        <v>#DIV/0!</v>
      </c>
      <c r="F322" s="239" t="e">
        <f t="shared" si="71"/>
        <v>#DIV/0!</v>
      </c>
      <c r="G322" s="240">
        <f t="shared" si="72"/>
        <v>0</v>
      </c>
    </row>
    <row r="323" spans="1:7" ht="60.75" thickBot="1" x14ac:dyDescent="0.3">
      <c r="A323" s="241" t="s">
        <v>183</v>
      </c>
      <c r="B323" s="222" t="str">
        <f>IF(B322=B70,"OK","Ces totaux généraux doivent être égaux aux nombres d'individus admis sur l'année - § C.2")</f>
        <v>Ces totaux généraux doivent être égaux aux nombres d'individus admis sur l'année - § C.2</v>
      </c>
      <c r="C323" s="242" t="str">
        <f t="shared" ref="C323:D323" si="77">IF(C322=C70,"OK","Ces totaux généraux doivent être égaux aux nombres d'individus admis sur l'année - § C.2")</f>
        <v>Ces totaux généraux doivent être égaux aux nombres d'individus admis sur l'année - § C.2</v>
      </c>
      <c r="D323" s="213" t="str">
        <f t="shared" si="77"/>
        <v>Ces totaux généraux doivent être égaux aux nombres d'individus admis sur l'année - § C.2</v>
      </c>
      <c r="E323" s="222" t="e">
        <f>IF(E322=E70,"OK","Ce pourcentage doit être égal au pourcentage garçons admis - § C.2")</f>
        <v>#DIV/0!</v>
      </c>
      <c r="F323" s="213" t="e">
        <f>IF(F322=F70,"OK","Ce pourcentage doit être égal au pourcentage filles admises - § C.2")</f>
        <v>#DIV/0!</v>
      </c>
      <c r="G323" s="215" t="str">
        <f>IF(G322=100%,"OK","Ce pourcentage doit être égal à 100 %")</f>
        <v>Ce pourcentage doit être égal à 100 %</v>
      </c>
    </row>
    <row r="324" spans="1:7" ht="15.75" thickBot="1" x14ac:dyDescent="0.3"/>
    <row r="325" spans="1:7" ht="84" x14ac:dyDescent="0.25">
      <c r="A325" s="33" t="s">
        <v>267</v>
      </c>
      <c r="B325" s="34" t="s">
        <v>159</v>
      </c>
      <c r="C325" s="35" t="s">
        <v>160</v>
      </c>
      <c r="D325" s="35" t="s">
        <v>260</v>
      </c>
      <c r="E325" s="36" t="s">
        <v>191</v>
      </c>
      <c r="F325" s="228" t="s">
        <v>192</v>
      </c>
      <c r="G325" s="37" t="s">
        <v>268</v>
      </c>
    </row>
    <row r="326" spans="1:7" x14ac:dyDescent="0.25">
      <c r="A326" s="229" t="s">
        <v>110</v>
      </c>
      <c r="B326" s="230"/>
      <c r="C326" s="231"/>
      <c r="D326" s="232">
        <f>SUM(B326:C326)</f>
        <v>0</v>
      </c>
      <c r="E326" s="163" t="e">
        <f>B326/$D326</f>
        <v>#DIV/0!</v>
      </c>
      <c r="F326" s="163" t="e">
        <f>C326/$D326</f>
        <v>#DIV/0!</v>
      </c>
      <c r="G326" s="233">
        <f>D326/D$89</f>
        <v>0</v>
      </c>
    </row>
    <row r="327" spans="1:7" x14ac:dyDescent="0.25">
      <c r="A327" s="208" t="s">
        <v>111</v>
      </c>
      <c r="B327" s="230"/>
      <c r="C327" s="231"/>
      <c r="D327" s="232">
        <f>SUM(B327:C327)</f>
        <v>0</v>
      </c>
      <c r="E327" s="163" t="e">
        <f>B327/$D327</f>
        <v>#DIV/0!</v>
      </c>
      <c r="F327" s="163" t="e">
        <f t="shared" ref="F327:F351" si="78">C327/$D327</f>
        <v>#DIV/0!</v>
      </c>
      <c r="G327" s="233">
        <f t="shared" ref="G327:G350" si="79">D327/D$89</f>
        <v>0</v>
      </c>
    </row>
    <row r="328" spans="1:7" x14ac:dyDescent="0.25">
      <c r="A328" s="208" t="s">
        <v>112</v>
      </c>
      <c r="B328" s="230"/>
      <c r="C328" s="231"/>
      <c r="D328" s="232">
        <f t="shared" ref="D328:D331" si="80">SUM(B328:C328)</f>
        <v>0</v>
      </c>
      <c r="E328" s="163" t="e">
        <f t="shared" ref="E328:E331" si="81">B328/$D328</f>
        <v>#DIV/0!</v>
      </c>
      <c r="F328" s="163" t="e">
        <f t="shared" si="78"/>
        <v>#DIV/0!</v>
      </c>
      <c r="G328" s="233">
        <f t="shared" si="79"/>
        <v>0</v>
      </c>
    </row>
    <row r="329" spans="1:7" x14ac:dyDescent="0.25">
      <c r="A329" s="208" t="s">
        <v>113</v>
      </c>
      <c r="B329" s="230"/>
      <c r="C329" s="231"/>
      <c r="D329" s="232">
        <f t="shared" si="80"/>
        <v>0</v>
      </c>
      <c r="E329" s="163" t="e">
        <f t="shared" si="81"/>
        <v>#DIV/0!</v>
      </c>
      <c r="F329" s="163" t="e">
        <f t="shared" si="78"/>
        <v>#DIV/0!</v>
      </c>
      <c r="G329" s="233">
        <f t="shared" si="79"/>
        <v>0</v>
      </c>
    </row>
    <row r="330" spans="1:7" x14ac:dyDescent="0.25">
      <c r="A330" s="208" t="s">
        <v>114</v>
      </c>
      <c r="B330" s="230"/>
      <c r="C330" s="231"/>
      <c r="D330" s="232">
        <f t="shared" si="80"/>
        <v>0</v>
      </c>
      <c r="E330" s="163" t="e">
        <f t="shared" si="81"/>
        <v>#DIV/0!</v>
      </c>
      <c r="F330" s="163" t="e">
        <f t="shared" si="78"/>
        <v>#DIV/0!</v>
      </c>
      <c r="G330" s="233">
        <f t="shared" si="79"/>
        <v>0</v>
      </c>
    </row>
    <row r="331" spans="1:7" x14ac:dyDescent="0.25">
      <c r="A331" s="208" t="s">
        <v>115</v>
      </c>
      <c r="B331" s="230"/>
      <c r="C331" s="231"/>
      <c r="D331" s="232">
        <f t="shared" si="80"/>
        <v>0</v>
      </c>
      <c r="E331" s="163" t="e">
        <f t="shared" si="81"/>
        <v>#DIV/0!</v>
      </c>
      <c r="F331" s="163" t="e">
        <f t="shared" si="78"/>
        <v>#DIV/0!</v>
      </c>
      <c r="G331" s="233">
        <f t="shared" si="79"/>
        <v>0</v>
      </c>
    </row>
    <row r="332" spans="1:7" x14ac:dyDescent="0.25">
      <c r="A332" s="229" t="s">
        <v>262</v>
      </c>
      <c r="B332" s="162">
        <f>SUM(B327:B331)</f>
        <v>0</v>
      </c>
      <c r="C332" s="162">
        <f>SUM(C327:C331)</f>
        <v>0</v>
      </c>
      <c r="D332" s="170">
        <f>SUM(B332:C332)</f>
        <v>0</v>
      </c>
      <c r="E332" s="163" t="e">
        <f>B332/$D332</f>
        <v>#DIV/0!</v>
      </c>
      <c r="F332" s="163" t="e">
        <f t="shared" si="78"/>
        <v>#DIV/0!</v>
      </c>
      <c r="G332" s="233">
        <f t="shared" si="79"/>
        <v>0</v>
      </c>
    </row>
    <row r="333" spans="1:7" x14ac:dyDescent="0.25">
      <c r="A333" s="208" t="s">
        <v>116</v>
      </c>
      <c r="B333" s="230"/>
      <c r="C333" s="231"/>
      <c r="D333" s="232">
        <f t="shared" ref="D333:D335" si="82">SUM(B333:C333)</f>
        <v>0</v>
      </c>
      <c r="E333" s="163" t="e">
        <f t="shared" ref="E333:E350" si="83">B333/$D333</f>
        <v>#DIV/0!</v>
      </c>
      <c r="F333" s="163" t="e">
        <f t="shared" si="78"/>
        <v>#DIV/0!</v>
      </c>
      <c r="G333" s="233">
        <f t="shared" si="79"/>
        <v>0</v>
      </c>
    </row>
    <row r="334" spans="1:7" x14ac:dyDescent="0.25">
      <c r="A334" s="208" t="s">
        <v>117</v>
      </c>
      <c r="B334" s="230"/>
      <c r="C334" s="231"/>
      <c r="D334" s="232">
        <f t="shared" si="82"/>
        <v>0</v>
      </c>
      <c r="E334" s="163" t="e">
        <f t="shared" si="83"/>
        <v>#DIV/0!</v>
      </c>
      <c r="F334" s="163" t="e">
        <f t="shared" si="78"/>
        <v>#DIV/0!</v>
      </c>
      <c r="G334" s="233">
        <f t="shared" si="79"/>
        <v>0</v>
      </c>
    </row>
    <row r="335" spans="1:7" x14ac:dyDescent="0.25">
      <c r="A335" s="229" t="s">
        <v>263</v>
      </c>
      <c r="B335" s="162">
        <f>SUM(B333:B334)</f>
        <v>0</v>
      </c>
      <c r="C335" s="162">
        <f>SUM(C333:C334)</f>
        <v>0</v>
      </c>
      <c r="D335" s="170">
        <f t="shared" si="82"/>
        <v>0</v>
      </c>
      <c r="E335" s="163" t="e">
        <f t="shared" si="83"/>
        <v>#DIV/0!</v>
      </c>
      <c r="F335" s="163" t="e">
        <f t="shared" si="78"/>
        <v>#DIV/0!</v>
      </c>
      <c r="G335" s="233">
        <f t="shared" si="79"/>
        <v>0</v>
      </c>
    </row>
    <row r="336" spans="1:7" x14ac:dyDescent="0.25">
      <c r="A336" s="234" t="s">
        <v>269</v>
      </c>
      <c r="B336" s="162">
        <f>SUM(B332,B335)</f>
        <v>0</v>
      </c>
      <c r="C336" s="162">
        <f>SUM(C326:C335)</f>
        <v>0</v>
      </c>
      <c r="D336" s="170">
        <f>SUM(B336:C336)</f>
        <v>0</v>
      </c>
      <c r="E336" s="163" t="e">
        <f t="shared" si="83"/>
        <v>#DIV/0!</v>
      </c>
      <c r="F336" s="163" t="e">
        <f t="shared" si="78"/>
        <v>#DIV/0!</v>
      </c>
      <c r="G336" s="233">
        <f t="shared" si="79"/>
        <v>0</v>
      </c>
    </row>
    <row r="337" spans="1:11" x14ac:dyDescent="0.25">
      <c r="A337" s="229" t="s">
        <v>270</v>
      </c>
      <c r="B337" s="183"/>
      <c r="C337" s="236"/>
      <c r="D337" s="170">
        <f>SUM(B337:C337)</f>
        <v>0</v>
      </c>
      <c r="E337" s="163" t="e">
        <f t="shared" si="83"/>
        <v>#DIV/0!</v>
      </c>
      <c r="F337" s="163" t="e">
        <f t="shared" si="78"/>
        <v>#DIV/0!</v>
      </c>
      <c r="G337" s="233">
        <f t="shared" si="79"/>
        <v>0</v>
      </c>
    </row>
    <row r="338" spans="1:11" x14ac:dyDescent="0.25">
      <c r="A338" s="39" t="s">
        <v>119</v>
      </c>
      <c r="B338" s="230"/>
      <c r="C338" s="231"/>
      <c r="D338" s="232">
        <f>SUM(B338:C338)</f>
        <v>0</v>
      </c>
      <c r="E338" s="163" t="e">
        <f t="shared" si="83"/>
        <v>#DIV/0!</v>
      </c>
      <c r="F338" s="163" t="e">
        <f t="shared" si="78"/>
        <v>#DIV/0!</v>
      </c>
      <c r="G338" s="233">
        <f t="shared" si="79"/>
        <v>0</v>
      </c>
    </row>
    <row r="339" spans="1:11" x14ac:dyDescent="0.25">
      <c r="A339" s="39" t="s">
        <v>120</v>
      </c>
      <c r="B339" s="230"/>
      <c r="C339" s="231"/>
      <c r="D339" s="232">
        <f t="shared" ref="D339:D341" si="84">SUM(B339:C339)</f>
        <v>0</v>
      </c>
      <c r="E339" s="163" t="e">
        <f t="shared" si="83"/>
        <v>#DIV/0!</v>
      </c>
      <c r="F339" s="163" t="e">
        <f t="shared" si="78"/>
        <v>#DIV/0!</v>
      </c>
      <c r="G339" s="233">
        <f t="shared" si="79"/>
        <v>0</v>
      </c>
    </row>
    <row r="340" spans="1:11" x14ac:dyDescent="0.25">
      <c r="A340" s="39" t="s">
        <v>121</v>
      </c>
      <c r="B340" s="230"/>
      <c r="C340" s="231"/>
      <c r="D340" s="232">
        <f t="shared" si="84"/>
        <v>0</v>
      </c>
      <c r="E340" s="163" t="e">
        <f t="shared" si="83"/>
        <v>#DIV/0!</v>
      </c>
      <c r="F340" s="163" t="e">
        <f t="shared" si="78"/>
        <v>#DIV/0!</v>
      </c>
      <c r="G340" s="233">
        <f t="shared" si="79"/>
        <v>0</v>
      </c>
    </row>
    <row r="341" spans="1:11" ht="25.5" customHeight="1" x14ac:dyDescent="0.25">
      <c r="A341" s="234" t="s">
        <v>271</v>
      </c>
      <c r="B341" s="162">
        <f>SUM(B338:B340)</f>
        <v>0</v>
      </c>
      <c r="C341" s="162">
        <f>SUM(C338:C340)</f>
        <v>0</v>
      </c>
      <c r="D341" s="170">
        <f t="shared" si="84"/>
        <v>0</v>
      </c>
      <c r="E341" s="163" t="e">
        <f t="shared" si="83"/>
        <v>#DIV/0!</v>
      </c>
      <c r="F341" s="163" t="e">
        <f t="shared" si="78"/>
        <v>#DIV/0!</v>
      </c>
      <c r="G341" s="233">
        <f t="shared" si="79"/>
        <v>0</v>
      </c>
    </row>
    <row r="342" spans="1:11" x14ac:dyDescent="0.25">
      <c r="A342" s="39" t="s">
        <v>122</v>
      </c>
      <c r="B342" s="230"/>
      <c r="C342" s="231"/>
      <c r="D342" s="232">
        <f>SUM(B342:C342)</f>
        <v>0</v>
      </c>
      <c r="E342" s="163" t="e">
        <f t="shared" si="83"/>
        <v>#DIV/0!</v>
      </c>
      <c r="F342" s="163" t="e">
        <f t="shared" si="78"/>
        <v>#DIV/0!</v>
      </c>
      <c r="G342" s="233">
        <f t="shared" si="79"/>
        <v>0</v>
      </c>
    </row>
    <row r="343" spans="1:11" x14ac:dyDescent="0.25">
      <c r="A343" s="39" t="s">
        <v>123</v>
      </c>
      <c r="B343" s="230"/>
      <c r="C343" s="231"/>
      <c r="D343" s="232">
        <f t="shared" ref="D343:D348" si="85">SUM(B343:C343)</f>
        <v>0</v>
      </c>
      <c r="E343" s="163" t="e">
        <f t="shared" si="83"/>
        <v>#DIV/0!</v>
      </c>
      <c r="F343" s="163" t="e">
        <f t="shared" si="78"/>
        <v>#DIV/0!</v>
      </c>
      <c r="G343" s="233">
        <f t="shared" si="79"/>
        <v>0</v>
      </c>
    </row>
    <row r="344" spans="1:11" x14ac:dyDescent="0.25">
      <c r="A344" s="39" t="s">
        <v>124</v>
      </c>
      <c r="B344" s="230"/>
      <c r="C344" s="231"/>
      <c r="D344" s="232">
        <f t="shared" si="85"/>
        <v>0</v>
      </c>
      <c r="E344" s="163" t="e">
        <f t="shared" si="83"/>
        <v>#DIV/0!</v>
      </c>
      <c r="F344" s="163" t="e">
        <f t="shared" si="78"/>
        <v>#DIV/0!</v>
      </c>
      <c r="G344" s="233">
        <f t="shared" si="79"/>
        <v>0</v>
      </c>
    </row>
    <row r="345" spans="1:11" x14ac:dyDescent="0.25">
      <c r="A345" s="39" t="s">
        <v>125</v>
      </c>
      <c r="B345" s="230"/>
      <c r="C345" s="231"/>
      <c r="D345" s="232">
        <f t="shared" si="85"/>
        <v>0</v>
      </c>
      <c r="E345" s="163" t="e">
        <f t="shared" si="83"/>
        <v>#DIV/0!</v>
      </c>
      <c r="F345" s="163" t="e">
        <f>C345/$D345</f>
        <v>#DIV/0!</v>
      </c>
      <c r="G345" s="233">
        <f t="shared" si="79"/>
        <v>0</v>
      </c>
    </row>
    <row r="346" spans="1:11" x14ac:dyDescent="0.25">
      <c r="A346" s="39" t="s">
        <v>126</v>
      </c>
      <c r="B346" s="230"/>
      <c r="C346" s="231"/>
      <c r="D346" s="232">
        <f t="shared" si="85"/>
        <v>0</v>
      </c>
      <c r="E346" s="163" t="e">
        <f t="shared" si="83"/>
        <v>#DIV/0!</v>
      </c>
      <c r="F346" s="163" t="e">
        <f t="shared" si="78"/>
        <v>#DIV/0!</v>
      </c>
      <c r="G346" s="233">
        <f t="shared" si="79"/>
        <v>0</v>
      </c>
    </row>
    <row r="347" spans="1:11" x14ac:dyDescent="0.25">
      <c r="A347" s="39" t="s">
        <v>127</v>
      </c>
      <c r="B347" s="230"/>
      <c r="C347" s="231"/>
      <c r="D347" s="232">
        <f t="shared" si="85"/>
        <v>0</v>
      </c>
      <c r="E347" s="163" t="e">
        <f t="shared" si="83"/>
        <v>#DIV/0!</v>
      </c>
      <c r="F347" s="163" t="e">
        <f t="shared" si="78"/>
        <v>#DIV/0!</v>
      </c>
      <c r="G347" s="233">
        <f t="shared" si="79"/>
        <v>0</v>
      </c>
    </row>
    <row r="348" spans="1:11" x14ac:dyDescent="0.25">
      <c r="A348" s="234" t="s">
        <v>272</v>
      </c>
      <c r="B348" s="162">
        <f>SUM(B342:B347)</f>
        <v>0</v>
      </c>
      <c r="C348" s="162">
        <f>SUM(C342:C347)</f>
        <v>0</v>
      </c>
      <c r="D348" s="170">
        <f t="shared" si="85"/>
        <v>0</v>
      </c>
      <c r="E348" s="163" t="e">
        <f t="shared" si="83"/>
        <v>#DIV/0!</v>
      </c>
      <c r="F348" s="163" t="e">
        <f t="shared" si="78"/>
        <v>#DIV/0!</v>
      </c>
      <c r="G348" s="233">
        <f t="shared" si="79"/>
        <v>0</v>
      </c>
    </row>
    <row r="349" spans="1:11" x14ac:dyDescent="0.25">
      <c r="A349" s="234" t="s">
        <v>128</v>
      </c>
      <c r="B349" s="230"/>
      <c r="C349" s="231"/>
      <c r="D349" s="232">
        <f>SUM(B349:C349)</f>
        <v>0</v>
      </c>
      <c r="E349" s="163" t="e">
        <f t="shared" si="83"/>
        <v>#DIV/0!</v>
      </c>
      <c r="F349" s="163" t="e">
        <f t="shared" si="78"/>
        <v>#DIV/0!</v>
      </c>
      <c r="G349" s="233">
        <f t="shared" si="79"/>
        <v>0</v>
      </c>
      <c r="K349" s="59"/>
    </row>
    <row r="350" spans="1:11" x14ac:dyDescent="0.25">
      <c r="A350" s="234" t="s">
        <v>101</v>
      </c>
      <c r="B350" s="230"/>
      <c r="C350" s="231"/>
      <c r="D350" s="232">
        <f t="shared" ref="D350" si="86">SUM(B350:C350)</f>
        <v>0</v>
      </c>
      <c r="E350" s="163" t="e">
        <f t="shared" si="83"/>
        <v>#DIV/0!</v>
      </c>
      <c r="F350" s="163" t="e">
        <f t="shared" si="78"/>
        <v>#DIV/0!</v>
      </c>
      <c r="G350" s="233">
        <f t="shared" si="79"/>
        <v>0</v>
      </c>
    </row>
    <row r="351" spans="1:11" x14ac:dyDescent="0.25">
      <c r="A351" s="87" t="s">
        <v>150</v>
      </c>
      <c r="B351" s="237">
        <f>SUM(B326,B336,B337,B341,B348,B349,B350)</f>
        <v>0</v>
      </c>
      <c r="C351" s="237">
        <f>SUM(C326,C336,C337,C341,C348,C349,C350)</f>
        <v>0</v>
      </c>
      <c r="D351" s="243">
        <f>SUM(B351:C351)</f>
        <v>0</v>
      </c>
      <c r="E351" s="163" t="e">
        <f>B351/$D351</f>
        <v>#DIV/0!</v>
      </c>
      <c r="F351" s="239" t="e">
        <f t="shared" si="78"/>
        <v>#DIV/0!</v>
      </c>
      <c r="G351" s="240">
        <f>D351/D$89</f>
        <v>0</v>
      </c>
    </row>
    <row r="352" spans="1:11" ht="48.75" thickBot="1" x14ac:dyDescent="0.3">
      <c r="A352" s="244" t="s">
        <v>183</v>
      </c>
      <c r="B352" s="245" t="str">
        <f>IF(B351=B89,"OK","Ces totaux généraux doivent être égaux aux nombres d'individus sortis sur l'année - § C.3")</f>
        <v>Ces totaux généraux doivent être égaux aux nombres d'individus sortis sur l'année - § C.3</v>
      </c>
      <c r="C352" s="245" t="str">
        <f>IF(C351=C89,"OK","Ces totaux doivent être égaux aux nombres d'individus sortis sur l'année - § C.3")</f>
        <v>Ces totaux doivent être égaux aux nombres d'individus sortis sur l'année - § C.3</v>
      </c>
      <c r="D352" s="246" t="str">
        <f>IF(D351=D89,"OK","Ces totaux doivent être égaux aux nombres d'individus sortis sur l'année - § C.3")</f>
        <v>Ces totaux doivent être égaux aux nombres d'individus sortis sur l'année - § C.3</v>
      </c>
      <c r="E352" s="247" t="e">
        <f>IF(E351=E89,"OK","Ce pourcentage doit être égal au pourcentage garçons sortis - § C.3")</f>
        <v>#DIV/0!</v>
      </c>
      <c r="F352" s="246" t="e">
        <f>IF(F351=F89,"OK","Ce pourcentage doit être égal au pourcentage filles sorties - § C.3")</f>
        <v>#DIV/0!</v>
      </c>
      <c r="G352" s="248" t="str">
        <f>IF(G351=100%,"OK","Ce pourcentage doit être égal à 100 %")</f>
        <v>Ce pourcentage doit être égal à 100 %</v>
      </c>
    </row>
    <row r="353" spans="1:7" ht="15.75" thickBot="1" x14ac:dyDescent="0.3"/>
    <row r="354" spans="1:7" ht="84" x14ac:dyDescent="0.25">
      <c r="A354" s="33" t="s">
        <v>273</v>
      </c>
      <c r="B354" s="34" t="s">
        <v>159</v>
      </c>
      <c r="C354" s="35" t="s">
        <v>160</v>
      </c>
      <c r="D354" s="35" t="s">
        <v>260</v>
      </c>
      <c r="E354" s="36" t="s">
        <v>191</v>
      </c>
      <c r="F354" s="228" t="s">
        <v>192</v>
      </c>
      <c r="G354" s="37" t="s">
        <v>274</v>
      </c>
    </row>
    <row r="355" spans="1:7" x14ac:dyDescent="0.25">
      <c r="A355" s="229" t="s">
        <v>110</v>
      </c>
      <c r="B355" s="230"/>
      <c r="C355" s="231"/>
      <c r="D355" s="232">
        <f>SUM(B355:C355)</f>
        <v>0</v>
      </c>
      <c r="E355" s="163" t="e">
        <f>B355/$D355</f>
        <v>#DIV/0!</v>
      </c>
      <c r="F355" s="163" t="e">
        <f>C355/$D355</f>
        <v>#DIV/0!</v>
      </c>
      <c r="G355" s="233">
        <f>D355/D$111</f>
        <v>0</v>
      </c>
    </row>
    <row r="356" spans="1:7" x14ac:dyDescent="0.25">
      <c r="A356" s="208" t="s">
        <v>111</v>
      </c>
      <c r="B356" s="230"/>
      <c r="C356" s="231"/>
      <c r="D356" s="232">
        <f>SUM(B356:C356)</f>
        <v>0</v>
      </c>
      <c r="E356" s="163" t="e">
        <f>B356/$D356</f>
        <v>#DIV/0!</v>
      </c>
      <c r="F356" s="163" t="e">
        <f t="shared" ref="F356:F380" si="87">C356/$D356</f>
        <v>#DIV/0!</v>
      </c>
      <c r="G356" s="233">
        <f t="shared" ref="G356:G379" si="88">D356/D$111</f>
        <v>0</v>
      </c>
    </row>
    <row r="357" spans="1:7" x14ac:dyDescent="0.25">
      <c r="A357" s="208" t="s">
        <v>112</v>
      </c>
      <c r="B357" s="230"/>
      <c r="C357" s="231"/>
      <c r="D357" s="232">
        <f t="shared" ref="D357:D360" si="89">SUM(B357:C357)</f>
        <v>0</v>
      </c>
      <c r="E357" s="163" t="e">
        <f t="shared" ref="E357:E360" si="90">B357/$D357</f>
        <v>#DIV/0!</v>
      </c>
      <c r="F357" s="163" t="e">
        <f t="shared" si="87"/>
        <v>#DIV/0!</v>
      </c>
      <c r="G357" s="233">
        <f t="shared" si="88"/>
        <v>0</v>
      </c>
    </row>
    <row r="358" spans="1:7" x14ac:dyDescent="0.25">
      <c r="A358" s="208" t="s">
        <v>113</v>
      </c>
      <c r="B358" s="230"/>
      <c r="C358" s="231"/>
      <c r="D358" s="232">
        <f t="shared" si="89"/>
        <v>0</v>
      </c>
      <c r="E358" s="163" t="e">
        <f t="shared" si="90"/>
        <v>#DIV/0!</v>
      </c>
      <c r="F358" s="163" t="e">
        <f t="shared" si="87"/>
        <v>#DIV/0!</v>
      </c>
      <c r="G358" s="233">
        <f t="shared" si="88"/>
        <v>0</v>
      </c>
    </row>
    <row r="359" spans="1:7" x14ac:dyDescent="0.25">
      <c r="A359" s="208" t="s">
        <v>114</v>
      </c>
      <c r="B359" s="230"/>
      <c r="C359" s="231"/>
      <c r="D359" s="232">
        <f t="shared" si="89"/>
        <v>0</v>
      </c>
      <c r="E359" s="163" t="e">
        <f t="shared" si="90"/>
        <v>#DIV/0!</v>
      </c>
      <c r="F359" s="163" t="e">
        <f t="shared" si="87"/>
        <v>#DIV/0!</v>
      </c>
      <c r="G359" s="233">
        <f t="shared" si="88"/>
        <v>0</v>
      </c>
    </row>
    <row r="360" spans="1:7" x14ac:dyDescent="0.25">
      <c r="A360" s="208" t="s">
        <v>115</v>
      </c>
      <c r="B360" s="230"/>
      <c r="C360" s="231"/>
      <c r="D360" s="232">
        <f t="shared" si="89"/>
        <v>0</v>
      </c>
      <c r="E360" s="163" t="e">
        <f t="shared" si="90"/>
        <v>#DIV/0!</v>
      </c>
      <c r="F360" s="163" t="e">
        <f t="shared" si="87"/>
        <v>#DIV/0!</v>
      </c>
      <c r="G360" s="233">
        <f t="shared" si="88"/>
        <v>0</v>
      </c>
    </row>
    <row r="361" spans="1:7" x14ac:dyDescent="0.25">
      <c r="A361" s="229" t="s">
        <v>262</v>
      </c>
      <c r="B361" s="162">
        <f>SUM(B356:B360)</f>
        <v>0</v>
      </c>
      <c r="C361" s="162">
        <f>SUM(C356:C360)</f>
        <v>0</v>
      </c>
      <c r="D361" s="170">
        <f>SUM(B361:C361)</f>
        <v>0</v>
      </c>
      <c r="E361" s="163" t="e">
        <f>B361/$D361</f>
        <v>#DIV/0!</v>
      </c>
      <c r="F361" s="163" t="e">
        <f t="shared" si="87"/>
        <v>#DIV/0!</v>
      </c>
      <c r="G361" s="233">
        <f t="shared" si="88"/>
        <v>0</v>
      </c>
    </row>
    <row r="362" spans="1:7" x14ac:dyDescent="0.25">
      <c r="A362" s="208" t="s">
        <v>116</v>
      </c>
      <c r="B362" s="230"/>
      <c r="C362" s="231"/>
      <c r="D362" s="232">
        <f t="shared" ref="D362:D364" si="91">SUM(B362:C362)</f>
        <v>0</v>
      </c>
      <c r="E362" s="163" t="e">
        <f t="shared" ref="E362:E379" si="92">B362/$D362</f>
        <v>#DIV/0!</v>
      </c>
      <c r="F362" s="163" t="e">
        <f t="shared" si="87"/>
        <v>#DIV/0!</v>
      </c>
      <c r="G362" s="233">
        <f t="shared" si="88"/>
        <v>0</v>
      </c>
    </row>
    <row r="363" spans="1:7" x14ac:dyDescent="0.25">
      <c r="A363" s="208" t="s">
        <v>117</v>
      </c>
      <c r="B363" s="230"/>
      <c r="C363" s="231"/>
      <c r="D363" s="232">
        <f t="shared" si="91"/>
        <v>0</v>
      </c>
      <c r="E363" s="163" t="e">
        <f t="shared" si="92"/>
        <v>#DIV/0!</v>
      </c>
      <c r="F363" s="163" t="e">
        <f t="shared" si="87"/>
        <v>#DIV/0!</v>
      </c>
      <c r="G363" s="233">
        <f t="shared" si="88"/>
        <v>0</v>
      </c>
    </row>
    <row r="364" spans="1:7" x14ac:dyDescent="0.25">
      <c r="A364" s="229" t="s">
        <v>263</v>
      </c>
      <c r="B364" s="162">
        <f>SUM(B362:B363)</f>
        <v>0</v>
      </c>
      <c r="C364" s="162">
        <f>SUM(C362:C363)</f>
        <v>0</v>
      </c>
      <c r="D364" s="170">
        <f t="shared" si="91"/>
        <v>0</v>
      </c>
      <c r="E364" s="163" t="e">
        <f t="shared" si="92"/>
        <v>#DIV/0!</v>
      </c>
      <c r="F364" s="163" t="e">
        <f t="shared" si="87"/>
        <v>#DIV/0!</v>
      </c>
      <c r="G364" s="233">
        <f t="shared" si="88"/>
        <v>0</v>
      </c>
    </row>
    <row r="365" spans="1:7" x14ac:dyDescent="0.25">
      <c r="A365" s="234" t="s">
        <v>269</v>
      </c>
      <c r="B365" s="162">
        <f>SUM(B361,B364)</f>
        <v>0</v>
      </c>
      <c r="C365" s="162">
        <f>SUM(C361,C364)</f>
        <v>0</v>
      </c>
      <c r="D365" s="170">
        <f>SUM(B365:C365)</f>
        <v>0</v>
      </c>
      <c r="E365" s="163" t="e">
        <f t="shared" si="92"/>
        <v>#DIV/0!</v>
      </c>
      <c r="F365" s="163" t="e">
        <f t="shared" si="87"/>
        <v>#DIV/0!</v>
      </c>
      <c r="G365" s="233">
        <f t="shared" si="88"/>
        <v>0</v>
      </c>
    </row>
    <row r="366" spans="1:7" x14ac:dyDescent="0.25">
      <c r="A366" s="229" t="s">
        <v>270</v>
      </c>
      <c r="B366" s="183"/>
      <c r="C366" s="236"/>
      <c r="D366" s="170">
        <f>SUM(B366:C366)</f>
        <v>0</v>
      </c>
      <c r="E366" s="163" t="e">
        <f t="shared" si="92"/>
        <v>#DIV/0!</v>
      </c>
      <c r="F366" s="163" t="e">
        <f t="shared" si="87"/>
        <v>#DIV/0!</v>
      </c>
      <c r="G366" s="233">
        <f t="shared" si="88"/>
        <v>0</v>
      </c>
    </row>
    <row r="367" spans="1:7" x14ac:dyDescent="0.25">
      <c r="A367" s="39" t="s">
        <v>119</v>
      </c>
      <c r="B367" s="230"/>
      <c r="C367" s="231"/>
      <c r="D367" s="232">
        <f>SUM(B367:C367)</f>
        <v>0</v>
      </c>
      <c r="E367" s="163" t="e">
        <f t="shared" si="92"/>
        <v>#DIV/0!</v>
      </c>
      <c r="F367" s="163" t="e">
        <f t="shared" si="87"/>
        <v>#DIV/0!</v>
      </c>
      <c r="G367" s="233">
        <f t="shared" si="88"/>
        <v>0</v>
      </c>
    </row>
    <row r="368" spans="1:7" x14ac:dyDescent="0.25">
      <c r="A368" s="39" t="s">
        <v>120</v>
      </c>
      <c r="B368" s="230"/>
      <c r="C368" s="231"/>
      <c r="D368" s="232">
        <f t="shared" ref="D368:D370" si="93">SUM(B368:C368)</f>
        <v>0</v>
      </c>
      <c r="E368" s="163" t="e">
        <f t="shared" si="92"/>
        <v>#DIV/0!</v>
      </c>
      <c r="F368" s="163" t="e">
        <f t="shared" si="87"/>
        <v>#DIV/0!</v>
      </c>
      <c r="G368" s="233">
        <f t="shared" si="88"/>
        <v>0</v>
      </c>
    </row>
    <row r="369" spans="1:7" x14ac:dyDescent="0.25">
      <c r="A369" s="39" t="s">
        <v>121</v>
      </c>
      <c r="B369" s="230"/>
      <c r="C369" s="231"/>
      <c r="D369" s="232">
        <f t="shared" si="93"/>
        <v>0</v>
      </c>
      <c r="E369" s="163" t="e">
        <f t="shared" si="92"/>
        <v>#DIV/0!</v>
      </c>
      <c r="F369" s="163" t="e">
        <f t="shared" si="87"/>
        <v>#DIV/0!</v>
      </c>
      <c r="G369" s="233">
        <f t="shared" si="88"/>
        <v>0</v>
      </c>
    </row>
    <row r="370" spans="1:7" ht="25.5" customHeight="1" x14ac:dyDescent="0.25">
      <c r="A370" s="234" t="s">
        <v>271</v>
      </c>
      <c r="B370" s="162">
        <f>SUM(B367:B369)</f>
        <v>0</v>
      </c>
      <c r="C370" s="162">
        <f>SUM(C367:C369)</f>
        <v>0</v>
      </c>
      <c r="D370" s="170">
        <f t="shared" si="93"/>
        <v>0</v>
      </c>
      <c r="E370" s="163" t="e">
        <f t="shared" si="92"/>
        <v>#DIV/0!</v>
      </c>
      <c r="F370" s="163" t="e">
        <f t="shared" si="87"/>
        <v>#DIV/0!</v>
      </c>
      <c r="G370" s="233">
        <f t="shared" si="88"/>
        <v>0</v>
      </c>
    </row>
    <row r="371" spans="1:7" x14ac:dyDescent="0.25">
      <c r="A371" s="39" t="s">
        <v>122</v>
      </c>
      <c r="B371" s="230"/>
      <c r="C371" s="231"/>
      <c r="D371" s="232">
        <f>SUM(B371:C371)</f>
        <v>0</v>
      </c>
      <c r="E371" s="163" t="e">
        <f t="shared" si="92"/>
        <v>#DIV/0!</v>
      </c>
      <c r="F371" s="163" t="e">
        <f t="shared" si="87"/>
        <v>#DIV/0!</v>
      </c>
      <c r="G371" s="233">
        <f t="shared" si="88"/>
        <v>0</v>
      </c>
    </row>
    <row r="372" spans="1:7" x14ac:dyDescent="0.25">
      <c r="A372" s="39" t="s">
        <v>123</v>
      </c>
      <c r="B372" s="230"/>
      <c r="C372" s="231"/>
      <c r="D372" s="232">
        <f t="shared" ref="D372:D377" si="94">SUM(B372:C372)</f>
        <v>0</v>
      </c>
      <c r="E372" s="163" t="e">
        <f t="shared" si="92"/>
        <v>#DIV/0!</v>
      </c>
      <c r="F372" s="163" t="e">
        <f t="shared" si="87"/>
        <v>#DIV/0!</v>
      </c>
      <c r="G372" s="233">
        <f t="shared" si="88"/>
        <v>0</v>
      </c>
    </row>
    <row r="373" spans="1:7" x14ac:dyDescent="0.25">
      <c r="A373" s="39" t="s">
        <v>124</v>
      </c>
      <c r="B373" s="230"/>
      <c r="C373" s="231"/>
      <c r="D373" s="232">
        <f t="shared" si="94"/>
        <v>0</v>
      </c>
      <c r="E373" s="163" t="e">
        <f t="shared" si="92"/>
        <v>#DIV/0!</v>
      </c>
      <c r="F373" s="163" t="e">
        <f t="shared" si="87"/>
        <v>#DIV/0!</v>
      </c>
      <c r="G373" s="233">
        <f t="shared" si="88"/>
        <v>0</v>
      </c>
    </row>
    <row r="374" spans="1:7" x14ac:dyDescent="0.25">
      <c r="A374" s="39" t="s">
        <v>125</v>
      </c>
      <c r="B374" s="230"/>
      <c r="C374" s="231"/>
      <c r="D374" s="232">
        <f t="shared" si="94"/>
        <v>0</v>
      </c>
      <c r="E374" s="163" t="e">
        <f t="shared" si="92"/>
        <v>#DIV/0!</v>
      </c>
      <c r="F374" s="163" t="e">
        <f t="shared" si="87"/>
        <v>#DIV/0!</v>
      </c>
      <c r="G374" s="233">
        <f t="shared" si="88"/>
        <v>0</v>
      </c>
    </row>
    <row r="375" spans="1:7" x14ac:dyDescent="0.25">
      <c r="A375" s="39" t="s">
        <v>126</v>
      </c>
      <c r="B375" s="230"/>
      <c r="C375" s="231"/>
      <c r="D375" s="232">
        <f t="shared" si="94"/>
        <v>0</v>
      </c>
      <c r="E375" s="163" t="e">
        <f t="shared" si="92"/>
        <v>#DIV/0!</v>
      </c>
      <c r="F375" s="163" t="e">
        <f t="shared" si="87"/>
        <v>#DIV/0!</v>
      </c>
      <c r="G375" s="233">
        <f t="shared" si="88"/>
        <v>0</v>
      </c>
    </row>
    <row r="376" spans="1:7" x14ac:dyDescent="0.25">
      <c r="A376" s="39" t="s">
        <v>127</v>
      </c>
      <c r="B376" s="230"/>
      <c r="C376" s="231"/>
      <c r="D376" s="232">
        <f t="shared" si="94"/>
        <v>0</v>
      </c>
      <c r="E376" s="163" t="e">
        <f t="shared" si="92"/>
        <v>#DIV/0!</v>
      </c>
      <c r="F376" s="163" t="e">
        <f t="shared" si="87"/>
        <v>#DIV/0!</v>
      </c>
      <c r="G376" s="233">
        <f t="shared" si="88"/>
        <v>0</v>
      </c>
    </row>
    <row r="377" spans="1:7" x14ac:dyDescent="0.25">
      <c r="A377" s="234" t="s">
        <v>272</v>
      </c>
      <c r="B377" s="162">
        <f>SUM(B371:B376)</f>
        <v>0</v>
      </c>
      <c r="C377" s="162">
        <f>SUM(C371:C376)</f>
        <v>0</v>
      </c>
      <c r="D377" s="170">
        <f t="shared" si="94"/>
        <v>0</v>
      </c>
      <c r="E377" s="163" t="e">
        <f t="shared" si="92"/>
        <v>#DIV/0!</v>
      </c>
      <c r="F377" s="163" t="e">
        <f t="shared" si="87"/>
        <v>#DIV/0!</v>
      </c>
      <c r="G377" s="233">
        <f t="shared" si="88"/>
        <v>0</v>
      </c>
    </row>
    <row r="378" spans="1:7" x14ac:dyDescent="0.25">
      <c r="A378" s="234" t="s">
        <v>128</v>
      </c>
      <c r="B378" s="230"/>
      <c r="C378" s="231"/>
      <c r="D378" s="232">
        <f>SUM(B378:C378)</f>
        <v>0</v>
      </c>
      <c r="E378" s="163" t="e">
        <f t="shared" si="92"/>
        <v>#DIV/0!</v>
      </c>
      <c r="F378" s="163" t="e">
        <f t="shared" si="87"/>
        <v>#DIV/0!</v>
      </c>
      <c r="G378" s="233">
        <f t="shared" si="88"/>
        <v>0</v>
      </c>
    </row>
    <row r="379" spans="1:7" x14ac:dyDescent="0.25">
      <c r="A379" s="234" t="s">
        <v>101</v>
      </c>
      <c r="B379" s="230"/>
      <c r="C379" s="231"/>
      <c r="D379" s="232">
        <f t="shared" ref="D379" si="95">SUM(B379:C379)</f>
        <v>0</v>
      </c>
      <c r="E379" s="163" t="e">
        <f t="shared" si="92"/>
        <v>#DIV/0!</v>
      </c>
      <c r="F379" s="163" t="e">
        <f t="shared" si="87"/>
        <v>#DIV/0!</v>
      </c>
      <c r="G379" s="233">
        <f t="shared" si="88"/>
        <v>0</v>
      </c>
    </row>
    <row r="380" spans="1:7" x14ac:dyDescent="0.25">
      <c r="A380" s="118" t="s">
        <v>150</v>
      </c>
      <c r="B380" s="238">
        <f>SUM(B355,B365,B366,B370,B377,B378,B379)</f>
        <v>0</v>
      </c>
      <c r="C380" s="238">
        <f>SUM(C355,C365,C366,C370,C377,C378,C379)</f>
        <v>0</v>
      </c>
      <c r="D380" s="243">
        <f>SUM(B380:C380)</f>
        <v>0</v>
      </c>
      <c r="E380" s="239" t="e">
        <f>B380/$D380</f>
        <v>#DIV/0!</v>
      </c>
      <c r="F380" s="239" t="e">
        <f t="shared" si="87"/>
        <v>#DIV/0!</v>
      </c>
      <c r="G380" s="240">
        <f>D380/D$111</f>
        <v>0</v>
      </c>
    </row>
    <row r="381" spans="1:7" ht="48.75" thickBot="1" x14ac:dyDescent="0.3">
      <c r="A381" s="249" t="s">
        <v>183</v>
      </c>
      <c r="B381" s="121" t="str">
        <f>IF(B380=B111,"OK","Ces totaux généraux doivent être égaux aux nombres d'individus présents au 31/12/N - § C.5")</f>
        <v>Ces totaux généraux doivent être égaux aux nombres d'individus présents au 31/12/N - § C.5</v>
      </c>
      <c r="C381" s="121" t="str">
        <f t="shared" ref="C381:D381" si="96">IF(C380=C111,"OK","Ces totaux généraux doivent être égaux aux nombres d'individus présents au 31/12/N - § C.5")</f>
        <v>Ces totaux généraux doivent être égaux aux nombres d'individus présents au 31/12/N - § C.5</v>
      </c>
      <c r="D381" s="122" t="str">
        <f t="shared" si="96"/>
        <v>Ces totaux généraux doivent être égaux aux nombres d'individus présents au 31/12/N - § C.5</v>
      </c>
      <c r="E381" s="121" t="e">
        <f>IF(E380=E111,"OK","Ce pourcentage doit être égal au pourcentage garçons présents au 31/12/N - § C.5")</f>
        <v>#DIV/0!</v>
      </c>
      <c r="F381" s="121" t="e">
        <f>IF(F380=F111,"OK","Ce pourcentage doit être égal au pourcentage filles présentes au 31/12/N - § C.5")</f>
        <v>#DIV/0!</v>
      </c>
      <c r="G381" s="250" t="str">
        <f>IF(G380=100%,"OK","Ce pourcentage doit être égal à 100 %")</f>
        <v>Ce pourcentage doit être égal à 100 %</v>
      </c>
    </row>
    <row r="382" spans="1:7" x14ac:dyDescent="0.25">
      <c r="A382" s="79"/>
    </row>
    <row r="383" spans="1:7" x14ac:dyDescent="0.25">
      <c r="A383" s="30" t="s">
        <v>275</v>
      </c>
      <c r="B383" s="13"/>
      <c r="C383" s="13"/>
      <c r="D383" s="13"/>
      <c r="E383" s="13"/>
      <c r="F383" s="13"/>
    </row>
    <row r="384" spans="1:7" ht="121.5" customHeight="1" x14ac:dyDescent="0.25">
      <c r="A384" s="304"/>
      <c r="B384" s="304"/>
      <c r="C384" s="304"/>
      <c r="D384" s="304"/>
      <c r="E384" s="304"/>
      <c r="F384" s="304"/>
      <c r="G384" s="304"/>
    </row>
    <row r="387" spans="1:7" ht="15.75" x14ac:dyDescent="0.25">
      <c r="A387" s="305" t="s">
        <v>276</v>
      </c>
      <c r="B387" s="305"/>
      <c r="C387" s="305"/>
      <c r="D387" s="305"/>
      <c r="E387" s="305"/>
      <c r="F387" s="305"/>
      <c r="G387" s="305"/>
    </row>
    <row r="388" spans="1:7" ht="15.75" thickBot="1" x14ac:dyDescent="0.3">
      <c r="A388" s="30"/>
      <c r="B388" s="31"/>
      <c r="C388" s="31"/>
      <c r="D388" s="31"/>
      <c r="E388" s="32"/>
      <c r="F388" s="32"/>
      <c r="G388" s="32"/>
    </row>
    <row r="389" spans="1:7" ht="84" x14ac:dyDescent="0.25">
      <c r="A389" s="33" t="s">
        <v>277</v>
      </c>
      <c r="B389" s="34" t="s">
        <v>159</v>
      </c>
      <c r="C389" s="35" t="s">
        <v>160</v>
      </c>
      <c r="D389" s="35" t="s">
        <v>161</v>
      </c>
      <c r="E389" s="36" t="s">
        <v>191</v>
      </c>
      <c r="F389" s="36" t="s">
        <v>192</v>
      </c>
      <c r="G389" s="37" t="s">
        <v>278</v>
      </c>
    </row>
    <row r="390" spans="1:7" x14ac:dyDescent="0.25">
      <c r="A390" s="39" t="s">
        <v>279</v>
      </c>
      <c r="B390" s="40"/>
      <c r="C390" s="41"/>
      <c r="D390" s="42">
        <f>SUM(B390:C390)</f>
        <v>0</v>
      </c>
      <c r="E390" s="163" t="e">
        <f>B390/D390</f>
        <v>#DIV/0!</v>
      </c>
      <c r="F390" s="251" t="e">
        <f>C390/D390</f>
        <v>#DIV/0!</v>
      </c>
      <c r="G390" s="171">
        <f>D390/D$70</f>
        <v>0</v>
      </c>
    </row>
    <row r="391" spans="1:7" ht="72" x14ac:dyDescent="0.25">
      <c r="A391" s="306" t="s">
        <v>280</v>
      </c>
      <c r="B391" s="252" t="s">
        <v>159</v>
      </c>
      <c r="C391" s="253" t="s">
        <v>160</v>
      </c>
      <c r="D391" s="253" t="s">
        <v>161</v>
      </c>
      <c r="E391" s="254" t="s">
        <v>191</v>
      </c>
      <c r="F391" s="254" t="s">
        <v>192</v>
      </c>
      <c r="G391" s="255" t="s">
        <v>281</v>
      </c>
    </row>
    <row r="392" spans="1:7" ht="15.75" thickBot="1" x14ac:dyDescent="0.3">
      <c r="A392" s="307"/>
      <c r="B392" s="185"/>
      <c r="C392" s="185"/>
      <c r="D392" s="198">
        <f>SUM(B392:C392)</f>
        <v>0</v>
      </c>
      <c r="E392" s="256" t="e">
        <f>B392/D392</f>
        <v>#DIV/0!</v>
      </c>
      <c r="F392" s="176" t="e">
        <f>C392/D392</f>
        <v>#DIV/0!</v>
      </c>
      <c r="G392" s="177" t="e">
        <f>D392/D$390</f>
        <v>#DIV/0!</v>
      </c>
    </row>
    <row r="393" spans="1:7" ht="15.75" thickBot="1" x14ac:dyDescent="0.3">
      <c r="A393" s="13"/>
      <c r="B393" s="146"/>
      <c r="C393" s="146"/>
      <c r="D393" s="146"/>
      <c r="E393" s="257"/>
      <c r="F393" s="258"/>
      <c r="G393" s="258"/>
    </row>
    <row r="394" spans="1:7" ht="60" x14ac:dyDescent="0.25">
      <c r="A394" s="33" t="s">
        <v>282</v>
      </c>
      <c r="B394" s="34" t="s">
        <v>159</v>
      </c>
      <c r="C394" s="35" t="s">
        <v>160</v>
      </c>
      <c r="D394" s="35" t="s">
        <v>161</v>
      </c>
      <c r="E394" s="36" t="s">
        <v>191</v>
      </c>
      <c r="F394" s="36" t="s">
        <v>192</v>
      </c>
      <c r="G394" s="37" t="s">
        <v>283</v>
      </c>
    </row>
    <row r="395" spans="1:7" ht="36" customHeight="1" x14ac:dyDescent="0.25">
      <c r="A395" s="39" t="s">
        <v>284</v>
      </c>
      <c r="B395" s="40"/>
      <c r="C395" s="40"/>
      <c r="D395" s="243">
        <f>SUM(B395:C395)</f>
        <v>0</v>
      </c>
      <c r="E395" s="164" t="e">
        <f>B395/D395</f>
        <v>#DIV/0!</v>
      </c>
      <c r="F395" s="163" t="e">
        <f>C395/D395</f>
        <v>#DIV/0!</v>
      </c>
      <c r="G395" s="171">
        <f>D395/D$67</f>
        <v>0</v>
      </c>
    </row>
    <row r="396" spans="1:7" ht="84" x14ac:dyDescent="0.25">
      <c r="A396" s="39"/>
      <c r="B396" s="252" t="s">
        <v>159</v>
      </c>
      <c r="C396" s="253" t="s">
        <v>160</v>
      </c>
      <c r="D396" s="259" t="s">
        <v>161</v>
      </c>
      <c r="E396" s="161" t="s">
        <v>191</v>
      </c>
      <c r="F396" s="254" t="s">
        <v>192</v>
      </c>
      <c r="G396" s="255" t="s">
        <v>285</v>
      </c>
    </row>
    <row r="397" spans="1:7" ht="30" customHeight="1" x14ac:dyDescent="0.25">
      <c r="A397" s="39" t="s">
        <v>286</v>
      </c>
      <c r="B397" s="260"/>
      <c r="C397" s="261"/>
      <c r="D397" s="65">
        <f>SUM(B397:C397)</f>
        <v>0</v>
      </c>
      <c r="E397" s="262" t="e">
        <f t="shared" ref="E397:E398" si="97">B397/D397</f>
        <v>#DIV/0!</v>
      </c>
      <c r="F397" s="163" t="e">
        <f t="shared" ref="F397:F398" si="98">C397/D397</f>
        <v>#DIV/0!</v>
      </c>
      <c r="G397" s="240" t="e">
        <f>D397/D$395</f>
        <v>#DIV/0!</v>
      </c>
    </row>
    <row r="398" spans="1:7" ht="39.75" customHeight="1" x14ac:dyDescent="0.25">
      <c r="A398" s="39" t="s">
        <v>287</v>
      </c>
      <c r="B398" s="263"/>
      <c r="C398" s="264"/>
      <c r="D398" s="88">
        <f>SUM(B398:C398)</f>
        <v>0</v>
      </c>
      <c r="E398" s="262" t="e">
        <f t="shared" si="97"/>
        <v>#DIV/0!</v>
      </c>
      <c r="F398" s="163" t="e">
        <f t="shared" si="98"/>
        <v>#DIV/0!</v>
      </c>
      <c r="G398" s="240" t="e">
        <f>D398/D$395</f>
        <v>#DIV/0!</v>
      </c>
    </row>
    <row r="399" spans="1:7" ht="87" customHeight="1" x14ac:dyDescent="0.25">
      <c r="A399" s="265" t="s">
        <v>288</v>
      </c>
      <c r="B399" s="259" t="s">
        <v>159</v>
      </c>
      <c r="C399" s="259" t="s">
        <v>160</v>
      </c>
      <c r="D399" s="253" t="s">
        <v>161</v>
      </c>
      <c r="E399" s="161" t="s">
        <v>191</v>
      </c>
      <c r="F399" s="161" t="s">
        <v>192</v>
      </c>
      <c r="G399" s="266" t="s">
        <v>289</v>
      </c>
    </row>
    <row r="400" spans="1:7" x14ac:dyDescent="0.25">
      <c r="A400" s="267" t="s">
        <v>217</v>
      </c>
      <c r="B400" s="46"/>
      <c r="C400" s="47"/>
      <c r="D400" s="65">
        <f>SUM(B400:C400)</f>
        <v>0</v>
      </c>
      <c r="E400" s="45" t="e">
        <f>B400/D400</f>
        <v>#DIV/0!</v>
      </c>
      <c r="F400" s="70" t="e">
        <f>C400/D400</f>
        <v>#DIV/0!</v>
      </c>
      <c r="G400" s="268" t="e">
        <f>D400/D$395</f>
        <v>#DIV/0!</v>
      </c>
    </row>
    <row r="401" spans="1:7" x14ac:dyDescent="0.25">
      <c r="A401" s="267" t="s">
        <v>218</v>
      </c>
      <c r="B401" s="46"/>
      <c r="C401" s="47"/>
      <c r="D401" s="65">
        <f t="shared" ref="D401:D406" si="99">SUM(B401:C401)</f>
        <v>0</v>
      </c>
      <c r="E401" s="45" t="e">
        <f t="shared" ref="E401:E406" si="100">B401/D401</f>
        <v>#DIV/0!</v>
      </c>
      <c r="F401" s="70" t="e">
        <f t="shared" ref="F401:F406" si="101">C401/D401</f>
        <v>#DIV/0!</v>
      </c>
      <c r="G401" s="268" t="e">
        <f t="shared" ref="G401:G405" si="102">D401/D$395</f>
        <v>#DIV/0!</v>
      </c>
    </row>
    <row r="402" spans="1:7" x14ac:dyDescent="0.25">
      <c r="A402" s="267" t="s">
        <v>219</v>
      </c>
      <c r="B402" s="46"/>
      <c r="C402" s="47"/>
      <c r="D402" s="65">
        <f t="shared" si="99"/>
        <v>0</v>
      </c>
      <c r="E402" s="45" t="e">
        <f>B402/D402</f>
        <v>#DIV/0!</v>
      </c>
      <c r="F402" s="70" t="e">
        <f t="shared" si="101"/>
        <v>#DIV/0!</v>
      </c>
      <c r="G402" s="268" t="e">
        <f t="shared" si="102"/>
        <v>#DIV/0!</v>
      </c>
    </row>
    <row r="403" spans="1:7" x14ac:dyDescent="0.25">
      <c r="A403" s="267" t="s">
        <v>220</v>
      </c>
      <c r="B403" s="46"/>
      <c r="C403" s="47"/>
      <c r="D403" s="65">
        <f t="shared" si="99"/>
        <v>0</v>
      </c>
      <c r="E403" s="45" t="e">
        <f t="shared" si="100"/>
        <v>#DIV/0!</v>
      </c>
      <c r="F403" s="70" t="e">
        <f t="shared" si="101"/>
        <v>#DIV/0!</v>
      </c>
      <c r="G403" s="268" t="e">
        <f t="shared" si="102"/>
        <v>#DIV/0!</v>
      </c>
    </row>
    <row r="404" spans="1:7" x14ac:dyDescent="0.25">
      <c r="A404" s="267" t="s">
        <v>221</v>
      </c>
      <c r="B404" s="46"/>
      <c r="C404" s="269"/>
      <c r="D404" s="65">
        <f t="shared" si="99"/>
        <v>0</v>
      </c>
      <c r="E404" s="45" t="e">
        <f t="shared" si="100"/>
        <v>#DIV/0!</v>
      </c>
      <c r="F404" s="70" t="e">
        <f t="shared" si="101"/>
        <v>#DIV/0!</v>
      </c>
      <c r="G404" s="268" t="e">
        <f t="shared" si="102"/>
        <v>#DIV/0!</v>
      </c>
    </row>
    <row r="405" spans="1:7" x14ac:dyDescent="0.25">
      <c r="A405" s="267" t="s">
        <v>222</v>
      </c>
      <c r="B405" s="46"/>
      <c r="C405" s="47"/>
      <c r="D405" s="65">
        <f t="shared" si="99"/>
        <v>0</v>
      </c>
      <c r="E405" s="45" t="e">
        <f t="shared" si="100"/>
        <v>#DIV/0!</v>
      </c>
      <c r="F405" s="70" t="e">
        <f t="shared" si="101"/>
        <v>#DIV/0!</v>
      </c>
      <c r="G405" s="268" t="e">
        <f t="shared" si="102"/>
        <v>#DIV/0!</v>
      </c>
    </row>
    <row r="406" spans="1:7" x14ac:dyDescent="0.25">
      <c r="A406" s="87" t="s">
        <v>150</v>
      </c>
      <c r="B406" s="88">
        <f>SUM(B400:B405)</f>
        <v>0</v>
      </c>
      <c r="C406" s="88">
        <f>SUM(C400:C405)</f>
        <v>0</v>
      </c>
      <c r="D406" s="65">
        <f t="shared" si="99"/>
        <v>0</v>
      </c>
      <c r="E406" s="70" t="e">
        <f t="shared" si="100"/>
        <v>#DIV/0!</v>
      </c>
      <c r="F406" s="66" t="e">
        <f t="shared" si="101"/>
        <v>#DIV/0!</v>
      </c>
      <c r="G406" s="44" t="e">
        <f>D406/D$395</f>
        <v>#DIV/0!</v>
      </c>
    </row>
    <row r="407" spans="1:7" ht="15.75" thickBot="1" x14ac:dyDescent="0.3">
      <c r="A407" s="120" t="s">
        <v>183</v>
      </c>
      <c r="B407" s="121" t="str">
        <f>IF(B406=B395,"OK","Ces totaux généraux doivent être égaux aux nombres d'individus concernés par un suivi médical spécialisé sur l'année § I.2")</f>
        <v>OK</v>
      </c>
      <c r="C407" s="121" t="str">
        <f>IF(C406=C395,"OK","Ces totaux généraux doivent être égaux aux nombres d'individus concernés par un suivi médical spécialisé sur l'année § I.2")</f>
        <v>OK</v>
      </c>
      <c r="D407" s="122" t="str">
        <f>IF(D406=D395,"OK","Ces totaux généraux doivent être égaux aux nombres d'individus concernés par un suivi médical spécialisé sur l'année § I.2")</f>
        <v>OK</v>
      </c>
      <c r="E407" s="270" t="e">
        <f>IF(E406=E395,"OK","Ce pourcentage doit être égal au pourcentage garçons concernés par un suivi médical spécialisé - § I.2")</f>
        <v>#DIV/0!</v>
      </c>
      <c r="F407" s="121" t="e">
        <f>IF(F406=F395,"OK","Ce pourcentage doit être égal au pourcentage filles concernées par un suivi médical spécialisé - § I.2")</f>
        <v>#DIV/0!</v>
      </c>
      <c r="G407" s="271" t="e">
        <f>IF(G406=100%,"OK","Ce pourcentage doit être égal à 100 %")</f>
        <v>#DIV/0!</v>
      </c>
    </row>
    <row r="408" spans="1:7" ht="15.75" thickBot="1" x14ac:dyDescent="0.3">
      <c r="A408" s="13"/>
      <c r="B408" s="146"/>
      <c r="C408" s="146"/>
      <c r="D408" s="146"/>
      <c r="E408" s="258"/>
      <c r="F408" s="258"/>
      <c r="G408" s="258"/>
    </row>
    <row r="409" spans="1:7" ht="60" x14ac:dyDescent="0.25">
      <c r="A409" s="33" t="s">
        <v>290</v>
      </c>
      <c r="B409" s="34" t="s">
        <v>159</v>
      </c>
      <c r="C409" s="35" t="s">
        <v>160</v>
      </c>
      <c r="D409" s="35" t="s">
        <v>161</v>
      </c>
      <c r="E409" s="36" t="s">
        <v>191</v>
      </c>
      <c r="F409" s="36" t="s">
        <v>192</v>
      </c>
      <c r="G409" s="37" t="s">
        <v>283</v>
      </c>
    </row>
    <row r="410" spans="1:7" ht="15.75" thickBot="1" x14ac:dyDescent="0.3">
      <c r="A410" s="97" t="s">
        <v>291</v>
      </c>
      <c r="B410" s="82"/>
      <c r="C410" s="83"/>
      <c r="D410" s="175">
        <f>SUM(B410:C410)</f>
        <v>0</v>
      </c>
      <c r="E410" s="176" t="e">
        <f>B410/D410</f>
        <v>#DIV/0!</v>
      </c>
      <c r="F410" s="176" t="e">
        <f>C410/D410</f>
        <v>#DIV/0!</v>
      </c>
      <c r="G410" s="272">
        <f>D410/D67</f>
        <v>0</v>
      </c>
    </row>
    <row r="411" spans="1:7" ht="84" x14ac:dyDescent="0.25">
      <c r="A411" s="273" t="s">
        <v>292</v>
      </c>
      <c r="B411" s="34" t="s">
        <v>159</v>
      </c>
      <c r="C411" s="35" t="s">
        <v>160</v>
      </c>
      <c r="D411" s="35" t="s">
        <v>161</v>
      </c>
      <c r="E411" s="36" t="s">
        <v>191</v>
      </c>
      <c r="F411" s="36" t="s">
        <v>192</v>
      </c>
      <c r="G411" s="37" t="s">
        <v>293</v>
      </c>
    </row>
    <row r="412" spans="1:7" x14ac:dyDescent="0.25">
      <c r="A412" s="267" t="s">
        <v>217</v>
      </c>
      <c r="B412" s="46"/>
      <c r="C412" s="47"/>
      <c r="D412" s="65">
        <f>SUM(B412:C412)</f>
        <v>0</v>
      </c>
      <c r="E412" s="70" t="e">
        <f>B412/D412</f>
        <v>#DIV/0!</v>
      </c>
      <c r="F412" s="274" t="e">
        <f>C412/D412</f>
        <v>#DIV/0!</v>
      </c>
      <c r="G412" s="95" t="e">
        <f t="shared" ref="G412:G418" si="103">D412/D$410</f>
        <v>#DIV/0!</v>
      </c>
    </row>
    <row r="413" spans="1:7" x14ac:dyDescent="0.25">
      <c r="A413" s="267" t="s">
        <v>218</v>
      </c>
      <c r="B413" s="46"/>
      <c r="C413" s="47"/>
      <c r="D413" s="65">
        <f t="shared" ref="D413:D418" si="104">SUM(B413:C413)</f>
        <v>0</v>
      </c>
      <c r="E413" s="70" t="e">
        <f t="shared" ref="E413:E418" si="105">B413/D413</f>
        <v>#DIV/0!</v>
      </c>
      <c r="F413" s="274" t="e">
        <f t="shared" ref="F413:F418" si="106">C413/D413</f>
        <v>#DIV/0!</v>
      </c>
      <c r="G413" s="95" t="e">
        <f t="shared" si="103"/>
        <v>#DIV/0!</v>
      </c>
    </row>
    <row r="414" spans="1:7" x14ac:dyDescent="0.25">
      <c r="A414" s="267" t="s">
        <v>219</v>
      </c>
      <c r="B414" s="46"/>
      <c r="C414" s="47"/>
      <c r="D414" s="65">
        <f t="shared" si="104"/>
        <v>0</v>
      </c>
      <c r="E414" s="70" t="e">
        <f t="shared" si="105"/>
        <v>#DIV/0!</v>
      </c>
      <c r="F414" s="274" t="e">
        <f t="shared" si="106"/>
        <v>#DIV/0!</v>
      </c>
      <c r="G414" s="95" t="e">
        <f t="shared" si="103"/>
        <v>#DIV/0!</v>
      </c>
    </row>
    <row r="415" spans="1:7" x14ac:dyDescent="0.25">
      <c r="A415" s="267" t="s">
        <v>220</v>
      </c>
      <c r="B415" s="46"/>
      <c r="C415" s="47"/>
      <c r="D415" s="65">
        <f t="shared" si="104"/>
        <v>0</v>
      </c>
      <c r="E415" s="70" t="e">
        <f t="shared" si="105"/>
        <v>#DIV/0!</v>
      </c>
      <c r="F415" s="274" t="e">
        <f t="shared" si="106"/>
        <v>#DIV/0!</v>
      </c>
      <c r="G415" s="95" t="e">
        <f t="shared" si="103"/>
        <v>#DIV/0!</v>
      </c>
    </row>
    <row r="416" spans="1:7" x14ac:dyDescent="0.25">
      <c r="A416" s="267" t="s">
        <v>221</v>
      </c>
      <c r="B416" s="46"/>
      <c r="C416" s="47"/>
      <c r="D416" s="65">
        <f t="shared" si="104"/>
        <v>0</v>
      </c>
      <c r="E416" s="70" t="e">
        <f t="shared" si="105"/>
        <v>#DIV/0!</v>
      </c>
      <c r="F416" s="274" t="e">
        <f t="shared" si="106"/>
        <v>#DIV/0!</v>
      </c>
      <c r="G416" s="95" t="e">
        <f t="shared" si="103"/>
        <v>#DIV/0!</v>
      </c>
    </row>
    <row r="417" spans="1:9" x14ac:dyDescent="0.25">
      <c r="A417" s="267" t="s">
        <v>222</v>
      </c>
      <c r="B417" s="46"/>
      <c r="C417" s="47"/>
      <c r="D417" s="65">
        <f t="shared" si="104"/>
        <v>0</v>
      </c>
      <c r="E417" s="70" t="e">
        <f t="shared" si="105"/>
        <v>#DIV/0!</v>
      </c>
      <c r="F417" s="274" t="e">
        <f t="shared" si="106"/>
        <v>#DIV/0!</v>
      </c>
      <c r="G417" s="95" t="e">
        <f t="shared" si="103"/>
        <v>#DIV/0!</v>
      </c>
    </row>
    <row r="418" spans="1:9" x14ac:dyDescent="0.25">
      <c r="A418" s="87" t="s">
        <v>150</v>
      </c>
      <c r="B418" s="88">
        <f>SUM(B412:B417)</f>
        <v>0</v>
      </c>
      <c r="C418" s="88">
        <f>SUM(C412:C417)</f>
        <v>0</v>
      </c>
      <c r="D418" s="65">
        <f t="shared" si="104"/>
        <v>0</v>
      </c>
      <c r="E418" s="66" t="e">
        <f t="shared" si="105"/>
        <v>#DIV/0!</v>
      </c>
      <c r="F418" s="66" t="e">
        <f t="shared" si="106"/>
        <v>#DIV/0!</v>
      </c>
      <c r="G418" s="100" t="e">
        <f t="shared" si="103"/>
        <v>#DIV/0!</v>
      </c>
    </row>
    <row r="419" spans="1:9" ht="15.75" thickBot="1" x14ac:dyDescent="0.3">
      <c r="A419" s="120" t="s">
        <v>183</v>
      </c>
      <c r="B419" s="121" t="str">
        <f>IF(B418=B410,"OK","Ces totaux généraux doivent être égaux aux nombres d'individus hospitalisés sur l'année § I.3")</f>
        <v>OK</v>
      </c>
      <c r="C419" s="121" t="str">
        <f>IF(C418=C410,"OK","Ces totaux généraux doivent être égaux aux nombres d'individus hospitalisés sur l'année § I.3")</f>
        <v>OK</v>
      </c>
      <c r="D419" s="122" t="str">
        <f>IF(D418=D410,"OK","Ces totaux généraux doivent être égaux aux nombres d'individus hospitalisés sur l'année § I.3")</f>
        <v>OK</v>
      </c>
      <c r="E419" s="122" t="e">
        <f>IF(E418=E410,"OK","Ce pourcentage doit être égal au pourcentage garçons concernés par une hospitalisation spécialisée - § I.3")</f>
        <v>#DIV/0!</v>
      </c>
      <c r="F419" s="121" t="e">
        <f>IF(F418=F410,"OK","Ce pourcentage doit être égal au pourcentage filles concernées par un suivi médical spécialisé - § I.3")</f>
        <v>#DIV/0!</v>
      </c>
      <c r="G419" s="122" t="e">
        <f>IF(G418=100%,"OK","Ce pourcentage doit être égal à 100 %")</f>
        <v>#DIV/0!</v>
      </c>
      <c r="H419" s="117"/>
    </row>
    <row r="420" spans="1:9" x14ac:dyDescent="0.25">
      <c r="A420" s="273" t="s">
        <v>294</v>
      </c>
      <c r="B420" s="34" t="s">
        <v>176</v>
      </c>
      <c r="C420" s="35" t="s">
        <v>177</v>
      </c>
      <c r="D420" s="80" t="s">
        <v>178</v>
      </c>
    </row>
    <row r="421" spans="1:9" ht="15.75" thickBot="1" x14ac:dyDescent="0.3">
      <c r="A421" s="275" t="s">
        <v>295</v>
      </c>
      <c r="B421" s="82"/>
      <c r="C421" s="83"/>
      <c r="D421" s="149"/>
      <c r="E421" s="59"/>
    </row>
    <row r="422" spans="1:9" ht="15.75" thickBot="1" x14ac:dyDescent="0.3">
      <c r="A422" s="13"/>
      <c r="B422" s="146"/>
      <c r="C422" s="146"/>
      <c r="D422" s="146"/>
      <c r="E422" s="258"/>
      <c r="F422" s="258"/>
      <c r="G422" s="258"/>
    </row>
    <row r="423" spans="1:9" ht="60" x14ac:dyDescent="0.25">
      <c r="A423" s="33" t="s">
        <v>296</v>
      </c>
      <c r="B423" s="34" t="s">
        <v>159</v>
      </c>
      <c r="C423" s="35" t="s">
        <v>160</v>
      </c>
      <c r="D423" s="35" t="s">
        <v>161</v>
      </c>
      <c r="E423" s="36" t="s">
        <v>191</v>
      </c>
      <c r="F423" s="228" t="s">
        <v>192</v>
      </c>
      <c r="G423" s="37" t="s">
        <v>283</v>
      </c>
    </row>
    <row r="424" spans="1:9" ht="24" x14ac:dyDescent="0.25">
      <c r="A424" s="39" t="s">
        <v>297</v>
      </c>
      <c r="B424" s="276"/>
      <c r="C424" s="277"/>
      <c r="D424" s="278">
        <f>SUM(B424:C424)</f>
        <v>0</v>
      </c>
      <c r="E424" s="256" t="e">
        <f>B424/D424</f>
        <v>#DIV/0!</v>
      </c>
      <c r="F424" s="279" t="e">
        <f>C424/D424</f>
        <v>#DIV/0!</v>
      </c>
      <c r="G424" s="280">
        <f>D424/D67</f>
        <v>0</v>
      </c>
    </row>
    <row r="425" spans="1:9" ht="15.75" thickBot="1" x14ac:dyDescent="0.3">
      <c r="A425" s="39" t="s">
        <v>298</v>
      </c>
      <c r="B425" s="68"/>
      <c r="C425" s="68"/>
      <c r="D425" s="281">
        <f>SUM(B425:C425)</f>
        <v>0</v>
      </c>
      <c r="E425" s="239" t="e">
        <f>B425/D425</f>
        <v>#DIV/0!</v>
      </c>
      <c r="F425" s="239" t="e">
        <f>C425/D425</f>
        <v>#DIV/0!</v>
      </c>
      <c r="G425" s="280">
        <f>D425/D67</f>
        <v>0</v>
      </c>
      <c r="H425" s="28"/>
    </row>
    <row r="426" spans="1:9" ht="72" x14ac:dyDescent="0.25">
      <c r="A426" s="39" t="s">
        <v>298</v>
      </c>
      <c r="B426" s="34" t="s">
        <v>159</v>
      </c>
      <c r="C426" s="35" t="s">
        <v>160</v>
      </c>
      <c r="D426" s="35" t="s">
        <v>161</v>
      </c>
      <c r="E426" s="36" t="s">
        <v>191</v>
      </c>
      <c r="F426" s="228" t="s">
        <v>192</v>
      </c>
      <c r="G426" s="37" t="s">
        <v>299</v>
      </c>
      <c r="H426" s="28"/>
    </row>
    <row r="427" spans="1:9" x14ac:dyDescent="0.25">
      <c r="A427" s="282" t="s">
        <v>300</v>
      </c>
      <c r="B427" s="283"/>
      <c r="C427" s="283"/>
      <c r="D427" s="281">
        <f t="shared" ref="D427:D428" si="107">SUM(B427:C427)</f>
        <v>0</v>
      </c>
      <c r="E427" s="239" t="e">
        <f>B427/D427</f>
        <v>#DIV/0!</v>
      </c>
      <c r="F427" s="239" t="e">
        <f t="shared" ref="F427:F428" si="108">C427/D427</f>
        <v>#DIV/0!</v>
      </c>
      <c r="G427" s="171" t="e">
        <f>D427/D$425</f>
        <v>#DIV/0!</v>
      </c>
      <c r="H427" s="284"/>
    </row>
    <row r="428" spans="1:9" ht="24.75" thickBot="1" x14ac:dyDescent="0.3">
      <c r="A428" s="285" t="s">
        <v>301</v>
      </c>
      <c r="B428" s="286"/>
      <c r="C428" s="83"/>
      <c r="D428" s="98">
        <f t="shared" si="107"/>
        <v>0</v>
      </c>
      <c r="E428" s="176" t="e">
        <f t="shared" ref="E428" si="109">B428/D428</f>
        <v>#DIV/0!</v>
      </c>
      <c r="F428" s="176" t="e">
        <f t="shared" si="108"/>
        <v>#DIV/0!</v>
      </c>
      <c r="G428" s="171" t="e">
        <f>D428/D$425</f>
        <v>#DIV/0!</v>
      </c>
      <c r="H428" s="284"/>
      <c r="I428" s="59"/>
    </row>
    <row r="429" spans="1:9" ht="60" x14ac:dyDescent="0.25">
      <c r="A429" s="273" t="s">
        <v>302</v>
      </c>
      <c r="B429" s="34" t="s">
        <v>159</v>
      </c>
      <c r="C429" s="34" t="s">
        <v>160</v>
      </c>
      <c r="D429" s="34" t="s">
        <v>161</v>
      </c>
      <c r="E429" s="36" t="s">
        <v>191</v>
      </c>
      <c r="F429" s="36" t="s">
        <v>192</v>
      </c>
      <c r="G429" s="37" t="s">
        <v>303</v>
      </c>
    </row>
    <row r="430" spans="1:9" x14ac:dyDescent="0.25">
      <c r="A430" s="267" t="s">
        <v>217</v>
      </c>
      <c r="B430" s="46"/>
      <c r="C430" s="47"/>
      <c r="D430" s="65">
        <f>SUM(B430:C430)</f>
        <v>0</v>
      </c>
      <c r="E430" s="70" t="e">
        <f>B430/D430</f>
        <v>#DIV/0!</v>
      </c>
      <c r="F430" s="274" t="e">
        <f>C430/D430</f>
        <v>#DIV/0!</v>
      </c>
      <c r="G430" s="95" t="e">
        <f>D430/D$425</f>
        <v>#DIV/0!</v>
      </c>
    </row>
    <row r="431" spans="1:9" x14ac:dyDescent="0.25">
      <c r="A431" s="267" t="s">
        <v>218</v>
      </c>
      <c r="B431" s="46"/>
      <c r="C431" s="47"/>
      <c r="D431" s="65">
        <f t="shared" ref="D431:D436" si="110">SUM(B431:C431)</f>
        <v>0</v>
      </c>
      <c r="E431" s="70" t="e">
        <f t="shared" ref="E431:E436" si="111">B431/D431</f>
        <v>#DIV/0!</v>
      </c>
      <c r="F431" s="274" t="e">
        <f t="shared" ref="F431:F436" si="112">C431/D431</f>
        <v>#DIV/0!</v>
      </c>
      <c r="G431" s="95" t="e">
        <f>D431/D$425</f>
        <v>#DIV/0!</v>
      </c>
    </row>
    <row r="432" spans="1:9" x14ac:dyDescent="0.25">
      <c r="A432" s="267" t="s">
        <v>219</v>
      </c>
      <c r="B432" s="46"/>
      <c r="C432" s="47"/>
      <c r="D432" s="65">
        <f t="shared" si="110"/>
        <v>0</v>
      </c>
      <c r="E432" s="70" t="e">
        <f t="shared" si="111"/>
        <v>#DIV/0!</v>
      </c>
      <c r="F432" s="274" t="e">
        <f t="shared" si="112"/>
        <v>#DIV/0!</v>
      </c>
      <c r="G432" s="95" t="e">
        <f t="shared" ref="G432:G436" si="113">D432/D$425</f>
        <v>#DIV/0!</v>
      </c>
    </row>
    <row r="433" spans="1:9" x14ac:dyDescent="0.25">
      <c r="A433" s="267" t="s">
        <v>220</v>
      </c>
      <c r="B433" s="46"/>
      <c r="C433" s="47"/>
      <c r="D433" s="65">
        <f t="shared" si="110"/>
        <v>0</v>
      </c>
      <c r="E433" s="70" t="e">
        <f t="shared" si="111"/>
        <v>#DIV/0!</v>
      </c>
      <c r="F433" s="274" t="e">
        <f t="shared" si="112"/>
        <v>#DIV/0!</v>
      </c>
      <c r="G433" s="95" t="e">
        <f t="shared" si="113"/>
        <v>#DIV/0!</v>
      </c>
    </row>
    <row r="434" spans="1:9" x14ac:dyDescent="0.25">
      <c r="A434" s="267" t="s">
        <v>221</v>
      </c>
      <c r="B434" s="46"/>
      <c r="C434" s="47"/>
      <c r="D434" s="65">
        <f t="shared" si="110"/>
        <v>0</v>
      </c>
      <c r="E434" s="70" t="e">
        <f t="shared" si="111"/>
        <v>#DIV/0!</v>
      </c>
      <c r="F434" s="274" t="e">
        <f t="shared" si="112"/>
        <v>#DIV/0!</v>
      </c>
      <c r="G434" s="95" t="e">
        <f t="shared" si="113"/>
        <v>#DIV/0!</v>
      </c>
    </row>
    <row r="435" spans="1:9" x14ac:dyDescent="0.25">
      <c r="A435" s="267" t="s">
        <v>222</v>
      </c>
      <c r="B435" s="46"/>
      <c r="C435" s="47"/>
      <c r="D435" s="65">
        <f t="shared" si="110"/>
        <v>0</v>
      </c>
      <c r="E435" s="70" t="e">
        <f t="shared" si="111"/>
        <v>#DIV/0!</v>
      </c>
      <c r="F435" s="274" t="e">
        <f t="shared" si="112"/>
        <v>#DIV/0!</v>
      </c>
      <c r="G435" s="95" t="e">
        <f t="shared" si="113"/>
        <v>#DIV/0!</v>
      </c>
    </row>
    <row r="436" spans="1:9" x14ac:dyDescent="0.25">
      <c r="A436" s="87" t="s">
        <v>150</v>
      </c>
      <c r="B436" s="88">
        <f>SUM(B430:B435)</f>
        <v>0</v>
      </c>
      <c r="C436" s="88">
        <f>SUM(C430:C435)</f>
        <v>0</v>
      </c>
      <c r="D436" s="65">
        <f t="shared" si="110"/>
        <v>0</v>
      </c>
      <c r="E436" s="66" t="e">
        <f t="shared" si="111"/>
        <v>#DIV/0!</v>
      </c>
      <c r="F436" s="70" t="e">
        <f t="shared" si="112"/>
        <v>#DIV/0!</v>
      </c>
      <c r="G436" s="100" t="e">
        <f t="shared" si="113"/>
        <v>#DIV/0!</v>
      </c>
    </row>
    <row r="437" spans="1:9" ht="15.75" thickBot="1" x14ac:dyDescent="0.3">
      <c r="A437" s="120" t="s">
        <v>183</v>
      </c>
      <c r="B437" s="121" t="str">
        <f>IF(B436=B425,"OK","Ces totaux généraux doivent être égaux aux nombres d'individus concernés par une notification MDPH")</f>
        <v>OK</v>
      </c>
      <c r="C437" s="121" t="str">
        <f t="shared" ref="C437:D437" si="114">IF(C436=C425,"OK","Ces totaux généraux doivent être égaux aux nombres d'individus concernés par une notification MDPH")</f>
        <v>OK</v>
      </c>
      <c r="D437" s="122" t="str">
        <f t="shared" si="114"/>
        <v>OK</v>
      </c>
      <c r="E437" s="121" t="e">
        <f>IF(E436=E425,"OK","Ce pourcentage doit être égal au pourcentage garçons avec une notification MDPH - § I.4")</f>
        <v>#DIV/0!</v>
      </c>
      <c r="F437" s="287" t="e">
        <f>IF(F436=F425,"OK","Ce pourcentage doit être égal au pourcentage filles avec une notification MDPH - § I.4")</f>
        <v>#DIV/0!</v>
      </c>
      <c r="G437" s="271" t="e">
        <f>IF(G436=100%,"OK","Ce pourcentage doit être égal à 100 %")</f>
        <v>#DIV/0!</v>
      </c>
    </row>
    <row r="438" spans="1:9" ht="15.75" thickBot="1" x14ac:dyDescent="0.3"/>
    <row r="439" spans="1:9" ht="60" x14ac:dyDescent="0.25">
      <c r="A439" s="33" t="s">
        <v>304</v>
      </c>
      <c r="B439" s="34" t="s">
        <v>159</v>
      </c>
      <c r="C439" s="35" t="s">
        <v>160</v>
      </c>
      <c r="D439" s="35" t="s">
        <v>161</v>
      </c>
      <c r="E439" s="36" t="s">
        <v>191</v>
      </c>
      <c r="F439" s="36" t="s">
        <v>192</v>
      </c>
      <c r="G439" s="37" t="s">
        <v>283</v>
      </c>
    </row>
    <row r="440" spans="1:9" x14ac:dyDescent="0.25">
      <c r="A440" s="49" t="s">
        <v>291</v>
      </c>
      <c r="B440" s="68"/>
      <c r="C440" s="68"/>
      <c r="D440" s="88">
        <f>SUM(B440:C440)</f>
        <v>0</v>
      </c>
      <c r="E440" s="163" t="e">
        <f>B440/D440</f>
        <v>#DIV/0!</v>
      </c>
      <c r="F440" s="239" t="e">
        <f>C440/D440</f>
        <v>#DIV/0!</v>
      </c>
      <c r="G440" s="171">
        <f>D440/D67</f>
        <v>0</v>
      </c>
    </row>
    <row r="441" spans="1:9" ht="84" x14ac:dyDescent="0.25">
      <c r="A441" s="39"/>
      <c r="B441" s="259" t="s">
        <v>159</v>
      </c>
      <c r="C441" s="259" t="s">
        <v>160</v>
      </c>
      <c r="D441" s="253" t="s">
        <v>161</v>
      </c>
      <c r="E441" s="254" t="s">
        <v>191</v>
      </c>
      <c r="F441" s="161" t="s">
        <v>192</v>
      </c>
      <c r="G441" s="255" t="s">
        <v>305</v>
      </c>
    </row>
    <row r="442" spans="1:9" ht="15.75" thickBot="1" x14ac:dyDescent="0.3">
      <c r="A442" s="288" t="s">
        <v>306</v>
      </c>
      <c r="B442" s="82"/>
      <c r="C442" s="264"/>
      <c r="D442" s="98">
        <f>SUM(B442:C442)</f>
        <v>0</v>
      </c>
      <c r="E442" s="256" t="e">
        <f>B442/D442</f>
        <v>#DIV/0!</v>
      </c>
      <c r="F442" s="256" t="e">
        <f>C442/D442</f>
        <v>#DIV/0!</v>
      </c>
      <c r="G442" s="289" t="e">
        <f>D442/D$440</f>
        <v>#DIV/0!</v>
      </c>
    </row>
    <row r="443" spans="1:9" ht="72" x14ac:dyDescent="0.25">
      <c r="A443" s="273" t="s">
        <v>307</v>
      </c>
      <c r="B443" s="34" t="s">
        <v>159</v>
      </c>
      <c r="C443" s="35" t="s">
        <v>160</v>
      </c>
      <c r="D443" s="35" t="s">
        <v>161</v>
      </c>
      <c r="E443" s="36" t="s">
        <v>191</v>
      </c>
      <c r="F443" s="36" t="s">
        <v>192</v>
      </c>
      <c r="G443" s="37" t="s">
        <v>308</v>
      </c>
    </row>
    <row r="444" spans="1:9" x14ac:dyDescent="0.25">
      <c r="A444" s="267" t="s">
        <v>217</v>
      </c>
      <c r="B444" s="46"/>
      <c r="C444" s="47"/>
      <c r="D444" s="65">
        <f>SUM(B444:C444)</f>
        <v>0</v>
      </c>
      <c r="E444" s="70" t="e">
        <f>B444/D444</f>
        <v>#DIV/0!</v>
      </c>
      <c r="F444" s="274" t="e">
        <f>C444/D444</f>
        <v>#DIV/0!</v>
      </c>
      <c r="G444" s="95" t="e">
        <f>D444/D$440</f>
        <v>#DIV/0!</v>
      </c>
    </row>
    <row r="445" spans="1:9" x14ac:dyDescent="0.25">
      <c r="A445" s="267" t="s">
        <v>218</v>
      </c>
      <c r="B445" s="46"/>
      <c r="C445" s="47"/>
      <c r="D445" s="65">
        <f t="shared" ref="D445:D450" si="115">SUM(B445:C445)</f>
        <v>0</v>
      </c>
      <c r="E445" s="70" t="e">
        <f t="shared" ref="E445:E450" si="116">B445/D445</f>
        <v>#DIV/0!</v>
      </c>
      <c r="F445" s="274" t="e">
        <f t="shared" ref="F445:F450" si="117">C445/D445</f>
        <v>#DIV/0!</v>
      </c>
      <c r="G445" s="95" t="e">
        <f t="shared" ref="G445:G450" si="118">D445/D$440</f>
        <v>#DIV/0!</v>
      </c>
    </row>
    <row r="446" spans="1:9" x14ac:dyDescent="0.25">
      <c r="A446" s="267" t="s">
        <v>219</v>
      </c>
      <c r="B446" s="46"/>
      <c r="C446" s="47"/>
      <c r="D446" s="65">
        <f t="shared" si="115"/>
        <v>0</v>
      </c>
      <c r="E446" s="70" t="e">
        <f t="shared" si="116"/>
        <v>#DIV/0!</v>
      </c>
      <c r="F446" s="274" t="e">
        <f t="shared" si="117"/>
        <v>#DIV/0!</v>
      </c>
      <c r="G446" s="95" t="e">
        <f t="shared" si="118"/>
        <v>#DIV/0!</v>
      </c>
    </row>
    <row r="447" spans="1:9" x14ac:dyDescent="0.25">
      <c r="A447" s="267" t="s">
        <v>220</v>
      </c>
      <c r="B447" s="46"/>
      <c r="C447" s="47"/>
      <c r="D447" s="65">
        <f t="shared" si="115"/>
        <v>0</v>
      </c>
      <c r="E447" s="70" t="e">
        <f t="shared" si="116"/>
        <v>#DIV/0!</v>
      </c>
      <c r="F447" s="274" t="e">
        <f t="shared" si="117"/>
        <v>#DIV/0!</v>
      </c>
      <c r="G447" s="95" t="e">
        <f t="shared" si="118"/>
        <v>#DIV/0!</v>
      </c>
    </row>
    <row r="448" spans="1:9" x14ac:dyDescent="0.25">
      <c r="A448" s="267" t="s">
        <v>221</v>
      </c>
      <c r="B448" s="46"/>
      <c r="C448" s="47"/>
      <c r="D448" s="65">
        <f t="shared" si="115"/>
        <v>0</v>
      </c>
      <c r="E448" s="70" t="e">
        <f t="shared" si="116"/>
        <v>#DIV/0!</v>
      </c>
      <c r="F448" s="274" t="e">
        <f t="shared" si="117"/>
        <v>#DIV/0!</v>
      </c>
      <c r="G448" s="95" t="e">
        <f t="shared" si="118"/>
        <v>#DIV/0!</v>
      </c>
      <c r="I448" s="59"/>
    </row>
    <row r="449" spans="1:9" x14ac:dyDescent="0.25">
      <c r="A449" s="267" t="s">
        <v>222</v>
      </c>
      <c r="B449" s="46"/>
      <c r="C449" s="47"/>
      <c r="D449" s="65">
        <f t="shared" si="115"/>
        <v>0</v>
      </c>
      <c r="E449" s="70" t="e">
        <f t="shared" si="116"/>
        <v>#DIV/0!</v>
      </c>
      <c r="F449" s="274" t="e">
        <f t="shared" si="117"/>
        <v>#DIV/0!</v>
      </c>
      <c r="G449" s="95" t="e">
        <f t="shared" si="118"/>
        <v>#DIV/0!</v>
      </c>
    </row>
    <row r="450" spans="1:9" x14ac:dyDescent="0.25">
      <c r="A450" s="87" t="s">
        <v>150</v>
      </c>
      <c r="B450" s="88">
        <f>SUM(B444:B449)</f>
        <v>0</v>
      </c>
      <c r="C450" s="88">
        <f>SUM(C444:C449)</f>
        <v>0</v>
      </c>
      <c r="D450" s="65">
        <f t="shared" si="115"/>
        <v>0</v>
      </c>
      <c r="E450" s="66" t="e">
        <f t="shared" si="116"/>
        <v>#DIV/0!</v>
      </c>
      <c r="F450" s="70" t="e">
        <f t="shared" si="117"/>
        <v>#DIV/0!</v>
      </c>
      <c r="G450" s="95" t="e">
        <f t="shared" si="118"/>
        <v>#DIV/0!</v>
      </c>
    </row>
    <row r="451" spans="1:9" ht="15.75" thickBot="1" x14ac:dyDescent="0.3">
      <c r="A451" s="120" t="s">
        <v>183</v>
      </c>
      <c r="B451" s="121" t="str">
        <f>IF(B450=B440,"OK","Ces totaux généraux doivent être égaux aux nombres d'individus concernés par une hospitalisation à visé psych - § I.5")</f>
        <v>OK</v>
      </c>
      <c r="C451" s="121" t="str">
        <f>IF(C450=C440,"OK","Ces totaux généraux doivent être égaux aux nombres d'individus concernés par une hospitalisation à visé psych - § I.5")</f>
        <v>OK</v>
      </c>
      <c r="D451" s="122" t="str">
        <f>IF(D450=D440,"OK","Ces totaux généraux doivent être égaux aux nombres d'individus concernés par une hospitalisation à visé psych - § I.5")</f>
        <v>OK</v>
      </c>
      <c r="E451" s="121" t="e">
        <f>IF(E450=E440,"OK","Ce pourcentage doit être égal au pourcentage garçons concernés par une hospitalisation psy - § I.5")</f>
        <v>#DIV/0!</v>
      </c>
      <c r="F451" s="287" t="e">
        <f>IF(F450=F440,"OK","Ce pourcentage doit être égal au pourcentage filles concernées par une hospitalisation psy - § I.5")</f>
        <v>#DIV/0!</v>
      </c>
      <c r="G451" s="270" t="e">
        <f>IF(G450=100%,"OK","Ce pourcentage doit être égal à 100 %")</f>
        <v>#DIV/0!</v>
      </c>
      <c r="H451" s="117"/>
    </row>
    <row r="452" spans="1:9" ht="34.5" customHeight="1" x14ac:dyDescent="0.25">
      <c r="A452" s="273" t="s">
        <v>309</v>
      </c>
      <c r="B452" s="34" t="s">
        <v>176</v>
      </c>
      <c r="C452" s="35" t="s">
        <v>177</v>
      </c>
      <c r="D452" s="80" t="s">
        <v>178</v>
      </c>
    </row>
    <row r="453" spans="1:9" ht="15.75" thickBot="1" x14ac:dyDescent="0.3">
      <c r="A453" s="275" t="s">
        <v>295</v>
      </c>
      <c r="B453" s="82"/>
      <c r="C453" s="83"/>
      <c r="D453" s="149"/>
    </row>
    <row r="454" spans="1:9" ht="15.75" thickBot="1" x14ac:dyDescent="0.3"/>
    <row r="455" spans="1:9" ht="60" x14ac:dyDescent="0.25">
      <c r="A455" s="33" t="s">
        <v>310</v>
      </c>
      <c r="B455" s="34" t="s">
        <v>159</v>
      </c>
      <c r="C455" s="35" t="s">
        <v>160</v>
      </c>
      <c r="D455" s="35" t="s">
        <v>161</v>
      </c>
      <c r="E455" s="36" t="s">
        <v>191</v>
      </c>
      <c r="F455" s="36" t="s">
        <v>192</v>
      </c>
      <c r="G455" s="37" t="s">
        <v>283</v>
      </c>
    </row>
    <row r="456" spans="1:9" ht="15.75" thickBot="1" x14ac:dyDescent="0.3">
      <c r="A456" s="39" t="s">
        <v>311</v>
      </c>
      <c r="B456" s="40"/>
      <c r="C456" s="41"/>
      <c r="D456" s="65">
        <f>SUM(B456:C456)</f>
        <v>0</v>
      </c>
      <c r="E456" s="163" t="e">
        <f>B456/D456</f>
        <v>#DIV/0!</v>
      </c>
      <c r="F456" s="163" t="e">
        <f>C456/D456</f>
        <v>#DIV/0!</v>
      </c>
      <c r="G456" s="240">
        <f>D456/D67</f>
        <v>0</v>
      </c>
    </row>
    <row r="457" spans="1:9" ht="60" x14ac:dyDescent="0.25">
      <c r="A457" s="39"/>
      <c r="B457" s="34" t="s">
        <v>159</v>
      </c>
      <c r="C457" s="35" t="s">
        <v>160</v>
      </c>
      <c r="D457" s="35" t="s">
        <v>161</v>
      </c>
      <c r="E457" s="36" t="s">
        <v>191</v>
      </c>
      <c r="F457" s="36" t="s">
        <v>192</v>
      </c>
      <c r="G457" s="37" t="s">
        <v>283</v>
      </c>
    </row>
    <row r="458" spans="1:9" ht="24.75" thickBot="1" x14ac:dyDescent="0.3">
      <c r="A458" s="39" t="s">
        <v>312</v>
      </c>
      <c r="B458" s="260"/>
      <c r="C458" s="261"/>
      <c r="D458" s="290">
        <f>SUM(B458:C458)</f>
        <v>0</v>
      </c>
      <c r="E458" s="239" t="e">
        <f>B458/D458</f>
        <v>#DIV/0!</v>
      </c>
      <c r="F458" s="163" t="e">
        <f>C458/D458</f>
        <v>#DIV/0!</v>
      </c>
      <c r="G458" s="240" t="e">
        <f>D458/D$456</f>
        <v>#DIV/0!</v>
      </c>
    </row>
    <row r="459" spans="1:9" ht="72" x14ac:dyDescent="0.25">
      <c r="A459" s="39" t="s">
        <v>313</v>
      </c>
      <c r="B459" s="34" t="s">
        <v>159</v>
      </c>
      <c r="C459" s="35" t="s">
        <v>160</v>
      </c>
      <c r="D459" s="35" t="s">
        <v>161</v>
      </c>
      <c r="E459" s="291" t="s">
        <v>191</v>
      </c>
      <c r="F459" s="161" t="s">
        <v>192</v>
      </c>
      <c r="G459" s="266" t="s">
        <v>314</v>
      </c>
    </row>
    <row r="460" spans="1:9" x14ac:dyDescent="0.25">
      <c r="A460" s="267" t="s">
        <v>217</v>
      </c>
      <c r="B460" s="46"/>
      <c r="C460" s="47"/>
      <c r="D460" s="65">
        <f>SUM(B460:C460)</f>
        <v>0</v>
      </c>
      <c r="E460" s="70" t="e">
        <f>B460/D460</f>
        <v>#DIV/0!</v>
      </c>
      <c r="F460" s="70" t="e">
        <f>C460/D460</f>
        <v>#DIV/0!</v>
      </c>
      <c r="G460" s="268" t="e">
        <f>D460/D$456</f>
        <v>#DIV/0!</v>
      </c>
    </row>
    <row r="461" spans="1:9" x14ac:dyDescent="0.25">
      <c r="A461" s="267" t="s">
        <v>218</v>
      </c>
      <c r="B461" s="46"/>
      <c r="C461" s="47"/>
      <c r="D461" s="65">
        <f t="shared" ref="D461:D466" si="119">SUM(B461:C461)</f>
        <v>0</v>
      </c>
      <c r="E461" s="70" t="e">
        <f t="shared" ref="E461:E466" si="120">B461/D461</f>
        <v>#DIV/0!</v>
      </c>
      <c r="F461" s="70" t="e">
        <f t="shared" ref="F461:F466" si="121">C461/D461</f>
        <v>#DIV/0!</v>
      </c>
      <c r="G461" s="268" t="e">
        <f t="shared" ref="G461:G466" si="122">D461/D$456</f>
        <v>#DIV/0!</v>
      </c>
    </row>
    <row r="462" spans="1:9" x14ac:dyDescent="0.25">
      <c r="A462" s="267" t="s">
        <v>219</v>
      </c>
      <c r="B462" s="46"/>
      <c r="C462" s="47"/>
      <c r="D462" s="65">
        <f t="shared" si="119"/>
        <v>0</v>
      </c>
      <c r="E462" s="70" t="e">
        <f t="shared" si="120"/>
        <v>#DIV/0!</v>
      </c>
      <c r="F462" s="70" t="e">
        <f t="shared" si="121"/>
        <v>#DIV/0!</v>
      </c>
      <c r="G462" s="268" t="e">
        <f t="shared" si="122"/>
        <v>#DIV/0!</v>
      </c>
    </row>
    <row r="463" spans="1:9" x14ac:dyDescent="0.25">
      <c r="A463" s="267" t="s">
        <v>220</v>
      </c>
      <c r="B463" s="46"/>
      <c r="C463" s="47"/>
      <c r="D463" s="65">
        <f t="shared" si="119"/>
        <v>0</v>
      </c>
      <c r="E463" s="70" t="e">
        <f t="shared" si="120"/>
        <v>#DIV/0!</v>
      </c>
      <c r="F463" s="70" t="e">
        <f t="shared" si="121"/>
        <v>#DIV/0!</v>
      </c>
      <c r="G463" s="268" t="e">
        <f t="shared" si="122"/>
        <v>#DIV/0!</v>
      </c>
      <c r="I463" s="59"/>
    </row>
    <row r="464" spans="1:9" x14ac:dyDescent="0.25">
      <c r="A464" s="267" t="s">
        <v>221</v>
      </c>
      <c r="B464" s="46"/>
      <c r="C464" s="47"/>
      <c r="D464" s="65">
        <f t="shared" si="119"/>
        <v>0</v>
      </c>
      <c r="E464" s="70" t="e">
        <f t="shared" si="120"/>
        <v>#DIV/0!</v>
      </c>
      <c r="F464" s="70" t="e">
        <f t="shared" si="121"/>
        <v>#DIV/0!</v>
      </c>
      <c r="G464" s="268" t="e">
        <f t="shared" si="122"/>
        <v>#DIV/0!</v>
      </c>
      <c r="I464" s="59"/>
    </row>
    <row r="465" spans="1:9" x14ac:dyDescent="0.25">
      <c r="A465" s="267" t="s">
        <v>222</v>
      </c>
      <c r="B465" s="46"/>
      <c r="C465" s="47"/>
      <c r="D465" s="65">
        <f t="shared" si="119"/>
        <v>0</v>
      </c>
      <c r="E465" s="70" t="e">
        <f t="shared" si="120"/>
        <v>#DIV/0!</v>
      </c>
      <c r="F465" s="70" t="e">
        <f t="shared" si="121"/>
        <v>#DIV/0!</v>
      </c>
      <c r="G465" s="268" t="e">
        <f t="shared" si="122"/>
        <v>#DIV/0!</v>
      </c>
    </row>
    <row r="466" spans="1:9" x14ac:dyDescent="0.25">
      <c r="A466" s="87" t="s">
        <v>150</v>
      </c>
      <c r="B466" s="88">
        <f>SUM(B460:B465)</f>
        <v>0</v>
      </c>
      <c r="C466" s="88">
        <f>SUM(C460:C465)</f>
        <v>0</v>
      </c>
      <c r="D466" s="65">
        <f t="shared" si="119"/>
        <v>0</v>
      </c>
      <c r="E466" s="66" t="e">
        <f t="shared" si="120"/>
        <v>#DIV/0!</v>
      </c>
      <c r="F466" s="70" t="e">
        <f t="shared" si="121"/>
        <v>#DIV/0!</v>
      </c>
      <c r="G466" s="292" t="e">
        <f t="shared" si="122"/>
        <v>#DIV/0!</v>
      </c>
    </row>
    <row r="467" spans="1:9" ht="15.75" thickBot="1" x14ac:dyDescent="0.3">
      <c r="A467" s="120" t="s">
        <v>183</v>
      </c>
      <c r="B467" s="121" t="str">
        <f>IF(B466=B456,"OK","Ces totaux généraux doivent être égaux aux nombres d'individus concernés par un suivi psychiatrique - § I.6")</f>
        <v>OK</v>
      </c>
      <c r="C467" s="121" t="str">
        <f>IF(C466=C456,"OK","Ces totaux généraux doivent être égaux aux nombres d'individus concernés par un suivi psychiatrique - § I.6")</f>
        <v>OK</v>
      </c>
      <c r="D467" s="122" t="str">
        <f>IF(D466=D456,"OK","Ces totaux généraux doivent être égaux aux nombres d'individus concernés par un suivi psychiatrique - § I.6")</f>
        <v>OK</v>
      </c>
      <c r="E467" s="121" t="e">
        <f>IF(E466=E456,"OK","Ce pourcentage doit être égal au pourcentage garçons concernés par un suivi psychiatrique - § I.6")</f>
        <v>#DIV/0!</v>
      </c>
      <c r="F467" s="287" t="e">
        <f>IF(F466=F456,"OK","Ce pourcentage doit être égal au pourcentage filles concernées par un suivi psychiatrique - § I.6")</f>
        <v>#DIV/0!</v>
      </c>
      <c r="G467" s="122" t="e">
        <f>IF(G466=100%,"OK","Ce pourcentage doit être égal à 100 %")</f>
        <v>#DIV/0!</v>
      </c>
      <c r="H467" s="117"/>
    </row>
    <row r="468" spans="1:9" ht="15.75" thickBot="1" x14ac:dyDescent="0.3"/>
    <row r="469" spans="1:9" ht="60" x14ac:dyDescent="0.25">
      <c r="A469" s="33" t="s">
        <v>315</v>
      </c>
      <c r="B469" s="34" t="s">
        <v>159</v>
      </c>
      <c r="C469" s="35" t="s">
        <v>160</v>
      </c>
      <c r="D469" s="35" t="s">
        <v>161</v>
      </c>
      <c r="E469" s="36" t="s">
        <v>191</v>
      </c>
      <c r="F469" s="36" t="s">
        <v>192</v>
      </c>
      <c r="G469" s="37" t="s">
        <v>316</v>
      </c>
    </row>
    <row r="470" spans="1:9" ht="31.5" customHeight="1" x14ac:dyDescent="0.25">
      <c r="A470" s="39" t="s">
        <v>317</v>
      </c>
      <c r="B470" s="40"/>
      <c r="C470" s="69"/>
      <c r="D470" s="142">
        <f>SUM(B470:C470)</f>
        <v>0</v>
      </c>
      <c r="E470" s="163" t="e">
        <f>B470/D470</f>
        <v>#DIV/0!</v>
      </c>
      <c r="F470" s="251" t="e">
        <f>C470/D470</f>
        <v>#DIV/0!</v>
      </c>
      <c r="G470" s="171">
        <f>D470/D67</f>
        <v>0</v>
      </c>
    </row>
    <row r="471" spans="1:9" ht="72" x14ac:dyDescent="0.25">
      <c r="A471" s="265" t="s">
        <v>318</v>
      </c>
      <c r="B471" s="252" t="s">
        <v>159</v>
      </c>
      <c r="C471" s="259" t="s">
        <v>160</v>
      </c>
      <c r="D471" s="259" t="s">
        <v>161</v>
      </c>
      <c r="E471" s="161" t="s">
        <v>191</v>
      </c>
      <c r="F471" s="161" t="s">
        <v>192</v>
      </c>
      <c r="G471" s="255" t="s">
        <v>319</v>
      </c>
    </row>
    <row r="472" spans="1:9" x14ac:dyDescent="0.25">
      <c r="A472" s="267" t="s">
        <v>217</v>
      </c>
      <c r="B472" s="46"/>
      <c r="C472" s="47"/>
      <c r="D472" s="65">
        <f>SUM(B472:C472)</f>
        <v>0</v>
      </c>
      <c r="E472" s="45" t="e">
        <f>B472/D472</f>
        <v>#DIV/0!</v>
      </c>
      <c r="F472" s="70" t="e">
        <f>C472/D472</f>
        <v>#DIV/0!</v>
      </c>
      <c r="G472" s="268" t="e">
        <f>D472/D$470</f>
        <v>#DIV/0!</v>
      </c>
      <c r="I472" s="59"/>
    </row>
    <row r="473" spans="1:9" x14ac:dyDescent="0.25">
      <c r="A473" s="267" t="s">
        <v>218</v>
      </c>
      <c r="B473" s="46"/>
      <c r="C473" s="47"/>
      <c r="D473" s="65">
        <f t="shared" ref="D473:D478" si="123">SUM(B473:C473)</f>
        <v>0</v>
      </c>
      <c r="E473" s="45" t="e">
        <f t="shared" ref="E473:E478" si="124">B473/D473</f>
        <v>#DIV/0!</v>
      </c>
      <c r="F473" s="70" t="e">
        <f t="shared" ref="F473:F478" si="125">C473/D473</f>
        <v>#DIV/0!</v>
      </c>
      <c r="G473" s="268" t="e">
        <f t="shared" ref="G473:G478" si="126">D473/D$470</f>
        <v>#DIV/0!</v>
      </c>
    </row>
    <row r="474" spans="1:9" x14ac:dyDescent="0.25">
      <c r="A474" s="267" t="s">
        <v>219</v>
      </c>
      <c r="B474" s="46"/>
      <c r="C474" s="47"/>
      <c r="D474" s="65">
        <f t="shared" si="123"/>
        <v>0</v>
      </c>
      <c r="E474" s="45" t="e">
        <f t="shared" si="124"/>
        <v>#DIV/0!</v>
      </c>
      <c r="F474" s="70" t="e">
        <f t="shared" si="125"/>
        <v>#DIV/0!</v>
      </c>
      <c r="G474" s="268" t="e">
        <f t="shared" si="126"/>
        <v>#DIV/0!</v>
      </c>
    </row>
    <row r="475" spans="1:9" x14ac:dyDescent="0.25">
      <c r="A475" s="267" t="s">
        <v>220</v>
      </c>
      <c r="B475" s="46"/>
      <c r="C475" s="47"/>
      <c r="D475" s="65">
        <f t="shared" si="123"/>
        <v>0</v>
      </c>
      <c r="E475" s="45" t="e">
        <f t="shared" si="124"/>
        <v>#DIV/0!</v>
      </c>
      <c r="F475" s="70" t="e">
        <f t="shared" si="125"/>
        <v>#DIV/0!</v>
      </c>
      <c r="G475" s="268" t="e">
        <f t="shared" si="126"/>
        <v>#DIV/0!</v>
      </c>
    </row>
    <row r="476" spans="1:9" x14ac:dyDescent="0.25">
      <c r="A476" s="267" t="s">
        <v>221</v>
      </c>
      <c r="B476" s="46"/>
      <c r="C476" s="47"/>
      <c r="D476" s="65">
        <f t="shared" si="123"/>
        <v>0</v>
      </c>
      <c r="E476" s="45" t="e">
        <f t="shared" si="124"/>
        <v>#DIV/0!</v>
      </c>
      <c r="F476" s="70" t="e">
        <f t="shared" si="125"/>
        <v>#DIV/0!</v>
      </c>
      <c r="G476" s="268" t="e">
        <f t="shared" si="126"/>
        <v>#DIV/0!</v>
      </c>
    </row>
    <row r="477" spans="1:9" x14ac:dyDescent="0.25">
      <c r="A477" s="267" t="s">
        <v>222</v>
      </c>
      <c r="B477" s="46"/>
      <c r="C477" s="47"/>
      <c r="D477" s="65">
        <f t="shared" si="123"/>
        <v>0</v>
      </c>
      <c r="E477" s="45" t="e">
        <f t="shared" si="124"/>
        <v>#DIV/0!</v>
      </c>
      <c r="F477" s="70" t="e">
        <f t="shared" si="125"/>
        <v>#DIV/0!</v>
      </c>
      <c r="G477" s="268" t="e">
        <f t="shared" si="126"/>
        <v>#DIV/0!</v>
      </c>
    </row>
    <row r="478" spans="1:9" x14ac:dyDescent="0.25">
      <c r="A478" s="87" t="s">
        <v>150</v>
      </c>
      <c r="B478" s="88">
        <f>SUM(B472:B477)</f>
        <v>0</v>
      </c>
      <c r="C478" s="88">
        <f>SUM(C472:C477)</f>
        <v>0</v>
      </c>
      <c r="D478" s="65">
        <f t="shared" si="123"/>
        <v>0</v>
      </c>
      <c r="E478" s="293" t="e">
        <f t="shared" si="124"/>
        <v>#DIV/0!</v>
      </c>
      <c r="F478" s="70" t="e">
        <f t="shared" si="125"/>
        <v>#DIV/0!</v>
      </c>
      <c r="G478" s="292" t="e">
        <f t="shared" si="126"/>
        <v>#DIV/0!</v>
      </c>
      <c r="H478" s="59"/>
    </row>
    <row r="479" spans="1:9" ht="15.75" thickBot="1" x14ac:dyDescent="0.3">
      <c r="A479" s="120" t="s">
        <v>183</v>
      </c>
      <c r="B479" s="121" t="str">
        <f>IF(B478=B470,"OK","Ces totaux généraux doivent être égaux aux nombres d'individus concernés par un suivi psychologique")</f>
        <v>OK</v>
      </c>
      <c r="C479" s="121" t="str">
        <f t="shared" ref="C479:D479" si="127">IF(C478=C470,"OK","Ces totaux généraux doivent être égaux aux nombres d'individus concernés par un suivi psychologique")</f>
        <v>OK</v>
      </c>
      <c r="D479" s="122" t="str">
        <f t="shared" si="127"/>
        <v>OK</v>
      </c>
      <c r="E479" s="121" t="e">
        <f>IF(E478=E470,"OK","Ce pourcentage doit être égal au pourcentage garçons concernés par un suivi psychologique - § I.7")</f>
        <v>#DIV/0!</v>
      </c>
      <c r="F479" s="287" t="e">
        <f>IF(F478=F470,"OK","Ce pourcentage doit être égal au pourcentage garçons concernés par un suivi psychologique - § I.7")</f>
        <v>#DIV/0!</v>
      </c>
      <c r="G479" s="271" t="e">
        <f>IF(G478=100%,"OK","Ce pourcentage doit être égal à 100 %")</f>
        <v>#DIV/0!</v>
      </c>
    </row>
    <row r="480" spans="1:9" ht="15.75" thickBot="1" x14ac:dyDescent="0.3">
      <c r="A480" s="60"/>
      <c r="B480" s="61"/>
      <c r="C480" s="61"/>
      <c r="D480" s="61"/>
      <c r="E480" s="294"/>
      <c r="F480" s="64"/>
      <c r="G480" s="64"/>
    </row>
    <row r="481" spans="1:7" ht="49.5" customHeight="1" x14ac:dyDescent="0.25">
      <c r="A481" s="33" t="s">
        <v>320</v>
      </c>
      <c r="B481" s="34" t="s">
        <v>321</v>
      </c>
      <c r="C481" s="35" t="s">
        <v>322</v>
      </c>
      <c r="D481" s="308" t="s">
        <v>323</v>
      </c>
      <c r="E481" s="309"/>
      <c r="F481" s="309"/>
      <c r="G481" s="310"/>
    </row>
    <row r="482" spans="1:7" x14ac:dyDescent="0.25">
      <c r="A482" s="39" t="s">
        <v>324</v>
      </c>
      <c r="B482" s="295"/>
      <c r="C482" s="41"/>
      <c r="D482" s="311"/>
      <c r="E482" s="312"/>
      <c r="F482" s="312"/>
      <c r="G482" s="313"/>
    </row>
    <row r="483" spans="1:7" ht="15.75" thickBot="1" x14ac:dyDescent="0.3">
      <c r="A483" s="97" t="s">
        <v>325</v>
      </c>
      <c r="B483" s="296"/>
      <c r="C483" s="83"/>
      <c r="D483" s="314"/>
      <c r="E483" s="315"/>
      <c r="F483" s="315"/>
      <c r="G483" s="316"/>
    </row>
    <row r="485" spans="1:7" x14ac:dyDescent="0.25">
      <c r="A485" s="297" t="s">
        <v>326</v>
      </c>
      <c r="B485" s="297"/>
      <c r="C485" s="297"/>
      <c r="D485" s="297"/>
      <c r="E485" s="297"/>
      <c r="F485" s="297"/>
      <c r="G485" s="297"/>
    </row>
    <row r="486" spans="1:7" ht="141" customHeight="1" x14ac:dyDescent="0.25">
      <c r="A486" s="303"/>
      <c r="B486" s="303"/>
      <c r="C486" s="303"/>
      <c r="D486" s="303"/>
      <c r="E486" s="303"/>
      <c r="F486" s="303"/>
      <c r="G486" s="303"/>
    </row>
    <row r="490" spans="1:7" x14ac:dyDescent="0.25">
      <c r="A490" s="28"/>
    </row>
    <row r="491" spans="1:7" x14ac:dyDescent="0.25">
      <c r="A491" s="28"/>
    </row>
    <row r="492" spans="1:7" x14ac:dyDescent="0.25">
      <c r="A492" s="28"/>
      <c r="D492" s="14"/>
      <c r="E492" s="14"/>
      <c r="F492" s="14"/>
    </row>
  </sheetData>
  <sheetProtection formatCells="0" formatColumns="0" formatRows="0" selectLockedCells="1"/>
  <protectedRanges>
    <protectedRange sqref="B13:E13 D9:F11 B8:F8 B9:C9 E15:F17 E23:F23 E25:G55" name="Plage18_1_1_1_1"/>
    <protectedRange sqref="E67:F67" name="Plage18_1_1_1_2"/>
    <protectedRange sqref="E71 B70:D71 E70:F70" name="Plage18_1_1_2"/>
    <protectedRange sqref="B73:G85" name="Plage18_1_1_3"/>
    <protectedRange sqref="B89:G90 B92:G104" name="Plage18_1_1_4"/>
    <protectedRange sqref="B108:D108" name="Plage18_1_1_5"/>
    <protectedRange sqref="G114:G115" name="Plage18_1_1_6"/>
    <protectedRange sqref="B131:D131 G129:G131 G121:G127" name="Plage18_1_1_1_3"/>
    <protectedRange sqref="B144:D144 G142:G144 B157:D157 G134:G140" name="Plage18_1_1_2_1"/>
    <protectedRange sqref="G159:G160" name="Plage18_1_1_6_1"/>
    <protectedRange sqref="G198:G199" name="Plage18_1_1_6_2"/>
    <protectedRange sqref="G258:G259" name="Plage18_1_1_6_3"/>
    <protectedRange sqref="B289 B383" name="Plage34_1_1_1"/>
    <protectedRange sqref="C294" name="Plage10_1_1"/>
    <protectedRange sqref="B425:D425 B427:D428" name="Plage24_1_1"/>
    <protectedRange sqref="E430:F436" name="Plage18_1_1"/>
    <protectedRange sqref="B440:D440 B410:D410 B442:D442" name="Plage24_1_1_1"/>
    <protectedRange sqref="E444:F450 E412:F418" name="Plage18_1_1_7"/>
    <protectedRange sqref="B453:D453 B421:D421" name="Plage24_1_1_2"/>
    <protectedRange sqref="B456:D456 B458:D458" name="Plage24_1_1_3"/>
    <protectedRange sqref="E460:G466" name="Plage18_1_1_8"/>
    <protectedRange sqref="B470:D470 B482:D483 B390:D390 B395:D395 B408:D408 B393:D393 B422:D422 B397:D398" name="Plage24_1_1_4"/>
    <protectedRange sqref="B480:D480" name="Plage24_1_1_5"/>
    <protectedRange sqref="E472:G478 E400:G406" name="Plage18_1_1_9"/>
  </protectedRanges>
  <mergeCells count="25">
    <mergeCell ref="A63:F63"/>
    <mergeCell ref="B1:G1"/>
    <mergeCell ref="B2:G2"/>
    <mergeCell ref="A5:G5"/>
    <mergeCell ref="A58:G58"/>
    <mergeCell ref="A61:F61"/>
    <mergeCell ref="A294:G294"/>
    <mergeCell ref="A64:F64"/>
    <mergeCell ref="A115:G115"/>
    <mergeCell ref="A118:G118"/>
    <mergeCell ref="A160:G160"/>
    <mergeCell ref="A163:G163"/>
    <mergeCell ref="A199:G199"/>
    <mergeCell ref="A202:G202"/>
    <mergeCell ref="A259:G259"/>
    <mergeCell ref="A262:G262"/>
    <mergeCell ref="A290:G290"/>
    <mergeCell ref="A293:G293"/>
    <mergeCell ref="A486:G486"/>
    <mergeCell ref="A384:G384"/>
    <mergeCell ref="A387:G387"/>
    <mergeCell ref="A391:A392"/>
    <mergeCell ref="D481:G481"/>
    <mergeCell ref="D482:G482"/>
    <mergeCell ref="D483:G483"/>
  </mergeCells>
  <conditionalFormatting sqref="G89:G90">
    <cfRule type="cellIs" dxfId="107" priority="106" stopIfTrue="1" operator="equal">
      <formula>0</formula>
    </cfRule>
  </conditionalFormatting>
  <conditionalFormatting sqref="G114">
    <cfRule type="cellIs" dxfId="106" priority="105" stopIfTrue="1" operator="equal">
      <formula>0</formula>
    </cfRule>
  </conditionalFormatting>
  <conditionalFormatting sqref="G159">
    <cfRule type="cellIs" dxfId="105" priority="104" stopIfTrue="1" operator="equal">
      <formula>0</formula>
    </cfRule>
  </conditionalFormatting>
  <conditionalFormatting sqref="G198">
    <cfRule type="cellIs" dxfId="104" priority="103" stopIfTrue="1" operator="equal">
      <formula>0</formula>
    </cfRule>
  </conditionalFormatting>
  <conditionalFormatting sqref="B322:C322">
    <cfRule type="cellIs" dxfId="103" priority="102" stopIfTrue="1" operator="equal">
      <formula>0</formula>
    </cfRule>
  </conditionalFormatting>
  <conditionalFormatting sqref="B351:C351">
    <cfRule type="cellIs" dxfId="102" priority="101" stopIfTrue="1" operator="equal">
      <formula>0</formula>
    </cfRule>
  </conditionalFormatting>
  <conditionalFormatting sqref="E355:F380">
    <cfRule type="cellIs" dxfId="101" priority="100" stopIfTrue="1" operator="equal">
      <formula>0</formula>
    </cfRule>
  </conditionalFormatting>
  <conditionalFormatting sqref="B380:C380">
    <cfRule type="cellIs" dxfId="100" priority="99" stopIfTrue="1" operator="equal">
      <formula>0</formula>
    </cfRule>
  </conditionalFormatting>
  <conditionalFormatting sqref="E444:F450">
    <cfRule type="cellIs" dxfId="99" priority="98" stopIfTrue="1" operator="equal">
      <formula>0</formula>
    </cfRule>
  </conditionalFormatting>
  <conditionalFormatting sqref="E480">
    <cfRule type="cellIs" dxfId="98" priority="97" stopIfTrue="1" operator="equal">
      <formula>0</formula>
    </cfRule>
  </conditionalFormatting>
  <conditionalFormatting sqref="B24:D24">
    <cfRule type="containsText" dxfId="97" priority="96" operator="containsText" text="OK">
      <formula>NOT(ISERROR(SEARCH("OK",B24)))</formula>
    </cfRule>
  </conditionalFormatting>
  <conditionalFormatting sqref="B24:D24 B86:D86 B105:D105 B128:D128 B141:D141 B154:D154 B167:D167 B183:D183 B206:D206 B224:D224 B242:D242 B271:D271 B280:D280 B287:D287 B323:D323 B352:D352 B381:D381 B419:D419 B437:D437 B451:D451 B467:D467 B479:D479">
    <cfRule type="beginsWith" dxfId="96" priority="94" operator="beginsWith" text="Ce">
      <formula>LEFT(B24,LEN("Ce"))="Ce"</formula>
    </cfRule>
    <cfRule type="containsText" dxfId="95" priority="95" operator="containsText" text="OK">
      <formula>NOT(ISERROR(SEARCH("OK",B24)))</formula>
    </cfRule>
  </conditionalFormatting>
  <conditionalFormatting sqref="B8:C11 B15:C17 B20:D20 B67:C67 B70:C70 B89:C89 B108:D108 B111:C111 B121:C126 B131:D131 B134:C139 B144:D144 B147:C152 B157:D157 B168:C179 B184:C196 B207:C207 B209:C214 B216:C220 B225:C225 B227:C232 B234:C238 B243:C243 B245:C250 B252:C256 B265:C269 B274:C278 B283:C285 B297:C302 B304:C305 B308:C311 B313:C318 B320:C321 B326:C331 B333:C334 B337:C340 B342:C347 B349:C350 B355:C360 B362:C363 B366:C369 B371:C376 B378:C379 B390:C390 B410:C410 B412:C417 B421:D421 B424:C425 B427:C428 B430:C435 B440:C440 B444:C449 B453:D453 B456:C456 B460:C465 B470:C470 B472:C477 B392:C392 B442:C442 B458:C458 B92:C103 B73:C84 B25:C46 B48:C55">
    <cfRule type="containsBlanks" dxfId="94" priority="93">
      <formula>LEN(TRIM(B8))=0</formula>
    </cfRule>
  </conditionalFormatting>
  <conditionalFormatting sqref="B1:G2">
    <cfRule type="containsBlanks" dxfId="93" priority="92">
      <formula>LEN(TRIM(B1))=0</formula>
    </cfRule>
  </conditionalFormatting>
  <conditionalFormatting sqref="B407:D407">
    <cfRule type="beginsWith" dxfId="92" priority="90" operator="beginsWith" text="Ce">
      <formula>LEFT(B407,LEN("Ce"))="Ce"</formula>
    </cfRule>
    <cfRule type="containsText" dxfId="91" priority="91" operator="containsText" text="OK">
      <formula>NOT(ISERROR(SEARCH("OK",B407)))</formula>
    </cfRule>
  </conditionalFormatting>
  <conditionalFormatting sqref="B395:C395 B400:C405 B397:C398">
    <cfRule type="containsBlanks" dxfId="90" priority="89">
      <formula>LEN(TRIM(B395))=0</formula>
    </cfRule>
  </conditionalFormatting>
  <conditionalFormatting sqref="E24:G24">
    <cfRule type="containsText" dxfId="89" priority="88" operator="containsText" text="OK">
      <formula>NOT(ISERROR(SEARCH("OK",E24)))</formula>
    </cfRule>
  </conditionalFormatting>
  <conditionalFormatting sqref="E24:G24">
    <cfRule type="beginsWith" dxfId="88" priority="86" operator="beginsWith" text="Ce">
      <formula>LEFT(E24,LEN("Ce"))="Ce"</formula>
    </cfRule>
    <cfRule type="containsText" dxfId="87" priority="87" operator="containsText" text="OK">
      <formula>NOT(ISERROR(SEARCH("OK",E24)))</formula>
    </cfRule>
  </conditionalFormatting>
  <conditionalFormatting sqref="E167:G167">
    <cfRule type="beginsWith" dxfId="86" priority="84" operator="beginsWith" text="Ce">
      <formula>LEFT(E167,LEN("Ce"))="Ce"</formula>
    </cfRule>
    <cfRule type="containsText" dxfId="85" priority="85" operator="containsText" text="OK">
      <formula>NOT(ISERROR(SEARCH("OK",E167)))</formula>
    </cfRule>
  </conditionalFormatting>
  <conditionalFormatting sqref="E183:F183">
    <cfRule type="beginsWith" dxfId="84" priority="82" operator="beginsWith" text="Ce">
      <formula>LEFT(E183,LEN("Ce"))="Ce"</formula>
    </cfRule>
    <cfRule type="containsText" dxfId="83" priority="83" operator="containsText" text="OK">
      <formula>NOT(ISERROR(SEARCH("OK",E183)))</formula>
    </cfRule>
  </conditionalFormatting>
  <conditionalFormatting sqref="G183">
    <cfRule type="beginsWith" dxfId="82" priority="80" operator="beginsWith" text="Ce">
      <formula>LEFT(G183,LEN("Ce"))="Ce"</formula>
    </cfRule>
    <cfRule type="containsText" dxfId="81" priority="81" operator="containsText" text="OK">
      <formula>NOT(ISERROR(SEARCH("OK",G183)))</formula>
    </cfRule>
  </conditionalFormatting>
  <conditionalFormatting sqref="E206:F206">
    <cfRule type="beginsWith" dxfId="80" priority="78" operator="beginsWith" text="Ce">
      <formula>LEFT(E206,LEN("Ce"))="Ce"</formula>
    </cfRule>
    <cfRule type="containsText" dxfId="79" priority="79" operator="containsText" text="OK">
      <formula>NOT(ISERROR(SEARCH("OK",E206)))</formula>
    </cfRule>
  </conditionalFormatting>
  <conditionalFormatting sqref="G206">
    <cfRule type="beginsWith" dxfId="78" priority="76" operator="beginsWith" text="Ce">
      <formula>LEFT(G206,LEN("Ce"))="Ce"</formula>
    </cfRule>
    <cfRule type="containsText" dxfId="77" priority="77" operator="containsText" text="OK">
      <formula>NOT(ISERROR(SEARCH("OK",G206)))</formula>
    </cfRule>
  </conditionalFormatting>
  <conditionalFormatting sqref="E224:F224">
    <cfRule type="beginsWith" dxfId="76" priority="74" operator="beginsWith" text="Ce">
      <formula>LEFT(E224,LEN("Ce"))="Ce"</formula>
    </cfRule>
    <cfRule type="containsText" dxfId="75" priority="75" operator="containsText" text="OK">
      <formula>NOT(ISERROR(SEARCH("OK",E224)))</formula>
    </cfRule>
  </conditionalFormatting>
  <conditionalFormatting sqref="G224">
    <cfRule type="beginsWith" dxfId="74" priority="72" operator="beginsWith" text="Ce">
      <formula>LEFT(G224,LEN("Ce"))="Ce"</formula>
    </cfRule>
    <cfRule type="containsText" dxfId="73" priority="73" operator="containsText" text="OK">
      <formula>NOT(ISERROR(SEARCH("OK",G224)))</formula>
    </cfRule>
  </conditionalFormatting>
  <conditionalFormatting sqref="G242">
    <cfRule type="beginsWith" dxfId="72" priority="70" operator="beginsWith" text="Ce">
      <formula>LEFT(G242,LEN("Ce"))="Ce"</formula>
    </cfRule>
    <cfRule type="containsText" dxfId="71" priority="71" operator="containsText" text="OK">
      <formula>NOT(ISERROR(SEARCH("OK",G242)))</formula>
    </cfRule>
  </conditionalFormatting>
  <conditionalFormatting sqref="E242:F242">
    <cfRule type="beginsWith" dxfId="70" priority="68" operator="beginsWith" text="Ce">
      <formula>LEFT(E242,LEN("Ce"))="Ce"</formula>
    </cfRule>
    <cfRule type="containsText" dxfId="69" priority="69" operator="containsText" text="OK">
      <formula>NOT(ISERROR(SEARCH("OK",E242)))</formula>
    </cfRule>
  </conditionalFormatting>
  <conditionalFormatting sqref="G271">
    <cfRule type="beginsWith" dxfId="68" priority="66" operator="beginsWith" text="Ce">
      <formula>LEFT(G271,LEN("Ce"))="Ce"</formula>
    </cfRule>
    <cfRule type="containsText" dxfId="67" priority="67" operator="containsText" text="OK">
      <formula>NOT(ISERROR(SEARCH("OK",G271)))</formula>
    </cfRule>
  </conditionalFormatting>
  <conditionalFormatting sqref="E271:F271">
    <cfRule type="beginsWith" dxfId="66" priority="64" operator="beginsWith" text="Ce">
      <formula>LEFT(E271,LEN("Ce"))="Ce"</formula>
    </cfRule>
    <cfRule type="containsText" dxfId="65" priority="65" operator="containsText" text="OK">
      <formula>NOT(ISERROR(SEARCH("OK",E271)))</formula>
    </cfRule>
  </conditionalFormatting>
  <conditionalFormatting sqref="E280">
    <cfRule type="beginsWith" dxfId="64" priority="62" operator="beginsWith" text="Ce">
      <formula>LEFT(E280,LEN("Ce"))="Ce"</formula>
    </cfRule>
    <cfRule type="containsText" dxfId="63" priority="63" operator="containsText" text="OK">
      <formula>NOT(ISERROR(SEARCH("OK",E280)))</formula>
    </cfRule>
  </conditionalFormatting>
  <conditionalFormatting sqref="F280">
    <cfRule type="beginsWith" dxfId="62" priority="60" operator="beginsWith" text="Ce">
      <formula>LEFT(F280,LEN("Ce"))="Ce"</formula>
    </cfRule>
    <cfRule type="containsText" dxfId="61" priority="61" operator="containsText" text="OK">
      <formula>NOT(ISERROR(SEARCH("OK",F280)))</formula>
    </cfRule>
  </conditionalFormatting>
  <conditionalFormatting sqref="G280">
    <cfRule type="beginsWith" dxfId="60" priority="58" operator="beginsWith" text="Ce">
      <formula>LEFT(G280,LEN("Ce"))="Ce"</formula>
    </cfRule>
    <cfRule type="containsText" dxfId="59" priority="59" operator="containsText" text="OK">
      <formula>NOT(ISERROR(SEARCH("OK",G280)))</formula>
    </cfRule>
  </conditionalFormatting>
  <conditionalFormatting sqref="E287">
    <cfRule type="beginsWith" dxfId="58" priority="56" operator="beginsWith" text="Ce">
      <formula>LEFT(E287,LEN("Ce"))="Ce"</formula>
    </cfRule>
    <cfRule type="containsText" dxfId="57" priority="57" operator="containsText" text="OK">
      <formula>NOT(ISERROR(SEARCH("OK",E287)))</formula>
    </cfRule>
  </conditionalFormatting>
  <conditionalFormatting sqref="F287">
    <cfRule type="beginsWith" dxfId="56" priority="54" operator="beginsWith" text="Ce">
      <formula>LEFT(F287,LEN("Ce"))="Ce"</formula>
    </cfRule>
    <cfRule type="containsText" dxfId="55" priority="55" operator="containsText" text="OK">
      <formula>NOT(ISERROR(SEARCH("OK",F287)))</formula>
    </cfRule>
  </conditionalFormatting>
  <conditionalFormatting sqref="G287">
    <cfRule type="beginsWith" dxfId="54" priority="52" operator="beginsWith" text="Ce">
      <formula>LEFT(G287,LEN("Ce"))="Ce"</formula>
    </cfRule>
    <cfRule type="containsText" dxfId="53" priority="53" operator="containsText" text="OK">
      <formula>NOT(ISERROR(SEARCH("OK",G287)))</formula>
    </cfRule>
  </conditionalFormatting>
  <conditionalFormatting sqref="E323">
    <cfRule type="beginsWith" dxfId="52" priority="50" operator="beginsWith" text="Ce">
      <formula>LEFT(E323,LEN("Ce"))="Ce"</formula>
    </cfRule>
    <cfRule type="containsText" dxfId="51" priority="51" operator="containsText" text="OK">
      <formula>NOT(ISERROR(SEARCH("OK",E323)))</formula>
    </cfRule>
  </conditionalFormatting>
  <conditionalFormatting sqref="F323">
    <cfRule type="beginsWith" dxfId="50" priority="48" operator="beginsWith" text="Ce">
      <formula>LEFT(F323,LEN("Ce"))="Ce"</formula>
    </cfRule>
    <cfRule type="containsText" dxfId="49" priority="49" operator="containsText" text="OK">
      <formula>NOT(ISERROR(SEARCH("OK",F323)))</formula>
    </cfRule>
  </conditionalFormatting>
  <conditionalFormatting sqref="G323">
    <cfRule type="beginsWith" dxfId="48" priority="46" operator="beginsWith" text="Ce">
      <formula>LEFT(G323,LEN("Ce"))="Ce"</formula>
    </cfRule>
    <cfRule type="containsText" dxfId="47" priority="47" operator="containsText" text="OK">
      <formula>NOT(ISERROR(SEARCH("OK",G323)))</formula>
    </cfRule>
  </conditionalFormatting>
  <conditionalFormatting sqref="E352">
    <cfRule type="beginsWith" dxfId="46" priority="44" operator="beginsWith" text="Ce">
      <formula>LEFT(E352,LEN("Ce"))="Ce"</formula>
    </cfRule>
    <cfRule type="containsText" dxfId="45" priority="45" operator="containsText" text="OK">
      <formula>NOT(ISERROR(SEARCH("OK",E352)))</formula>
    </cfRule>
  </conditionalFormatting>
  <conditionalFormatting sqref="F352">
    <cfRule type="beginsWith" dxfId="44" priority="42" operator="beginsWith" text="Ce">
      <formula>LEFT(F352,LEN("Ce"))="Ce"</formula>
    </cfRule>
    <cfRule type="containsText" dxfId="43" priority="43" operator="containsText" text="OK">
      <formula>NOT(ISERROR(SEARCH("OK",F352)))</formula>
    </cfRule>
  </conditionalFormatting>
  <conditionalFormatting sqref="G352">
    <cfRule type="beginsWith" dxfId="42" priority="40" operator="beginsWith" text="Ce">
      <formula>LEFT(G352,LEN("Ce"))="Ce"</formula>
    </cfRule>
    <cfRule type="containsText" dxfId="41" priority="41" operator="containsText" text="OK">
      <formula>NOT(ISERROR(SEARCH("OK",G352)))</formula>
    </cfRule>
  </conditionalFormatting>
  <conditionalFormatting sqref="E381">
    <cfRule type="beginsWith" dxfId="40" priority="38" operator="beginsWith" text="Ce">
      <formula>LEFT(E381,LEN("Ce"))="Ce"</formula>
    </cfRule>
    <cfRule type="containsText" dxfId="39" priority="39" operator="containsText" text="OK">
      <formula>NOT(ISERROR(SEARCH("OK",E381)))</formula>
    </cfRule>
  </conditionalFormatting>
  <conditionalFormatting sqref="F381">
    <cfRule type="beginsWith" dxfId="38" priority="36" operator="beginsWith" text="Ce">
      <formula>LEFT(F381,LEN("Ce"))="Ce"</formula>
    </cfRule>
    <cfRule type="containsText" dxfId="37" priority="37" operator="containsText" text="OK">
      <formula>NOT(ISERROR(SEARCH("OK",F381)))</formula>
    </cfRule>
  </conditionalFormatting>
  <conditionalFormatting sqref="G381">
    <cfRule type="beginsWith" dxfId="36" priority="34" operator="beginsWith" text="Ce">
      <formula>LEFT(G381,LEN("Ce"))="Ce"</formula>
    </cfRule>
    <cfRule type="containsText" dxfId="35" priority="35" operator="containsText" text="OK">
      <formula>NOT(ISERROR(SEARCH("OK",G381)))</formula>
    </cfRule>
  </conditionalFormatting>
  <conditionalFormatting sqref="E407:F407">
    <cfRule type="beginsWith" dxfId="34" priority="32" operator="beginsWith" text="Ce">
      <formula>LEFT(E407,LEN("Ce"))="Ce"</formula>
    </cfRule>
    <cfRule type="containsText" dxfId="33" priority="33" operator="containsText" text="OK">
      <formula>NOT(ISERROR(SEARCH("OK",E407)))</formula>
    </cfRule>
  </conditionalFormatting>
  <conditionalFormatting sqref="G407">
    <cfRule type="beginsWith" dxfId="32" priority="30" operator="beginsWith" text="Ce">
      <formula>LEFT(G407,LEN("Ce"))="Ce"</formula>
    </cfRule>
    <cfRule type="containsText" dxfId="31" priority="31" operator="containsText" text="OK">
      <formula>NOT(ISERROR(SEARCH("OK",G407)))</formula>
    </cfRule>
  </conditionalFormatting>
  <conditionalFormatting sqref="E419:F419">
    <cfRule type="beginsWith" dxfId="30" priority="28" operator="beginsWith" text="Ce">
      <formula>LEFT(E419,LEN("Ce"))="Ce"</formula>
    </cfRule>
    <cfRule type="containsText" dxfId="29" priority="29" operator="containsText" text="OK">
      <formula>NOT(ISERROR(SEARCH("OK",E419)))</formula>
    </cfRule>
  </conditionalFormatting>
  <conditionalFormatting sqref="G419">
    <cfRule type="beginsWith" dxfId="28" priority="26" operator="beginsWith" text="Ce">
      <formula>LEFT(G419,LEN("Ce"))="Ce"</formula>
    </cfRule>
    <cfRule type="containsText" dxfId="27" priority="27" operator="containsText" text="OK">
      <formula>NOT(ISERROR(SEARCH("OK",G419)))</formula>
    </cfRule>
  </conditionalFormatting>
  <conditionalFormatting sqref="E437">
    <cfRule type="beginsWith" dxfId="26" priority="24" operator="beginsWith" text="Ce">
      <formula>LEFT(E437,LEN("Ce"))="Ce"</formula>
    </cfRule>
    <cfRule type="containsText" dxfId="25" priority="25" operator="containsText" text="OK">
      <formula>NOT(ISERROR(SEARCH("OK",E437)))</formula>
    </cfRule>
  </conditionalFormatting>
  <conditionalFormatting sqref="F437">
    <cfRule type="beginsWith" dxfId="24" priority="22" operator="beginsWith" text="Ce">
      <formula>LEFT(F437,LEN("Ce"))="Ce"</formula>
    </cfRule>
    <cfRule type="containsText" dxfId="23" priority="23" operator="containsText" text="OK">
      <formula>NOT(ISERROR(SEARCH("OK",F437)))</formula>
    </cfRule>
  </conditionalFormatting>
  <conditionalFormatting sqref="G437">
    <cfRule type="beginsWith" dxfId="22" priority="20" operator="beginsWith" text="Ce">
      <formula>LEFT(G437,LEN("Ce"))="Ce"</formula>
    </cfRule>
    <cfRule type="containsText" dxfId="21" priority="21" operator="containsText" text="OK">
      <formula>NOT(ISERROR(SEARCH("OK",G437)))</formula>
    </cfRule>
  </conditionalFormatting>
  <conditionalFormatting sqref="E451">
    <cfRule type="beginsWith" dxfId="20" priority="18" operator="beginsWith" text="Ce">
      <formula>LEFT(E451,LEN("Ce"))="Ce"</formula>
    </cfRule>
    <cfRule type="containsText" dxfId="19" priority="19" operator="containsText" text="OK">
      <formula>NOT(ISERROR(SEARCH("OK",E451)))</formula>
    </cfRule>
  </conditionalFormatting>
  <conditionalFormatting sqref="F451">
    <cfRule type="beginsWith" dxfId="18" priority="16" operator="beginsWith" text="Ce">
      <formula>LEFT(F451,LEN("Ce"))="Ce"</formula>
    </cfRule>
    <cfRule type="containsText" dxfId="17" priority="17" operator="containsText" text="OK">
      <formula>NOT(ISERROR(SEARCH("OK",F451)))</formula>
    </cfRule>
  </conditionalFormatting>
  <conditionalFormatting sqref="G451">
    <cfRule type="beginsWith" dxfId="16" priority="14" operator="beginsWith" text="Ce">
      <formula>LEFT(G451,LEN("Ce"))="Ce"</formula>
    </cfRule>
    <cfRule type="containsText" dxfId="15" priority="15" operator="containsText" text="OK">
      <formula>NOT(ISERROR(SEARCH("OK",G451)))</formula>
    </cfRule>
  </conditionalFormatting>
  <conditionalFormatting sqref="E467">
    <cfRule type="beginsWith" dxfId="14" priority="12" operator="beginsWith" text="Ce">
      <formula>LEFT(E467,LEN("Ce"))="Ce"</formula>
    </cfRule>
    <cfRule type="containsText" dxfId="13" priority="13" operator="containsText" text="OK">
      <formula>NOT(ISERROR(SEARCH("OK",E467)))</formula>
    </cfRule>
  </conditionalFormatting>
  <conditionalFormatting sqref="F467">
    <cfRule type="beginsWith" dxfId="12" priority="10" operator="beginsWith" text="Ce">
      <formula>LEFT(F467,LEN("Ce"))="Ce"</formula>
    </cfRule>
    <cfRule type="containsText" dxfId="11" priority="11" operator="containsText" text="OK">
      <formula>NOT(ISERROR(SEARCH("OK",F467)))</formula>
    </cfRule>
  </conditionalFormatting>
  <conditionalFormatting sqref="G467">
    <cfRule type="beginsWith" dxfId="10" priority="8" operator="beginsWith" text="Ce">
      <formula>LEFT(G467,LEN("Ce"))="Ce"</formula>
    </cfRule>
    <cfRule type="containsText" dxfId="9" priority="9" operator="containsText" text="OK">
      <formula>NOT(ISERROR(SEARCH("OK",G467)))</formula>
    </cfRule>
  </conditionalFormatting>
  <conditionalFormatting sqref="G479">
    <cfRule type="beginsWith" dxfId="8" priority="6" operator="beginsWith" text="Ce">
      <formula>LEFT(G479,LEN("Ce"))="Ce"</formula>
    </cfRule>
    <cfRule type="containsText" dxfId="7" priority="7" operator="containsText" text="OK">
      <formula>NOT(ISERROR(SEARCH("OK",G479)))</formula>
    </cfRule>
  </conditionalFormatting>
  <conditionalFormatting sqref="E479">
    <cfRule type="beginsWith" dxfId="6" priority="4" operator="beginsWith" text="Ce">
      <formula>LEFT(E479,LEN("Ce"))="Ce"</formula>
    </cfRule>
    <cfRule type="containsText" dxfId="5" priority="5" operator="containsText" text="OK">
      <formula>NOT(ISERROR(SEARCH("OK",E479)))</formula>
    </cfRule>
  </conditionalFormatting>
  <conditionalFormatting sqref="F479">
    <cfRule type="beginsWith" dxfId="4" priority="2" operator="beginsWith" text="Ce">
      <formula>LEFT(F479,LEN("Ce"))="Ce"</formula>
    </cfRule>
    <cfRule type="containsText" dxfId="3" priority="3" operator="containsText" text="OK">
      <formula>NOT(ISERROR(SEARCH("OK",F479)))</formula>
    </cfRule>
  </conditionalFormatting>
  <conditionalFormatting sqref="E8:F11 B12:D12 B18:D18 E15:F17 G17 E23:G23 E25:G55 E67:F67 E70:F70 E73:G85 B71:D71 E89:F89 B90:D90 E92:G104 E111:F111 B112:D112 E121:G127 E134:G140 E147:G153 E166:G166 E168:G179 E182:G182 E184:G196 E205:G205 E207:G220 E223:G223 E225:G238 E241:G241 E243:G256 E265:G270 E274:G279 E283:G286 E297:G322 E326:G351 E355:G380 E390:G390 E392:G392 E395:G395 E397:G398 E400:G406 E410:G410 E412:G418 E424:G425 E427:G428 E430:G436 E440:G440 E442:G442 E444:G450 E456:G456 E458:G458 E460:G466 E470:G470 E472:G478">
    <cfRule type="containsErrors" dxfId="2" priority="1">
      <formula>ISERROR(B8)</formula>
    </cfRule>
  </conditionalFormatting>
  <dataValidations count="16">
    <dataValidation type="textLength" allowBlank="1" showInputMessage="1" showErrorMessage="1" error="Veuillez saisir un texte ayant une longueur inférieure à 1000 caractères." sqref="A58:G58 A115 A160 A199 A259 A486">
      <formula1>0</formula1>
      <formula2>1000</formula2>
    </dataValidation>
    <dataValidation type="whole" allowBlank="1" showInputMessage="1" showErrorMessage="1" error="Format incorrect_x000a_Veuillez saisir un nombre entier de rendez-vous programmés_x000a_" sqref="D460:D466 D472:D478 D134:D140 D25:D55 B23:D23 D400:D406 D147:D153 D121:D127 D129 D142 D412:D418 D444:D450 D430:D436 B47:C47">
      <formula1>0</formula1>
      <formula2>99999</formula2>
    </dataValidation>
    <dataValidation type="whole" allowBlank="1" showInputMessage="1" showErrorMessage="1" error="Format incorrect_x000a_Veuillez saisir un nombre entier d'enfants._x000a_" sqref="B13:D13 D8:D11 B312:C312 D73:D85 D70 B85:C85 D15:D17 B104:C104 D390 D92:D104 D111 B332:C332 B335:C336 D67 B361:C361 D297:D322 D410 D326:D351 B422:D422 B341:C341 D397:D398 B348:C348 D442 B480:D480 D470 D355:D380 B319:C319 B303:C303 B306:C307 B377:C377 B370:C370 B364:C365 B393:D393 B408:D408 D395 D440 D456 D458">
      <formula1>0</formula1>
      <formula2>999999</formula2>
    </dataValidation>
    <dataValidation allowBlank="1" showInputMessage="1" error="Format incorrect_x000a_Veuillez saisir un nombre entier d'enfants._x000a_" sqref="B18:D18"/>
    <dataValidation type="whole" operator="lessThan" allowBlank="1" showInputMessage="1" showErrorMessage="1" error="Format incorrect_x000a_Veuillez saisir un nombre entier de rendez-vous non réalisés parce que l'enfants était absent (&lt; au nombre de RV programmés)" sqref="B140:C140 B466:C466 B127:C127 B418:C418 B436:C436 B450:C450 B153:C153 B478:C478 B406:C406">
      <formula1>B122</formula1>
    </dataValidation>
    <dataValidation allowBlank="1" showInputMessage="1" sqref="E70 B24:D24 B86:D86 E73:F85 E92:G104"/>
    <dataValidation allowBlank="1" error="Format incorrect_x000a_Veuillez saisir un nombre entier d'enfants._x000a_" sqref="B71:D71 B90:D90"/>
    <dataValidation type="whole" operator="lessThan" allowBlank="1" showInputMessage="1" showErrorMessage="1" error="Format incorrect_x000a_Veuillez saisir un nombre entier de rendez-vous non réalisés parce que l'enfants était absent (&lt; au nombre de RV programmés)" sqref="B129:C129 B142:C142">
      <formula1>B123</formula1>
    </dataValidation>
    <dataValidation type="whole" allowBlank="1" showInputMessage="1" showErrorMessage="1" error="Format incorrect_x000a_Veuillez saisir un nombre entier de synthèses._x000a_" sqref="B221:C221 B239:C239 B257:C257">
      <formula1>0</formula1>
      <formula2>999999</formula2>
    </dataValidation>
    <dataValidation type="textLength" allowBlank="1" showInputMessage="1" showErrorMessage="1" error="Limité à 1000 caractères" sqref="A290 A384">
      <formula1>0</formula1>
      <formula2>1000</formula2>
    </dataValidation>
    <dataValidation type="whole" allowBlank="1" showInputMessage="1" showErrorMessage="1" error="Format incorrect_x000a_Veuillez saisir un nombre entier d'enfants._x000a_(exemple : 1,10 ou 50)" sqref="F480">
      <formula1>0</formula1>
      <formula2>999999</formula2>
    </dataValidation>
    <dataValidation allowBlank="1" showErrorMessage="1" sqref="B105:D105 B128:D128 B141:D141"/>
    <dataValidation allowBlank="1" showInputMessage="1" showErrorMessage="1" error="Format incorrect_x000a_Veuillez saisir un nombre entier d'enfants._x000a_" sqref="B15:C17 B20:D20 B67:C67 B70:C70 B378:C379 B89:C89 B92:C103 B308:C311 B304:C305 B297:C302 B313:C318 B320:C321 B326:C331 B333:C334 B337:C340 B342:C347 B349:C350 B355:C360 B362:C363 B366:C369 B371:C376 B73:C84"/>
    <dataValidation allowBlank="1" showInputMessage="1" showErrorMessage="1" error="Format incorrect_x000a_Veuillez saisir un nombre entier de synthèses._x000a_" sqref="B168:C179 B184:C196 B207:C207 B209:C214 B216:C220 B225:C225 B227:C232 B234:C238 B243:C243 B245:C250 B252:C256"/>
    <dataValidation allowBlank="1" showInputMessage="1" showErrorMessage="1" prompt="Un individu n'est à comptabiliser qu'une seule fois" sqref="B392"/>
    <dataValidation allowBlank="1" showInputMessage="1" showErrorMessage="1" prompt="Un individu n'est à comptabiliser qu'une seule fois." sqref="C392"/>
  </dataValidations>
  <pageMargins left="0.23622047244094491" right="0.23622047244094491" top="0.55118110236220474" bottom="0.55118110236220474" header="0.31496062992125984" footer="0.31496062992125984"/>
  <pageSetup paperSize="9" scale="67" fitToHeight="0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Format incorrect_x000a_Veuillez saisir un nombre entier d'enfants._x000a_">
          <x14:formula1>
            <xm:f>[2]Listes_deroulantes!#REF!</xm:f>
          </x14:formula1>
          <xm:sqref>B482:B483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opLeftCell="A5" workbookViewId="0">
      <selection activeCell="A2" sqref="A2:A31"/>
    </sheetView>
  </sheetViews>
  <sheetFormatPr baseColWidth="10" defaultRowHeight="15" x14ac:dyDescent="0.25"/>
  <cols>
    <col min="1" max="1" width="37" customWidth="1"/>
    <col min="2" max="2" width="37" style="3" customWidth="1"/>
    <col min="3" max="4" width="37" style="12" customWidth="1"/>
    <col min="5" max="5" width="46.5703125" bestFit="1" customWidth="1"/>
    <col min="6" max="6" width="54.42578125" bestFit="1" customWidth="1"/>
    <col min="7" max="7" width="24.85546875" style="10" bestFit="1" customWidth="1"/>
    <col min="8" max="8" width="33.5703125" style="10" bestFit="1" customWidth="1"/>
    <col min="9" max="9" width="60.85546875" style="10" bestFit="1" customWidth="1"/>
  </cols>
  <sheetData>
    <row r="1" spans="1:11" s="18" customFormat="1" ht="32.25" customHeight="1" x14ac:dyDescent="0.25">
      <c r="A1" s="18" t="s">
        <v>7</v>
      </c>
      <c r="B1" s="18" t="s">
        <v>84</v>
      </c>
      <c r="C1" s="18" t="s">
        <v>2</v>
      </c>
      <c r="D1" s="23" t="s">
        <v>136</v>
      </c>
      <c r="F1" s="19" t="s">
        <v>96</v>
      </c>
      <c r="G1" s="19" t="s">
        <v>102</v>
      </c>
      <c r="H1" s="19" t="s">
        <v>107</v>
      </c>
      <c r="I1" s="19" t="s">
        <v>129</v>
      </c>
      <c r="J1" s="20" t="s">
        <v>83</v>
      </c>
      <c r="K1" s="20" t="s">
        <v>6</v>
      </c>
    </row>
    <row r="2" spans="1:11" ht="15" customHeight="1" x14ac:dyDescent="0.25">
      <c r="A2" s="5" t="s">
        <v>53</v>
      </c>
      <c r="B2" s="5" t="s">
        <v>85</v>
      </c>
      <c r="C2" s="13" t="s">
        <v>25</v>
      </c>
      <c r="D2" s="22" t="s">
        <v>137</v>
      </c>
      <c r="E2" s="2" t="s">
        <v>23</v>
      </c>
      <c r="F2" s="11" t="s">
        <v>97</v>
      </c>
      <c r="G2" s="5" t="s">
        <v>103</v>
      </c>
      <c r="H2" s="5" t="s">
        <v>108</v>
      </c>
      <c r="I2" s="15" t="s">
        <v>110</v>
      </c>
      <c r="J2" s="8" t="s">
        <v>24</v>
      </c>
      <c r="K2" s="8" t="s">
        <v>135</v>
      </c>
    </row>
    <row r="3" spans="1:11" ht="15" customHeight="1" x14ac:dyDescent="0.25">
      <c r="A3" s="5" t="s">
        <v>54</v>
      </c>
      <c r="B3" s="5" t="s">
        <v>86</v>
      </c>
      <c r="C3" s="13" t="s">
        <v>130</v>
      </c>
      <c r="D3" s="22" t="s">
        <v>138</v>
      </c>
      <c r="E3" s="2" t="s">
        <v>25</v>
      </c>
      <c r="F3" s="5" t="s">
        <v>98</v>
      </c>
      <c r="G3" s="5" t="s">
        <v>104</v>
      </c>
      <c r="H3" s="5" t="s">
        <v>109</v>
      </c>
      <c r="I3" s="5" t="s">
        <v>111</v>
      </c>
      <c r="J3" s="8" t="s">
        <v>26</v>
      </c>
      <c r="K3" s="8" t="s">
        <v>27</v>
      </c>
    </row>
    <row r="4" spans="1:11" ht="15" customHeight="1" x14ac:dyDescent="0.25">
      <c r="A4" s="5" t="s">
        <v>55</v>
      </c>
      <c r="B4" s="5" t="s">
        <v>87</v>
      </c>
      <c r="C4" s="13" t="s">
        <v>131</v>
      </c>
      <c r="D4" s="22" t="s">
        <v>139</v>
      </c>
      <c r="E4" s="2" t="s">
        <v>28</v>
      </c>
      <c r="F4" s="5" t="s">
        <v>99</v>
      </c>
      <c r="G4" s="5" t="s">
        <v>105</v>
      </c>
      <c r="H4" s="5" t="s">
        <v>101</v>
      </c>
      <c r="I4" s="5" t="s">
        <v>112</v>
      </c>
      <c r="J4" s="8"/>
      <c r="K4" s="8" t="s">
        <v>29</v>
      </c>
    </row>
    <row r="5" spans="1:11" ht="15" customHeight="1" x14ac:dyDescent="0.25">
      <c r="A5" s="5" t="s">
        <v>56</v>
      </c>
      <c r="B5" s="5" t="s">
        <v>88</v>
      </c>
      <c r="C5" s="13" t="s">
        <v>132</v>
      </c>
      <c r="D5" s="22" t="s">
        <v>140</v>
      </c>
      <c r="E5" s="2" t="s">
        <v>30</v>
      </c>
      <c r="F5" s="11" t="s">
        <v>100</v>
      </c>
      <c r="G5" s="5" t="s">
        <v>106</v>
      </c>
      <c r="H5" s="16"/>
      <c r="I5" s="5" t="s">
        <v>113</v>
      </c>
      <c r="J5" s="8"/>
      <c r="K5" s="8"/>
    </row>
    <row r="6" spans="1:11" ht="15" customHeight="1" x14ac:dyDescent="0.25">
      <c r="A6" s="5" t="s">
        <v>57</v>
      </c>
      <c r="B6" s="5" t="s">
        <v>89</v>
      </c>
      <c r="C6" s="13" t="s">
        <v>133</v>
      </c>
      <c r="D6" s="22" t="s">
        <v>141</v>
      </c>
      <c r="E6" s="2" t="s">
        <v>31</v>
      </c>
      <c r="F6" s="5" t="s">
        <v>101</v>
      </c>
      <c r="G6" s="5" t="s">
        <v>101</v>
      </c>
      <c r="H6" s="13"/>
      <c r="I6" s="5" t="s">
        <v>114</v>
      </c>
      <c r="J6" s="8"/>
      <c r="K6" s="8"/>
    </row>
    <row r="7" spans="1:11" ht="15" customHeight="1" x14ac:dyDescent="0.25">
      <c r="A7" s="5" t="s">
        <v>58</v>
      </c>
      <c r="B7" s="5" t="s">
        <v>90</v>
      </c>
      <c r="C7" s="13" t="s">
        <v>134</v>
      </c>
      <c r="D7" s="22" t="s">
        <v>142</v>
      </c>
      <c r="E7" s="2" t="s">
        <v>32</v>
      </c>
      <c r="F7" s="8"/>
      <c r="G7" s="8"/>
      <c r="H7" s="8"/>
      <c r="I7" s="5" t="s">
        <v>115</v>
      </c>
      <c r="J7" s="8"/>
      <c r="K7" s="8"/>
    </row>
    <row r="8" spans="1:11" ht="15" customHeight="1" x14ac:dyDescent="0.25">
      <c r="A8" s="5" t="s">
        <v>59</v>
      </c>
      <c r="B8" s="5" t="s">
        <v>91</v>
      </c>
      <c r="C8" s="13" t="s">
        <v>23</v>
      </c>
      <c r="D8" s="22" t="s">
        <v>143</v>
      </c>
      <c r="E8" s="2" t="s">
        <v>33</v>
      </c>
      <c r="F8" s="8"/>
      <c r="G8" s="8"/>
      <c r="H8" s="8"/>
      <c r="I8" s="5" t="s">
        <v>116</v>
      </c>
      <c r="J8" s="8"/>
      <c r="K8" s="8"/>
    </row>
    <row r="9" spans="1:11" ht="15" customHeight="1" x14ac:dyDescent="0.25">
      <c r="A9" s="5" t="s">
        <v>60</v>
      </c>
      <c r="B9" s="5" t="s">
        <v>92</v>
      </c>
      <c r="C9" s="13"/>
      <c r="D9" s="22" t="s">
        <v>144</v>
      </c>
      <c r="E9" s="2" t="s">
        <v>34</v>
      </c>
      <c r="F9" s="8"/>
      <c r="G9" s="8"/>
      <c r="H9" s="8"/>
      <c r="I9" s="5" t="s">
        <v>117</v>
      </c>
      <c r="J9" s="8"/>
      <c r="K9" s="8"/>
    </row>
    <row r="10" spans="1:11" ht="15" customHeight="1" x14ac:dyDescent="0.25">
      <c r="A10" s="5" t="s">
        <v>61</v>
      </c>
      <c r="B10" s="5" t="s">
        <v>93</v>
      </c>
      <c r="C10" s="13"/>
      <c r="D10" s="22" t="s">
        <v>145</v>
      </c>
      <c r="E10" s="2" t="s">
        <v>35</v>
      </c>
      <c r="F10" s="8"/>
      <c r="G10" s="8"/>
      <c r="H10" s="8"/>
      <c r="I10" s="15" t="s">
        <v>118</v>
      </c>
      <c r="J10" s="8"/>
      <c r="K10" s="8"/>
    </row>
    <row r="11" spans="1:11" ht="15" customHeight="1" x14ac:dyDescent="0.25">
      <c r="A11" s="5" t="s">
        <v>62</v>
      </c>
      <c r="B11" s="5" t="s">
        <v>94</v>
      </c>
      <c r="C11" s="13"/>
      <c r="D11" s="22" t="s">
        <v>146</v>
      </c>
      <c r="E11" s="2" t="s">
        <v>36</v>
      </c>
      <c r="F11" s="8"/>
      <c r="G11" s="8"/>
      <c r="H11" s="8"/>
      <c r="I11" s="17" t="s">
        <v>119</v>
      </c>
      <c r="J11" s="8"/>
      <c r="K11" s="8"/>
    </row>
    <row r="12" spans="1:11" ht="15" customHeight="1" x14ac:dyDescent="0.25">
      <c r="A12" s="5" t="s">
        <v>63</v>
      </c>
      <c r="B12" s="5" t="s">
        <v>95</v>
      </c>
      <c r="C12" s="13"/>
      <c r="D12" s="22" t="s">
        <v>147</v>
      </c>
      <c r="E12" s="2" t="s">
        <v>37</v>
      </c>
      <c r="F12" s="8"/>
      <c r="G12" s="8"/>
      <c r="H12" s="8"/>
      <c r="I12" s="17" t="s">
        <v>120</v>
      </c>
      <c r="J12" s="8"/>
      <c r="K12" s="8"/>
    </row>
    <row r="13" spans="1:11" ht="15" customHeight="1" thickBot="1" x14ac:dyDescent="0.3">
      <c r="A13" s="5" t="s">
        <v>64</v>
      </c>
      <c r="B13" s="6" t="s">
        <v>52</v>
      </c>
      <c r="C13" s="21"/>
      <c r="D13" s="22" t="s">
        <v>52</v>
      </c>
      <c r="E13" s="2" t="s">
        <v>38</v>
      </c>
      <c r="F13" s="8"/>
      <c r="G13" s="8"/>
      <c r="H13" s="8"/>
      <c r="I13" s="17" t="s">
        <v>121</v>
      </c>
      <c r="J13" s="8"/>
      <c r="K13" s="8"/>
    </row>
    <row r="14" spans="1:11" ht="15" customHeight="1" x14ac:dyDescent="0.25">
      <c r="A14" s="5" t="s">
        <v>65</v>
      </c>
      <c r="B14" s="7"/>
      <c r="C14" s="7"/>
      <c r="E14" s="2" t="s">
        <v>39</v>
      </c>
      <c r="F14" s="8"/>
      <c r="G14" s="8"/>
      <c r="H14" s="8"/>
      <c r="I14" s="17" t="s">
        <v>122</v>
      </c>
      <c r="J14" s="8"/>
      <c r="K14" s="8"/>
    </row>
    <row r="15" spans="1:11" ht="15" customHeight="1" x14ac:dyDescent="0.25">
      <c r="A15" s="5" t="s">
        <v>66</v>
      </c>
      <c r="B15" s="8"/>
      <c r="C15" s="8"/>
      <c r="E15" s="2" t="s">
        <v>40</v>
      </c>
      <c r="F15" s="8"/>
      <c r="G15" s="8"/>
      <c r="H15" s="8"/>
      <c r="I15" s="17" t="s">
        <v>123</v>
      </c>
      <c r="J15" s="8"/>
      <c r="K15" s="8"/>
    </row>
    <row r="16" spans="1:11" ht="15" customHeight="1" x14ac:dyDescent="0.25">
      <c r="A16" s="5" t="s">
        <v>67</v>
      </c>
      <c r="B16" s="4"/>
      <c r="C16" s="13"/>
      <c r="D16" s="13"/>
      <c r="E16" s="2" t="s">
        <v>41</v>
      </c>
      <c r="F16" s="8"/>
      <c r="G16" s="8"/>
      <c r="H16" s="8"/>
      <c r="I16" s="17" t="s">
        <v>124</v>
      </c>
      <c r="J16" s="8"/>
      <c r="K16" s="8"/>
    </row>
    <row r="17" spans="1:11" ht="15" customHeight="1" x14ac:dyDescent="0.25">
      <c r="A17" s="5" t="s">
        <v>68</v>
      </c>
      <c r="B17" s="4"/>
      <c r="C17" s="13"/>
      <c r="D17" s="13"/>
      <c r="E17" s="2" t="s">
        <v>42</v>
      </c>
      <c r="F17" s="8"/>
      <c r="G17" s="8"/>
      <c r="H17" s="8"/>
      <c r="I17" s="17" t="s">
        <v>125</v>
      </c>
      <c r="J17" s="8"/>
      <c r="K17" s="8"/>
    </row>
    <row r="18" spans="1:11" ht="15" customHeight="1" x14ac:dyDescent="0.25">
      <c r="A18" s="5" t="s">
        <v>69</v>
      </c>
      <c r="B18" s="4"/>
      <c r="C18" s="13"/>
      <c r="D18" s="13"/>
      <c r="E18" s="2" t="s">
        <v>43</v>
      </c>
      <c r="F18" s="8"/>
      <c r="G18" s="8"/>
      <c r="H18" s="8"/>
      <c r="I18" s="17" t="s">
        <v>126</v>
      </c>
      <c r="J18" s="8"/>
      <c r="K18" s="8"/>
    </row>
    <row r="19" spans="1:11" ht="15" customHeight="1" x14ac:dyDescent="0.25">
      <c r="A19" s="5" t="s">
        <v>70</v>
      </c>
      <c r="B19" s="4"/>
      <c r="C19" s="13"/>
      <c r="D19" s="13"/>
      <c r="E19" s="2" t="s">
        <v>44</v>
      </c>
      <c r="F19" s="8"/>
      <c r="G19" s="8"/>
      <c r="H19" s="8"/>
      <c r="I19" s="17" t="s">
        <v>127</v>
      </c>
      <c r="J19" s="8"/>
      <c r="K19" s="8"/>
    </row>
    <row r="20" spans="1:11" ht="15" customHeight="1" x14ac:dyDescent="0.25">
      <c r="A20" s="5" t="s">
        <v>71</v>
      </c>
      <c r="B20" s="4"/>
      <c r="C20" s="13"/>
      <c r="D20" s="13"/>
      <c r="E20" s="2" t="s">
        <v>45</v>
      </c>
      <c r="F20" s="8"/>
      <c r="G20" s="8"/>
      <c r="H20" s="8"/>
      <c r="I20" s="17" t="s">
        <v>128</v>
      </c>
      <c r="J20" s="8"/>
      <c r="K20" s="8"/>
    </row>
    <row r="21" spans="1:11" ht="15" customHeight="1" x14ac:dyDescent="0.25">
      <c r="A21" s="5" t="s">
        <v>72</v>
      </c>
      <c r="B21" s="4"/>
      <c r="C21" s="13"/>
      <c r="D21" s="13"/>
      <c r="E21" s="2" t="s">
        <v>46</v>
      </c>
      <c r="F21" s="8"/>
      <c r="G21" s="8"/>
      <c r="H21" s="8"/>
      <c r="I21" s="17" t="s">
        <v>101</v>
      </c>
      <c r="J21" s="8"/>
      <c r="K21" s="8"/>
    </row>
    <row r="22" spans="1:11" ht="15" customHeight="1" x14ac:dyDescent="0.25">
      <c r="A22" s="5" t="s">
        <v>73</v>
      </c>
      <c r="B22" s="4"/>
      <c r="C22" s="13"/>
      <c r="D22" s="13"/>
      <c r="E22" s="2" t="s">
        <v>47</v>
      </c>
      <c r="F22" s="8"/>
      <c r="G22" s="8"/>
      <c r="H22" s="8"/>
      <c r="I22" s="8"/>
      <c r="J22" s="8"/>
      <c r="K22" s="8"/>
    </row>
    <row r="23" spans="1:11" ht="15" customHeight="1" x14ac:dyDescent="0.25">
      <c r="A23" s="5" t="s">
        <v>74</v>
      </c>
      <c r="B23" s="4"/>
      <c r="C23" s="13"/>
      <c r="D23" s="13"/>
      <c r="E23" s="2" t="s">
        <v>48</v>
      </c>
      <c r="F23" s="8"/>
      <c r="G23" s="8"/>
      <c r="H23" s="8"/>
      <c r="I23" s="8"/>
      <c r="J23" s="8"/>
      <c r="K23" s="8"/>
    </row>
    <row r="24" spans="1:11" ht="15" customHeight="1" x14ac:dyDescent="0.25">
      <c r="A24" s="5" t="s">
        <v>75</v>
      </c>
      <c r="B24" s="4"/>
      <c r="C24" s="13"/>
      <c r="D24" s="13"/>
      <c r="E24" s="2" t="s">
        <v>49</v>
      </c>
      <c r="F24" s="8"/>
      <c r="G24" s="8"/>
      <c r="H24" s="8"/>
      <c r="I24" s="8"/>
      <c r="J24" s="8"/>
      <c r="K24" s="8"/>
    </row>
    <row r="25" spans="1:11" ht="15" customHeight="1" x14ac:dyDescent="0.25">
      <c r="A25" s="5" t="s">
        <v>76</v>
      </c>
      <c r="B25" s="4"/>
      <c r="C25" s="13"/>
      <c r="D25" s="13"/>
      <c r="E25" s="2" t="s">
        <v>50</v>
      </c>
      <c r="F25" s="8"/>
      <c r="G25" s="8"/>
      <c r="H25" s="8"/>
      <c r="I25" s="8"/>
      <c r="J25" s="8"/>
      <c r="K25" s="8"/>
    </row>
    <row r="26" spans="1:11" ht="15" customHeight="1" x14ac:dyDescent="0.25">
      <c r="A26" s="5" t="s">
        <v>77</v>
      </c>
      <c r="B26" s="4"/>
      <c r="C26" s="13"/>
      <c r="D26" s="13"/>
      <c r="E26" s="2" t="s">
        <v>51</v>
      </c>
      <c r="F26" s="8"/>
      <c r="G26" s="8"/>
      <c r="H26" s="8"/>
      <c r="I26" s="8"/>
      <c r="J26" s="8"/>
      <c r="K26" s="8"/>
    </row>
    <row r="27" spans="1:11" ht="15" customHeight="1" x14ac:dyDescent="0.25">
      <c r="A27" s="5" t="s">
        <v>78</v>
      </c>
      <c r="B27" s="4"/>
      <c r="C27" s="13"/>
      <c r="D27" s="13"/>
      <c r="E27" s="2" t="s">
        <v>52</v>
      </c>
      <c r="F27" s="8"/>
      <c r="G27" s="8"/>
      <c r="H27" s="8"/>
      <c r="I27" s="8"/>
      <c r="J27" s="8"/>
      <c r="K27" s="8"/>
    </row>
    <row r="28" spans="1:11" ht="15" customHeight="1" x14ac:dyDescent="0.25">
      <c r="A28" s="5" t="s">
        <v>79</v>
      </c>
      <c r="B28" s="4"/>
      <c r="C28" s="13"/>
      <c r="D28" s="13"/>
      <c r="F28" s="8"/>
      <c r="G28" s="8"/>
      <c r="H28" s="8"/>
      <c r="I28" s="8"/>
      <c r="J28" s="8"/>
      <c r="K28" s="8"/>
    </row>
    <row r="29" spans="1:11" ht="15" customHeight="1" x14ac:dyDescent="0.25">
      <c r="A29" s="5" t="s">
        <v>80</v>
      </c>
      <c r="B29" s="4"/>
      <c r="C29" s="13"/>
      <c r="D29" s="13"/>
      <c r="F29" s="8"/>
      <c r="G29" s="8"/>
      <c r="H29" s="8"/>
      <c r="I29" s="8"/>
      <c r="J29" s="8"/>
      <c r="K29" s="8"/>
    </row>
    <row r="30" spans="1:11" ht="15" customHeight="1" x14ac:dyDescent="0.25">
      <c r="A30" s="5" t="s">
        <v>81</v>
      </c>
      <c r="B30" s="4"/>
      <c r="C30" s="13"/>
      <c r="D30" s="13"/>
    </row>
    <row r="31" spans="1:11" ht="15" customHeight="1" thickBot="1" x14ac:dyDescent="0.3">
      <c r="A31" s="9" t="s">
        <v>82</v>
      </c>
      <c r="B31" s="4"/>
      <c r="C31" s="13"/>
      <c r="D31" s="13"/>
    </row>
    <row r="32" spans="1:11" ht="15" customHeight="1" x14ac:dyDescent="0.25">
      <c r="A32" s="7"/>
      <c r="B32" s="7"/>
      <c r="C32" s="7"/>
      <c r="D32" s="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TCD_internat</vt:lpstr>
      <vt:lpstr>tbl_CD</vt:lpstr>
      <vt:lpstr>listes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</dc:creator>
  <cp:lastModifiedBy>Gaetan</cp:lastModifiedBy>
  <dcterms:created xsi:type="dcterms:W3CDTF">2021-11-30T09:39:28Z</dcterms:created>
  <dcterms:modified xsi:type="dcterms:W3CDTF">2021-12-09T13:10:38Z</dcterms:modified>
</cp:coreProperties>
</file>