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lombet Josie\Desktop\Clients\API_Centre_Est\Développement excel\"/>
    </mc:Choice>
  </mc:AlternateContent>
  <xr:revisionPtr revIDLastSave="0" documentId="13_ncr:1_{8C45BD21-38EE-410F-864D-C079708BD313}" xr6:coauthVersionLast="46" xr6:coauthVersionMax="46" xr10:uidLastSave="{00000000-0000-0000-0000-000000000000}"/>
  <bookViews>
    <workbookView xWindow="-98" yWindow="-98" windowWidth="22695" windowHeight="14595" activeTab="2" xr2:uid="{00000000-000D-0000-FFFF-FFFF00000000}"/>
  </bookViews>
  <sheets>
    <sheet name="Listes" sheetId="1" r:id="rId1"/>
    <sheet name="procédure" sheetId="2" state="hidden" r:id="rId2"/>
    <sheet name="Menu_general" sheetId="3" r:id="rId3"/>
    <sheet name="BdD_salaries" sheetId="14" r:id="rId4"/>
    <sheet name="Passeport_SAlarié" sheetId="10" r:id="rId5"/>
    <sheet name="Extraction_présents" sheetId="12" r:id="rId6"/>
    <sheet name="Extraction_sortis" sheetId="13" r:id="rId7"/>
    <sheet name="Extraction_évènements" sheetId="8" r:id="rId8"/>
    <sheet name="Filtres élaborés" sheetId="9" r:id="rId9"/>
  </sheets>
  <definedNames>
    <definedName name="liste_nom" localSheetId="3">Tab_nom[Nom_prénom]</definedName>
    <definedName name="liste_nom">Tab_nom[Nom_prénom]</definedName>
    <definedName name="liste_réponse" localSheetId="3">Tab_réponse[Réponse]</definedName>
    <definedName name="liste_réponse">Tab_réponse[Réponse]</definedName>
    <definedName name="liste_VM" localSheetId="3">Tab_VM[VM]</definedName>
    <definedName name="liste_VM">Tab_VM[VM]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10" l="1"/>
  <c r="E20" i="10"/>
  <c r="B20" i="10"/>
  <c r="E18" i="10"/>
  <c r="E9" i="10"/>
  <c r="B18" i="10"/>
  <c r="B17" i="10"/>
  <c r="B16" i="10"/>
  <c r="B15" i="10"/>
  <c r="B14" i="10"/>
  <c r="B13" i="10"/>
  <c r="B12" i="10"/>
  <c r="B9" i="10"/>
  <c r="B11" i="10"/>
  <c r="B10" i="10"/>
  <c r="F7" i="10"/>
  <c r="B7" i="10"/>
  <c r="B6" i="10"/>
  <c r="P20" i="3" l="1"/>
  <c r="P18" i="3"/>
  <c r="P16" i="3"/>
  <c r="P14" i="3"/>
  <c r="P12" i="3"/>
  <c r="P10" i="3"/>
  <c r="P8" i="3"/>
  <c r="P6" i="3"/>
  <c r="P4" i="3" a="1"/>
  <c r="P4" i="3" s="1"/>
  <c r="R3" i="14"/>
  <c r="P22" i="3" s="1"/>
  <c r="U3" i="14"/>
  <c r="U2" i="14"/>
  <c r="P24" i="3" s="1"/>
  <c r="R2" i="14"/>
  <c r="B3" i="10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<sst xmlns="http://schemas.openxmlformats.org/spreadsheetml/2006/main" count="150" uniqueCount="111">
  <si>
    <t>Menu général suivi des salariés</t>
  </si>
  <si>
    <t>Nom_prénom</t>
  </si>
  <si>
    <t>Nom du tableau</t>
  </si>
  <si>
    <t>Donnée associée</t>
  </si>
  <si>
    <t>Nom de la liste</t>
  </si>
  <si>
    <t>Tab-nom</t>
  </si>
  <si>
    <t>Nom et prénom du salarié</t>
  </si>
  <si>
    <t>liste_nom</t>
  </si>
  <si>
    <t>Code risque</t>
  </si>
  <si>
    <t>Tab_risque</t>
  </si>
  <si>
    <t>liste_risque</t>
  </si>
  <si>
    <t>Tab_cpam</t>
  </si>
  <si>
    <t>département CPAM</t>
  </si>
  <si>
    <t>liste_cpam</t>
  </si>
  <si>
    <t>N° SS</t>
  </si>
  <si>
    <t>Date entrée</t>
  </si>
  <si>
    <t>Date sortie</t>
  </si>
  <si>
    <t>Tab_statut</t>
  </si>
  <si>
    <t>type de contrat</t>
  </si>
  <si>
    <t>liste_statut</t>
  </si>
  <si>
    <t>Tab_fonction</t>
  </si>
  <si>
    <t>fonction dans l'entreprise</t>
  </si>
  <si>
    <t>liste_fonction</t>
  </si>
  <si>
    <t>Permis de conduire</t>
  </si>
  <si>
    <t>Date visite médicale</t>
  </si>
  <si>
    <t>type VM</t>
  </si>
  <si>
    <t>CACES chariot</t>
  </si>
  <si>
    <t>Caces R386 PEMP</t>
  </si>
  <si>
    <t>Travail en hauteur</t>
  </si>
  <si>
    <t>Amiante sous section 4</t>
  </si>
  <si>
    <t>Amiante encadrant sous section 4</t>
  </si>
  <si>
    <t>habilitation électrique</t>
  </si>
  <si>
    <t>Pontier</t>
  </si>
  <si>
    <t>Autorisation conduite</t>
  </si>
  <si>
    <t>SST</t>
  </si>
  <si>
    <t>Oui</t>
  </si>
  <si>
    <t>Non</t>
  </si>
  <si>
    <t>Réponse</t>
  </si>
  <si>
    <t>Tab_réponse</t>
  </si>
  <si>
    <t>Réponse pour différents items</t>
  </si>
  <si>
    <t>liste_réponse</t>
  </si>
  <si>
    <t>VM</t>
  </si>
  <si>
    <t>VIP</t>
  </si>
  <si>
    <t>Tab_VM</t>
  </si>
  <si>
    <t>type de visite médicale</t>
  </si>
  <si>
    <t>liste_VM</t>
  </si>
  <si>
    <t>Tab_SST</t>
  </si>
  <si>
    <t>type formation SST</t>
  </si>
  <si>
    <t>liste_SST</t>
  </si>
  <si>
    <t>SMR</t>
  </si>
  <si>
    <t>Bouchons oreilles</t>
  </si>
  <si>
    <t>Nombre d'autorisation de conduite à renouveller :</t>
  </si>
  <si>
    <t>Nombre de visites médicales à programmer :</t>
  </si>
  <si>
    <t/>
  </si>
  <si>
    <t>Attestation permis</t>
  </si>
  <si>
    <t>CACES R386 1B</t>
  </si>
  <si>
    <t>CACES R386 3A</t>
  </si>
  <si>
    <t>CACES R486 A</t>
  </si>
  <si>
    <t>CACES R486 B</t>
  </si>
  <si>
    <t>HAB H0B0V</t>
  </si>
  <si>
    <t>HAB TBT BT</t>
  </si>
  <si>
    <t>BOETH</t>
  </si>
  <si>
    <t>Titre travailleur</t>
  </si>
  <si>
    <t>APS</t>
  </si>
  <si>
    <t>Nombre  de CACES R386 3A à programmer :</t>
  </si>
  <si>
    <t>Nombre  de CACES R386 1B à programmer :</t>
  </si>
  <si>
    <t>Nombre  de CACES R486 A à programmer :</t>
  </si>
  <si>
    <t>Nombre  de CACES R486 B à programmer :</t>
  </si>
  <si>
    <t>Nombre de H0B0V à programmer</t>
  </si>
  <si>
    <t>Nombre de TBT-BT à programmer</t>
  </si>
  <si>
    <t>Nombre de formation APS à programmer :</t>
  </si>
  <si>
    <t>Nombre de BOETH à renouveler :</t>
  </si>
  <si>
    <t>Nombre de titre à renouveler</t>
  </si>
  <si>
    <t>Prochain BOETH</t>
  </si>
  <si>
    <t>Fréquence Titre BOETH en année</t>
  </si>
  <si>
    <t>Fréquence titre travailleur</t>
  </si>
  <si>
    <t>Prochain Titre</t>
  </si>
  <si>
    <t>Date d'édition :</t>
  </si>
  <si>
    <t>Nom salarié :</t>
  </si>
  <si>
    <t>N° SS :</t>
  </si>
  <si>
    <t>Passeport Salarié</t>
  </si>
  <si>
    <t>Date entrée :</t>
  </si>
  <si>
    <t>Date sortie:</t>
  </si>
  <si>
    <t>Date visite médicale :</t>
  </si>
  <si>
    <t>Type VM :</t>
  </si>
  <si>
    <t>Autorisation de conduite :</t>
  </si>
  <si>
    <t>Habilitation TBT BT :</t>
  </si>
  <si>
    <t>Habilitation H0B0V :</t>
  </si>
  <si>
    <t>Caces R486 B :</t>
  </si>
  <si>
    <t>Caces R486 A :</t>
  </si>
  <si>
    <t>Caces R386 3A :</t>
  </si>
  <si>
    <t>Caces R386 1B :</t>
  </si>
  <si>
    <t>BOETH :</t>
  </si>
  <si>
    <t>Fréquence :</t>
  </si>
  <si>
    <t>Titre travailleur étranger :</t>
  </si>
  <si>
    <t>APS :</t>
  </si>
  <si>
    <t>02/02/2021</t>
  </si>
  <si>
    <t>02/01/2015</t>
  </si>
  <si>
    <t>01/01/2018</t>
  </si>
  <si>
    <t>01/01/2020</t>
  </si>
  <si>
    <t>1</t>
  </si>
  <si>
    <t xml:space="preserve">Filtres pour présents </t>
  </si>
  <si>
    <t>Talent</t>
  </si>
  <si>
    <t>5</t>
  </si>
  <si>
    <t>Restrictions médicales</t>
  </si>
  <si>
    <t>01/02/2021</t>
  </si>
  <si>
    <t>sbjksbjkq</t>
  </si>
  <si>
    <t>02/03/2018</t>
  </si>
  <si>
    <t>Restrictions médicales :</t>
  </si>
  <si>
    <t>Dupont Marc</t>
  </si>
  <si>
    <t>Durand Sophie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</si>
</sst>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[$-F800]dddd\,\ mmmm\ dd\,\ yyyy"/>
  </numFmts>
  <fonts count="13" x14ac:knownFonts="1">
    <font>
      <sz val="11"/>
      <color theme="1"/>
      <name val="Calibri"/>
      <family val="2"/>
      <scheme val="minor"/>
    </font>
    <font>
      <b/>
      <i/>
      <sz val="48"/>
      <color theme="0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2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3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left"/>
    </xf>
    <xf numFmtId="0" fontId="4" fillId="0" borderId="3" xfId="0" applyFont="1" applyBorder="1"/>
    <xf numFmtId="0" fontId="0" fillId="0" borderId="0" xfId="0" applyBorder="1"/>
    <xf numFmtId="0" fontId="4" fillId="0" borderId="0" xfId="0" applyFont="1" applyBorder="1" applyAlignment="1">
      <alignment horizontal="left"/>
    </xf>
    <xf numFmtId="0" fontId="4" fillId="0" borderId="0" xfId="0" applyFont="1" applyBorder="1"/>
    <xf numFmtId="0" fontId="3" fillId="0" borderId="0" xfId="0" applyFont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5" fillId="0" borderId="13" xfId="0" applyFont="1" applyBorder="1" applyAlignment="1">
      <alignment vertical="center" wrapText="1"/>
    </xf>
    <xf numFmtId="0" fontId="5" fillId="0" borderId="14" xfId="0" applyFont="1" applyBorder="1" applyAlignment="1">
      <alignment vertical="center" wrapText="1"/>
    </xf>
    <xf numFmtId="0" fontId="0" fillId="2" borderId="15" xfId="0" applyFont="1" applyFill="1" applyBorder="1"/>
    <xf numFmtId="0" fontId="0" fillId="2" borderId="16" xfId="0" applyFont="1" applyFill="1" applyBorder="1"/>
    <xf numFmtId="0" fontId="0" fillId="0" borderId="0" xfId="0" applyNumberFormat="1" applyAlignment="1">
      <alignment horizontal="left" vertical="center"/>
    </xf>
    <xf numFmtId="0" fontId="0" fillId="0" borderId="17" xfId="0" applyBorder="1"/>
    <xf numFmtId="14" fontId="0" fillId="0" borderId="0" xfId="0" applyNumberFormat="1" applyAlignment="1">
      <alignment vertical="center"/>
    </xf>
    <xf numFmtId="0" fontId="6" fillId="0" borderId="20" xfId="0" applyFont="1" applyBorder="1" applyAlignment="1">
      <alignment horizontal="right"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7" fillId="0" borderId="23" xfId="0" applyFont="1" applyBorder="1" applyAlignment="1">
      <alignment horizontal="right"/>
    </xf>
    <xf numFmtId="0" fontId="7" fillId="0" borderId="23" xfId="0" applyFont="1" applyBorder="1" applyAlignment="1">
      <alignment horizontal="right" vertical="center"/>
    </xf>
    <xf numFmtId="0" fontId="4" fillId="0" borderId="25" xfId="0" applyFont="1" applyBorder="1" applyAlignment="1">
      <alignment horizontal="right" vertical="center"/>
    </xf>
    <xf numFmtId="14" fontId="9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center" vertical="center"/>
    </xf>
    <xf numFmtId="0" fontId="11" fillId="0" borderId="0" xfId="0" applyFont="1"/>
    <xf numFmtId="0" fontId="10" fillId="0" borderId="0" xfId="0" applyFont="1" applyAlignment="1">
      <alignment horizontal="right" vertical="center"/>
    </xf>
    <xf numFmtId="0" fontId="4" fillId="5" borderId="0" xfId="0" applyFont="1" applyFill="1"/>
    <xf numFmtId="0" fontId="0" fillId="0" borderId="0" xfId="0" applyAlignment="1">
      <alignment vertical="center"/>
    </xf>
    <xf numFmtId="14" fontId="0" fillId="6" borderId="0" xfId="0" applyNumberFormat="1" applyFill="1" applyAlignment="1">
      <alignment horizontal="left" vertical="center"/>
    </xf>
    <xf numFmtId="0" fontId="1" fillId="3" borderId="2" xfId="0" applyFont="1" applyFill="1" applyBorder="1" applyAlignment="1">
      <alignment horizontal="left" vertical="center"/>
    </xf>
    <xf numFmtId="0" fontId="1" fillId="3" borderId="3" xfId="0" applyFont="1" applyFill="1" applyBorder="1" applyAlignment="1">
      <alignment horizontal="left" vertical="center"/>
    </xf>
    <xf numFmtId="0" fontId="1" fillId="3" borderId="4" xfId="0" applyFont="1" applyFill="1" applyBorder="1" applyAlignment="1">
      <alignment horizontal="left" vertical="center"/>
    </xf>
    <xf numFmtId="0" fontId="8" fillId="3" borderId="17" xfId="0" applyFont="1" applyFill="1" applyBorder="1" applyAlignment="1">
      <alignment horizontal="left" vertical="center"/>
    </xf>
    <xf numFmtId="0" fontId="8" fillId="3" borderId="18" xfId="0" applyFont="1" applyFill="1" applyBorder="1" applyAlignment="1">
      <alignment horizontal="left" vertical="center"/>
    </xf>
    <xf numFmtId="0" fontId="8" fillId="3" borderId="19" xfId="0" applyFont="1" applyFill="1" applyBorder="1" applyAlignment="1">
      <alignment horizontal="left" vertical="center"/>
    </xf>
    <xf numFmtId="14" fontId="0" fillId="0" borderId="26" xfId="0" applyNumberFormat="1" applyBorder="1" applyAlignment="1">
      <alignment horizontal="left" vertical="center"/>
    </xf>
    <xf numFmtId="0" fontId="4" fillId="0" borderId="26" xfId="0" applyFont="1" applyBorder="1" applyAlignment="1">
      <alignment horizontal="right" vertical="center"/>
    </xf>
    <xf numFmtId="0" fontId="12" fillId="0" borderId="0" xfId="0" applyFont="1" applyAlignment="1">
      <alignment horizontal="left" vertical="center"/>
    </xf>
    <xf numFmtId="14" fontId="10" fillId="0" borderId="0" xfId="0" applyNumberFormat="1" applyFont="1" applyAlignment="1">
      <alignment horizontal="left" vertical="top" wrapText="1"/>
    </xf>
    <xf numFmtId="165" fontId="7" fillId="0" borderId="21" xfId="0" applyNumberFormat="1" applyFont="1" applyBorder="1" applyAlignment="1">
      <alignment horizontal="left" vertical="center"/>
    </xf>
    <xf numFmtId="0" fontId="7" fillId="4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</cellXfs>
  <cellStyles count="2">
    <cellStyle name="Normal" xfId="0" builtinId="0"/>
    <cellStyle name="Normal 2" xfId="1" xr:uid="{00000000-0005-0000-0000-000002000000}"/>
  </cellStyles>
  <dxfs count="35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4" formatCode="[&gt;=3000000000000]#&quot; &quot;##&quot; &quot;##&quot; &quot;##&quot; &quot;###&quot; &quot;###&quot; | &quot;##;#&quot; &quot;##&quot; &quot;##&quot; &quot;##&quot; &quot;###&quot; &quot;###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Passeport_SAlari&#233;!A1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1</xdr:row>
      <xdr:rowOff>147637</xdr:rowOff>
    </xdr:from>
    <xdr:to>
      <xdr:col>2</xdr:col>
      <xdr:colOff>642937</xdr:colOff>
      <xdr:row>9</xdr:row>
      <xdr:rowOff>42862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23AF4D11-8B58-4C64-9068-4A416AF60FC1}"/>
            </a:ext>
          </a:extLst>
        </xdr:cNvPr>
        <xdr:cNvGrpSpPr/>
      </xdr:nvGrpSpPr>
      <xdr:grpSpPr>
        <a:xfrm>
          <a:off x="85725" y="1019175"/>
          <a:ext cx="2828925" cy="1495425"/>
          <a:chOff x="85725" y="1019175"/>
          <a:chExt cx="2828925" cy="1343025"/>
        </a:xfrm>
      </xdr:grpSpPr>
      <xdr:sp macro="[0]!Formulaire_Enregistrement_salarié" textlink="">
        <xdr:nvSpPr>
          <xdr:cNvPr id="4" name="Rectangle : coins arrondis 3">
            <a:extLst>
              <a:ext uri="{FF2B5EF4-FFF2-40B4-BE49-F238E27FC236}">
                <a16:creationId xmlns:a16="http://schemas.microsoft.com/office/drawing/2014/main" id="{C33FC19A-EF00-4930-993A-2696F31CEA83}"/>
              </a:ext>
            </a:extLst>
          </xdr:cNvPr>
          <xdr:cNvSpPr/>
        </xdr:nvSpPr>
        <xdr:spPr>
          <a:xfrm>
            <a:off x="176213" y="1209675"/>
            <a:ext cx="2738437" cy="1152525"/>
          </a:xfrm>
          <a:prstGeom prst="roundRect">
            <a:avLst/>
          </a:prstGeom>
          <a:solidFill>
            <a:schemeClr val="tx2"/>
          </a:solidFill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 i="1"/>
              <a:t>Enregistrement</a:t>
            </a:r>
            <a:r>
              <a:rPr lang="fr-FR" sz="2400" b="1" i="1" baseline="0"/>
              <a:t> nouveau salarié</a:t>
            </a:r>
            <a:endParaRPr lang="fr-FR" sz="2400" b="1" i="1"/>
          </a:p>
        </xdr:txBody>
      </xdr:sp>
      <xdr:pic macro="[0]!Formulaire_Enregistrement_salarié">
        <xdr:nvPicPr>
          <xdr:cNvPr id="11" name="imi" descr="Résultat de recherche d'images pour &quot;image enregistrement&quot;">
            <a:extLst>
              <a:ext uri="{FF2B5EF4-FFF2-40B4-BE49-F238E27FC236}">
                <a16:creationId xmlns:a16="http://schemas.microsoft.com/office/drawing/2014/main" id="{B81EB8EB-C0AD-46CA-B08A-A684BDBBB93A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5725" y="1019175"/>
            <a:ext cx="561976" cy="561976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3</xdr:col>
      <xdr:colOff>161925</xdr:colOff>
      <xdr:row>2</xdr:row>
      <xdr:rowOff>166687</xdr:rowOff>
    </xdr:from>
    <xdr:to>
      <xdr:col>7</xdr:col>
      <xdr:colOff>4762</xdr:colOff>
      <xdr:row>10</xdr:row>
      <xdr:rowOff>33337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8C7BA699-FBF5-41FF-8D5C-1C3755053851}"/>
            </a:ext>
          </a:extLst>
        </xdr:cNvPr>
        <xdr:cNvGrpSpPr/>
      </xdr:nvGrpSpPr>
      <xdr:grpSpPr>
        <a:xfrm>
          <a:off x="3195638" y="1223962"/>
          <a:ext cx="2890837" cy="1485900"/>
          <a:chOff x="3243263" y="2524125"/>
          <a:chExt cx="2890837" cy="1319212"/>
        </a:xfrm>
      </xdr:grpSpPr>
      <xdr:sp macro="[0]!Formulaire_Evenements" textlink="">
        <xdr:nvSpPr>
          <xdr:cNvPr id="8" name="Rectangle : coins arrondis 7">
            <a:extLst>
              <a:ext uri="{FF2B5EF4-FFF2-40B4-BE49-F238E27FC236}">
                <a16:creationId xmlns:a16="http://schemas.microsoft.com/office/drawing/2014/main" id="{DDF569C0-D6A2-484F-9F34-49201325F792}"/>
              </a:ext>
            </a:extLst>
          </xdr:cNvPr>
          <xdr:cNvSpPr/>
        </xdr:nvSpPr>
        <xdr:spPr>
          <a:xfrm>
            <a:off x="3243263" y="2524125"/>
            <a:ext cx="2738437" cy="1152525"/>
          </a:xfrm>
          <a:prstGeom prst="roundRect">
            <a:avLst/>
          </a:prstGeom>
          <a:solidFill>
            <a:schemeClr val="tx2"/>
          </a:solidFill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 i="1"/>
              <a:t>Enregistrement</a:t>
            </a:r>
            <a:r>
              <a:rPr lang="fr-FR" sz="2400" b="1" i="1" baseline="0"/>
              <a:t> évènement</a:t>
            </a:r>
            <a:endParaRPr lang="fr-FR" sz="2400" b="1" i="1"/>
          </a:p>
        </xdr:txBody>
      </xdr:sp>
      <xdr:pic macro="[0]!Formulaire_Evenements">
        <xdr:nvPicPr>
          <xdr:cNvPr id="15" name="imi" descr="Résultat de recherche d'images pour &quot;image enregistrement&quot;">
            <a:extLst>
              <a:ext uri="{FF2B5EF4-FFF2-40B4-BE49-F238E27FC236}">
                <a16:creationId xmlns:a16="http://schemas.microsoft.com/office/drawing/2014/main" id="{6CBB75C7-CBB7-41A6-9A0F-82D0175E1584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500688" y="3209925"/>
            <a:ext cx="633412" cy="633412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3</xdr:col>
      <xdr:colOff>342901</xdr:colOff>
      <xdr:row>11</xdr:row>
      <xdr:rowOff>71436</xdr:rowOff>
    </xdr:from>
    <xdr:to>
      <xdr:col>7</xdr:col>
      <xdr:colOff>28576</xdr:colOff>
      <xdr:row>17</xdr:row>
      <xdr:rowOff>23811</xdr:rowOff>
    </xdr:to>
    <xdr:sp macro="[0]!Liste_presonnel_présent" textlink="">
      <xdr:nvSpPr>
        <xdr:cNvPr id="2" name="Flèche : pentagone 1">
          <a:extLst>
            <a:ext uri="{FF2B5EF4-FFF2-40B4-BE49-F238E27FC236}">
              <a16:creationId xmlns:a16="http://schemas.microsoft.com/office/drawing/2014/main" id="{502F2BA8-D0CB-4A23-95D6-AE5DEFD3251D}"/>
            </a:ext>
          </a:extLst>
        </xdr:cNvPr>
        <xdr:cNvSpPr/>
      </xdr:nvSpPr>
      <xdr:spPr>
        <a:xfrm>
          <a:off x="3376614" y="2952749"/>
          <a:ext cx="2733675" cy="1181100"/>
        </a:xfrm>
        <a:prstGeom prst="homePlate">
          <a:avLst/>
        </a:prstGeom>
        <a:solidFill>
          <a:schemeClr val="tx2"/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/>
            <a:t>Liste personnel présent</a:t>
          </a:r>
        </a:p>
      </xdr:txBody>
    </xdr:sp>
    <xdr:clientData/>
  </xdr:twoCellAnchor>
  <xdr:twoCellAnchor>
    <xdr:from>
      <xdr:col>0</xdr:col>
      <xdr:colOff>238126</xdr:colOff>
      <xdr:row>11</xdr:row>
      <xdr:rowOff>38099</xdr:rowOff>
    </xdr:from>
    <xdr:to>
      <xdr:col>3</xdr:col>
      <xdr:colOff>142875</xdr:colOff>
      <xdr:row>17</xdr:row>
      <xdr:rowOff>109537</xdr:rowOff>
    </xdr:to>
    <xdr:sp macro="" textlink="">
      <xdr:nvSpPr>
        <xdr:cNvPr id="3" name="Flèche : pentagon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E0A0BFB-55DB-48D6-A647-BBE7579653CC}"/>
            </a:ext>
          </a:extLst>
        </xdr:cNvPr>
        <xdr:cNvSpPr/>
      </xdr:nvSpPr>
      <xdr:spPr>
        <a:xfrm>
          <a:off x="238126" y="2919412"/>
          <a:ext cx="2938462" cy="1300163"/>
        </a:xfrm>
        <a:prstGeom prst="homePlate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/>
            <a:t>Passeport</a:t>
          </a:r>
          <a:r>
            <a:rPr lang="fr-FR" sz="2400" b="1" i="1" baseline="0"/>
            <a:t> Salarié</a:t>
          </a:r>
          <a:endParaRPr lang="fr-FR" sz="2400" b="1" i="1"/>
        </a:p>
      </xdr:txBody>
    </xdr:sp>
    <xdr:clientData/>
  </xdr:twoCellAnchor>
  <xdr:twoCellAnchor>
    <xdr:from>
      <xdr:col>3</xdr:col>
      <xdr:colOff>319087</xdr:colOff>
      <xdr:row>17</xdr:row>
      <xdr:rowOff>147637</xdr:rowOff>
    </xdr:from>
    <xdr:to>
      <xdr:col>7</xdr:col>
      <xdr:colOff>4762</xdr:colOff>
      <xdr:row>23</xdr:row>
      <xdr:rowOff>119062</xdr:rowOff>
    </xdr:to>
    <xdr:sp macro="[0]!MAJ_TCD_présents" textlink="">
      <xdr:nvSpPr>
        <xdr:cNvPr id="14" name="Flèche : pentagone 13">
          <a:extLst>
            <a:ext uri="{FF2B5EF4-FFF2-40B4-BE49-F238E27FC236}">
              <a16:creationId xmlns:a16="http://schemas.microsoft.com/office/drawing/2014/main" id="{ED7CEE14-A0BA-4F86-96E6-BF88935D3B50}"/>
            </a:ext>
          </a:extLst>
        </xdr:cNvPr>
        <xdr:cNvSpPr/>
      </xdr:nvSpPr>
      <xdr:spPr>
        <a:xfrm>
          <a:off x="3352800" y="4257675"/>
          <a:ext cx="2733675" cy="1181100"/>
        </a:xfrm>
        <a:prstGeom prst="homePlate">
          <a:avLst/>
        </a:prstGeom>
        <a:solidFill>
          <a:schemeClr val="tx2"/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/>
            <a:t>Liste personnel sorti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nom" displayName="Tab_nom" ref="A1:A3" totalsRowShown="0" dataDxfId="34">
  <autoFilter ref="A1:A3" xr:uid="{00000000-0009-0000-0100-000001000000}"/>
  <tableColumns count="1">
    <tableColumn id="1" xr3:uid="{00000000-0010-0000-0000-000001000000}" name="Nom_prénom" dataDxfId="33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Tab_réponse" displayName="Tab_réponse" ref="C1:C3" totalsRowShown="0">
  <autoFilter ref="C1:C3" xr:uid="{00000000-0009-0000-0100-000007000000}"/>
  <tableColumns count="1">
    <tableColumn id="1" xr3:uid="{00000000-0010-0000-0500-000001000000}" name="Réponse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b_VM" displayName="Tab_VM" ref="E1:E3" totalsRowShown="0">
  <autoFilter ref="E1:E3" xr:uid="{00000000-0009-0000-0100-000008000000}"/>
  <tableColumns count="1">
    <tableColumn id="1" xr3:uid="{00000000-0010-0000-0600-000001000000}" name="VM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88B9A8F-596E-40C5-B2FA-9A7190178EE6}" name="Tab_BdD_salariés" displayName="Tab_BdD_salariés" ref="A1:X3" totalsRowShown="0" dataDxfId="29">
  <autoFilter ref="A1:X3" xr:uid="{00000000-0009-0000-0100-000006000000}"/>
  <tableColumns count="24">
    <tableColumn id="1" xr3:uid="{B12D668D-2B2F-4C4A-97B9-E964C5B5F860}" name="Nom_prénom" dataDxfId="28"/>
    <tableColumn id="2" xr3:uid="{22ADF625-83B7-4AB0-B5BC-CADEEF5B16E7}" name="N° SS" dataDxfId="27"/>
    <tableColumn id="8" xr3:uid="{907F665A-8472-4353-BB79-F67C5008311A}" name="Date entrée" dataDxfId="26"/>
    <tableColumn id="9" xr3:uid="{C7BE056D-0C97-4E45-BC4F-322C75B0AA1C}" name="Date sortie" dataDxfId="25"/>
    <tableColumn id="14" xr3:uid="{BB75D847-7276-4E61-BC11-C45889753ED4}" name="Permis de conduire" dataDxfId="24"/>
    <tableColumn id="15" xr3:uid="{EABA3CBE-0441-436F-BDA0-75E41629EB75}" name="Attestation permis" dataDxfId="23"/>
    <tableColumn id="24" xr3:uid="{A43E8D81-4088-4FEA-A561-ECCF4CB05A5F}" name="Date visite médicale" dataDxfId="22"/>
    <tableColumn id="25" xr3:uid="{DCAE518C-34EA-4B59-8F73-59FBA8C1C67D}" name="type VM" dataDxfId="21"/>
    <tableColumn id="26" xr3:uid="{1651A3C9-CB0E-49AC-9311-CCB3B7973A7E}" name="CACES R386 1B" dataDxfId="20"/>
    <tableColumn id="27" xr3:uid="{987AC5C4-545D-4945-B477-2858CFBFEF4C}" name="Autorisation conduite" dataDxfId="19"/>
    <tableColumn id="28" xr3:uid="{EF7B6902-A395-4A18-BD4A-31F000F6BA21}" name="CACES R386 3A" dataDxfId="18"/>
    <tableColumn id="29" xr3:uid="{D998FECD-B34A-48D9-8D2C-D83690CE7A1A}" name="CACES R486 A" dataDxfId="17"/>
    <tableColumn id="30" xr3:uid="{2C75B649-DE89-4F6A-970A-955EA4271961}" name="CACES R486 B" dataDxfId="16"/>
    <tableColumn id="31" xr3:uid="{39DB8E32-8249-4558-BEA2-A093DD1110ED}" name="HAB H0B0V" dataDxfId="15"/>
    <tableColumn id="32" xr3:uid="{04AB5094-A0A2-4C6D-8811-C92BC0B06E62}" name="HAB TBT BT" dataDxfId="14"/>
    <tableColumn id="33" xr3:uid="{125DE27E-8A22-4776-8F5B-D182A8A6DE4D}" name="BOETH" dataDxfId="13"/>
    <tableColumn id="3" xr3:uid="{7FF5C7E5-6AB4-4F2F-907C-4DDB3340148C}" name="Fréquence Titre BOETH en année" dataDxfId="12"/>
    <tableColumn id="4" xr3:uid="{1A430654-A54E-4300-9C9D-31C01EFF733B}" name="Prochain BOETH" dataDxfId="11">
      <calculatedColumnFormula>IF(Tab_BdD_salariés[[#This Row],[BOETH]]&lt;&gt;"",Tab_BdD_salariés[[#This Row],[BOETH]]+Tab_BdD_salariés[[#This Row],[Fréquence Titre BOETH en année]]*365, "sans objet")</calculatedColumnFormula>
    </tableColumn>
    <tableColumn id="34" xr3:uid="{48815493-6F0F-4563-A666-B79F2E4E00DA}" name="Titre travailleur" dataDxfId="10"/>
    <tableColumn id="5" xr3:uid="{D76D789B-ED40-4828-87E7-12AAB8DB8AD2}" name="Fréquence titre travailleur" dataDxfId="9"/>
    <tableColumn id="6" xr3:uid="{504F07C1-5C6B-4EEB-8D03-8DD33B4F0B15}" name="Prochain Titre" dataDxfId="8">
      <calculatedColumnFormula>IF(Tab_BdD_salariés[[#This Row],[Titre travailleur]]&lt;&gt;"",Tab_BdD_salariés[[#This Row],[Titre travailleur]]+Tab_BdD_salariés[[#This Row],[Fréquence titre travailleur]]*365,"sans objet")</calculatedColumnFormula>
    </tableColumn>
    <tableColumn id="35" xr3:uid="{032780C0-44E8-4329-A1A1-E5CA9CB683CE}" name="APS" dataDxfId="7"/>
    <tableColumn id="7" xr3:uid="{5B85B92A-C898-430B-B41A-D7646CB4EA66}" name="Talent" dataDxfId="6"/>
    <tableColumn id="10" xr3:uid="{4051361C-02AE-476F-87E7-9CA357F3DEFF}" name="Restrictions médicales" dataDxfId="5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AB5E2B4-4861-4F6D-A819-FEA475ABEA7D}" name="Tab_présents" displayName="Tab_présents" ref="A1:B2" totalsRowShown="0">
  <autoFilter ref="A1:B2" xr:uid="{93A31FF4-468C-4CC9-9C7B-6ED5981CE79D}"/>
  <tableColumns count="2">
    <tableColumn id="1" xr3:uid="{2F11A7BE-5F10-4751-A324-85317726D75B}" name="Nom_prénom"/>
    <tableColumn id="2" xr3:uid="{0D518C8F-700B-48AC-9562-96A80788F833}" name="Date entrée"/>
  </tableColumns>
  <tableStyleInfo name="TableStyleLight1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52F43CB-18D7-4181-8DF1-D43AD6D18350}" name="Tab_sortis" displayName="Tab_sortis" ref="A1:C2" totalsRowShown="0">
  <autoFilter ref="A1:C2" xr:uid="{007FE331-BAC8-4A77-98B0-845B21F687F1}"/>
  <tableColumns count="3">
    <tableColumn id="1" xr3:uid="{03CD81B1-16F3-4864-8177-96F5D27F69BF}" name="Nom_prénom"/>
    <tableColumn id="2" xr3:uid="{119AAFDC-4984-460F-B2C8-193D91A11108}" name="Date entrée"/>
    <tableColumn id="3" xr3:uid="{E144D736-D717-4E8D-9BDE-3D1C1044438F}" name="Date sortie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3"/>
  <sheetViews>
    <sheetView workbookViewId="0">
      <selection activeCell="B15" sqref="B15"/>
    </sheetView>
  </sheetViews>
  <sheetFormatPr baseColWidth="10" defaultRowHeight="14.25" x14ac:dyDescent="0.45"/>
  <cols>
    <col min="1" max="1" width="21.265625" customWidth="1"/>
    <col min="2" max="2" width="4.265625" customWidth="1"/>
    <col min="4" max="4" width="3.73046875" customWidth="1"/>
    <col min="6" max="6" width="4" customWidth="1"/>
  </cols>
  <sheetData>
    <row r="1" spans="1:5" x14ac:dyDescent="0.45">
      <c r="A1" t="s">
        <v>1</v>
      </c>
      <c r="C1" t="s">
        <v>37</v>
      </c>
      <c r="E1" t="s">
        <v>41</v>
      </c>
    </row>
    <row r="2" spans="1:5" x14ac:dyDescent="0.45">
      <c r="A2" s="2" t="s">
        <v>110</v>
      </c>
      <c r="C2" t="s">
        <v>35</v>
      </c>
      <c r="E2" t="s">
        <v>49</v>
      </c>
    </row>
    <row r="3" spans="1:5" x14ac:dyDescent="0.45">
      <c r="A3" s="2" t="s">
        <v>109</v>
      </c>
      <c r="C3" t="s">
        <v>36</v>
      </c>
      <c r="E3" t="s">
        <v>42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9"/>
  <sheetViews>
    <sheetView workbookViewId="0">
      <selection activeCell="C24" sqref="C24"/>
    </sheetView>
  </sheetViews>
  <sheetFormatPr baseColWidth="10" defaultRowHeight="14.25" x14ac:dyDescent="0.45"/>
  <cols>
    <col min="1" max="1" width="16.3984375" customWidth="1"/>
    <col min="2" max="2" width="21.3984375" bestFit="1" customWidth="1"/>
    <col min="3" max="3" width="21.86328125" customWidth="1"/>
  </cols>
  <sheetData>
    <row r="1" spans="1:3" x14ac:dyDescent="0.45">
      <c r="A1" t="s">
        <v>2</v>
      </c>
      <c r="B1" t="s">
        <v>3</v>
      </c>
      <c r="C1" t="s">
        <v>4</v>
      </c>
    </row>
    <row r="2" spans="1:3" x14ac:dyDescent="0.45">
      <c r="A2" t="s">
        <v>5</v>
      </c>
      <c r="B2" t="s">
        <v>6</v>
      </c>
      <c r="C2" t="s">
        <v>7</v>
      </c>
    </row>
    <row r="3" spans="1:3" x14ac:dyDescent="0.45">
      <c r="A3" t="s">
        <v>9</v>
      </c>
      <c r="B3" t="s">
        <v>8</v>
      </c>
      <c r="C3" t="s">
        <v>10</v>
      </c>
    </row>
    <row r="4" spans="1:3" x14ac:dyDescent="0.45">
      <c r="A4" t="s">
        <v>11</v>
      </c>
      <c r="B4" t="s">
        <v>12</v>
      </c>
      <c r="C4" t="s">
        <v>13</v>
      </c>
    </row>
    <row r="5" spans="1:3" x14ac:dyDescent="0.45">
      <c r="A5" t="s">
        <v>17</v>
      </c>
      <c r="B5" t="s">
        <v>18</v>
      </c>
      <c r="C5" t="s">
        <v>19</v>
      </c>
    </row>
    <row r="6" spans="1:3" x14ac:dyDescent="0.45">
      <c r="A6" t="s">
        <v>20</v>
      </c>
      <c r="B6" t="s">
        <v>21</v>
      </c>
      <c r="C6" t="s">
        <v>22</v>
      </c>
    </row>
    <row r="7" spans="1:3" x14ac:dyDescent="0.45">
      <c r="A7" t="s">
        <v>38</v>
      </c>
      <c r="B7" t="s">
        <v>39</v>
      </c>
      <c r="C7" t="s">
        <v>40</v>
      </c>
    </row>
    <row r="8" spans="1:3" x14ac:dyDescent="0.45">
      <c r="A8" t="s">
        <v>43</v>
      </c>
      <c r="B8" t="s">
        <v>44</v>
      </c>
      <c r="C8" t="s">
        <v>45</v>
      </c>
    </row>
    <row r="9" spans="1:3" x14ac:dyDescent="0.45">
      <c r="A9" t="s">
        <v>46</v>
      </c>
      <c r="B9" t="s">
        <v>47</v>
      </c>
      <c r="C9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Q25"/>
  <sheetViews>
    <sheetView showGridLines="0" tabSelected="1" workbookViewId="0">
      <selection activeCell="C28" sqref="C28"/>
    </sheetView>
  </sheetViews>
  <sheetFormatPr baseColWidth="10" defaultRowHeight="14.25" x14ac:dyDescent="0.45"/>
  <cols>
    <col min="1" max="1" width="21.1328125" customWidth="1"/>
    <col min="14" max="14" width="14.59765625" customWidth="1"/>
    <col min="17" max="17" width="3.06640625" customWidth="1"/>
  </cols>
  <sheetData>
    <row r="1" spans="1:17" ht="68.650000000000006" customHeight="1" thickBot="1" x14ac:dyDescent="0.5">
      <c r="A1" s="1"/>
      <c r="B1" s="47" t="s">
        <v>0</v>
      </c>
      <c r="C1" s="48"/>
      <c r="D1" s="48"/>
      <c r="E1" s="48"/>
      <c r="F1" s="48"/>
      <c r="G1" s="48"/>
      <c r="H1" s="48"/>
      <c r="I1" s="48"/>
      <c r="J1" s="48"/>
      <c r="K1" s="48"/>
      <c r="L1" s="49"/>
    </row>
    <row r="2" spans="1:17" ht="14.65" thickBot="1" x14ac:dyDescent="0.5"/>
    <row r="3" spans="1:17" ht="14.65" thickBot="1" x14ac:dyDescent="0.5">
      <c r="I3" s="16"/>
      <c r="J3" s="17"/>
      <c r="K3" s="17"/>
      <c r="L3" s="17"/>
      <c r="M3" s="17"/>
      <c r="N3" s="17"/>
      <c r="O3" s="17"/>
      <c r="P3" s="17"/>
      <c r="Q3" s="18"/>
    </row>
    <row r="4" spans="1:17" ht="16.149999999999999" thickBot="1" x14ac:dyDescent="0.55000000000000004">
      <c r="I4" s="19"/>
      <c r="J4" s="10" t="s">
        <v>52</v>
      </c>
      <c r="K4" s="11"/>
      <c r="L4" s="7"/>
      <c r="M4" s="7"/>
      <c r="N4" s="8"/>
      <c r="O4" s="12"/>
      <c r="P4" s="9" cm="1">
        <f t="array" aca="1" ref="P4" ca="1">SUMPRODUCT((Tab_BdD_salariés[type VM]="VIP")*(Tab_BdD_salariés[Date visite médicale]&lt;=TODAY()-1790)*(Tab_BdD_salariés[Date sortie]=""))+SUMPRODUCT((Tab_BdD_salariés[type VM]="SMR")*(Tab_BdD_salariés[Date visite médicale]&lt;=TODAY()-700)*(BdD_salaries!D2=""))</f>
        <v>0</v>
      </c>
      <c r="Q4" s="20"/>
    </row>
    <row r="5" spans="1:17" ht="16.149999999999999" thickBot="1" x14ac:dyDescent="0.55000000000000004">
      <c r="I5" s="19"/>
      <c r="J5" s="13"/>
      <c r="K5" s="14"/>
      <c r="L5" s="12"/>
      <c r="M5" s="12"/>
      <c r="N5" s="12"/>
      <c r="O5" s="12"/>
      <c r="P5" s="15"/>
      <c r="Q5" s="20"/>
    </row>
    <row r="6" spans="1:17" ht="16.149999999999999" thickBot="1" x14ac:dyDescent="0.55000000000000004">
      <c r="I6" s="19"/>
      <c r="J6" s="10" t="s">
        <v>64</v>
      </c>
      <c r="K6" s="11"/>
      <c r="L6" s="7"/>
      <c r="M6" s="7"/>
      <c r="N6" s="8"/>
      <c r="O6" s="12"/>
      <c r="P6" s="9">
        <f ca="1">COUNTIFS(Tab_BdD_salariés[CACES R386 3A],"&lt;&gt;"&amp;0,Tab_BdD_salariés[CACES R386 3A],"&lt;"&amp;TODAY()-1790,Tab_BdD_salariés[Date sortie],"="&amp;"")</f>
        <v>0</v>
      </c>
      <c r="Q6" s="20"/>
    </row>
    <row r="7" spans="1:17" ht="16.149999999999999" thickBot="1" x14ac:dyDescent="0.55000000000000004">
      <c r="I7" s="19"/>
      <c r="J7" s="13"/>
      <c r="K7" s="14"/>
      <c r="L7" s="12"/>
      <c r="M7" s="12"/>
      <c r="N7" s="12"/>
      <c r="O7" s="12"/>
      <c r="P7" s="15"/>
      <c r="Q7" s="20"/>
    </row>
    <row r="8" spans="1:17" ht="16.149999999999999" thickBot="1" x14ac:dyDescent="0.55000000000000004">
      <c r="I8" s="19"/>
      <c r="J8" s="10" t="s">
        <v>65</v>
      </c>
      <c r="K8" s="11"/>
      <c r="L8" s="7"/>
      <c r="M8" s="7"/>
      <c r="N8" s="8"/>
      <c r="O8" s="12"/>
      <c r="P8" s="9">
        <f ca="1">COUNTIFS(Tab_BdD_salariés[CACES R386 1B],"&lt;&gt;"&amp;0,Tab_BdD_salariés[CACES R386 1B],"&lt;"&amp;TODAY()-1790,Tab_BdD_salariés[Date sortie],"="&amp;"")</f>
        <v>0</v>
      </c>
      <c r="Q8" s="20"/>
    </row>
    <row r="9" spans="1:17" ht="16.149999999999999" thickBot="1" x14ac:dyDescent="0.55000000000000004">
      <c r="I9" s="19"/>
      <c r="J9" s="13"/>
      <c r="K9" s="14"/>
      <c r="L9" s="12"/>
      <c r="M9" s="12"/>
      <c r="N9" s="12"/>
      <c r="O9" s="12"/>
      <c r="P9" s="15"/>
      <c r="Q9" s="20"/>
    </row>
    <row r="10" spans="1:17" ht="16.149999999999999" thickBot="1" x14ac:dyDescent="0.55000000000000004">
      <c r="I10" s="19"/>
      <c r="J10" s="10" t="s">
        <v>66</v>
      </c>
      <c r="K10" s="11"/>
      <c r="L10" s="7"/>
      <c r="M10" s="7"/>
      <c r="N10" s="8"/>
      <c r="O10" s="12"/>
      <c r="P10" s="9">
        <f ca="1">COUNTIFS(Tab_BdD_salariés[CACES R486 A],"&lt;&gt;"&amp;0,Tab_BdD_salariés[CACES R486 A],"&lt;"&amp;TODAY()-1700,Tab_BdD_salariés[Date sortie],"="&amp;"")</f>
        <v>0</v>
      </c>
      <c r="Q10" s="20"/>
    </row>
    <row r="11" spans="1:17" ht="16.149999999999999" thickBot="1" x14ac:dyDescent="0.55000000000000004">
      <c r="I11" s="19"/>
      <c r="J11" s="13"/>
      <c r="K11" s="14"/>
      <c r="L11" s="12"/>
      <c r="M11" s="12"/>
      <c r="N11" s="12"/>
      <c r="O11" s="12"/>
      <c r="P11" s="15"/>
      <c r="Q11" s="20"/>
    </row>
    <row r="12" spans="1:17" ht="16.149999999999999" thickBot="1" x14ac:dyDescent="0.55000000000000004">
      <c r="I12" s="19"/>
      <c r="J12" s="10" t="s">
        <v>67</v>
      </c>
      <c r="K12" s="11"/>
      <c r="L12" s="7"/>
      <c r="M12" s="7"/>
      <c r="N12" s="8"/>
      <c r="O12" s="12"/>
      <c r="P12" s="9">
        <f ca="1">COUNTIFS(Tab_BdD_salariés[CACES R486 B],"&lt;&gt;"&amp;0,Tab_BdD_salariés[CACES R486 B],"&lt;"&amp;TODAY()-1700,Tab_BdD_salariés[Date sortie],"="&amp;"")</f>
        <v>0</v>
      </c>
      <c r="Q12" s="20"/>
    </row>
    <row r="13" spans="1:17" ht="16.149999999999999" thickBot="1" x14ac:dyDescent="0.55000000000000004">
      <c r="I13" s="19"/>
      <c r="J13" s="13"/>
      <c r="K13" s="14"/>
      <c r="L13" s="12"/>
      <c r="M13" s="12"/>
      <c r="N13" s="12"/>
      <c r="O13" s="12"/>
      <c r="P13" s="15"/>
      <c r="Q13" s="20"/>
    </row>
    <row r="14" spans="1:17" ht="16.149999999999999" thickBot="1" x14ac:dyDescent="0.55000000000000004">
      <c r="I14" s="19"/>
      <c r="J14" s="10" t="s">
        <v>51</v>
      </c>
      <c r="K14" s="11"/>
      <c r="L14" s="7"/>
      <c r="M14" s="7"/>
      <c r="N14" s="8"/>
      <c r="O14" s="12"/>
      <c r="P14" s="9">
        <f ca="1">COUNTIFS(Tab_BdD_salariés[Autorisation conduite],"&lt;&gt;"&amp;0,Tab_BdD_salariés[Autorisation conduite],"&lt;"&amp;TODAY()-330,Tab_BdD_salariés[Date sortie],"="&amp;"")</f>
        <v>0</v>
      </c>
      <c r="Q14" s="20"/>
    </row>
    <row r="15" spans="1:17" ht="16.149999999999999" thickBot="1" x14ac:dyDescent="0.55000000000000004">
      <c r="I15" s="19"/>
      <c r="J15" s="13"/>
      <c r="K15" s="14"/>
      <c r="L15" s="12"/>
      <c r="M15" s="12"/>
      <c r="N15" s="12"/>
      <c r="O15" s="12"/>
      <c r="P15" s="15"/>
      <c r="Q15" s="20"/>
    </row>
    <row r="16" spans="1:17" ht="16.149999999999999" thickBot="1" x14ac:dyDescent="0.55000000000000004">
      <c r="I16" s="19"/>
      <c r="J16" s="10" t="s">
        <v>69</v>
      </c>
      <c r="K16" s="11"/>
      <c r="L16" s="7"/>
      <c r="M16" s="7"/>
      <c r="N16" s="8"/>
      <c r="O16" s="12"/>
      <c r="P16" s="9">
        <f ca="1">COUNTIFS(Tab_BdD_salariés[HAB TBT BT],"&lt;&gt;"&amp;0,Tab_BdD_salariés[HAB TBT BT],"&lt;"&amp;TODAY()-1030,Tab_BdD_salariés[Date sortie],"="&amp;"")</f>
        <v>0</v>
      </c>
      <c r="Q16" s="20"/>
    </row>
    <row r="17" spans="9:17" ht="16.149999999999999" thickBot="1" x14ac:dyDescent="0.55000000000000004">
      <c r="I17" s="19"/>
      <c r="J17" s="13"/>
      <c r="K17" s="14"/>
      <c r="L17" s="12"/>
      <c r="M17" s="12"/>
      <c r="N17" s="12"/>
      <c r="O17" s="12"/>
      <c r="P17" s="15"/>
      <c r="Q17" s="20"/>
    </row>
    <row r="18" spans="9:17" ht="16.149999999999999" thickBot="1" x14ac:dyDescent="0.55000000000000004">
      <c r="I18" s="19"/>
      <c r="J18" s="10" t="s">
        <v>68</v>
      </c>
      <c r="K18" s="11"/>
      <c r="L18" s="7"/>
      <c r="M18" s="7"/>
      <c r="N18" s="8"/>
      <c r="O18" s="12"/>
      <c r="P18" s="9">
        <f ca="1">COUNTIFS(Tab_BdD_salariés[HAB TBT BT],"&lt;&gt;"&amp;0,Tab_BdD_salariés[HAB TBT BT],"&lt;"&amp;TODAY()-1030,Tab_BdD_salariés[Date sortie],"="&amp;"")</f>
        <v>0</v>
      </c>
      <c r="Q18" s="20"/>
    </row>
    <row r="19" spans="9:17" ht="16.149999999999999" thickBot="1" x14ac:dyDescent="0.55000000000000004">
      <c r="I19" s="19"/>
      <c r="J19" s="13"/>
      <c r="K19" s="14"/>
      <c r="L19" s="12"/>
      <c r="M19" s="12"/>
      <c r="N19" s="12"/>
      <c r="O19" s="12"/>
      <c r="P19" s="15"/>
      <c r="Q19" s="20"/>
    </row>
    <row r="20" spans="9:17" ht="16.149999999999999" thickBot="1" x14ac:dyDescent="0.55000000000000004">
      <c r="I20" s="19"/>
      <c r="J20" s="10" t="s">
        <v>70</v>
      </c>
      <c r="K20" s="11"/>
      <c r="L20" s="7"/>
      <c r="M20" s="7"/>
      <c r="N20" s="8"/>
      <c r="O20" s="12"/>
      <c r="P20" s="9">
        <f ca="1">COUNTIFS(Tab_BdD_salariés[APS],"&lt;&gt;"&amp;0,Tab_BdD_salariés[APS],"&lt;"&amp;TODAY()-1030,Tab_BdD_salariés[Date sortie],"="&amp;"")</f>
        <v>0</v>
      </c>
      <c r="Q20" s="20"/>
    </row>
    <row r="21" spans="9:17" ht="16.149999999999999" thickBot="1" x14ac:dyDescent="0.55000000000000004">
      <c r="I21" s="19"/>
      <c r="J21" s="13"/>
      <c r="K21" s="14"/>
      <c r="L21" s="12"/>
      <c r="M21" s="12"/>
      <c r="N21" s="12"/>
      <c r="O21" s="12"/>
      <c r="P21" s="15"/>
      <c r="Q21" s="20"/>
    </row>
    <row r="22" spans="9:17" ht="16.149999999999999" thickBot="1" x14ac:dyDescent="0.55000000000000004">
      <c r="I22" s="19"/>
      <c r="J22" s="10" t="s">
        <v>71</v>
      </c>
      <c r="K22" s="7"/>
      <c r="L22" s="7"/>
      <c r="M22" s="7"/>
      <c r="N22" s="8"/>
      <c r="O22" s="12"/>
      <c r="P22" s="9">
        <f ca="1">COUNTIFS(Tab_BdD_salariés[BOETH],"&lt;&gt;"&amp;"",Tab_BdD_salariés[Prochain BOETH],"&lt;"&amp;TODAY()+180,Tab_BdD_salariés[Date sortie],"="&amp;"")</f>
        <v>0</v>
      </c>
      <c r="Q22" s="20"/>
    </row>
    <row r="23" spans="9:17" ht="14.65" thickBot="1" x14ac:dyDescent="0.5">
      <c r="I23" s="19"/>
      <c r="J23" s="12"/>
      <c r="K23" s="12"/>
      <c r="L23" s="12"/>
      <c r="M23" s="12"/>
      <c r="N23" s="12"/>
      <c r="O23" s="12"/>
      <c r="P23" s="12"/>
      <c r="Q23" s="20"/>
    </row>
    <row r="24" spans="9:17" ht="16.149999999999999" thickBot="1" x14ac:dyDescent="0.55000000000000004">
      <c r="I24" s="19"/>
      <c r="J24" s="10" t="s">
        <v>72</v>
      </c>
      <c r="K24" s="7"/>
      <c r="L24" s="7"/>
      <c r="M24" s="7"/>
      <c r="N24" s="8"/>
      <c r="O24" s="12"/>
      <c r="P24" s="9">
        <f ca="1">COUNTIFS(Tab_BdD_salariés[Titre travailleur],"&lt;&gt;"&amp;0,Tab_BdD_salariés[Prochain Titre],"&lt;"&amp;TODAY()+180,Tab_BdD_salariés[Date sortie],"="&amp;"")</f>
        <v>0</v>
      </c>
      <c r="Q24" s="20"/>
    </row>
    <row r="25" spans="9:17" ht="14.65" thickBot="1" x14ac:dyDescent="0.5">
      <c r="I25" s="21"/>
      <c r="J25" s="22"/>
      <c r="K25" s="22"/>
      <c r="L25" s="22"/>
      <c r="M25" s="22"/>
      <c r="N25" s="22"/>
      <c r="O25" s="22"/>
      <c r="P25" s="22"/>
      <c r="Q25" s="23"/>
    </row>
  </sheetData>
  <mergeCells count="1">
    <mergeCell ref="B1:L1"/>
  </mergeCells>
  <conditionalFormatting sqref="P4 P8 P10 P12 P14 P16 P18 P20 P6">
    <cfRule type="cellIs" dxfId="32" priority="6" operator="greaterThan">
      <formula>0</formula>
    </cfRule>
  </conditionalFormatting>
  <conditionalFormatting sqref="P22">
    <cfRule type="cellIs" dxfId="31" priority="3" operator="greaterThan">
      <formula>0</formula>
    </cfRule>
  </conditionalFormatting>
  <conditionalFormatting sqref="P24">
    <cfRule type="cellIs" dxfId="30" priority="1" operator="greaterThan">
      <formula>0</formula>
    </cfRule>
  </conditionalFormatting>
  <dataValidations count="8">
    <dataValidation allowBlank="1" showInputMessage="1" showErrorMessage="1" prompt="VIP tous les 5 ans et SMR tous les 2 ans_x000a__x000a_à programmer d'ici 1 mois max" sqref="P4" xr:uid="{E72D82A9-AAA8-46B8-8A0F-5D6CA8C2E003}"/>
    <dataValidation allowBlank="1" showInputMessage="1" showErrorMessage="1" prompt="Recyclage tous les 5 ans_x000a__x000a_à programmer dans un mois max" sqref="P12 P10 P6 P8" xr:uid="{7FFBE3FD-4804-42A0-A69C-98BD41B772E5}"/>
    <dataValidation allowBlank="1" showInputMessage="1" showErrorMessage="1" prompt="renouvellement annuel_x000a__x000a_à refaire dans un mois max" sqref="P14" xr:uid="{6153DB3C-E2F5-42EC-819B-EC63814B26F3}"/>
    <dataValidation allowBlank="1" showInputMessage="1" showErrorMessage="1" prompt="recyclage tous les 3 ans_x000a__x000a_à reprogrammer dans un mois max" sqref="P16" xr:uid="{D8C1BAC4-512F-4F9B-ABEB-41C41AFEF8B3}"/>
    <dataValidation allowBlank="1" showInputMessage="1" showErrorMessage="1" prompt="Recyclage tous les 3 ans_x000a__x000a_à reprogrammer dans un mois max" sqref="P18" xr:uid="{F8F5EB19-DA98-4F5F-B1CF-D03E9463C5A1}"/>
    <dataValidation allowBlank="1" showInputMessage="1" showErrorMessage="1" prompt="Renouvellement en fonction du titre_x000a__x000a_Informer le salarié que son titre expire dans 3 mois" sqref="P24" xr:uid="{31CB9881-7A39-406B-B1E1-4AFC7B561DE9}"/>
    <dataValidation allowBlank="1" showInputMessage="1" showErrorMessage="1" prompt="Recyclage tous les 3 ans_x000a__x000a_à programmer dans un mois max" sqref="P20" xr:uid="{9704B638-688A-4A93-B8B2-D336F1832F55}"/>
    <dataValidation allowBlank="1" showInputMessage="1" showErrorMessage="1" prompt="Renouvellement en fonction du titre_x000a__x000a_Informer le salarié que son titre expire dans 6 mois" sqref="P22" xr:uid="{5E77BAF9-31D3-4C8B-95A6-4D3CE785C479}"/>
  </dataValidations>
  <pageMargins left="0.7" right="0.7" top="0.75" bottom="0.75" header="0.3" footer="0.3"/>
  <pageSetup paperSize="9" orientation="portrait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D9E084-A6D8-4A28-B0EB-F82F8B53A3FC}">
  <sheetPr codeName="Feuil4"/>
  <dimension ref="A1:X3"/>
  <sheetViews>
    <sheetView workbookViewId="0">
      <selection activeCell="A2" sqref="A2:A3"/>
    </sheetView>
  </sheetViews>
  <sheetFormatPr baseColWidth="10" defaultRowHeight="14.25" x14ac:dyDescent="0.45"/>
  <cols>
    <col min="1" max="1" width="23" customWidth="1"/>
    <col min="2" max="2" width="19" customWidth="1"/>
    <col min="3" max="3" width="12" customWidth="1"/>
    <col min="4" max="4" width="11.265625" customWidth="1"/>
    <col min="5" max="5" width="13.265625" customWidth="1"/>
    <col min="7" max="7" width="15" customWidth="1"/>
    <col min="9" max="9" width="13.59765625" customWidth="1"/>
    <col min="10" max="10" width="15.1328125" customWidth="1"/>
    <col min="11" max="11" width="12.46484375" customWidth="1"/>
    <col min="12" max="12" width="11.86328125" customWidth="1"/>
    <col min="13" max="13" width="14.1328125" customWidth="1"/>
    <col min="15" max="15" width="15.73046875" customWidth="1"/>
    <col min="16" max="16" width="17" customWidth="1"/>
    <col min="17" max="18" width="13.796875" customWidth="1"/>
    <col min="19" max="21" width="13.1328125" customWidth="1"/>
    <col min="24" max="24" width="22.33203125" customWidth="1"/>
  </cols>
  <sheetData>
    <row r="1" spans="1:24" ht="28.5" x14ac:dyDescent="0.45">
      <c r="A1" s="2" t="s">
        <v>1</v>
      </c>
      <c r="B1" s="2" t="s">
        <v>14</v>
      </c>
      <c r="C1" s="2" t="s">
        <v>15</v>
      </c>
      <c r="D1" s="5" t="s">
        <v>16</v>
      </c>
      <c r="E1" s="5" t="s">
        <v>23</v>
      </c>
      <c r="F1" s="5" t="s">
        <v>54</v>
      </c>
      <c r="G1" s="5" t="s">
        <v>24</v>
      </c>
      <c r="H1" s="5" t="s">
        <v>25</v>
      </c>
      <c r="I1" s="5" t="s">
        <v>55</v>
      </c>
      <c r="J1" s="5" t="s">
        <v>33</v>
      </c>
      <c r="K1" s="5" t="s">
        <v>56</v>
      </c>
      <c r="L1" s="5" t="s">
        <v>57</v>
      </c>
      <c r="M1" s="5" t="s">
        <v>58</v>
      </c>
      <c r="N1" s="5" t="s">
        <v>59</v>
      </c>
      <c r="O1" s="5" t="s">
        <v>60</v>
      </c>
      <c r="P1" s="5" t="s">
        <v>61</v>
      </c>
      <c r="Q1" s="5" t="s">
        <v>74</v>
      </c>
      <c r="R1" s="5" t="s">
        <v>73</v>
      </c>
      <c r="S1" s="5" t="s">
        <v>62</v>
      </c>
      <c r="T1" s="5" t="s">
        <v>75</v>
      </c>
      <c r="U1" s="5" t="s">
        <v>76</v>
      </c>
      <c r="V1" s="5" t="s">
        <v>63</v>
      </c>
      <c r="W1" s="45" t="s">
        <v>102</v>
      </c>
      <c r="X1" s="45" t="s">
        <v>104</v>
      </c>
    </row>
    <row r="2" spans="1:24" x14ac:dyDescent="0.45">
      <c r="A2" s="2" t="s">
        <v>110</v>
      </c>
      <c r="B2" s="3"/>
      <c r="C2" s="6">
        <v>43497</v>
      </c>
      <c r="D2" s="6" t="s">
        <v>53</v>
      </c>
      <c r="E2" s="2"/>
      <c r="F2" s="4" t="s">
        <v>53</v>
      </c>
      <c r="G2" s="4" t="s">
        <v>96</v>
      </c>
      <c r="H2" s="2" t="s">
        <v>42</v>
      </c>
      <c r="I2" s="4" t="s">
        <v>97</v>
      </c>
      <c r="J2" s="4" t="s">
        <v>53</v>
      </c>
      <c r="K2" s="4" t="s">
        <v>53</v>
      </c>
      <c r="L2" s="4" t="s">
        <v>53</v>
      </c>
      <c r="M2" s="4" t="s">
        <v>53</v>
      </c>
      <c r="N2" s="4" t="s">
        <v>98</v>
      </c>
      <c r="O2" s="4" t="s">
        <v>53</v>
      </c>
      <c r="P2" s="4" t="s">
        <v>99</v>
      </c>
      <c r="Q2" s="2" t="s">
        <v>100</v>
      </c>
      <c r="R2" s="46">
        <f>IF(Tab_BdD_salariés[[#This Row],[BOETH]]&lt;&gt;"",Tab_BdD_salariés[[#This Row],[BOETH]]+Tab_BdD_salariés[[#This Row],[Fréquence Titre BOETH en année]]*365, "sans objet")</f>
        <v>44196</v>
      </c>
      <c r="S2" s="4" t="s">
        <v>53</v>
      </c>
      <c r="T2" s="2" t="s">
        <v>53</v>
      </c>
      <c r="U2" s="46" t="str">
        <f>IF(Tab_BdD_salariés[[#This Row],[Titre travailleur]]&lt;&gt;"",Tab_BdD_salariés[[#This Row],[Titre travailleur]]+Tab_BdD_salariés[[#This Row],[Fréquence titre travailleur]]*365,"sans objet")</f>
        <v>sans objet</v>
      </c>
      <c r="V2" s="4" t="s">
        <v>53</v>
      </c>
      <c r="W2" s="4" t="s">
        <v>53</v>
      </c>
      <c r="X2" s="4" t="s">
        <v>106</v>
      </c>
    </row>
    <row r="3" spans="1:24" x14ac:dyDescent="0.45">
      <c r="A3" s="2" t="s">
        <v>109</v>
      </c>
      <c r="B3" s="3"/>
      <c r="C3" s="6" t="s">
        <v>105</v>
      </c>
      <c r="D3" s="6" t="s">
        <v>53</v>
      </c>
      <c r="E3" s="2"/>
      <c r="F3" s="4"/>
      <c r="G3" s="4" t="s">
        <v>107</v>
      </c>
      <c r="H3" s="2" t="s">
        <v>49</v>
      </c>
      <c r="I3" s="4" t="s">
        <v>53</v>
      </c>
      <c r="J3" s="4" t="s">
        <v>53</v>
      </c>
      <c r="K3" s="4" t="s">
        <v>53</v>
      </c>
      <c r="L3" s="4" t="s">
        <v>53</v>
      </c>
      <c r="M3" s="4" t="s">
        <v>53</v>
      </c>
      <c r="N3" s="4" t="s">
        <v>53</v>
      </c>
      <c r="O3" s="4" t="s">
        <v>53</v>
      </c>
      <c r="P3" s="4" t="s">
        <v>97</v>
      </c>
      <c r="Q3" s="28" t="s">
        <v>103</v>
      </c>
      <c r="R3" s="46">
        <f>IF(Tab_BdD_salariés[[#This Row],[BOETH]]&lt;&gt;"",Tab_BdD_salariés[[#This Row],[BOETH]]+Tab_BdD_salariés[[#This Row],[Fréquence Titre BOETH en année]]*365, "sans objet")</f>
        <v>43831</v>
      </c>
      <c r="S3" s="4" t="s">
        <v>53</v>
      </c>
      <c r="T3" s="28" t="s">
        <v>53</v>
      </c>
      <c r="U3" s="46" t="str">
        <f>IF(Tab_BdD_salariés[[#This Row],[Titre travailleur]]&lt;&gt;"",Tab_BdD_salariés[[#This Row],[Titre travailleur]]+Tab_BdD_salariés[[#This Row],[Fréquence titre travailleur]]*365,"sans objet")</f>
        <v>sans objet</v>
      </c>
      <c r="V3" s="4" t="s">
        <v>53</v>
      </c>
      <c r="W3" s="4" t="s">
        <v>53</v>
      </c>
      <c r="X3" s="4" t="s">
        <v>53</v>
      </c>
    </row>
  </sheetData>
  <dataValidations count="2">
    <dataValidation type="list" allowBlank="1" showInputMessage="1" showErrorMessage="1" sqref="H2:H3" xr:uid="{2618A99A-DDD5-4211-93E1-A7F39C23C613}">
      <formula1>liste_VM</formula1>
    </dataValidation>
    <dataValidation type="list" allowBlank="1" showInputMessage="1" showErrorMessage="1" sqref="E2:E3" xr:uid="{FFA9415F-D11D-4CDA-9F42-BC779EC65259}">
      <formula1>liste_réponse</formula1>
    </dataValidation>
  </dataValidations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D304C3-00F4-4709-B05C-29EDCCA6930A}">
  <sheetPr codeName="Feuil8"/>
  <dimension ref="A1:G20"/>
  <sheetViews>
    <sheetView showGridLines="0" workbookViewId="0">
      <selection activeCell="I8" sqref="I8"/>
    </sheetView>
  </sheetViews>
  <sheetFormatPr baseColWidth="10" defaultRowHeight="14.25" x14ac:dyDescent="0.45"/>
  <cols>
    <col min="1" max="1" width="29.19921875" customWidth="1"/>
    <col min="2" max="2" width="16.265625" customWidth="1"/>
    <col min="5" max="5" width="15.9296875" customWidth="1"/>
    <col min="6" max="6" width="14.33203125" customWidth="1"/>
  </cols>
  <sheetData>
    <row r="1" spans="1:7" ht="76.900000000000006" customHeight="1" thickTop="1" thickBot="1" x14ac:dyDescent="0.5">
      <c r="A1" s="29"/>
      <c r="B1" s="50" t="s">
        <v>80</v>
      </c>
      <c r="C1" s="51"/>
      <c r="D1" s="51"/>
      <c r="E1" s="51"/>
      <c r="F1" s="52"/>
    </row>
    <row r="2" spans="1:7" ht="15" thickTop="1" thickBot="1" x14ac:dyDescent="0.5"/>
    <row r="3" spans="1:7" ht="18" x14ac:dyDescent="0.45">
      <c r="A3" s="31" t="s">
        <v>77</v>
      </c>
      <c r="B3" s="57">
        <f ca="1">TODAY()</f>
        <v>44313</v>
      </c>
      <c r="C3" s="57"/>
      <c r="D3" s="57"/>
      <c r="E3" s="32"/>
      <c r="F3" s="33"/>
    </row>
    <row r="4" spans="1:7" x14ac:dyDescent="0.45">
      <c r="A4" s="34"/>
      <c r="B4" s="12"/>
      <c r="C4" s="12"/>
      <c r="D4" s="12"/>
      <c r="E4" s="12"/>
      <c r="F4" s="35"/>
    </row>
    <row r="5" spans="1:7" ht="18" x14ac:dyDescent="0.55000000000000004">
      <c r="A5" s="36" t="s">
        <v>78</v>
      </c>
      <c r="B5" s="58" t="s">
        <v>109</v>
      </c>
      <c r="C5" s="58"/>
      <c r="D5" s="58"/>
      <c r="E5" s="58"/>
      <c r="F5" s="35"/>
    </row>
    <row r="6" spans="1:7" ht="18" x14ac:dyDescent="0.45">
      <c r="A6" s="37" t="s">
        <v>79</v>
      </c>
      <c r="B6" s="59">
        <f>VLOOKUP(B5,Tab_BdD_salariés[],2,FALSE)</f>
        <v>0</v>
      </c>
      <c r="C6" s="59"/>
      <c r="D6" s="59"/>
      <c r="E6" s="59"/>
      <c r="F6" s="35"/>
    </row>
    <row r="7" spans="1:7" ht="16.149999999999999" thickBot="1" x14ac:dyDescent="0.5">
      <c r="A7" s="38" t="s">
        <v>81</v>
      </c>
      <c r="B7" s="53" t="str">
        <f>VLOOKUP(B5,Tab_BdD_salariés[],3,FALSE)</f>
        <v>01/02/2021</v>
      </c>
      <c r="C7" s="53"/>
      <c r="D7" s="54" t="s">
        <v>82</v>
      </c>
      <c r="E7" s="54"/>
      <c r="F7" s="39" t="str">
        <f>IF(VLOOKUP($B$5,Tab_BdD_salariés[],4,0)="","Présent",VLOOKUP($B$5,Tab_BdD_salariés[],4,0))</f>
        <v>Présent</v>
      </c>
      <c r="G7" s="30"/>
    </row>
    <row r="9" spans="1:7" ht="18" x14ac:dyDescent="0.55000000000000004">
      <c r="A9" s="40" t="s">
        <v>83</v>
      </c>
      <c r="B9" s="41" t="str">
        <f>VLOOKUP(B5,Tab_BdD_salariés[],7,FALSE)</f>
        <v>02/03/2018</v>
      </c>
      <c r="C9" s="42"/>
      <c r="D9" s="43" t="s">
        <v>84</v>
      </c>
      <c r="E9" s="41" t="str">
        <f>VLOOKUP($B$5,Tab_BdD_salariés[],8,FALSE)</f>
        <v>SMR</v>
      </c>
      <c r="F9" s="42"/>
    </row>
    <row r="10" spans="1:7" ht="18" x14ac:dyDescent="0.55000000000000004">
      <c r="A10" s="40" t="s">
        <v>91</v>
      </c>
      <c r="B10" s="41" t="str">
        <f>IF(VLOOKUP($B$5,Tab_BdD_salariés[],9,0)="","Non concerné",VLOOKUP($B$5,Tab_BdD_salariés[],9,0))</f>
        <v>Non concerné</v>
      </c>
      <c r="C10" s="42"/>
      <c r="D10" s="55" t="s">
        <v>108</v>
      </c>
      <c r="E10" s="55"/>
      <c r="F10" s="55"/>
    </row>
    <row r="11" spans="1:7" ht="18" x14ac:dyDescent="0.55000000000000004">
      <c r="A11" s="40" t="s">
        <v>90</v>
      </c>
      <c r="B11" s="41" t="str">
        <f>IF(VLOOKUP($B$5,Tab_BdD_salariés[],11,0)="","Non concerné",VLOOKUP($B$5,tab,11,0))</f>
        <v>Non concerné</v>
      </c>
      <c r="C11" s="42"/>
      <c r="D11" s="56" t="str">
        <f>VLOOKUP(B5,Tab_BdD_salariés[],24,FALSE)</f>
        <v/>
      </c>
      <c r="E11" s="56"/>
      <c r="F11" s="56"/>
    </row>
    <row r="12" spans="1:7" ht="18" x14ac:dyDescent="0.55000000000000004">
      <c r="A12" s="40" t="s">
        <v>89</v>
      </c>
      <c r="B12" s="41" t="str">
        <f>IF(VLOOKUP($B$5,Tab_BdD_salariés[],12,0)="","Non concerné",VLOOKUP($B$5,Tab_BdD_salariés[],12,0))</f>
        <v>Non concerné</v>
      </c>
      <c r="C12" s="42"/>
      <c r="D12" s="56"/>
      <c r="E12" s="56"/>
      <c r="F12" s="56"/>
    </row>
    <row r="13" spans="1:7" ht="18" x14ac:dyDescent="0.55000000000000004">
      <c r="A13" s="40" t="s">
        <v>88</v>
      </c>
      <c r="B13" s="41" t="str">
        <f>IF(VLOOKUP($B$5,Tab_BdD_salariés[],13,0)="","Non concerné",VLOOKUP($B$5,Tab_BdD_salariés[],13,0))</f>
        <v>Non concerné</v>
      </c>
      <c r="C13" s="42"/>
      <c r="D13" s="56"/>
      <c r="E13" s="56"/>
      <c r="F13" s="56"/>
    </row>
    <row r="14" spans="1:7" ht="18" x14ac:dyDescent="0.55000000000000004">
      <c r="A14" s="40" t="s">
        <v>85</v>
      </c>
      <c r="B14" s="41" t="str">
        <f>IF(VLOOKUP($B$5,Tab_BdD_salariés[],10,0)="","Non concerné",VLOOKUP($B$5,Tab_BdD_salariés[],10,0))</f>
        <v>Non concerné</v>
      </c>
      <c r="C14" s="42"/>
      <c r="D14" s="42"/>
      <c r="E14" s="42"/>
      <c r="F14" s="42"/>
    </row>
    <row r="15" spans="1:7" ht="18" x14ac:dyDescent="0.55000000000000004">
      <c r="A15" s="40" t="s">
        <v>87</v>
      </c>
      <c r="B15" s="41" t="str">
        <f>IF(VLOOKUP($B$5,Tab_BdD_salariés[],14,0)="","Non concerné",VLOOKUP($B$5,Tab_BdD_salariés[],14,0))</f>
        <v>Non concerné</v>
      </c>
      <c r="C15" s="42"/>
      <c r="D15" s="42"/>
      <c r="E15" s="42"/>
      <c r="F15" s="42"/>
    </row>
    <row r="16" spans="1:7" ht="18" x14ac:dyDescent="0.55000000000000004">
      <c r="A16" s="40" t="s">
        <v>86</v>
      </c>
      <c r="B16" s="41" t="str">
        <f>IF(VLOOKUP($B$5,Tab_BdD_salariés[],22,0)="","Non concerné",VLOOKUP($B$5,Tab_BdD_salariés[],22,0))</f>
        <v>Non concerné</v>
      </c>
      <c r="C16" s="42"/>
      <c r="D16" s="42"/>
      <c r="E16" s="42"/>
      <c r="F16" s="42"/>
    </row>
    <row r="17" spans="1:6" ht="18" x14ac:dyDescent="0.55000000000000004">
      <c r="A17" s="40" t="s">
        <v>95</v>
      </c>
      <c r="B17" s="41" t="str">
        <f>IF(VLOOKUP($B$5,Tab_BdD_salariés[],15,0)="","Non concerné",VLOOKUP($B$5,Tab_BdD_salariés[],15,0))</f>
        <v>Non concerné</v>
      </c>
      <c r="C17" s="42"/>
      <c r="D17" s="42"/>
      <c r="E17" s="42"/>
      <c r="F17" s="42"/>
    </row>
    <row r="18" spans="1:6" ht="18" x14ac:dyDescent="0.55000000000000004">
      <c r="A18" s="40" t="s">
        <v>92</v>
      </c>
      <c r="B18" s="41" t="str">
        <f>IF(VLOOKUP($B$5,Tab_BdD_salariés[],16,0)="","Non concerné",VLOOKUP($B$5,Tab_BdD_salariés[],16,0))</f>
        <v>02/01/2015</v>
      </c>
      <c r="C18" s="42"/>
      <c r="D18" s="43" t="s">
        <v>93</v>
      </c>
      <c r="E18" s="41" t="str">
        <f>IF(VLOOKUP($B$5,Tab_BdD_salariés[],17,0)="","Non concerné",VLOOKUP($B$5,Tab_BdD_salariés[],17,0))</f>
        <v>5</v>
      </c>
      <c r="F18" s="42"/>
    </row>
    <row r="19" spans="1:6" ht="18" x14ac:dyDescent="0.55000000000000004">
      <c r="A19" s="40"/>
      <c r="B19" s="42"/>
      <c r="C19" s="42"/>
      <c r="D19" s="42"/>
      <c r="E19" s="42"/>
      <c r="F19" s="42"/>
    </row>
    <row r="20" spans="1:6" ht="18" x14ac:dyDescent="0.55000000000000004">
      <c r="A20" s="40" t="s">
        <v>94</v>
      </c>
      <c r="B20" s="41" t="str">
        <f>IF(VLOOKUP($B$5,Tab_BdD_salariés[],19,0)="","Non concerné",VLOOKUP($B$5,#REF!,19,0))</f>
        <v>Non concerné</v>
      </c>
      <c r="C20" s="42"/>
      <c r="D20" s="43" t="s">
        <v>93</v>
      </c>
      <c r="E20" s="41" t="str">
        <f>IF(VLOOKUP($B$5,Tab_BdD_salariés[],20,0)="","Non concerné",VLOOKUP($B$5,Tab_BdD_salariés[],20,0))</f>
        <v>Non concerné</v>
      </c>
      <c r="F20" s="42"/>
    </row>
  </sheetData>
  <mergeCells count="8">
    <mergeCell ref="B1:F1"/>
    <mergeCell ref="B7:C7"/>
    <mergeCell ref="D7:E7"/>
    <mergeCell ref="D10:F10"/>
    <mergeCell ref="D11:F13"/>
    <mergeCell ref="B3:D3"/>
    <mergeCell ref="B5:E5"/>
    <mergeCell ref="B6:E6"/>
  </mergeCells>
  <conditionalFormatting sqref="B10">
    <cfRule type="cellIs" dxfId="4" priority="5" operator="lessThan">
      <formula>TODAY()-1820</formula>
    </cfRule>
  </conditionalFormatting>
  <conditionalFormatting sqref="B11">
    <cfRule type="cellIs" dxfId="3" priority="4" operator="lessThan">
      <formula>TODAY()-1820</formula>
    </cfRule>
  </conditionalFormatting>
  <conditionalFormatting sqref="B11:B13">
    <cfRule type="cellIs" dxfId="2" priority="3" operator="lessThan">
      <formula>TODAY()-1820</formula>
    </cfRule>
  </conditionalFormatting>
  <conditionalFormatting sqref="B14">
    <cfRule type="cellIs" dxfId="1" priority="2" operator="lessThan">
      <formula>TODAY()-365</formula>
    </cfRule>
  </conditionalFormatting>
  <conditionalFormatting sqref="B15:B17">
    <cfRule type="cellIs" dxfId="0" priority="1" operator="lessThan">
      <formula>TODAY()-1095</formula>
    </cfRule>
  </conditionalFormatting>
  <dataValidations count="1">
    <dataValidation type="list" allowBlank="1" showInputMessage="1" showErrorMessage="1" sqref="B5:E5" xr:uid="{CDB75C9D-95D7-4B05-B3F0-EF46EF860F8B}">
      <formula1>liste_nom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FF5908-69CC-4FEC-BE59-F340BD1E1D3F}">
  <sheetPr codeName="Feuil5"/>
  <dimension ref="A1:B1"/>
  <sheetViews>
    <sheetView workbookViewId="0">
      <selection activeCell="D9" sqref="D8:D9"/>
    </sheetView>
  </sheetViews>
  <sheetFormatPr baseColWidth="10" defaultRowHeight="14.25" x14ac:dyDescent="0.45"/>
  <cols>
    <col min="1" max="1" width="19.9296875" customWidth="1"/>
    <col min="2" max="2" width="11.9296875" customWidth="1"/>
  </cols>
  <sheetData>
    <row r="1" spans="1:2" x14ac:dyDescent="0.45">
      <c r="A1" t="s">
        <v>1</v>
      </c>
      <c r="B1" t="s">
        <v>15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E2BF9A-821A-4720-8AF0-20EE2F3B1E72}">
  <sheetPr codeName="Feuil9"/>
  <dimension ref="A1:C1"/>
  <sheetViews>
    <sheetView workbookViewId="0">
      <selection activeCell="A10" sqref="A10"/>
    </sheetView>
  </sheetViews>
  <sheetFormatPr baseColWidth="10" defaultRowHeight="14.25" x14ac:dyDescent="0.45"/>
  <cols>
    <col min="1" max="1" width="21.9296875" customWidth="1"/>
    <col min="2" max="2" width="11.9296875" customWidth="1"/>
    <col min="3" max="3" width="11.265625" customWidth="1"/>
  </cols>
  <sheetData>
    <row r="1" spans="1:3" x14ac:dyDescent="0.45">
      <c r="A1" t="s">
        <v>1</v>
      </c>
      <c r="B1" t="s">
        <v>15</v>
      </c>
      <c r="C1" t="s">
        <v>16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A6C63E-C488-4FE0-A179-6AD76B9DE37F}">
  <sheetPr codeName="Feuil6"/>
  <dimension ref="A1:L2"/>
  <sheetViews>
    <sheetView workbookViewId="0">
      <selection activeCell="A2" sqref="A2"/>
    </sheetView>
  </sheetViews>
  <sheetFormatPr baseColWidth="10" defaultRowHeight="14.25" x14ac:dyDescent="0.45"/>
  <cols>
    <col min="1" max="1" width="22.796875" customWidth="1"/>
    <col min="2" max="2" width="14.53125" customWidth="1"/>
    <col min="3" max="3" width="13.53125" customWidth="1"/>
    <col min="4" max="4" width="15.06640625" customWidth="1"/>
    <col min="6" max="6" width="12.9296875" customWidth="1"/>
    <col min="7" max="7" width="16.9296875" customWidth="1"/>
    <col min="8" max="8" width="14.33203125" customWidth="1"/>
    <col min="9" max="9" width="17.1328125" customWidth="1"/>
    <col min="10" max="10" width="14.73046875" customWidth="1"/>
    <col min="11" max="11" width="12.33203125" customWidth="1"/>
    <col min="12" max="12" width="16.33203125" customWidth="1"/>
  </cols>
  <sheetData>
    <row r="1" spans="1:12" ht="37.15" customHeight="1" thickBot="1" x14ac:dyDescent="0.5">
      <c r="A1" s="24" t="s">
        <v>1</v>
      </c>
      <c r="B1" s="24" t="s">
        <v>24</v>
      </c>
      <c r="C1" s="24" t="s">
        <v>26</v>
      </c>
      <c r="D1" s="24" t="s">
        <v>33</v>
      </c>
      <c r="E1" s="24" t="s">
        <v>32</v>
      </c>
      <c r="F1" s="24" t="s">
        <v>27</v>
      </c>
      <c r="G1" s="24" t="s">
        <v>28</v>
      </c>
      <c r="H1" s="24" t="s">
        <v>29</v>
      </c>
      <c r="I1" s="24" t="s">
        <v>30</v>
      </c>
      <c r="J1" s="24" t="s">
        <v>31</v>
      </c>
      <c r="K1" s="24" t="s">
        <v>34</v>
      </c>
      <c r="L1" s="25" t="s">
        <v>50</v>
      </c>
    </row>
    <row r="2" spans="1:12" x14ac:dyDescent="0.45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CC2905-B19C-4FA0-A7B0-06C80BE1EFCA}">
  <sheetPr codeName="Feuil7"/>
  <dimension ref="A1:H1"/>
  <sheetViews>
    <sheetView workbookViewId="0">
      <selection activeCell="A2" sqref="A2"/>
    </sheetView>
  </sheetViews>
  <sheetFormatPr baseColWidth="10" defaultRowHeight="14.25" x14ac:dyDescent="0.45"/>
  <sheetData>
    <row r="1" spans="1:8" ht="15.75" x14ac:dyDescent="0.5">
      <c r="A1" s="44" t="s">
        <v>101</v>
      </c>
      <c r="B1" s="44"/>
      <c r="C1" s="44"/>
      <c r="D1" s="44"/>
      <c r="E1" s="44"/>
      <c r="F1" s="44"/>
      <c r="G1" s="44"/>
      <c r="H1" s="4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Listes</vt:lpstr>
      <vt:lpstr>procédure</vt:lpstr>
      <vt:lpstr>Menu_general</vt:lpstr>
      <vt:lpstr>BdD_salaries</vt:lpstr>
      <vt:lpstr>Passeport_SAlarié</vt:lpstr>
      <vt:lpstr>Extraction_présents</vt:lpstr>
      <vt:lpstr>Extraction_sortis</vt:lpstr>
      <vt:lpstr>Extraction_évènements</vt:lpstr>
      <vt:lpstr>Filtres élaborés</vt:lpstr>
      <vt:lpstr>BdD_salaries!liste_nom</vt:lpstr>
      <vt:lpstr>liste_nom</vt:lpstr>
      <vt:lpstr>BdD_salaries!liste_réponse</vt:lpstr>
      <vt:lpstr>liste_réponse</vt:lpstr>
      <vt:lpstr>BdD_salaries!liste_VM</vt:lpstr>
      <vt:lpstr>liste_VM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Colombet Josie</dc:creator>
  <cp:lastModifiedBy>Colombet Josie</cp:lastModifiedBy>
  <dcterms:created xsi:type="dcterms:W3CDTF">2021-02-10T12:43:53Z</dcterms:created>
  <dcterms:modified xsi:type="dcterms:W3CDTF">2021-04-27T15:16:58Z</dcterms:modified>
</cp:coreProperties>
</file>