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mc:AlternateContent xmlns:mc="http://schemas.openxmlformats.org/markup-compatibility/2006">
    <mc:Choice Requires="x15">
      <x15ac:absPath xmlns:x15ac="http://schemas.microsoft.com/office/spreadsheetml/2010/11/ac" url="G:\assistante maternelle\comptabilité\outils comptables\"/>
    </mc:Choice>
  </mc:AlternateContent>
  <bookViews>
    <workbookView xWindow="0" yWindow="0" windowWidth="24000" windowHeight="9735" activeTab="1"/>
  </bookViews>
  <sheets>
    <sheet name="AI" sheetId="1" r:id="rId1"/>
    <sheet name="récapitulatif AI" sheetId="6" r:id="rId2"/>
    <sheet name="REGUL AC" sheetId="2" r:id="rId3"/>
    <sheet name="indemnité compensatrice CP AC" sheetId="4" r:id="rId4"/>
    <sheet name="recap sem parents" sheetId="5" r:id="rId5"/>
  </sheets>
  <definedNames>
    <definedName name="_xlnm.Print_Area" localSheetId="0">AI!$A$1:$N$90</definedName>
    <definedName name="_xlnm.Print_Area" localSheetId="3">'indemnité compensatrice CP AC'!$A$1:$L$57</definedName>
    <definedName name="_xlnm.Print_Area" localSheetId="1">'récapitulatif AI'!$A$1:$K$78</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45" i="6" l="1"/>
  <c r="D26" i="5" l="1"/>
  <c r="D25" i="5"/>
  <c r="C24" i="5"/>
  <c r="B24" i="5"/>
  <c r="C23" i="5"/>
  <c r="B23" i="5"/>
  <c r="C22" i="5"/>
  <c r="B22" i="5"/>
  <c r="C21" i="5"/>
  <c r="B21" i="5"/>
  <c r="C20" i="5"/>
  <c r="B20" i="5"/>
  <c r="C19" i="5"/>
  <c r="B19" i="5"/>
  <c r="C18" i="5"/>
  <c r="B18" i="5"/>
  <c r="C17" i="5"/>
  <c r="B17" i="5"/>
  <c r="C16" i="5"/>
  <c r="B16" i="5"/>
  <c r="C15" i="5"/>
  <c r="B15" i="5"/>
  <c r="C14" i="5"/>
  <c r="B14" i="5"/>
  <c r="C13" i="5"/>
  <c r="B13" i="5"/>
  <c r="E7" i="5"/>
  <c r="J56" i="4"/>
  <c r="I56" i="4"/>
  <c r="B54" i="4"/>
  <c r="J52" i="4"/>
  <c r="I52" i="4"/>
  <c r="H52" i="4"/>
  <c r="G52" i="4"/>
  <c r="F52" i="4"/>
  <c r="D52" i="4"/>
  <c r="C51" i="4"/>
  <c r="C50" i="4"/>
  <c r="C49" i="4"/>
  <c r="C48" i="4"/>
  <c r="C47" i="4"/>
  <c r="C46" i="4"/>
  <c r="C45" i="4"/>
  <c r="C44" i="4"/>
  <c r="C43" i="4"/>
  <c r="C42" i="4"/>
  <c r="C41" i="4"/>
  <c r="C40" i="4"/>
  <c r="H33" i="4"/>
  <c r="C30" i="4"/>
  <c r="K25" i="4"/>
  <c r="I25" i="4"/>
  <c r="K24" i="4"/>
  <c r="J24" i="4"/>
  <c r="I24" i="4"/>
  <c r="H24" i="4"/>
  <c r="G24" i="4"/>
  <c r="F24" i="4"/>
  <c r="E24" i="4"/>
  <c r="D24" i="4"/>
  <c r="K23" i="4"/>
  <c r="E23" i="4"/>
  <c r="C23" i="4"/>
  <c r="K22" i="4"/>
  <c r="F22" i="4"/>
  <c r="E22" i="4"/>
  <c r="C22" i="4"/>
  <c r="K21" i="4"/>
  <c r="E21" i="4"/>
  <c r="C21" i="4"/>
  <c r="K20" i="4"/>
  <c r="E20" i="4"/>
  <c r="C20" i="4"/>
  <c r="K19" i="4"/>
  <c r="E19" i="4"/>
  <c r="C19" i="4"/>
  <c r="K18" i="4"/>
  <c r="E18" i="4"/>
  <c r="C18" i="4"/>
  <c r="K17" i="4"/>
  <c r="E17" i="4"/>
  <c r="C17" i="4"/>
  <c r="K16" i="4"/>
  <c r="E16" i="4"/>
  <c r="C16" i="4"/>
  <c r="K15" i="4"/>
  <c r="G15" i="4"/>
  <c r="E15" i="4"/>
  <c r="C15" i="4"/>
  <c r="K14" i="4"/>
  <c r="E14" i="4"/>
  <c r="C14" i="4"/>
  <c r="K13" i="4"/>
  <c r="E13" i="4"/>
  <c r="C13" i="4"/>
  <c r="K12" i="4"/>
  <c r="E12" i="4"/>
  <c r="B11" i="4"/>
  <c r="K6" i="4"/>
  <c r="H57" i="2"/>
  <c r="H56" i="2"/>
  <c r="H55" i="2"/>
  <c r="D52" i="2"/>
  <c r="E51" i="2"/>
  <c r="D51" i="2"/>
  <c r="H50" i="2"/>
  <c r="F50" i="2"/>
  <c r="D50" i="2"/>
  <c r="H49" i="2"/>
  <c r="C49" i="2"/>
  <c r="H48" i="2"/>
  <c r="C48" i="2"/>
  <c r="H47" i="2"/>
  <c r="C47" i="2"/>
  <c r="H46" i="2"/>
  <c r="C46" i="2"/>
  <c r="H45" i="2"/>
  <c r="C45" i="2"/>
  <c r="H44" i="2"/>
  <c r="C44" i="2"/>
  <c r="H43" i="2"/>
  <c r="C43" i="2"/>
  <c r="H42" i="2"/>
  <c r="C42" i="2"/>
  <c r="H41" i="2"/>
  <c r="C41" i="2"/>
  <c r="H40" i="2"/>
  <c r="C40" i="2"/>
  <c r="H39" i="2"/>
  <c r="C39" i="2"/>
  <c r="H38" i="2"/>
  <c r="C38" i="2"/>
  <c r="B37" i="2"/>
  <c r="C26" i="2"/>
  <c r="K24" i="2"/>
  <c r="J24" i="2"/>
  <c r="F24" i="2"/>
  <c r="E24" i="2"/>
  <c r="D24" i="2"/>
  <c r="K23" i="2"/>
  <c r="I23" i="2"/>
  <c r="E23" i="2"/>
  <c r="C23" i="2"/>
  <c r="K22" i="2"/>
  <c r="I22" i="2"/>
  <c r="F22" i="2"/>
  <c r="E22" i="2"/>
  <c r="C22" i="2"/>
  <c r="K21" i="2"/>
  <c r="I21" i="2"/>
  <c r="E21" i="2"/>
  <c r="C21" i="2"/>
  <c r="K20" i="2"/>
  <c r="I20" i="2"/>
  <c r="E20" i="2"/>
  <c r="C20" i="2"/>
  <c r="K19" i="2"/>
  <c r="I19" i="2"/>
  <c r="E19" i="2"/>
  <c r="C19" i="2"/>
  <c r="K18" i="2"/>
  <c r="I18" i="2"/>
  <c r="E18" i="2"/>
  <c r="C18" i="2"/>
  <c r="K17" i="2"/>
  <c r="I17" i="2"/>
  <c r="E17" i="2"/>
  <c r="C17" i="2"/>
  <c r="K16" i="2"/>
  <c r="I16" i="2"/>
  <c r="E16" i="2"/>
  <c r="C16" i="2"/>
  <c r="K15" i="2"/>
  <c r="I15" i="2"/>
  <c r="E15" i="2"/>
  <c r="C15" i="2"/>
  <c r="K14" i="2"/>
  <c r="I14" i="2"/>
  <c r="E14" i="2"/>
  <c r="C14" i="2"/>
  <c r="K13" i="2"/>
  <c r="I13" i="2"/>
  <c r="E13" i="2"/>
  <c r="C13" i="2"/>
  <c r="K12" i="2"/>
  <c r="I12" i="2"/>
  <c r="E12" i="2"/>
  <c r="H11" i="2"/>
  <c r="B11" i="2"/>
  <c r="K6" i="2"/>
  <c r="C78" i="6"/>
  <c r="E77" i="6"/>
  <c r="E76" i="6"/>
  <c r="D75" i="6"/>
  <c r="C75" i="6"/>
  <c r="D74" i="6"/>
  <c r="C74" i="6"/>
  <c r="D73" i="6"/>
  <c r="C73" i="6"/>
  <c r="D72" i="6"/>
  <c r="C72" i="6"/>
  <c r="D71" i="6"/>
  <c r="C71" i="6"/>
  <c r="D70" i="6"/>
  <c r="C70" i="6"/>
  <c r="D69" i="6"/>
  <c r="C69" i="6"/>
  <c r="D68" i="6"/>
  <c r="C68" i="6"/>
  <c r="D67" i="6"/>
  <c r="C67" i="6"/>
  <c r="D66" i="6"/>
  <c r="C66" i="6"/>
  <c r="D65" i="6"/>
  <c r="C65" i="6"/>
  <c r="D64" i="6"/>
  <c r="C64" i="6"/>
  <c r="F58" i="6"/>
  <c r="H40" i="6"/>
  <c r="I39" i="6"/>
  <c r="I38" i="6"/>
  <c r="H38" i="6"/>
  <c r="E34" i="6"/>
  <c r="D34" i="6"/>
  <c r="B34" i="6"/>
  <c r="E33" i="6"/>
  <c r="D33" i="6"/>
  <c r="B33" i="6"/>
  <c r="E32" i="6"/>
  <c r="D32" i="6"/>
  <c r="B32" i="6"/>
  <c r="E31" i="6"/>
  <c r="D31" i="6"/>
  <c r="B31" i="6"/>
  <c r="E30" i="6"/>
  <c r="D30" i="6"/>
  <c r="B30" i="6"/>
  <c r="E29" i="6"/>
  <c r="D29" i="6"/>
  <c r="B29" i="6"/>
  <c r="E28" i="6"/>
  <c r="D28" i="6"/>
  <c r="B28" i="6"/>
  <c r="E27" i="6"/>
  <c r="D27" i="6"/>
  <c r="B27" i="6"/>
  <c r="E26" i="6"/>
  <c r="D26" i="6"/>
  <c r="B26" i="6"/>
  <c r="E25" i="6"/>
  <c r="D25" i="6"/>
  <c r="B25" i="6"/>
  <c r="E24" i="6"/>
  <c r="D24" i="6"/>
  <c r="D35" i="6" s="1"/>
  <c r="J42" i="6" s="1"/>
  <c r="B24" i="6"/>
  <c r="E23" i="6"/>
  <c r="D23" i="6"/>
  <c r="B23" i="6"/>
  <c r="I17" i="6"/>
  <c r="J13" i="6"/>
  <c r="H13" i="6"/>
  <c r="I7" i="6"/>
  <c r="E5" i="6"/>
  <c r="J3" i="6"/>
  <c r="M89" i="1"/>
  <c r="D89" i="1"/>
  <c r="O88" i="1"/>
  <c r="C88" i="1"/>
  <c r="O87" i="1"/>
  <c r="O86" i="1"/>
  <c r="L86" i="1"/>
  <c r="O85" i="1"/>
  <c r="L85" i="1"/>
  <c r="C85" i="1"/>
  <c r="O84" i="1"/>
  <c r="C84" i="1"/>
  <c r="O83" i="1"/>
  <c r="O82" i="1"/>
  <c r="L82" i="1"/>
  <c r="I82" i="1"/>
  <c r="F82" i="1"/>
  <c r="C82" i="1"/>
  <c r="I66" i="1" s="1"/>
  <c r="O81" i="1"/>
  <c r="C81" i="1"/>
  <c r="O80" i="1"/>
  <c r="C80" i="1"/>
  <c r="O79" i="1"/>
  <c r="C79" i="1"/>
  <c r="O78" i="1"/>
  <c r="L78" i="1"/>
  <c r="C78" i="1"/>
  <c r="O77" i="1"/>
  <c r="L77" i="1"/>
  <c r="M15" i="6" s="1"/>
  <c r="C77" i="1"/>
  <c r="H37" i="6" s="1"/>
  <c r="G76" i="1"/>
  <c r="I63" i="1"/>
  <c r="E63" i="1"/>
  <c r="I62" i="1"/>
  <c r="I64" i="1" s="1"/>
  <c r="M58" i="1"/>
  <c r="L52" i="1"/>
  <c r="K52" i="1"/>
  <c r="M52" i="1" s="1"/>
  <c r="M51" i="1"/>
  <c r="L51" i="1"/>
  <c r="K51" i="1"/>
  <c r="L50" i="1"/>
  <c r="K50" i="1"/>
  <c r="L49" i="1"/>
  <c r="K49" i="1"/>
  <c r="J15" i="6" s="1"/>
  <c r="L48" i="1"/>
  <c r="K47" i="1"/>
  <c r="K46" i="1"/>
  <c r="J42" i="1"/>
  <c r="C38" i="1"/>
  <c r="L29" i="1"/>
  <c r="D29" i="1"/>
  <c r="E29" i="1" s="1"/>
  <c r="M28" i="1"/>
  <c r="E28" i="1"/>
  <c r="C28" i="1"/>
  <c r="H39" i="6" s="1"/>
  <c r="M27" i="1"/>
  <c r="F27" i="1"/>
  <c r="E27" i="1"/>
  <c r="C27" i="1"/>
  <c r="M26" i="1"/>
  <c r="E26" i="1"/>
  <c r="C26" i="1"/>
  <c r="M25" i="1"/>
  <c r="E25" i="1"/>
  <c r="C25" i="1"/>
  <c r="M24" i="1"/>
  <c r="E24" i="1"/>
  <c r="C24" i="1"/>
  <c r="M23" i="1"/>
  <c r="E23" i="1"/>
  <c r="C23" i="1"/>
  <c r="M22" i="1"/>
  <c r="E22" i="1"/>
  <c r="C22" i="1"/>
  <c r="M21" i="1"/>
  <c r="E21" i="1"/>
  <c r="C21" i="1"/>
  <c r="M20" i="1"/>
  <c r="H20" i="1"/>
  <c r="E20" i="1"/>
  <c r="C20" i="1"/>
  <c r="M19" i="1"/>
  <c r="E19" i="1"/>
  <c r="C19" i="1"/>
  <c r="M18" i="1"/>
  <c r="E18" i="1"/>
  <c r="C18" i="1"/>
  <c r="M17" i="1"/>
  <c r="E17" i="1"/>
  <c r="M15" i="1"/>
  <c r="B12" i="1"/>
  <c r="K10" i="1"/>
  <c r="J10" i="1"/>
  <c r="M7" i="1"/>
  <c r="F29" i="1" l="1"/>
  <c r="F13" i="6" s="1"/>
  <c r="M29" i="1"/>
  <c r="M30" i="1" s="1"/>
  <c r="J40" i="6"/>
  <c r="I40" i="6"/>
  <c r="H51" i="1"/>
  <c r="H62" i="1"/>
  <c r="G77" i="1"/>
  <c r="G78" i="1"/>
  <c r="G79" i="1"/>
  <c r="G80" i="1"/>
  <c r="G81" i="1"/>
  <c r="C83" i="1"/>
  <c r="L84" i="1"/>
  <c r="C87" i="1"/>
  <c r="L88" i="1"/>
  <c r="L79" i="1"/>
  <c r="L80" i="1"/>
  <c r="L81" i="1"/>
  <c r="L83" i="1"/>
  <c r="C86" i="1"/>
  <c r="L87" i="1"/>
  <c r="D8" i="6"/>
  <c r="G23" i="6"/>
  <c r="G24" i="6"/>
  <c r="G25" i="6"/>
  <c r="G26" i="6"/>
  <c r="G27" i="6"/>
  <c r="G28" i="6"/>
  <c r="G29" i="6"/>
  <c r="G30" i="6"/>
  <c r="G31" i="6"/>
  <c r="G32" i="6"/>
  <c r="G33" i="6"/>
  <c r="G34" i="6"/>
  <c r="K66" i="1"/>
  <c r="J23" i="6"/>
  <c r="I34" i="6"/>
  <c r="I24" i="6"/>
  <c r="J25" i="6"/>
  <c r="I28" i="6"/>
  <c r="J29" i="6"/>
  <c r="I32" i="6"/>
  <c r="J33" i="6"/>
  <c r="I25" i="6"/>
  <c r="J26" i="6"/>
  <c r="I29" i="6"/>
  <c r="J30" i="6"/>
  <c r="I33" i="6"/>
  <c r="J34" i="6"/>
  <c r="I23" i="6"/>
  <c r="J24" i="6"/>
  <c r="I27" i="6"/>
  <c r="J28" i="6"/>
  <c r="I31" i="6"/>
  <c r="J32" i="6"/>
  <c r="I26" i="6"/>
  <c r="J27" i="6"/>
  <c r="I30" i="6"/>
  <c r="J31" i="6"/>
  <c r="H29" i="1" l="1"/>
  <c r="I29" i="1" s="1"/>
  <c r="K29" i="1" s="1"/>
  <c r="K30" i="1" s="1"/>
  <c r="L32" i="1" s="1"/>
  <c r="I35" i="6"/>
  <c r="J35" i="6"/>
  <c r="K24" i="1" l="1"/>
  <c r="L62" i="1" s="1"/>
  <c r="K48" i="1"/>
  <c r="F15" i="6" s="1"/>
  <c r="F28" i="6" s="1"/>
  <c r="L90" i="1"/>
  <c r="M90" i="1"/>
  <c r="H8" i="6"/>
  <c r="F29" i="6" l="1"/>
  <c r="F25" i="6"/>
  <c r="F26" i="6"/>
  <c r="F24" i="6"/>
  <c r="F32" i="6"/>
  <c r="F27" i="6"/>
  <c r="F33" i="6"/>
  <c r="F31" i="6"/>
  <c r="F23" i="6"/>
  <c r="F30" i="6"/>
  <c r="F34" i="6"/>
  <c r="F35" i="6" l="1"/>
  <c r="I43" i="6" s="1"/>
  <c r="J43" i="6" s="1"/>
  <c r="H49" i="6" s="1"/>
  <c r="I42" i="6" l="1"/>
  <c r="H47" i="6" l="1"/>
  <c r="H45" i="6"/>
  <c r="K52" i="4" l="1"/>
</calcChain>
</file>

<file path=xl/comments1.xml><?xml version="1.0" encoding="utf-8"?>
<comments xmlns="http://schemas.openxmlformats.org/spreadsheetml/2006/main">
  <authors>
    <author>karine tison</author>
    <author>karine</author>
  </authors>
  <commentList>
    <comment ref="D12" authorId="0" shapeId="0">
      <text>
        <r>
          <rPr>
            <sz val="9"/>
            <color indexed="81"/>
            <rFont val="Tahoma"/>
            <family val="2"/>
          </rPr>
          <t xml:space="preserve">
Notez le nombre de semaines travaillées du mois (y compris les semaines d'absence rémunérées) et la ou les semaines enières de congés acquis de l'année précédente qui ont été pris en temps.
Pour une semaine « à cheval » sur deux mois, comptez cette semaine sur le deuxième mois seulement (une semaine ne doit être comptée qu'une seule fois!)
Lorsqu'une semaine est partiellement travaillée (en raison de jours d'absence déduits, d'un début ou d'une fin de contrat en cours de semaine, des jours d'adaptation) celle-ci est fractionnée, comptez les jours ouvrés effectifs de la semaine, c'est-à-dire les jours payées  :
- les jours travaillés 
- les jours d'absence rémunérée
- les jours ouvrés sur les fractions de semaines de congé payés acquis
- les jours ouvrés fériés maintenus dans la mensu
Puis, multipliez ce nombre de jours ouvrés effectifs par l'un des coefficients ci-dessous, selon que l'accueil est prévu sur :
- 6 jrs/sem, comptez 0,167 sem par jour ouvré effectif
- 5 jrs/sem, comptez 0,20 sem par jour ouvré effectif
- 4 jrs/sem, comptez 0,25 sem par jour ouvré effectif
- 3 jrs/sem, on compte 0,333 sem par jour ouvré effectif
- 2 jrs/sem, on compte 0,50 sem par jour ouvré effectif
Exemple : contrat de 4j/sem,
Une semaine avec seulement 3 jours ouvrés effectifs compte pour 0,75sem (3x0,25sem) 
Exemple : contrat de 5 j/sem,
Une semaine avec seulement 2 jours ouvrés effectifs compte pour 0,40sem (2x0,20sem)</t>
        </r>
      </text>
    </comment>
    <comment ref="L16" authorId="1" shapeId="0">
      <text>
        <r>
          <rPr>
            <b/>
            <sz val="9"/>
            <color indexed="81"/>
            <rFont val="Tahoma"/>
            <family val="2"/>
          </rPr>
          <t>karine:</t>
        </r>
        <r>
          <rPr>
            <sz val="9"/>
            <color indexed="81"/>
            <rFont val="Tahoma"/>
            <family val="2"/>
          </rPr>
          <t xml:space="preserve">
Si durant l'année de référence considérée vous avez perçu une rémunération pour des CP acquis de l'année précédente qui ont bien été pris en temps sur l'année de référence suivante, cette somme est à prendre en considération pour le calcul du 1/10ème.
Attention prendre les données du tableau de l'année précédente :
- à l'onglet 1, cellule J31, s'il n'y a pas de rupture de contrat (tous les CP ont été pris en temps)
- à l'onglet 2, cellule G40, s'il y a rupture de contrat (les CP n'ayant peut-être été pris que partiellement en temps)</t>
        </r>
      </text>
    </comment>
    <comment ref="H22" authorId="1" shapeId="0">
      <text>
        <r>
          <rPr>
            <b/>
            <sz val="9"/>
            <color indexed="81"/>
            <rFont val="Tahoma"/>
            <family val="2"/>
          </rPr>
          <t>karine:</t>
        </r>
        <r>
          <rPr>
            <sz val="9"/>
            <color indexed="81"/>
            <rFont val="Tahoma"/>
            <family val="2"/>
          </rPr>
          <t xml:space="preserve">
Mettez le nombre habituel de jours travaillés par semaine ou la moyenne de jours par semaine selon les éléments en vigueur à la date de rupture, ou au plus tard au 31 mai</t>
        </r>
      </text>
    </comment>
    <comment ref="I22" authorId="1" shapeId="0">
      <text>
        <r>
          <rPr>
            <b/>
            <sz val="9"/>
            <color indexed="81"/>
            <rFont val="Tahoma"/>
            <family val="2"/>
          </rPr>
          <t>karine:</t>
        </r>
        <r>
          <rPr>
            <sz val="9"/>
            <color indexed="81"/>
            <rFont val="Tahoma"/>
            <family val="2"/>
          </rPr>
          <t xml:space="preserve">
Mettez les heures par jour ou la moyenne d'heures par jour (total d'heures par semaine/nbre de jrs travaillés)  selon les éléments en vigueur à la date de rupture, ou au plus tard au 31 mai</t>
        </r>
      </text>
    </comment>
    <comment ref="K22" authorId="1" shapeId="0">
      <text>
        <r>
          <rPr>
            <b/>
            <sz val="9"/>
            <color indexed="81"/>
            <rFont val="Tahoma"/>
            <family val="2"/>
          </rPr>
          <t>karine:</t>
        </r>
        <r>
          <rPr>
            <sz val="9"/>
            <color indexed="81"/>
            <rFont val="Tahoma"/>
            <family val="2"/>
          </rPr>
          <t xml:space="preserve">
Mettez votre taux horaire BRUT ou NET
 à la date de rupture, ou au plus tard au 31 mai</t>
        </r>
      </text>
    </comment>
    <comment ref="H29" authorId="1" shapeId="0">
      <text>
        <r>
          <rPr>
            <b/>
            <sz val="9"/>
            <color indexed="81"/>
            <rFont val="Tahoma"/>
            <family val="2"/>
          </rPr>
          <t>karine:</t>
        </r>
        <r>
          <rPr>
            <sz val="9"/>
            <color indexed="81"/>
            <rFont val="Tahoma"/>
            <family val="2"/>
          </rPr>
          <t xml:space="preserve">
jours ouvrés</t>
        </r>
      </text>
    </comment>
    <comment ref="L49" authorId="1" shapeId="0">
      <text>
        <r>
          <rPr>
            <b/>
            <sz val="9"/>
            <color indexed="81"/>
            <rFont val="Tahoma"/>
            <family val="2"/>
          </rPr>
          <t>karine:</t>
        </r>
        <r>
          <rPr>
            <sz val="9"/>
            <color indexed="81"/>
            <rFont val="Tahoma"/>
            <family val="2"/>
          </rPr>
          <t xml:space="preserve">
Montant le plus avantageux / Nbre de jrs ouvrables acquis
Multiplié par le nombre de jours ouvrables pris le mois concerné
Remplissez le tableau ci-dessous, C79 à D90, pour le suivi de la prise des congés qui sera reporté dans l'onglet suivant pour le calcul de l'éventuel solde CP.</t>
        </r>
      </text>
    </comment>
    <comment ref="H62" authorId="1" shapeId="0">
      <text>
        <r>
          <rPr>
            <b/>
            <sz val="9"/>
            <color indexed="81"/>
            <rFont val="Tahoma"/>
            <family val="2"/>
          </rPr>
          <t>karine:</t>
        </r>
        <r>
          <rPr>
            <sz val="9"/>
            <color indexed="81"/>
            <rFont val="Tahoma"/>
            <family val="2"/>
          </rPr>
          <t xml:space="preserve">
Lorsque vous avez acquis au 31 mai de l'année en cours plus de 12 jrs ouvrables,
vous devrez prendre obligatoirement au minimum 12 jrs ouvrables avant le 31 octobre de la même année.
Le solde des CP restant à prendre au 31 octobre (hors congés suppl. Enfants-15 ans) dans la limite d'un solde de 12 jrs ouvrables (hors 5ème semaine) donne droit à 1 ou 2 jrs supplémentaires pour fractionnement soit : 
- 2 jrs ouvrables, si le solde des cp est de 6 jrs ou plus
- 1 jr, si le solde des cp est de 3, 4 ou 5 jrs.</t>
        </r>
      </text>
    </comment>
    <comment ref="I66" authorId="1" shapeId="0">
      <text>
        <r>
          <rPr>
            <b/>
            <sz val="9"/>
            <color indexed="81"/>
            <rFont val="Tahoma"/>
            <family val="2"/>
          </rPr>
          <t>karine:</t>
        </r>
        <r>
          <rPr>
            <sz val="9"/>
            <color indexed="81"/>
            <rFont val="Tahoma"/>
            <family val="2"/>
          </rPr>
          <t xml:space="preserve">
L'indemnité Compensatrice de congé pour jours de fractionnement acquis n'est due que si le contrat est rompu :
- APRES le 31 octobre 
et
- AVANT le 30 avril.
de l'année de référence de prise des congés.</t>
        </r>
      </text>
    </comment>
  </commentList>
</comments>
</file>

<file path=xl/comments2.xml><?xml version="1.0" encoding="utf-8"?>
<comments xmlns="http://schemas.openxmlformats.org/spreadsheetml/2006/main">
  <authors>
    <author>karine</author>
  </authors>
  <commentList>
    <comment ref="D10" authorId="0" shapeId="0">
      <text>
        <r>
          <rPr>
            <b/>
            <sz val="9"/>
            <color indexed="81"/>
            <rFont val="Tahoma"/>
            <family val="2"/>
          </rPr>
          <t>Mettez 1 si le mois est travaillé (minimum 4 semaines travaillées)
Mettez 0,25 si une semaine travaillée
Mettez 0,50 si 2 semaines travaillées
Mettez 0,75 si 3 semaines travaillées</t>
        </r>
        <r>
          <rPr>
            <sz val="9"/>
            <color indexed="81"/>
            <rFont val="Tahoma"/>
            <family val="2"/>
          </rPr>
          <t xml:space="preserve">
</t>
        </r>
      </text>
    </comment>
    <comment ref="E10" authorId="0" shapeId="0">
      <text>
        <r>
          <rPr>
            <sz val="9"/>
            <color indexed="81"/>
            <rFont val="Tahoma"/>
            <family val="2"/>
          </rPr>
          <t xml:space="preserve">
2,5 jrs ouvrables par mois complet, en année complète</t>
        </r>
      </text>
    </comment>
    <comment ref="F10" authorId="0" shapeId="0">
      <text>
        <r>
          <rPr>
            <sz val="9"/>
            <color indexed="81"/>
            <rFont val="Tahoma"/>
            <family val="2"/>
          </rPr>
          <t xml:space="preserve">
Total des CP acquis par le temps de travail et des CPS accordés</t>
        </r>
      </text>
    </comment>
  </commentList>
</comments>
</file>

<file path=xl/comments3.xml><?xml version="1.0" encoding="utf-8"?>
<comments xmlns="http://schemas.openxmlformats.org/spreadsheetml/2006/main">
  <authors>
    <author>karine tison</author>
    <author>karine</author>
    <author/>
  </authors>
  <commentList>
    <comment ref="D10" authorId="0" shapeId="0">
      <text>
        <r>
          <rPr>
            <sz val="9"/>
            <color indexed="81"/>
            <rFont val="Tahoma"/>
            <family val="2"/>
          </rPr>
          <t xml:space="preserve">Mettez 1 si le mois est travaillé (minimum 4 semaines travaillées)
Mettez 0,25 si une semaine travaillée
Mettez 0,50 si 2 semaines travaillées
Mettez 0,75 si 3 semaines travaillées
</t>
        </r>
      </text>
    </comment>
    <comment ref="G17" authorId="1" shapeId="0">
      <text>
        <r>
          <rPr>
            <sz val="9"/>
            <color indexed="81"/>
            <rFont val="Tahoma"/>
            <family val="2"/>
          </rPr>
          <t xml:space="preserve">Mettez le nombre habituel de jours travaillés par semaine ou la moyenne de jours par semaine selon les éléments en vigueur à la date de rupture, ou au plus tard au 31 mai
</t>
        </r>
      </text>
    </comment>
    <comment ref="H17" authorId="1" shapeId="0">
      <text>
        <r>
          <rPr>
            <sz val="9"/>
            <color indexed="81"/>
            <rFont val="Tahoma"/>
            <family val="2"/>
          </rPr>
          <t xml:space="preserve">Mettez les heures par jour ou la moyenne d'heures par jour (total d'heures par semaine/nbre de jrs travaillés)  selon les éléments en vigueur à la date de rupture, ou au plus tard au 31 mai
</t>
        </r>
      </text>
    </comment>
    <comment ref="I17" authorId="1" shapeId="0">
      <text>
        <r>
          <rPr>
            <sz val="9"/>
            <color indexed="81"/>
            <rFont val="Tahoma"/>
            <family val="2"/>
          </rPr>
          <t xml:space="preserve">Mettez votre taux horaire BRUT ou NET
 à la date de rupture, ou au plus tard au 31 mai
</t>
        </r>
      </text>
    </comment>
    <comment ref="I33" authorId="2" shapeId="0">
      <text>
        <r>
          <rPr>
            <b/>
            <sz val="9"/>
            <color indexed="8"/>
            <rFont val="Tahoma"/>
            <family val="2"/>
          </rPr>
          <t xml:space="preserve">SPAMAF :
</t>
        </r>
        <r>
          <rPr>
            <sz val="9"/>
            <color indexed="8"/>
            <rFont val="Tahoma"/>
            <family val="2"/>
          </rPr>
          <t>Indiquez le nombre d'enfants à charge de moins de 15 ans</t>
        </r>
      </text>
    </comment>
  </commentList>
</comments>
</file>

<file path=xl/sharedStrings.xml><?xml version="1.0" encoding="utf-8"?>
<sst xmlns="http://schemas.openxmlformats.org/spreadsheetml/2006/main" count="321" uniqueCount="182">
  <si>
    <t>ANNEE INCOMPLETE</t>
  </si>
  <si>
    <t>Mettez X dans l'une des 2 cases</t>
  </si>
  <si>
    <t>Calcul en BRUT</t>
  </si>
  <si>
    <t xml:space="preserve">NOM DE L'ENFANT </t>
  </si>
  <si>
    <t>Calcul en NET</t>
  </si>
  <si>
    <t>x</t>
  </si>
  <si>
    <t xml:space="preserve">Date de Début du contrat  </t>
  </si>
  <si>
    <t>Calcul des Congés Payés « aux 10% »</t>
  </si>
  <si>
    <t/>
  </si>
  <si>
    <t>Semaines validées</t>
  </si>
  <si>
    <t>Nbre de jours de CP acquis par le temps validé</t>
  </si>
  <si>
    <t>Total des jours de CP acquis</t>
  </si>
  <si>
    <t>Calcul des Congés Payés en maintien de salaire</t>
  </si>
  <si>
    <t>Cumul</t>
  </si>
  <si>
    <t>Jrs Ouvrés</t>
  </si>
  <si>
    <t>Temps validé</t>
  </si>
  <si>
    <t>CP acquis</t>
  </si>
  <si>
    <t>Sem validées</t>
  </si>
  <si>
    <t xml:space="preserve">Juin </t>
  </si>
  <si>
    <t xml:space="preserve">Juillet </t>
  </si>
  <si>
    <t xml:space="preserve">Août </t>
  </si>
  <si>
    <t xml:space="preserve">Septembre </t>
  </si>
  <si>
    <t xml:space="preserve">Octobre </t>
  </si>
  <si>
    <t xml:space="preserve">Novembre </t>
  </si>
  <si>
    <t xml:space="preserve">Décembre </t>
  </si>
  <si>
    <t xml:space="preserve">Janvier </t>
  </si>
  <si>
    <t xml:space="preserve">Février </t>
  </si>
  <si>
    <t xml:space="preserve">Mars </t>
  </si>
  <si>
    <t xml:space="preserve">Avril </t>
  </si>
  <si>
    <t xml:space="preserve">Mai </t>
  </si>
  <si>
    <t xml:space="preserve">TOTAL </t>
  </si>
  <si>
    <t xml:space="preserve">Rémunération que le salarié aurait perçue pendant son temps de congé  </t>
  </si>
  <si>
    <t>CP 10 %</t>
  </si>
  <si>
    <t xml:space="preserve">Le montant le plus avantageux pour le salarié est retenu, soit    </t>
  </si>
  <si>
    <t>de l'année de référence considérée, car le salaire doit être maintenu à hauteur des derniers éléments du contrat en cours durant cette année.</t>
  </si>
  <si>
    <t xml:space="preserve">30 avril </t>
  </si>
  <si>
    <t>et que vous n'ayez pas acquis 30 jours ouvrables, vous pouvez bénéficier de Congés Payés Supplémentaires</t>
  </si>
  <si>
    <t xml:space="preserve"> dans la limite de 30 jours ouvrables de CP annuels maxi.</t>
  </si>
  <si>
    <t>Le montant des congés payés peut être versé, selon l'accord des parties à préciser au contrat</t>
  </si>
  <si>
    <t>[ 1 ]</t>
  </si>
  <si>
    <t xml:space="preserve">  - Soit en une seule fois au mois de juin</t>
  </si>
  <si>
    <t>[ 2 ]</t>
  </si>
  <si>
    <t xml:space="preserve">  - Soit en une seule fois à la prise principale des congés</t>
  </si>
  <si>
    <t>[ 3 ]</t>
  </si>
  <si>
    <t xml:space="preserve">  - Soit au fur et à mesure de la prise des congés</t>
  </si>
  <si>
    <t>[ 4 ]</t>
  </si>
  <si>
    <t>[ 5 ]</t>
  </si>
  <si>
    <t xml:space="preserve">  - Autres modalités </t>
  </si>
  <si>
    <t>Salaires perçus CP inclus</t>
  </si>
  <si>
    <t>ANNEE COMPLETE</t>
  </si>
  <si>
    <t>Calendrier</t>
  </si>
  <si>
    <t>Mois validés</t>
  </si>
  <si>
    <t>Nbre de jours de CP par mois</t>
  </si>
  <si>
    <t>TOTAL</t>
  </si>
  <si>
    <t>CP pris</t>
  </si>
  <si>
    <t>Dates</t>
  </si>
  <si>
    <t>Calcul Régularisation à l'issue des CP pris</t>
  </si>
  <si>
    <t xml:space="preserve"> Comparatif de la rémunération perçue pendant le temps de congés acquis et la règle du 1/10ème</t>
  </si>
  <si>
    <t>Calcul des Congés Payés au 1/10ème des salaires bruts</t>
  </si>
  <si>
    <t xml:space="preserve">Nombre d'enfant à charge de moins de 15 ans  au 30 avril de l'année en cours  </t>
  </si>
  <si>
    <t>Calcul régularisation congés payés</t>
  </si>
  <si>
    <t xml:space="preserve">Date de régularisation  </t>
  </si>
  <si>
    <t>RECAPITUALATIF DES CONGES PRIS PAYES</t>
  </si>
  <si>
    <t>Nombre d'hres payées</t>
  </si>
  <si>
    <t>Taux horaire</t>
  </si>
  <si>
    <t>Montant des CP pris</t>
  </si>
  <si>
    <t>TOTAL CP pris</t>
  </si>
  <si>
    <t>Montant à régulariser dans la mesure où la règle du 1/10ème est plus favorable</t>
  </si>
  <si>
    <t xml:space="preserve">  Rémunération réelle pendant le temps de congés acquis</t>
  </si>
  <si>
    <t xml:space="preserve">  Calcul congés payés au 1/10ème</t>
  </si>
  <si>
    <t xml:space="preserve">Montant à régulariser  </t>
  </si>
  <si>
    <t xml:space="preserve"> Comparatif du montant des congés payés et du temps validé</t>
  </si>
  <si>
    <t>Calcul des Congés Payés au 10 % des salaires versés</t>
  </si>
  <si>
    <t xml:space="preserve">Rémunération que le salarié percevra pendant son temps de congé pris en temps  </t>
  </si>
  <si>
    <t xml:space="preserve"> Nombre d'enfant à charge de moins de 15 ans au 30 avril de l'année en cours  </t>
  </si>
  <si>
    <t xml:space="preserve">Calcul de l'indemnité compensatrice de congés payés </t>
  </si>
  <si>
    <t xml:space="preserve">RECAPITUALATIF DES CONGES PRIS </t>
  </si>
  <si>
    <t xml:space="preserve">Date de fin de contrat  </t>
  </si>
  <si>
    <t xml:space="preserve">Calendrier </t>
  </si>
  <si>
    <t xml:space="preserve"> Indemnité compensatrice Congés Payés non pris en maintien de salaire si la règle du 1/10ème ne se trouve pas la plus favorable</t>
  </si>
  <si>
    <t xml:space="preserve">Indemnité Compensatrice Congés non pris si la règle du 1/10ème des salaires est la plus favorable avec déduction des éventuels congés payés pris       </t>
  </si>
  <si>
    <t xml:space="preserve">Nbre de CP pris </t>
  </si>
  <si>
    <t>A remplir UNIQUEMENT si les CP sont pris</t>
  </si>
  <si>
    <t>RECAPITULATIF DES CONGES PRIS</t>
  </si>
  <si>
    <t>RECAP DES PAIMENTS PONCTUELS DE CP</t>
  </si>
  <si>
    <t>CP PRIS</t>
  </si>
  <si>
    <t>date</t>
  </si>
  <si>
    <t>Montant</t>
  </si>
  <si>
    <t>Mai</t>
  </si>
  <si>
    <t xml:space="preserve">Total des CP acquis pris  </t>
  </si>
  <si>
    <t xml:space="preserve">Montant total payé  </t>
  </si>
  <si>
    <t>mai</t>
  </si>
  <si>
    <t>Récapitulatif semaines prises par les parents</t>
  </si>
  <si>
    <t>sem prises</t>
  </si>
  <si>
    <t>Total  semaines prises</t>
  </si>
  <si>
    <t>date anniversaire du contrat</t>
  </si>
  <si>
    <t>Nombres de semaines déduites</t>
  </si>
  <si>
    <t>période</t>
  </si>
  <si>
    <t>nom de l'employeur</t>
  </si>
  <si>
    <t>Reste à prendre</t>
  </si>
  <si>
    <t>BERNARD Séverine</t>
  </si>
  <si>
    <t>[ 6 ]</t>
  </si>
  <si>
    <t>:par anticipation avant juin</t>
  </si>
  <si>
    <t>:en trois fois (juin, juillet, août)</t>
  </si>
  <si>
    <t>A remplir UNIQUEMENT pour les choix [1] [2] [5] [6]</t>
  </si>
  <si>
    <t xml:space="preserve"> au tarif de :</t>
  </si>
  <si>
    <t xml:space="preserve">  Nombre de jours de fractionnement à régler au solde de tout compte</t>
  </si>
  <si>
    <t>Indemnité Compensatrice de congé pour jour(s) de fractionnement non pris</t>
  </si>
  <si>
    <t>PARTIE B : Calcul l'Indemnité Compensatrice de CP et/ou Régularisation des CP suite à la rupture du contrat</t>
  </si>
  <si>
    <t>et la date de rupture</t>
  </si>
  <si>
    <t xml:space="preserve">  Nombre de jrs de fractionnement acquis au </t>
  </si>
  <si>
    <t xml:space="preserve">  Nombre de jrs de fractionnement pris entre le </t>
  </si>
  <si>
    <t>Partie A: Comparatif du montant des congés payés et du temps validé à calculer à chaque 31 mai</t>
  </si>
  <si>
    <t>DATE DE FIN DE PERIODE (mettre 30/04) OU DATE DE FIN DE CONTRAT:</t>
  </si>
  <si>
    <t>A remplir si Jrs fract sont pris</t>
  </si>
  <si>
    <t>Nbr</t>
  </si>
  <si>
    <t>novembre</t>
  </si>
  <si>
    <t>décembre</t>
  </si>
  <si>
    <t>janvier</t>
  </si>
  <si>
    <t>février</t>
  </si>
  <si>
    <t>mars</t>
  </si>
  <si>
    <t>avril</t>
  </si>
  <si>
    <t>Total pris</t>
  </si>
  <si>
    <t xml:space="preserve">CP payé au 31 mai </t>
  </si>
  <si>
    <t>Nr jour/sem</t>
  </si>
  <si>
    <t>Nbr heure/sem</t>
  </si>
  <si>
    <t>montant CP/ jour</t>
  </si>
  <si>
    <t>Calcul de l'indemnité compensatrice des jours de fractionnement non pris si le contrat est rompu avant le 30 avril</t>
  </si>
  <si>
    <t>Si au 31 octobre de l'année précédente vous avez acquis 1 ou 2 jrs de fractionnement et qu'ils n'ont pu être pris en temps du fait de la rupture du contrat intervenue avant le 30 avril,  l'employeur doit les régler en indemnité compensatrice de congés. S'ils sont prissur une semaine déduite, ils doivent être rémunérés à la valeur d'un jour de CP. S'ils sont pris sur un jour travaillé, ils sont payé en maintien de salaire</t>
  </si>
  <si>
    <t xml:space="preserve">Nombre d'enfants à charge de moins de 15 ans au 30 avril </t>
  </si>
  <si>
    <t>juin</t>
  </si>
  <si>
    <t>juillet</t>
  </si>
  <si>
    <t>aout</t>
  </si>
  <si>
    <t>septembre</t>
  </si>
  <si>
    <t>octobre</t>
  </si>
  <si>
    <t>PARTIE C: Récapitulatif des CP pris</t>
  </si>
  <si>
    <t>Récapitulatifs</t>
  </si>
  <si>
    <t>Le montant des congés payés a été versé, selon l'accord des parties précisé au contrat *</t>
  </si>
  <si>
    <t xml:space="preserve">Il a été acquis un total de jours ouvrables de : </t>
  </si>
  <si>
    <t xml:space="preserve"> * Soit au fur et à mesure de la prise des congés  </t>
  </si>
  <si>
    <t xml:space="preserve">* Soit 1/12ème chaque mois  </t>
  </si>
  <si>
    <t xml:space="preserve">* Soit en une fois ou plusieurs fois de manière ponctuel  </t>
  </si>
  <si>
    <t>Paiements au Fur et à Mes.</t>
  </si>
  <si>
    <t>Paiements Ponctuels</t>
  </si>
  <si>
    <t>Paiements au 1/12ème</t>
  </si>
  <si>
    <t>[3]</t>
  </si>
  <si>
    <t>[4]</t>
  </si>
  <si>
    <t xml:space="preserve">Montant </t>
  </si>
  <si>
    <t>Montant total CP pris</t>
  </si>
  <si>
    <t xml:space="preserve">Montant total CP payés  </t>
  </si>
  <si>
    <t xml:space="preserve">qui correspond au nombre total de jours ouvrables à déclarer à PAJEMPLOI   </t>
  </si>
  <si>
    <t>A régulariser N-1</t>
  </si>
  <si>
    <t xml:space="preserve"> [1] [2] [5] [6]</t>
  </si>
  <si>
    <t>Date de fin de période</t>
  </si>
  <si>
    <t>Date de fin de contrat</t>
  </si>
  <si>
    <t>Calcul Congés Payés à effectuer au 31 mai de chaque année (Partie A)</t>
  </si>
  <si>
    <t>Calcul Indemnité Compensatrice et/ou Régularisation en cas de rupture du contrat (Partie B)</t>
  </si>
  <si>
    <t xml:space="preserve">Données contractuelles en vigueur au </t>
  </si>
  <si>
    <t>Mettez X dans l'une des 6 cases</t>
  </si>
  <si>
    <t>Nbr jrs/sem</t>
  </si>
  <si>
    <t>Nbr heures/sem</t>
  </si>
  <si>
    <t>Données contractuelles en vigueur au</t>
  </si>
  <si>
    <r>
      <t>Si à cette date du 30 avril</t>
    </r>
    <r>
      <rPr>
        <sz val="10"/>
        <rFont val="Calibri"/>
        <family val="2"/>
        <scheme val="minor"/>
      </rPr>
      <t>, vous avez à charge un ou des enfants de moins de 15 ans, et que vous n'ayez pas acquis 30 jours ouvrables, vous pouvez bénéficier de Congés Payés Supplémentaires dans la limite de 30 jours de CP annuels maxi</t>
    </r>
  </si>
  <si>
    <r>
      <t>Si à cette date du 30 avril</t>
    </r>
    <r>
      <rPr>
        <sz val="9"/>
        <rFont val="Calibri"/>
        <family val="2"/>
      </rPr>
      <t>, vous avez à charge un ou des enfants de moins de 15 ans, et que vous n'ayez pas acquis 30 jours ouvrables, vous pouvez bénéficier de Congés Payés Supplémentaires dans la limite de 30 jours de CP annuels maxi</t>
    </r>
  </si>
  <si>
    <r>
      <t>ATTENTION :</t>
    </r>
    <r>
      <rPr>
        <sz val="10"/>
        <rFont val="Calibri"/>
        <family val="2"/>
        <scheme val="minor"/>
      </rPr>
      <t xml:space="preserve"> Si pendant l'année de référence votre taux horaire et/ou le temps de travail sont modifiés, il faut calculer les congés en maintien du salaire selon les nouvelles données, car le salaire doit être maintenu à hauteur des derniers éléments du contrat en cours au moment de la prise de congés.</t>
    </r>
  </si>
  <si>
    <t xml:space="preserve">  - Soit par 1/12ème chaque mois (à compter de juin jusque mai suivant)</t>
  </si>
  <si>
    <r>
      <t>ATTENTION  :</t>
    </r>
    <r>
      <rPr>
        <sz val="11"/>
        <rFont val="Calibri"/>
        <family val="2"/>
      </rPr>
      <t xml:space="preserve">  Si </t>
    </r>
    <r>
      <rPr>
        <b/>
        <u/>
        <sz val="11"/>
        <rFont val="Calibri"/>
        <family val="2"/>
      </rPr>
      <t>pendant l'année de référence ci-dessus</t>
    </r>
    <r>
      <rPr>
        <sz val="11"/>
        <rFont val="Calibri"/>
        <family val="2"/>
      </rPr>
      <t xml:space="preserve"> votre taux horaire ou le temps de travail ont évolués,</t>
    </r>
  </si>
  <si>
    <r>
      <t>il convient de calculer les congés en maintien de salaire selon les éléments en vigueur</t>
    </r>
    <r>
      <rPr>
        <sz val="11"/>
        <rFont val="Calibri"/>
        <family val="2"/>
      </rPr>
      <t xml:space="preserve"> à la date de rupture, ou au plus tard au 31 mai</t>
    </r>
  </si>
  <si>
    <r>
      <t>Si à cette date du 30 avril</t>
    </r>
    <r>
      <rPr>
        <sz val="11"/>
        <rFont val="Calibri"/>
        <family val="2"/>
      </rPr>
      <t xml:space="preserve">, vous avez à charge un ou des enfants de moins de 15 ans, </t>
    </r>
  </si>
  <si>
    <t xml:space="preserve">Indemnité compensatrice à payer pour les CP acquis sur l'année </t>
  </si>
  <si>
    <t>Indemnités compensatrices de congés payés</t>
  </si>
  <si>
    <t>Nbr jrs</t>
  </si>
  <si>
    <r>
      <rPr>
        <b/>
        <sz val="11"/>
        <rFont val="Calibri"/>
        <family val="2"/>
      </rPr>
      <t>Indemnité compendatrice de congés payés</t>
    </r>
    <r>
      <rPr>
        <i/>
        <sz val="11"/>
        <rFont val="Calibri"/>
        <family val="2"/>
      </rPr>
      <t xml:space="preserve"> a reporter au cadre 7 de l'attestation pôle emploi</t>
    </r>
  </si>
  <si>
    <t>Montant des congés payés pris en temps déjà versés</t>
  </si>
  <si>
    <t>Montant des congés payés pris en temps non encore versés</t>
  </si>
  <si>
    <t>Montant de l'Indemnité compensatrice pour les CP acquis sur l'année.</t>
  </si>
  <si>
    <t>Nombre de jours de congés payés acquis sur l'année non encore payés</t>
  </si>
  <si>
    <t>Indemnité Compensatrice de congé pour jour(s) de fractionnement au 31/10/</t>
  </si>
  <si>
    <t>BONHOMME Nathan</t>
  </si>
  <si>
    <t>FAVRE Perrine</t>
  </si>
  <si>
    <t>03 au 08</t>
  </si>
  <si>
    <t>Uniquement si la rupture est antérieur au 1er juin</t>
  </si>
</sst>
</file>

<file path=xl/styles.xml><?xml version="1.0" encoding="utf-8"?>
<styleSheet xmlns="http://schemas.openxmlformats.org/spreadsheetml/2006/main" xmlns:mc="http://schemas.openxmlformats.org/markup-compatibility/2006" xmlns:x14ac="http://schemas.microsoft.com/office/spreadsheetml/2009/9/ac" mc:Ignorable="x14ac">
  <numFmts count="46">
    <numFmt numFmtId="41" formatCode="_-* #,##0\ _€_-;\-* #,##0\ _€_-;_-* &quot;-&quot;\ _€_-;_-@_-"/>
    <numFmt numFmtId="44" formatCode="_-* #,##0.00\ &quot;€&quot;_-;\-* #,##0.00\ &quot;€&quot;_-;_-* &quot;-&quot;??\ &quot;€&quot;_-;_-@_-"/>
    <numFmt numFmtId="164" formatCode="_-* #,##0.00\ &quot;€&quot;_-;\-* #,##0.00\ &quot;€&quot;_-;_-* &quot;-&quot;\ _-;_-@_-"/>
    <numFmt numFmtId="165" formatCode="mmmm\-yy;@"/>
    <numFmt numFmtId="166" formatCode="0.00&quot; s&quot;"/>
    <numFmt numFmtId="167" formatCode="_-* #,##0.00\ _-[$jrs];\-* #,##0.00\ _-[$jrs];_-* \-??\ _-;_-@_-&quot;[$jrs]&quot;"/>
    <numFmt numFmtId="168" formatCode="dd/mm/yy;@"/>
    <numFmt numFmtId="169" formatCode="0&quot; jrs&quot;"/>
    <numFmt numFmtId="170" formatCode="0.00&quot; jrs&quot;"/>
    <numFmt numFmtId="171" formatCode="0.00&quot; m&quot;"/>
    <numFmt numFmtId="172" formatCode="0.00&quot; jrs/s&quot;"/>
    <numFmt numFmtId="173" formatCode="0.00&quot; hrs/jr&quot;"/>
    <numFmt numFmtId="174" formatCode="#,##0.00&quot; €/h&quot;"/>
    <numFmt numFmtId="175" formatCode="0.00&quot; hrs&quot;"/>
    <numFmt numFmtId="176" formatCode="#,##0.00&quot; €&quot;"/>
    <numFmt numFmtId="177" formatCode="_-* #,##0.00\ [$€-1]_-;\-* #,##0.00\ [$€-1]_-;_-* \-??\ [$€-1]_-;_-@_-"/>
    <numFmt numFmtId="178" formatCode="#,##0.00&quot; €&quot;;[Red]\-#,##0.00&quot; €&quot;"/>
    <numFmt numFmtId="179" formatCode="_-* #,##0.00&quot; €&quot;_-;\-* #,##0.00&quot; €&quot;_-;_-* \-??&quot; €&quot;_-;_-@_-"/>
    <numFmt numFmtId="180" formatCode="dd/mm/yy"/>
    <numFmt numFmtId="181" formatCode="_-* #,##0.00\ _-[$€];\-* #,##0.00\ _-[$€];_-* \-??\ _-;_-@_-&quot;[$€]&quot;"/>
    <numFmt numFmtId="182" formatCode="0000/0000"/>
    <numFmt numFmtId="183" formatCode="yyyy"/>
    <numFmt numFmtId="184" formatCode="#,##0.00\ [$€-1];\-#,##0.00\ [$€-1]"/>
    <numFmt numFmtId="185" formatCode="#,##0.00\ [$€-40C];[Red]\-#,##0.00\ [$€-40C]"/>
    <numFmt numFmtId="186" formatCode="_-* #,##0.00\ _-[$m];\-* #,##0.00\ _-[$m];_-* \-??\ _-;_-@_-&quot;[$m]&quot;"/>
    <numFmt numFmtId="187" formatCode="d\ mmmm\ yyyy"/>
    <numFmt numFmtId="188" formatCode="d/m;@"/>
    <numFmt numFmtId="189" formatCode="[$-40C]d\-mmm;@"/>
    <numFmt numFmtId="190" formatCode="0&quot; sem &quot;"/>
    <numFmt numFmtId="191" formatCode="0&quot; sem&quot;"/>
    <numFmt numFmtId="192" formatCode="mmmm;@"/>
    <numFmt numFmtId="193" formatCode="yyyy;@"/>
    <numFmt numFmtId="194" formatCode="0.00&quot; €/jr&quot;"/>
    <numFmt numFmtId="195" formatCode="[$-40C]d\ mmmm\ yyyy;@"/>
    <numFmt numFmtId="196" formatCode="0&quot; s&quot;"/>
    <numFmt numFmtId="197" formatCode="_-* #,##0.0000\ &quot;€&quot;_-;\-* #,##0.0000\ &quot;€&quot;_-;_-* &quot;-&quot;????\ &quot;€&quot;_-;_-@_-"/>
    <numFmt numFmtId="198" formatCode="#,##0.00\ &quot;€&quot;"/>
    <numFmt numFmtId="199" formatCode="&quot;Montant des congés payés calculé au 31 mai&quot;\ 0"/>
    <numFmt numFmtId="200" formatCode="0.00&quot;€/jr&quot;"/>
    <numFmt numFmtId="201" formatCode="_-* #,##0.00\ [$€-40C]_-;\-* #,##0.00\ [$€-40C]_-;_-* &quot;-&quot;??\ [$€-40C]_-;_-@_-"/>
    <numFmt numFmtId="202" formatCode="#,##0.00&quot; €/mois&quot;"/>
    <numFmt numFmtId="203" formatCode="0&quot; jrs  &quot;"/>
    <numFmt numFmtId="204" formatCode="_-* #,##0\ _-[$jrs];\-* #,##0\ _-[$jrs];_-* \-??\ _-;_-@_-&quot;[$jrs]&quot;"/>
    <numFmt numFmtId="205" formatCode="0&quot; jrs à déclarer&quot;"/>
    <numFmt numFmtId="206" formatCode="&quot;31/05/&quot;0"/>
    <numFmt numFmtId="207" formatCode="mmmm\-yyyy;@"/>
  </numFmts>
  <fonts count="67" x14ac:knownFonts="1">
    <font>
      <sz val="11"/>
      <color theme="1"/>
      <name val="Calibri"/>
      <family val="2"/>
      <scheme val="minor"/>
    </font>
    <font>
      <sz val="11"/>
      <color theme="1"/>
      <name val="Calibri"/>
      <family val="2"/>
      <scheme val="minor"/>
    </font>
    <font>
      <sz val="11"/>
      <name val="Arial"/>
      <family val="2"/>
    </font>
    <font>
      <b/>
      <sz val="9"/>
      <name val="Arial"/>
      <family val="2"/>
    </font>
    <font>
      <b/>
      <sz val="10"/>
      <name val="Arial"/>
      <family val="2"/>
    </font>
    <font>
      <sz val="9"/>
      <name val="Arial"/>
      <family val="2"/>
    </font>
    <font>
      <sz val="9"/>
      <color indexed="81"/>
      <name val="Tahoma"/>
      <family val="2"/>
    </font>
    <font>
      <b/>
      <sz val="9"/>
      <color indexed="81"/>
      <name val="Tahoma"/>
      <family val="2"/>
    </font>
    <font>
      <sz val="8"/>
      <name val="Arial"/>
      <family val="2"/>
    </font>
    <font>
      <b/>
      <sz val="10"/>
      <color indexed="8"/>
      <name val="Calibri"/>
      <family val="2"/>
    </font>
    <font>
      <b/>
      <sz val="10"/>
      <name val="Calibri"/>
      <family val="2"/>
    </font>
    <font>
      <b/>
      <sz val="9"/>
      <color indexed="8"/>
      <name val="Tahoma"/>
      <family val="2"/>
    </font>
    <font>
      <sz val="9"/>
      <color indexed="8"/>
      <name val="Tahoma"/>
      <family val="2"/>
    </font>
    <font>
      <b/>
      <sz val="11"/>
      <color theme="1"/>
      <name val="Calibri"/>
      <family val="2"/>
      <scheme val="minor"/>
    </font>
    <font>
      <b/>
      <sz val="12"/>
      <color theme="1"/>
      <name val="Calibri"/>
      <family val="2"/>
      <scheme val="minor"/>
    </font>
    <font>
      <b/>
      <sz val="9"/>
      <name val="Calibri"/>
      <family val="2"/>
      <scheme val="minor"/>
    </font>
    <font>
      <b/>
      <sz val="10"/>
      <name val="Calibri"/>
      <family val="2"/>
      <scheme val="minor"/>
    </font>
    <font>
      <sz val="8"/>
      <name val="Calibri"/>
      <family val="2"/>
      <scheme val="minor"/>
    </font>
    <font>
      <b/>
      <sz val="10"/>
      <color indexed="10"/>
      <name val="Calibri"/>
      <family val="2"/>
      <scheme val="minor"/>
    </font>
    <font>
      <b/>
      <sz val="10"/>
      <color indexed="8"/>
      <name val="Calibri"/>
      <family val="2"/>
      <scheme val="minor"/>
    </font>
    <font>
      <sz val="10"/>
      <color indexed="10"/>
      <name val="Calibri"/>
      <family val="2"/>
      <scheme val="minor"/>
    </font>
    <font>
      <sz val="10"/>
      <color theme="1"/>
      <name val="Calibri"/>
      <family val="2"/>
      <scheme val="minor"/>
    </font>
    <font>
      <u/>
      <sz val="10"/>
      <name val="Calibri"/>
      <family val="2"/>
      <scheme val="minor"/>
    </font>
    <font>
      <sz val="10"/>
      <name val="Calibri"/>
      <family val="2"/>
      <scheme val="minor"/>
    </font>
    <font>
      <b/>
      <sz val="11"/>
      <name val="Calibri"/>
      <family val="2"/>
    </font>
    <font>
      <sz val="11"/>
      <color theme="1"/>
      <name val="Calibri"/>
      <family val="2"/>
    </font>
    <font>
      <sz val="10"/>
      <color theme="1"/>
      <name val="Calibri"/>
      <family val="2"/>
    </font>
    <font>
      <b/>
      <sz val="11"/>
      <color indexed="14"/>
      <name val="Calibri"/>
      <family val="2"/>
    </font>
    <font>
      <sz val="11"/>
      <name val="Calibri"/>
      <family val="2"/>
    </font>
    <font>
      <b/>
      <sz val="11"/>
      <color indexed="10"/>
      <name val="Calibri"/>
      <family val="2"/>
    </font>
    <font>
      <u/>
      <sz val="9"/>
      <name val="Calibri"/>
      <family val="2"/>
    </font>
    <font>
      <sz val="9"/>
      <name val="Calibri"/>
      <family val="2"/>
    </font>
    <font>
      <b/>
      <sz val="11"/>
      <color indexed="8"/>
      <name val="Calibri"/>
      <family val="2"/>
    </font>
    <font>
      <sz val="10"/>
      <name val="Calibri"/>
      <family val="2"/>
    </font>
    <font>
      <b/>
      <sz val="10"/>
      <color indexed="14"/>
      <name val="Calibri"/>
      <family val="2"/>
    </font>
    <font>
      <b/>
      <sz val="10"/>
      <color indexed="10"/>
      <name val="Calibri"/>
      <family val="2"/>
    </font>
    <font>
      <sz val="10"/>
      <color indexed="10"/>
      <name val="Calibri"/>
      <family val="2"/>
    </font>
    <font>
      <b/>
      <sz val="10"/>
      <color indexed="20"/>
      <name val="Calibri"/>
      <family val="2"/>
      <scheme val="minor"/>
    </font>
    <font>
      <b/>
      <sz val="10"/>
      <color indexed="14"/>
      <name val="Calibri"/>
      <family val="2"/>
      <scheme val="minor"/>
    </font>
    <font>
      <b/>
      <i/>
      <sz val="10"/>
      <color indexed="10"/>
      <name val="Calibri"/>
      <family val="2"/>
      <scheme val="minor"/>
    </font>
    <font>
      <b/>
      <i/>
      <sz val="10"/>
      <name val="Calibri"/>
      <family val="2"/>
      <scheme val="minor"/>
    </font>
    <font>
      <b/>
      <sz val="10"/>
      <color rgb="FFFF0066"/>
      <name val="Calibri"/>
      <family val="2"/>
      <scheme val="minor"/>
    </font>
    <font>
      <b/>
      <sz val="10"/>
      <color indexed="36"/>
      <name val="Calibri"/>
      <family val="2"/>
      <scheme val="minor"/>
    </font>
    <font>
      <b/>
      <sz val="14"/>
      <name val="Open Sans Semibold"/>
      <family val="2"/>
    </font>
    <font>
      <b/>
      <sz val="12"/>
      <name val="Open Sans Semibold"/>
      <family val="2"/>
    </font>
    <font>
      <b/>
      <sz val="11"/>
      <color indexed="17"/>
      <name val="Calibri"/>
      <family val="2"/>
    </font>
    <font>
      <sz val="11"/>
      <color indexed="8"/>
      <name val="Calibri"/>
      <family val="2"/>
    </font>
    <font>
      <i/>
      <sz val="11"/>
      <name val="Calibri"/>
      <family val="2"/>
    </font>
    <font>
      <b/>
      <i/>
      <sz val="11"/>
      <name val="Calibri"/>
      <family val="2"/>
    </font>
    <font>
      <b/>
      <sz val="11"/>
      <color theme="1"/>
      <name val="Calibri"/>
      <family val="2"/>
    </font>
    <font>
      <b/>
      <sz val="11"/>
      <color indexed="57"/>
      <name val="Calibri"/>
      <family val="2"/>
    </font>
    <font>
      <b/>
      <sz val="11"/>
      <color rgb="FFFF3399"/>
      <name val="Calibri"/>
      <family val="2"/>
    </font>
    <font>
      <sz val="11"/>
      <color theme="0"/>
      <name val="Calibri"/>
      <family val="2"/>
    </font>
    <font>
      <b/>
      <sz val="11"/>
      <color theme="0"/>
      <name val="Calibri"/>
      <family val="2"/>
    </font>
    <font>
      <b/>
      <sz val="11"/>
      <color rgb="FFFF0000"/>
      <name val="Calibri"/>
      <family val="2"/>
    </font>
    <font>
      <b/>
      <i/>
      <sz val="11"/>
      <color indexed="10"/>
      <name val="Calibri"/>
      <family val="2"/>
    </font>
    <font>
      <sz val="11"/>
      <color rgb="FFFF0000"/>
      <name val="Calibri"/>
      <family val="2"/>
    </font>
    <font>
      <b/>
      <sz val="11"/>
      <color theme="5" tint="-0.249977111117893"/>
      <name val="Calibri"/>
      <family val="2"/>
    </font>
    <font>
      <b/>
      <sz val="11"/>
      <color indexed="49"/>
      <name val="Calibri"/>
      <family val="2"/>
    </font>
    <font>
      <b/>
      <u/>
      <sz val="11"/>
      <name val="Calibri"/>
      <family val="2"/>
    </font>
    <font>
      <u/>
      <sz val="11"/>
      <name val="Calibri"/>
      <family val="2"/>
    </font>
    <font>
      <b/>
      <u/>
      <sz val="11"/>
      <color indexed="8"/>
      <name val="Calibri"/>
      <family val="2"/>
    </font>
    <font>
      <b/>
      <sz val="12"/>
      <color theme="1"/>
      <name val="Open Sans Semibold"/>
      <family val="2"/>
    </font>
    <font>
      <b/>
      <sz val="11"/>
      <color rgb="FFFF0000"/>
      <name val="Calibri"/>
      <family val="2"/>
      <scheme val="minor"/>
    </font>
    <font>
      <sz val="11"/>
      <color theme="1"/>
      <name val="Arial"/>
      <family val="2"/>
    </font>
    <font>
      <i/>
      <sz val="11"/>
      <color rgb="FFFF0000"/>
      <name val="Calibri"/>
      <family val="2"/>
    </font>
    <font>
      <i/>
      <sz val="11"/>
      <color theme="0"/>
      <name val="Calibri"/>
      <family val="2"/>
    </font>
  </fonts>
  <fills count="37">
    <fill>
      <patternFill patternType="none"/>
    </fill>
    <fill>
      <patternFill patternType="gray125"/>
    </fill>
    <fill>
      <patternFill patternType="solid">
        <fgColor indexed="43"/>
        <bgColor indexed="26"/>
      </patternFill>
    </fill>
    <fill>
      <patternFill patternType="solid">
        <fgColor indexed="9"/>
        <bgColor indexed="41"/>
      </patternFill>
    </fill>
    <fill>
      <patternFill patternType="solid">
        <fgColor indexed="13"/>
        <bgColor indexed="34"/>
      </patternFill>
    </fill>
    <fill>
      <patternFill patternType="solid">
        <fgColor indexed="44"/>
        <bgColor indexed="24"/>
      </patternFill>
    </fill>
    <fill>
      <patternFill patternType="solid">
        <fgColor theme="6" tint="0.79998168889431442"/>
        <bgColor indexed="34"/>
      </patternFill>
    </fill>
    <fill>
      <patternFill patternType="solid">
        <fgColor indexed="13"/>
        <bgColor indexed="26"/>
      </patternFill>
    </fill>
    <fill>
      <patternFill patternType="solid">
        <fgColor theme="4" tint="0.39997558519241921"/>
        <bgColor indexed="26"/>
      </patternFill>
    </fill>
    <fill>
      <patternFill patternType="solid">
        <fgColor theme="8" tint="0.79998168889431442"/>
        <bgColor indexed="9"/>
      </patternFill>
    </fill>
    <fill>
      <patternFill patternType="solid">
        <fgColor indexed="26"/>
        <bgColor indexed="43"/>
      </patternFill>
    </fill>
    <fill>
      <patternFill patternType="solid">
        <fgColor theme="6" tint="0.79998168889431442"/>
        <bgColor indexed="64"/>
      </patternFill>
    </fill>
    <fill>
      <patternFill patternType="solid">
        <fgColor theme="6" tint="0.39997558519241921"/>
        <bgColor indexed="41"/>
      </patternFill>
    </fill>
    <fill>
      <patternFill patternType="solid">
        <fgColor theme="6" tint="0.79998168889431442"/>
        <bgColor indexed="24"/>
      </patternFill>
    </fill>
    <fill>
      <patternFill patternType="solid">
        <fgColor theme="0"/>
        <bgColor indexed="34"/>
      </patternFill>
    </fill>
    <fill>
      <patternFill patternType="solid">
        <fgColor theme="0"/>
        <bgColor indexed="64"/>
      </patternFill>
    </fill>
    <fill>
      <patternFill patternType="solid">
        <fgColor theme="2" tint="-9.9978637043366805E-2"/>
        <bgColor indexed="41"/>
      </patternFill>
    </fill>
    <fill>
      <patternFill patternType="solid">
        <fgColor theme="0" tint="-0.14999847407452621"/>
        <bgColor indexed="31"/>
      </patternFill>
    </fill>
    <fill>
      <patternFill patternType="solid">
        <fgColor theme="4" tint="0.39997558519241921"/>
        <bgColor indexed="41"/>
      </patternFill>
    </fill>
    <fill>
      <patternFill patternType="solid">
        <fgColor theme="8" tint="0.59999389629810485"/>
        <bgColor indexed="64"/>
      </patternFill>
    </fill>
    <fill>
      <patternFill patternType="solid">
        <fgColor theme="9" tint="0.59999389629810485"/>
        <bgColor indexed="26"/>
      </patternFill>
    </fill>
    <fill>
      <patternFill patternType="solid">
        <fgColor theme="8" tint="0.39997558519241921"/>
        <bgColor indexed="26"/>
      </patternFill>
    </fill>
    <fill>
      <patternFill patternType="solid">
        <fgColor theme="4" tint="0.39997558519241921"/>
        <bgColor indexed="34"/>
      </patternFill>
    </fill>
    <fill>
      <patternFill patternType="solid">
        <fgColor rgb="FFFFFF99"/>
        <bgColor indexed="43"/>
      </patternFill>
    </fill>
    <fill>
      <patternFill patternType="solid">
        <fgColor rgb="FFFFFF99"/>
        <bgColor indexed="26"/>
      </patternFill>
    </fill>
    <fill>
      <patternFill patternType="solid">
        <fgColor rgb="FFFFFF99"/>
        <bgColor indexed="64"/>
      </patternFill>
    </fill>
    <fill>
      <patternFill patternType="solid">
        <fgColor theme="6" tint="0.59999389629810485"/>
        <bgColor indexed="31"/>
      </patternFill>
    </fill>
    <fill>
      <patternFill patternType="solid">
        <fgColor theme="2" tint="-9.9978637043366805E-2"/>
        <bgColor indexed="44"/>
      </patternFill>
    </fill>
    <fill>
      <patternFill patternType="solid">
        <fgColor theme="2" tint="-9.9978637043366805E-2"/>
        <bgColor indexed="24"/>
      </patternFill>
    </fill>
    <fill>
      <patternFill patternType="solid">
        <fgColor theme="8" tint="0.79998168889431442"/>
        <bgColor indexed="41"/>
      </patternFill>
    </fill>
    <fill>
      <patternFill patternType="solid">
        <fgColor theme="4" tint="0.59999389629810485"/>
        <bgColor indexed="41"/>
      </patternFill>
    </fill>
    <fill>
      <patternFill patternType="solid">
        <fgColor theme="6" tint="0.59999389629810485"/>
        <bgColor indexed="13"/>
      </patternFill>
    </fill>
    <fill>
      <patternFill patternType="solid">
        <fgColor theme="5" tint="0.79998168889431442"/>
        <bgColor indexed="4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8" tint="0.79998168889431442"/>
        <bgColor indexed="64"/>
      </patternFill>
    </fill>
    <fill>
      <patternFill patternType="solid">
        <fgColor theme="8" tint="0.59999389629810485"/>
        <bgColor indexed="26"/>
      </patternFill>
    </fill>
  </fills>
  <borders count="156">
    <border>
      <left/>
      <right/>
      <top/>
      <bottom/>
      <diagonal/>
    </border>
    <border>
      <left style="double">
        <color indexed="8"/>
      </left>
      <right style="double">
        <color indexed="8"/>
      </right>
      <top style="double">
        <color indexed="8"/>
      </top>
      <bottom style="double">
        <color indexed="8"/>
      </bottom>
      <diagonal/>
    </border>
    <border>
      <left style="double">
        <color indexed="8"/>
      </left>
      <right/>
      <top/>
      <bottom/>
      <diagonal/>
    </border>
    <border>
      <left style="double">
        <color indexed="8"/>
      </left>
      <right style="double">
        <color indexed="8"/>
      </right>
      <top style="double">
        <color indexed="8"/>
      </top>
      <bottom/>
      <diagonal/>
    </border>
    <border>
      <left/>
      <right style="double">
        <color indexed="8"/>
      </right>
      <top/>
      <bottom/>
      <diagonal/>
    </border>
    <border>
      <left style="double">
        <color indexed="8"/>
      </left>
      <right style="double">
        <color indexed="8"/>
      </right>
      <top/>
      <bottom/>
      <diagonal/>
    </border>
    <border>
      <left style="double">
        <color indexed="8"/>
      </left>
      <right style="double">
        <color indexed="8"/>
      </right>
      <top/>
      <bottom style="double">
        <color indexed="8"/>
      </bottom>
      <diagonal/>
    </border>
    <border>
      <left style="double">
        <color indexed="8"/>
      </left>
      <right style="double">
        <color indexed="8"/>
      </right>
      <top style="thin">
        <color indexed="8"/>
      </top>
      <bottom style="thin">
        <color indexed="8"/>
      </bottom>
      <diagonal/>
    </border>
    <border>
      <left style="thin">
        <color indexed="8"/>
      </left>
      <right style="double">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right style="thin">
        <color indexed="8"/>
      </right>
      <top/>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double">
        <color indexed="8"/>
      </right>
      <top/>
      <bottom/>
      <diagonal/>
    </border>
    <border>
      <left style="double">
        <color indexed="8"/>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top/>
      <bottom/>
      <diagonal/>
    </border>
    <border>
      <left style="thin">
        <color indexed="8"/>
      </left>
      <right/>
      <top/>
      <bottom style="thin">
        <color indexed="8"/>
      </bottom>
      <diagonal/>
    </border>
    <border>
      <left/>
      <right/>
      <top/>
      <bottom style="thin">
        <color indexed="8"/>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style="double">
        <color indexed="8"/>
      </left>
      <right style="thin">
        <color indexed="8"/>
      </right>
      <top style="thin">
        <color indexed="8"/>
      </top>
      <bottom style="thin">
        <color indexed="8"/>
      </bottom>
      <diagonal/>
    </border>
    <border>
      <left style="double">
        <color indexed="8"/>
      </left>
      <right style="double">
        <color indexed="8"/>
      </right>
      <top style="thin">
        <color indexed="8"/>
      </top>
      <bottom/>
      <diagonal/>
    </border>
    <border>
      <left style="double">
        <color indexed="8"/>
      </left>
      <right style="double">
        <color indexed="8"/>
      </right>
      <top/>
      <bottom style="thin">
        <color indexed="8"/>
      </bottom>
      <diagonal/>
    </border>
    <border>
      <left style="thin">
        <color indexed="8"/>
      </left>
      <right style="double">
        <color indexed="8"/>
      </right>
      <top style="thin">
        <color indexed="8"/>
      </top>
      <bottom/>
      <diagonal/>
    </border>
    <border>
      <left style="thin">
        <color indexed="8"/>
      </left>
      <right style="double">
        <color indexed="8"/>
      </right>
      <top/>
      <bottom style="thin">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double">
        <color indexed="8"/>
      </left>
      <right style="thin">
        <color indexed="8"/>
      </right>
      <top/>
      <bottom style="thin">
        <color indexed="8"/>
      </bottom>
      <diagonal/>
    </border>
    <border>
      <left style="double">
        <color indexed="8"/>
      </left>
      <right style="thin">
        <color indexed="8"/>
      </right>
      <top style="double">
        <color indexed="8"/>
      </top>
      <bottom style="double">
        <color indexed="8"/>
      </bottom>
      <diagonal/>
    </border>
    <border>
      <left style="hair">
        <color indexed="8"/>
      </left>
      <right style="hair">
        <color indexed="8"/>
      </right>
      <top style="hair">
        <color indexed="8"/>
      </top>
      <bottom style="hair">
        <color indexed="8"/>
      </bottom>
      <diagonal/>
    </border>
    <border>
      <left/>
      <right/>
      <top style="thin">
        <color indexed="8"/>
      </top>
      <bottom style="thin">
        <color indexed="8"/>
      </bottom>
      <diagonal/>
    </border>
    <border>
      <left/>
      <right style="thin">
        <color indexed="64"/>
      </right>
      <top/>
      <bottom/>
      <diagonal/>
    </border>
    <border>
      <left style="double">
        <color indexed="8"/>
      </left>
      <right/>
      <top style="thin">
        <color indexed="64"/>
      </top>
      <bottom style="thin">
        <color indexed="64"/>
      </bottom>
      <diagonal/>
    </border>
    <border>
      <left style="thin">
        <color indexed="64"/>
      </left>
      <right style="thin">
        <color indexed="8"/>
      </right>
      <top/>
      <bottom style="thin">
        <color indexed="8"/>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double">
        <color indexed="8"/>
      </right>
      <top style="thin">
        <color indexed="64"/>
      </top>
      <bottom style="thin">
        <color indexed="64"/>
      </bottom>
      <diagonal/>
    </border>
    <border>
      <left/>
      <right style="thin">
        <color indexed="64"/>
      </right>
      <top style="thin">
        <color indexed="8"/>
      </top>
      <bottom style="thin">
        <color indexed="8"/>
      </bottom>
      <diagonal/>
    </border>
    <border>
      <left/>
      <right/>
      <top style="thin">
        <color indexed="8"/>
      </top>
      <bottom style="thin">
        <color indexed="64"/>
      </bottom>
      <diagonal/>
    </border>
    <border>
      <left/>
      <right style="double">
        <color indexed="8"/>
      </right>
      <top style="thin">
        <color indexed="8"/>
      </top>
      <bottom style="thin">
        <color indexed="64"/>
      </bottom>
      <diagonal/>
    </border>
    <border>
      <left style="thin">
        <color indexed="8"/>
      </left>
      <right/>
      <top/>
      <bottom style="thin">
        <color indexed="64"/>
      </bottom>
      <diagonal/>
    </border>
    <border>
      <left/>
      <right style="thin">
        <color indexed="8"/>
      </right>
      <top/>
      <bottom style="thin">
        <color indexed="64"/>
      </bottom>
      <diagonal/>
    </border>
    <border>
      <left style="thin">
        <color indexed="8"/>
      </left>
      <right/>
      <top style="thin">
        <color indexed="64"/>
      </top>
      <bottom/>
      <diagonal/>
    </border>
    <border>
      <left/>
      <right style="thin">
        <color indexed="8"/>
      </right>
      <top style="thin">
        <color indexed="64"/>
      </top>
      <bottom/>
      <diagonal/>
    </border>
    <border>
      <left style="double">
        <color auto="1"/>
      </left>
      <right style="double">
        <color auto="1"/>
      </right>
      <top style="thin">
        <color indexed="64"/>
      </top>
      <bottom style="thin">
        <color indexed="64"/>
      </bottom>
      <diagonal/>
    </border>
    <border>
      <left style="double">
        <color auto="1"/>
      </left>
      <right style="thin">
        <color indexed="64"/>
      </right>
      <top style="thin">
        <color indexed="64"/>
      </top>
      <bottom style="thin">
        <color indexed="64"/>
      </bottom>
      <diagonal/>
    </border>
    <border>
      <left/>
      <right/>
      <top/>
      <bottom style="double">
        <color auto="1"/>
      </bottom>
      <diagonal/>
    </border>
    <border>
      <left style="thin">
        <color indexed="64"/>
      </left>
      <right style="thin">
        <color indexed="64"/>
      </right>
      <top style="thin">
        <color indexed="64"/>
      </top>
      <bottom/>
      <diagonal/>
    </border>
    <border>
      <left style="thin">
        <color indexed="64"/>
      </left>
      <right style="thin">
        <color indexed="8"/>
      </right>
      <top style="thin">
        <color indexed="64"/>
      </top>
      <bottom style="thin">
        <color indexed="8"/>
      </bottom>
      <diagonal/>
    </border>
    <border>
      <left style="thin">
        <color indexed="8"/>
      </left>
      <right style="thin">
        <color indexed="8"/>
      </right>
      <top style="thin">
        <color indexed="64"/>
      </top>
      <bottom style="thin">
        <color indexed="8"/>
      </bottom>
      <diagonal/>
    </border>
    <border>
      <left style="thin">
        <color indexed="8"/>
      </left>
      <right style="double">
        <color indexed="8"/>
      </right>
      <top style="thin">
        <color indexed="64"/>
      </top>
      <bottom style="thin">
        <color indexed="8"/>
      </bottom>
      <diagonal/>
    </border>
    <border>
      <left style="thin">
        <color indexed="64"/>
      </left>
      <right/>
      <top/>
      <bottom/>
      <diagonal/>
    </border>
    <border>
      <left/>
      <right style="thin">
        <color indexed="64"/>
      </right>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style="double">
        <color auto="1"/>
      </right>
      <top/>
      <bottom style="double">
        <color auto="1"/>
      </bottom>
      <diagonal/>
    </border>
    <border>
      <left style="double">
        <color theme="1"/>
      </left>
      <right/>
      <top style="double">
        <color theme="1"/>
      </top>
      <bottom/>
      <diagonal/>
    </border>
    <border>
      <left/>
      <right/>
      <top style="double">
        <color theme="1"/>
      </top>
      <bottom/>
      <diagonal/>
    </border>
    <border>
      <left/>
      <right style="double">
        <color theme="1"/>
      </right>
      <top style="double">
        <color theme="1"/>
      </top>
      <bottom/>
      <diagonal/>
    </border>
    <border>
      <left style="double">
        <color theme="1"/>
      </left>
      <right/>
      <top/>
      <bottom/>
      <diagonal/>
    </border>
    <border>
      <left/>
      <right style="double">
        <color theme="1"/>
      </right>
      <top/>
      <bottom/>
      <diagonal/>
    </border>
    <border>
      <left style="double">
        <color theme="1"/>
      </left>
      <right/>
      <top/>
      <bottom style="double">
        <color theme="1"/>
      </bottom>
      <diagonal/>
    </border>
    <border>
      <left/>
      <right/>
      <top/>
      <bottom style="double">
        <color theme="1"/>
      </bottom>
      <diagonal/>
    </border>
    <border>
      <left/>
      <right style="double">
        <color theme="1"/>
      </right>
      <top/>
      <bottom style="double">
        <color theme="1"/>
      </bottom>
      <diagonal/>
    </border>
    <border>
      <left style="double">
        <color auto="1"/>
      </left>
      <right/>
      <top/>
      <bottom/>
      <diagonal/>
    </border>
    <border>
      <left/>
      <right style="double">
        <color auto="1"/>
      </right>
      <top/>
      <bottom/>
      <diagonal/>
    </border>
    <border>
      <left style="double">
        <color indexed="8"/>
      </left>
      <right style="double">
        <color indexed="8"/>
      </right>
      <top style="thin">
        <color indexed="64"/>
      </top>
      <bottom style="thin">
        <color indexed="64"/>
      </bottom>
      <diagonal/>
    </border>
    <border>
      <left style="double">
        <color indexed="8"/>
      </left>
      <right style="thin">
        <color indexed="64"/>
      </right>
      <top style="thin">
        <color indexed="64"/>
      </top>
      <bottom style="thin">
        <color indexed="64"/>
      </bottom>
      <diagonal/>
    </border>
    <border>
      <left style="double">
        <color indexed="8"/>
      </left>
      <right style="thin">
        <color indexed="8"/>
      </right>
      <top style="thin">
        <color indexed="64"/>
      </top>
      <bottom style="thin">
        <color indexed="8"/>
      </bottom>
      <diagonal/>
    </border>
    <border>
      <left style="thin">
        <color indexed="64"/>
      </left>
      <right style="thin">
        <color indexed="8"/>
      </right>
      <top style="thin">
        <color indexed="8"/>
      </top>
      <bottom style="thin">
        <color indexed="8"/>
      </bottom>
      <diagonal/>
    </border>
    <border>
      <left style="thin">
        <color indexed="8"/>
      </left>
      <right style="thin">
        <color indexed="64"/>
      </right>
      <top style="thin">
        <color indexed="8"/>
      </top>
      <bottom/>
      <diagonal/>
    </border>
    <border>
      <left style="thin">
        <color indexed="8"/>
      </left>
      <right style="thin">
        <color indexed="64"/>
      </right>
      <top/>
      <bottom style="thin">
        <color indexed="8"/>
      </bottom>
      <diagonal/>
    </border>
    <border>
      <left style="thin">
        <color indexed="8"/>
      </left>
      <right style="thin">
        <color indexed="64"/>
      </right>
      <top style="thin">
        <color indexed="8"/>
      </top>
      <bottom style="thin">
        <color indexed="8"/>
      </bottom>
      <diagonal/>
    </border>
    <border>
      <left style="thin">
        <color indexed="64"/>
      </left>
      <right/>
      <top style="thin">
        <color indexed="8"/>
      </top>
      <bottom style="thin">
        <color indexed="8"/>
      </bottom>
      <diagonal/>
    </border>
    <border>
      <left style="thin">
        <color indexed="64"/>
      </left>
      <right/>
      <top style="thin">
        <color indexed="8"/>
      </top>
      <bottom/>
      <diagonal/>
    </border>
    <border>
      <left style="thin">
        <color indexed="64"/>
      </left>
      <right/>
      <top style="thin">
        <color indexed="64"/>
      </top>
      <bottom style="thin">
        <color indexed="8"/>
      </bottom>
      <diagonal/>
    </border>
    <border>
      <left/>
      <right/>
      <top style="thin">
        <color indexed="64"/>
      </top>
      <bottom style="thin">
        <color indexed="8"/>
      </bottom>
      <diagonal/>
    </border>
    <border>
      <left/>
      <right style="thin">
        <color indexed="64"/>
      </right>
      <top style="thin">
        <color indexed="64"/>
      </top>
      <bottom style="thin">
        <color indexed="8"/>
      </bottom>
      <diagonal/>
    </border>
    <border>
      <left style="thin">
        <color indexed="64"/>
      </left>
      <right style="double">
        <color indexed="8"/>
      </right>
      <top style="thin">
        <color indexed="8"/>
      </top>
      <bottom style="thin">
        <color indexed="8"/>
      </bottom>
      <diagonal/>
    </border>
    <border>
      <left style="double">
        <color indexed="8"/>
      </left>
      <right style="thin">
        <color indexed="64"/>
      </right>
      <top style="thin">
        <color indexed="8"/>
      </top>
      <bottom style="thin">
        <color indexed="8"/>
      </bottom>
      <diagonal/>
    </border>
    <border>
      <left style="thin">
        <color indexed="64"/>
      </left>
      <right style="thin">
        <color indexed="8"/>
      </right>
      <top style="thin">
        <color indexed="8"/>
      </top>
      <bottom/>
      <diagonal/>
    </border>
    <border>
      <left style="thin">
        <color indexed="64"/>
      </left>
      <right style="double">
        <color indexed="8"/>
      </right>
      <top/>
      <bottom/>
      <diagonal/>
    </border>
    <border>
      <left style="double">
        <color indexed="8"/>
      </left>
      <right style="thin">
        <color indexed="64"/>
      </right>
      <top/>
      <bottom/>
      <diagonal/>
    </border>
    <border>
      <left style="thin">
        <color indexed="64"/>
      </left>
      <right style="double">
        <color indexed="8"/>
      </right>
      <top/>
      <bottom style="thin">
        <color indexed="8"/>
      </bottom>
      <diagonal/>
    </border>
    <border>
      <left style="double">
        <color indexed="8"/>
      </left>
      <right style="thin">
        <color indexed="64"/>
      </right>
      <top/>
      <bottom style="thin">
        <color indexed="8"/>
      </bottom>
      <diagonal/>
    </border>
    <border>
      <left style="thin">
        <color indexed="8"/>
      </left>
      <right style="thin">
        <color indexed="64"/>
      </right>
      <top/>
      <bottom/>
      <diagonal/>
    </border>
    <border>
      <left style="thin">
        <color indexed="64"/>
      </left>
      <right/>
      <top style="thin">
        <color indexed="8"/>
      </top>
      <bottom style="thin">
        <color indexed="64"/>
      </bottom>
      <diagonal/>
    </border>
    <border>
      <left/>
      <right style="thin">
        <color indexed="64"/>
      </right>
      <top style="thin">
        <color indexed="8"/>
      </top>
      <bottom style="thin">
        <color indexed="64"/>
      </bottom>
      <diagonal/>
    </border>
    <border>
      <left style="thin">
        <color indexed="64"/>
      </left>
      <right style="double">
        <color auto="1"/>
      </right>
      <top style="thin">
        <color indexed="64"/>
      </top>
      <bottom style="thin">
        <color indexed="64"/>
      </bottom>
      <diagonal/>
    </border>
    <border>
      <left style="thin">
        <color indexed="8"/>
      </left>
      <right style="thin">
        <color indexed="64"/>
      </right>
      <top style="thin">
        <color indexed="64"/>
      </top>
      <bottom style="thin">
        <color indexed="8"/>
      </bottom>
      <diagonal/>
    </border>
    <border>
      <left style="thin">
        <color indexed="64"/>
      </left>
      <right style="double">
        <color indexed="8"/>
      </right>
      <top style="thin">
        <color indexed="64"/>
      </top>
      <bottom style="thin">
        <color indexed="8"/>
      </bottom>
      <diagonal/>
    </border>
    <border>
      <left style="double">
        <color indexed="8"/>
      </left>
      <right style="double">
        <color indexed="8"/>
      </right>
      <top style="thin">
        <color indexed="64"/>
      </top>
      <bottom style="thin">
        <color indexed="8"/>
      </bottom>
      <diagonal/>
    </border>
    <border>
      <left style="double">
        <color indexed="8"/>
      </left>
      <right style="thin">
        <color indexed="64"/>
      </right>
      <top style="thin">
        <color indexed="64"/>
      </top>
      <bottom style="thin">
        <color indexed="8"/>
      </bottom>
      <diagonal/>
    </border>
    <border>
      <left style="thin">
        <color indexed="64"/>
      </left>
      <right style="thin">
        <color indexed="64"/>
      </right>
      <top/>
      <bottom/>
      <diagonal/>
    </border>
    <border>
      <left/>
      <right style="double">
        <color auto="1"/>
      </right>
      <top style="thin">
        <color indexed="64"/>
      </top>
      <bottom style="thin">
        <color indexed="64"/>
      </bottom>
      <diagonal/>
    </border>
    <border>
      <left style="thin">
        <color indexed="64"/>
      </left>
      <right style="thin">
        <color indexed="64"/>
      </right>
      <top/>
      <bottom style="thin">
        <color indexed="64"/>
      </bottom>
      <diagonal/>
    </border>
    <border>
      <left style="double">
        <color indexed="64"/>
      </left>
      <right style="thin">
        <color indexed="8"/>
      </right>
      <top style="double">
        <color indexed="64"/>
      </top>
      <bottom style="thin">
        <color indexed="8"/>
      </bottom>
      <diagonal/>
    </border>
    <border>
      <left style="double">
        <color indexed="8"/>
      </left>
      <right style="thin">
        <color indexed="8"/>
      </right>
      <top style="double">
        <color indexed="64"/>
      </top>
      <bottom style="thin">
        <color indexed="8"/>
      </bottom>
      <diagonal/>
    </border>
    <border>
      <left style="thin">
        <color indexed="8"/>
      </left>
      <right style="thin">
        <color indexed="8"/>
      </right>
      <top style="double">
        <color indexed="64"/>
      </top>
      <bottom style="thin">
        <color indexed="8"/>
      </bottom>
      <diagonal/>
    </border>
    <border>
      <left style="thin">
        <color indexed="8"/>
      </left>
      <right style="thin">
        <color indexed="8"/>
      </right>
      <top style="double">
        <color indexed="64"/>
      </top>
      <bottom/>
      <diagonal/>
    </border>
    <border>
      <left style="thin">
        <color indexed="8"/>
      </left>
      <right style="double">
        <color indexed="64"/>
      </right>
      <top style="double">
        <color indexed="64"/>
      </top>
      <bottom/>
      <diagonal/>
    </border>
    <border>
      <left style="double">
        <color indexed="64"/>
      </left>
      <right style="thin">
        <color indexed="8"/>
      </right>
      <top style="thin">
        <color indexed="8"/>
      </top>
      <bottom style="thin">
        <color indexed="8"/>
      </bottom>
      <diagonal/>
    </border>
    <border>
      <left style="thin">
        <color indexed="8"/>
      </left>
      <right style="double">
        <color indexed="64"/>
      </right>
      <top style="thin">
        <color indexed="8"/>
      </top>
      <bottom/>
      <diagonal/>
    </border>
    <border>
      <left style="thin">
        <color indexed="8"/>
      </left>
      <right style="double">
        <color indexed="64"/>
      </right>
      <top/>
      <bottom style="thin">
        <color indexed="8"/>
      </bottom>
      <diagonal/>
    </border>
    <border>
      <left style="thin">
        <color indexed="8"/>
      </left>
      <right style="double">
        <color indexed="64"/>
      </right>
      <top style="thin">
        <color indexed="8"/>
      </top>
      <bottom style="thin">
        <color indexed="8"/>
      </bottom>
      <diagonal/>
    </border>
    <border>
      <left style="double">
        <color indexed="64"/>
      </left>
      <right/>
      <top style="thin">
        <color indexed="8"/>
      </top>
      <bottom style="thin">
        <color indexed="8"/>
      </bottom>
      <diagonal/>
    </border>
    <border>
      <left style="thin">
        <color indexed="64"/>
      </left>
      <right style="thin">
        <color indexed="64"/>
      </right>
      <top style="thin">
        <color indexed="64"/>
      </top>
      <bottom style="double">
        <color indexed="64"/>
      </bottom>
      <diagonal/>
    </border>
    <border>
      <left style="thin">
        <color indexed="64"/>
      </left>
      <right style="double">
        <color auto="1"/>
      </right>
      <top style="thin">
        <color indexed="64"/>
      </top>
      <bottom style="double">
        <color indexed="64"/>
      </bottom>
      <diagonal/>
    </border>
    <border>
      <left style="double">
        <color indexed="8"/>
      </left>
      <right/>
      <top style="double">
        <color indexed="8"/>
      </top>
      <bottom style="double">
        <color indexed="8"/>
      </bottom>
      <diagonal/>
    </border>
    <border>
      <left/>
      <right/>
      <top style="double">
        <color indexed="8"/>
      </top>
      <bottom style="double">
        <color indexed="8"/>
      </bottom>
      <diagonal/>
    </border>
    <border>
      <left/>
      <right style="double">
        <color indexed="8"/>
      </right>
      <top style="double">
        <color indexed="8"/>
      </top>
      <bottom style="double">
        <color indexed="8"/>
      </bottom>
      <diagonal/>
    </border>
    <border>
      <left/>
      <right style="thin">
        <color indexed="8"/>
      </right>
      <top style="double">
        <color indexed="8"/>
      </top>
      <bottom style="double">
        <color indexed="8"/>
      </bottom>
      <diagonal/>
    </border>
    <border>
      <left style="double">
        <color auto="1"/>
      </left>
      <right/>
      <top style="double">
        <color auto="1"/>
      </top>
      <bottom/>
      <diagonal/>
    </border>
    <border>
      <left style="thin">
        <color indexed="8"/>
      </left>
      <right style="double">
        <color indexed="8"/>
      </right>
      <top style="double">
        <color indexed="8"/>
      </top>
      <bottom style="double">
        <color indexed="8"/>
      </bottom>
      <diagonal/>
    </border>
    <border>
      <left style="thin">
        <color indexed="64"/>
      </left>
      <right style="thin">
        <color indexed="64"/>
      </right>
      <top style="thin">
        <color indexed="64"/>
      </top>
      <bottom style="thin">
        <color indexed="8"/>
      </bottom>
      <diagonal/>
    </border>
    <border>
      <left style="thin">
        <color indexed="64"/>
      </left>
      <right style="thin">
        <color indexed="64"/>
      </right>
      <top style="thin">
        <color indexed="8"/>
      </top>
      <bottom style="thin">
        <color indexed="64"/>
      </bottom>
      <diagonal/>
    </border>
    <border>
      <left style="thin">
        <color indexed="64"/>
      </left>
      <right style="thin">
        <color indexed="8"/>
      </right>
      <top style="thin">
        <color indexed="8"/>
      </top>
      <bottom style="thin">
        <color indexed="64"/>
      </bottom>
      <diagonal/>
    </border>
    <border>
      <left style="double">
        <color indexed="8"/>
      </left>
      <right style="thin">
        <color indexed="8"/>
      </right>
      <top style="thin">
        <color indexed="8"/>
      </top>
      <bottom style="thin">
        <color indexed="64"/>
      </bottom>
      <diagonal/>
    </border>
    <border>
      <left style="thin">
        <color indexed="8"/>
      </left>
      <right style="thin">
        <color indexed="8"/>
      </right>
      <top style="thin">
        <color indexed="8"/>
      </top>
      <bottom style="thin">
        <color indexed="64"/>
      </bottom>
      <diagonal/>
    </border>
    <border>
      <left style="thin">
        <color indexed="8"/>
      </left>
      <right style="thin">
        <color indexed="64"/>
      </right>
      <top style="thin">
        <color indexed="8"/>
      </top>
      <bottom style="thin">
        <color indexed="64"/>
      </bottom>
      <diagonal/>
    </border>
    <border>
      <left style="thin">
        <color indexed="64"/>
      </left>
      <right style="double">
        <color indexed="8"/>
      </right>
      <top style="thin">
        <color indexed="8"/>
      </top>
      <bottom style="thin">
        <color indexed="64"/>
      </bottom>
      <diagonal/>
    </border>
    <border>
      <left style="double">
        <color indexed="8"/>
      </left>
      <right style="double">
        <color indexed="8"/>
      </right>
      <top style="thin">
        <color indexed="8"/>
      </top>
      <bottom style="thin">
        <color indexed="64"/>
      </bottom>
      <diagonal/>
    </border>
    <border>
      <left style="double">
        <color indexed="8"/>
      </left>
      <right style="thin">
        <color indexed="64"/>
      </right>
      <top style="thin">
        <color indexed="8"/>
      </top>
      <bottom style="thin">
        <color indexed="64"/>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right style="thin">
        <color indexed="8"/>
      </right>
      <top style="thin">
        <color indexed="64"/>
      </top>
      <bottom style="thin">
        <color indexed="8"/>
      </bottom>
      <diagonal/>
    </border>
    <border>
      <left/>
      <right style="double">
        <color indexed="8"/>
      </right>
      <top style="thin">
        <color indexed="64"/>
      </top>
      <bottom style="thin">
        <color indexed="8"/>
      </bottom>
      <diagonal/>
    </border>
    <border>
      <left/>
      <right style="thin">
        <color indexed="8"/>
      </right>
      <top style="thin">
        <color indexed="8"/>
      </top>
      <bottom style="thin">
        <color indexed="64"/>
      </bottom>
      <diagonal/>
    </border>
    <border>
      <left style="thin">
        <color auto="1"/>
      </left>
      <right style="thin">
        <color auto="1"/>
      </right>
      <top style="thin">
        <color auto="1"/>
      </top>
      <bottom style="thin">
        <color auto="1"/>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auto="1"/>
      </left>
      <right/>
      <top/>
      <bottom style="double">
        <color indexed="64"/>
      </bottom>
      <diagonal/>
    </border>
    <border>
      <left/>
      <right style="thin">
        <color indexed="64"/>
      </right>
      <top/>
      <bottom style="double">
        <color indexed="64"/>
      </bottom>
      <diagonal/>
    </border>
    <border>
      <left style="double">
        <color indexed="64"/>
      </left>
      <right/>
      <top style="thin">
        <color indexed="8"/>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indexed="64"/>
      </top>
      <bottom style="double">
        <color auto="1"/>
      </bottom>
      <diagonal/>
    </border>
    <border>
      <left/>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s>
  <cellStyleXfs count="2">
    <xf numFmtId="0" fontId="0" fillId="0" borderId="0"/>
    <xf numFmtId="44" fontId="1" fillId="0" borderId="0" applyFont="0" applyFill="0" applyBorder="0" applyAlignment="0" applyProtection="0"/>
  </cellStyleXfs>
  <cellXfs count="861">
    <xf numFmtId="0" fontId="0" fillId="0" borderId="0" xfId="0"/>
    <xf numFmtId="0" fontId="9" fillId="0" borderId="0" xfId="0" applyFont="1" applyFill="1" applyBorder="1" applyAlignment="1" applyProtection="1">
      <alignment horizontal="center" vertical="center"/>
      <protection hidden="1"/>
    </xf>
    <xf numFmtId="0" fontId="4" fillId="3" borderId="38" xfId="0" applyFont="1" applyFill="1" applyBorder="1" applyAlignment="1" applyProtection="1">
      <alignment horizontal="center" vertical="center"/>
      <protection hidden="1"/>
    </xf>
    <xf numFmtId="0" fontId="0" fillId="0" borderId="0" xfId="0" applyProtection="1">
      <protection hidden="1"/>
    </xf>
    <xf numFmtId="0" fontId="0" fillId="0" borderId="0" xfId="0" applyAlignment="1" applyProtection="1">
      <alignment horizontal="center"/>
      <protection hidden="1"/>
    </xf>
    <xf numFmtId="193" fontId="2" fillId="0" borderId="38" xfId="0" applyNumberFormat="1" applyFont="1" applyFill="1" applyBorder="1" applyAlignment="1" applyProtection="1">
      <alignment horizontal="right" vertical="center"/>
      <protection hidden="1"/>
    </xf>
    <xf numFmtId="190" fontId="4" fillId="2" borderId="15" xfId="0" applyNumberFormat="1" applyFont="1" applyFill="1" applyBorder="1" applyAlignment="1" applyProtection="1">
      <alignment horizontal="center" vertical="center"/>
      <protection hidden="1"/>
    </xf>
    <xf numFmtId="0" fontId="4" fillId="3" borderId="9" xfId="0" applyFont="1" applyFill="1" applyBorder="1" applyAlignment="1" applyProtection="1">
      <alignment horizontal="center" vertical="center" wrapText="1"/>
      <protection hidden="1"/>
    </xf>
    <xf numFmtId="0" fontId="10" fillId="0" borderId="0" xfId="0" applyFont="1" applyFill="1" applyBorder="1" applyAlignment="1" applyProtection="1">
      <alignment horizontal="center" vertical="center"/>
      <protection hidden="1"/>
    </xf>
    <xf numFmtId="0" fontId="16" fillId="0" borderId="0" xfId="0" applyFont="1" applyBorder="1" applyAlignment="1" applyProtection="1">
      <alignment horizontal="center" vertical="center"/>
      <protection hidden="1"/>
    </xf>
    <xf numFmtId="0" fontId="16" fillId="0" borderId="0" xfId="0" applyFont="1" applyBorder="1" applyAlignment="1" applyProtection="1">
      <alignment vertical="center"/>
      <protection hidden="1"/>
    </xf>
    <xf numFmtId="170" fontId="16" fillId="0" borderId="0" xfId="0" applyNumberFormat="1" applyFont="1" applyFill="1" applyBorder="1" applyAlignment="1" applyProtection="1">
      <alignment horizontal="center" vertical="center"/>
      <protection hidden="1"/>
    </xf>
    <xf numFmtId="184" fontId="16" fillId="0" borderId="0" xfId="1" applyNumberFormat="1" applyFont="1" applyFill="1" applyBorder="1" applyAlignment="1" applyProtection="1">
      <alignment horizontal="center" vertical="center"/>
      <protection hidden="1"/>
    </xf>
    <xf numFmtId="0" fontId="16" fillId="0" borderId="0" xfId="0" applyFont="1" applyFill="1" applyBorder="1" applyAlignment="1" applyProtection="1">
      <alignment vertical="center"/>
      <protection hidden="1"/>
    </xf>
    <xf numFmtId="0" fontId="16" fillId="0" borderId="0" xfId="0" applyFont="1" applyFill="1" applyBorder="1" applyAlignment="1" applyProtection="1">
      <alignment horizontal="center" vertical="center"/>
      <protection hidden="1"/>
    </xf>
    <xf numFmtId="178" fontId="16" fillId="0" borderId="0" xfId="0" applyNumberFormat="1" applyFont="1" applyFill="1" applyBorder="1" applyAlignment="1" applyProtection="1">
      <alignment horizontal="center" vertical="center"/>
      <protection hidden="1"/>
    </xf>
    <xf numFmtId="180" fontId="16" fillId="0" borderId="0" xfId="0" applyNumberFormat="1" applyFont="1" applyFill="1" applyBorder="1" applyAlignment="1" applyProtection="1">
      <alignment horizontal="center" vertical="center"/>
      <protection hidden="1"/>
    </xf>
    <xf numFmtId="0" fontId="17" fillId="0" borderId="0" xfId="0" applyFont="1" applyBorder="1" applyAlignment="1" applyProtection="1">
      <alignment horizontal="center" vertical="center"/>
      <protection hidden="1"/>
    </xf>
    <xf numFmtId="0" fontId="25" fillId="0" borderId="0" xfId="0" applyFont="1" applyAlignment="1" applyProtection="1">
      <alignment vertical="center"/>
      <protection hidden="1"/>
    </xf>
    <xf numFmtId="0" fontId="25" fillId="0" borderId="0" xfId="0" applyFont="1" applyBorder="1" applyAlignment="1" applyProtection="1">
      <alignment vertical="center"/>
      <protection hidden="1"/>
    </xf>
    <xf numFmtId="0" fontId="24" fillId="0" borderId="0" xfId="0" applyFont="1" applyBorder="1" applyAlignment="1" applyProtection="1">
      <alignment horizontal="center" vertical="center"/>
      <protection hidden="1"/>
    </xf>
    <xf numFmtId="0" fontId="24" fillId="0" borderId="0" xfId="0" applyFont="1" applyBorder="1" applyAlignment="1" applyProtection="1">
      <alignment vertical="center"/>
      <protection hidden="1"/>
    </xf>
    <xf numFmtId="0" fontId="26" fillId="0" borderId="0" xfId="0" applyFont="1" applyBorder="1" applyAlignment="1" applyProtection="1">
      <alignment horizontal="right" vertical="center"/>
      <protection hidden="1"/>
    </xf>
    <xf numFmtId="0" fontId="25" fillId="0" borderId="0" xfId="0" applyFont="1" applyFill="1" applyAlignment="1" applyProtection="1">
      <alignment vertical="center"/>
      <protection hidden="1"/>
    </xf>
    <xf numFmtId="0" fontId="24" fillId="0" borderId="0" xfId="0" applyFont="1" applyFill="1" applyBorder="1" applyAlignment="1" applyProtection="1">
      <alignment horizontal="center" vertical="center" wrapText="1"/>
      <protection hidden="1"/>
    </xf>
    <xf numFmtId="0" fontId="27" fillId="0" borderId="0" xfId="0" applyFont="1" applyBorder="1" applyAlignment="1" applyProtection="1">
      <alignment horizontal="center" vertical="center"/>
      <protection hidden="1"/>
    </xf>
    <xf numFmtId="0" fontId="28" fillId="0" borderId="0" xfId="0" applyFont="1" applyBorder="1" applyAlignment="1" applyProtection="1">
      <alignment vertical="center"/>
      <protection hidden="1"/>
    </xf>
    <xf numFmtId="0" fontId="28" fillId="0" borderId="0" xfId="0" applyFont="1" applyFill="1" applyAlignment="1" applyProtection="1">
      <alignment vertical="center"/>
      <protection hidden="1"/>
    </xf>
    <xf numFmtId="0" fontId="24" fillId="0" borderId="0" xfId="0" applyFont="1" applyFill="1" applyBorder="1" applyAlignment="1" applyProtection="1">
      <alignment horizontal="center" vertical="center"/>
      <protection hidden="1"/>
    </xf>
    <xf numFmtId="0" fontId="28" fillId="0" borderId="0" xfId="0" applyFont="1" applyAlignment="1" applyProtection="1">
      <alignment vertical="center"/>
      <protection hidden="1"/>
    </xf>
    <xf numFmtId="0" fontId="28" fillId="0" borderId="0" xfId="0" applyNumberFormat="1" applyFont="1" applyFill="1" applyBorder="1" applyAlignment="1" applyProtection="1">
      <alignment horizontal="right" vertical="center"/>
      <protection hidden="1"/>
    </xf>
    <xf numFmtId="0" fontId="24" fillId="0" borderId="0" xfId="0" applyFont="1" applyFill="1" applyBorder="1" applyAlignment="1" applyProtection="1">
      <alignment vertical="center"/>
      <protection hidden="1"/>
    </xf>
    <xf numFmtId="170" fontId="24" fillId="0" borderId="0" xfId="0" applyNumberFormat="1" applyFont="1" applyFill="1" applyBorder="1" applyAlignment="1" applyProtection="1">
      <alignment horizontal="center" vertical="center"/>
      <protection hidden="1"/>
    </xf>
    <xf numFmtId="178" fontId="24" fillId="0" borderId="0" xfId="0" applyNumberFormat="1" applyFont="1" applyFill="1" applyBorder="1" applyAlignment="1" applyProtection="1">
      <alignment horizontal="center" vertical="center"/>
      <protection hidden="1"/>
    </xf>
    <xf numFmtId="176" fontId="29" fillId="0" borderId="0" xfId="0" applyNumberFormat="1" applyFont="1" applyFill="1" applyBorder="1" applyAlignment="1" applyProtection="1">
      <alignment horizontal="center" vertical="center"/>
      <protection hidden="1"/>
    </xf>
    <xf numFmtId="177" fontId="29" fillId="0" borderId="0" xfId="0" applyNumberFormat="1" applyFont="1" applyFill="1" applyBorder="1" applyAlignment="1" applyProtection="1">
      <alignment horizontal="right" vertical="center"/>
      <protection hidden="1"/>
    </xf>
    <xf numFmtId="0" fontId="25" fillId="0" borderId="0" xfId="0" applyFont="1" applyFill="1" applyBorder="1" applyAlignment="1" applyProtection="1">
      <alignment vertical="center"/>
      <protection hidden="1"/>
    </xf>
    <xf numFmtId="0" fontId="24" fillId="0" borderId="0" xfId="0" applyFont="1" applyFill="1" applyBorder="1" applyAlignment="1" applyProtection="1">
      <alignment vertical="center" wrapText="1"/>
      <protection hidden="1"/>
    </xf>
    <xf numFmtId="176" fontId="24" fillId="0" borderId="0" xfId="0" applyNumberFormat="1" applyFont="1" applyFill="1" applyBorder="1" applyAlignment="1" applyProtection="1">
      <alignment horizontal="center" vertical="center"/>
      <protection hidden="1"/>
    </xf>
    <xf numFmtId="0" fontId="26" fillId="0" borderId="0" xfId="0" applyFont="1" applyAlignment="1" applyProtection="1">
      <alignment vertical="center"/>
      <protection hidden="1"/>
    </xf>
    <xf numFmtId="0" fontId="26" fillId="0" borderId="0" xfId="0" applyFont="1" applyBorder="1" applyAlignment="1" applyProtection="1">
      <alignment vertical="center"/>
      <protection hidden="1"/>
    </xf>
    <xf numFmtId="0" fontId="10" fillId="0" borderId="0" xfId="0" applyFont="1" applyBorder="1" applyAlignment="1" applyProtection="1">
      <alignment horizontal="center" vertical="center"/>
      <protection hidden="1"/>
    </xf>
    <xf numFmtId="0" fontId="10" fillId="0" borderId="0" xfId="0" applyFont="1" applyBorder="1" applyAlignment="1" applyProtection="1">
      <alignment vertical="center"/>
      <protection hidden="1"/>
    </xf>
    <xf numFmtId="0" fontId="26" fillId="0" borderId="0" xfId="0" applyFont="1" applyFill="1" applyAlignment="1" applyProtection="1">
      <alignment vertical="center"/>
      <protection hidden="1"/>
    </xf>
    <xf numFmtId="0" fontId="10" fillId="0" borderId="0" xfId="0" applyFont="1" applyFill="1" applyBorder="1" applyAlignment="1" applyProtection="1">
      <alignment horizontal="center" vertical="center" wrapText="1"/>
      <protection hidden="1"/>
    </xf>
    <xf numFmtId="0" fontId="34" fillId="0" borderId="0" xfId="0" applyFont="1" applyBorder="1" applyAlignment="1" applyProtection="1">
      <alignment horizontal="center" vertical="center"/>
      <protection hidden="1"/>
    </xf>
    <xf numFmtId="0" fontId="33" fillId="0" borderId="0" xfId="0" applyFont="1" applyBorder="1" applyAlignment="1" applyProtection="1">
      <alignment vertical="center"/>
      <protection hidden="1"/>
    </xf>
    <xf numFmtId="0" fontId="33" fillId="0" borderId="0" xfId="0" applyFont="1" applyFill="1" applyAlignment="1" applyProtection="1">
      <alignment vertical="center"/>
      <protection hidden="1"/>
    </xf>
    <xf numFmtId="0" fontId="10" fillId="0" borderId="0" xfId="0" applyFont="1" applyFill="1" applyBorder="1" applyAlignment="1" applyProtection="1">
      <alignment horizontal="center" vertical="center" textRotation="180"/>
      <protection hidden="1"/>
    </xf>
    <xf numFmtId="0" fontId="33" fillId="0" borderId="0" xfId="0" applyFont="1" applyAlignment="1" applyProtection="1">
      <alignment vertical="center"/>
      <protection hidden="1"/>
    </xf>
    <xf numFmtId="17" fontId="33" fillId="0" borderId="0" xfId="0" applyNumberFormat="1" applyFont="1" applyFill="1" applyBorder="1" applyAlignment="1" applyProtection="1">
      <alignment horizontal="right" vertical="center"/>
      <protection hidden="1"/>
    </xf>
    <xf numFmtId="0" fontId="33" fillId="0" borderId="0" xfId="0" applyNumberFormat="1" applyFont="1" applyFill="1" applyBorder="1" applyAlignment="1" applyProtection="1">
      <alignment vertical="center"/>
      <protection hidden="1"/>
    </xf>
    <xf numFmtId="170" fontId="26" fillId="0" borderId="0" xfId="0" applyNumberFormat="1" applyFont="1" applyFill="1" applyBorder="1" applyAlignment="1" applyProtection="1">
      <alignment horizontal="center" vertical="center"/>
      <protection hidden="1"/>
    </xf>
    <xf numFmtId="175" fontId="26" fillId="0" borderId="0" xfId="0" applyNumberFormat="1" applyFont="1" applyFill="1" applyBorder="1" applyAlignment="1" applyProtection="1">
      <alignment horizontal="center" vertical="center"/>
      <protection hidden="1"/>
    </xf>
    <xf numFmtId="185" fontId="26" fillId="0" borderId="0" xfId="0" applyNumberFormat="1" applyFont="1" applyFill="1" applyBorder="1" applyAlignment="1" applyProtection="1">
      <alignment horizontal="center" vertical="center"/>
      <protection hidden="1"/>
    </xf>
    <xf numFmtId="165" fontId="33" fillId="0" borderId="0" xfId="0" applyNumberFormat="1" applyFont="1" applyFill="1" applyBorder="1" applyAlignment="1" applyProtection="1">
      <alignment horizontal="right" vertical="center"/>
      <protection hidden="1"/>
    </xf>
    <xf numFmtId="0" fontId="33" fillId="0" borderId="0" xfId="0" applyNumberFormat="1" applyFont="1" applyFill="1" applyBorder="1" applyAlignment="1" applyProtection="1">
      <alignment horizontal="right" vertical="center"/>
      <protection hidden="1"/>
    </xf>
    <xf numFmtId="0" fontId="10" fillId="0" borderId="0" xfId="0" applyFont="1" applyFill="1" applyBorder="1" applyAlignment="1" applyProtection="1">
      <alignment vertical="center"/>
      <protection hidden="1"/>
    </xf>
    <xf numFmtId="170" fontId="10" fillId="0" borderId="0" xfId="0" applyNumberFormat="1" applyFont="1" applyFill="1" applyBorder="1" applyAlignment="1" applyProtection="1">
      <alignment horizontal="center" vertical="center"/>
      <protection hidden="1"/>
    </xf>
    <xf numFmtId="175" fontId="10" fillId="0" borderId="0" xfId="0" applyNumberFormat="1" applyFont="1" applyFill="1" applyBorder="1" applyAlignment="1" applyProtection="1">
      <alignment horizontal="center" vertical="center"/>
      <protection hidden="1"/>
    </xf>
    <xf numFmtId="184" fontId="10" fillId="0" borderId="0" xfId="1" applyNumberFormat="1" applyFont="1" applyFill="1" applyBorder="1" applyAlignment="1" applyProtection="1">
      <alignment horizontal="center" vertical="center"/>
      <protection hidden="1"/>
    </xf>
    <xf numFmtId="178" fontId="10" fillId="0" borderId="0" xfId="0" applyNumberFormat="1" applyFont="1" applyFill="1" applyBorder="1" applyAlignment="1" applyProtection="1">
      <alignment horizontal="center" vertical="center"/>
      <protection hidden="1"/>
    </xf>
    <xf numFmtId="176" fontId="35" fillId="0" borderId="0" xfId="0" applyNumberFormat="1" applyFont="1" applyFill="1" applyBorder="1" applyAlignment="1" applyProtection="1">
      <alignment horizontal="center" vertical="center"/>
      <protection hidden="1"/>
    </xf>
    <xf numFmtId="177" fontId="35" fillId="0" borderId="0" xfId="0" applyNumberFormat="1" applyFont="1" applyFill="1" applyBorder="1" applyAlignment="1" applyProtection="1">
      <alignment horizontal="right" vertical="center"/>
      <protection hidden="1"/>
    </xf>
    <xf numFmtId="0" fontId="26" fillId="0" borderId="0" xfId="0" applyFont="1" applyFill="1" applyBorder="1" applyAlignment="1" applyProtection="1">
      <alignment vertical="center"/>
      <protection hidden="1"/>
    </xf>
    <xf numFmtId="0" fontId="10" fillId="0" borderId="0" xfId="0" applyFont="1" applyFill="1" applyBorder="1" applyAlignment="1" applyProtection="1">
      <alignment vertical="center" wrapText="1"/>
      <protection hidden="1"/>
    </xf>
    <xf numFmtId="1" fontId="10" fillId="0" borderId="0" xfId="1" applyNumberFormat="1" applyFont="1" applyFill="1" applyBorder="1" applyAlignment="1" applyProtection="1">
      <alignment horizontal="center" vertical="center"/>
      <protection hidden="1"/>
    </xf>
    <xf numFmtId="180" fontId="10" fillId="0" borderId="0" xfId="0" applyNumberFormat="1" applyFont="1" applyFill="1" applyBorder="1" applyAlignment="1" applyProtection="1">
      <alignment horizontal="center" vertical="center"/>
      <protection hidden="1"/>
    </xf>
    <xf numFmtId="176" fontId="10" fillId="0" borderId="0" xfId="0" applyNumberFormat="1" applyFont="1" applyFill="1" applyBorder="1" applyAlignment="1" applyProtection="1">
      <alignment horizontal="center" vertical="center"/>
      <protection hidden="1"/>
    </xf>
    <xf numFmtId="41" fontId="35" fillId="0" borderId="0" xfId="0" applyNumberFormat="1" applyFont="1" applyBorder="1" applyAlignment="1" applyProtection="1">
      <alignment vertical="center"/>
      <protection hidden="1"/>
    </xf>
    <xf numFmtId="0" fontId="36" fillId="0" borderId="0" xfId="0" applyFont="1" applyBorder="1" applyAlignment="1" applyProtection="1">
      <alignment vertical="center"/>
      <protection hidden="1"/>
    </xf>
    <xf numFmtId="0" fontId="8" fillId="0" borderId="0" xfId="0" applyFont="1" applyBorder="1" applyAlignment="1" applyProtection="1">
      <alignment horizontal="center" vertical="center"/>
      <protection hidden="1"/>
    </xf>
    <xf numFmtId="0" fontId="28" fillId="0" borderId="0" xfId="0" applyFont="1" applyBorder="1" applyAlignment="1" applyProtection="1">
      <alignment horizontal="right" vertical="center"/>
      <protection hidden="1"/>
    </xf>
    <xf numFmtId="0" fontId="28" fillId="0" borderId="0" xfId="0" applyFont="1" applyFill="1" applyBorder="1" applyAlignment="1" applyProtection="1">
      <alignment vertical="center"/>
      <protection hidden="1"/>
    </xf>
    <xf numFmtId="0" fontId="28" fillId="0" borderId="39" xfId="0" applyFont="1" applyFill="1" applyBorder="1" applyAlignment="1" applyProtection="1">
      <alignment vertical="center"/>
      <protection hidden="1"/>
    </xf>
    <xf numFmtId="0" fontId="28" fillId="0" borderId="0" xfId="0" applyFont="1" applyFill="1" applyBorder="1" applyAlignment="1" applyProtection="1">
      <alignment horizontal="center" vertical="center"/>
      <protection hidden="1"/>
    </xf>
    <xf numFmtId="0" fontId="28" fillId="0" borderId="20" xfId="0" applyFont="1" applyFill="1" applyBorder="1" applyAlignment="1" applyProtection="1">
      <alignment horizontal="center" vertical="center"/>
      <protection hidden="1"/>
    </xf>
    <xf numFmtId="0" fontId="28" fillId="0" borderId="22" xfId="0" applyFont="1" applyFill="1" applyBorder="1" applyAlignment="1" applyProtection="1">
      <alignment horizontal="center" vertical="center"/>
      <protection hidden="1"/>
    </xf>
    <xf numFmtId="178" fontId="24" fillId="0" borderId="9" xfId="0" applyNumberFormat="1" applyFont="1" applyBorder="1" applyAlignment="1" applyProtection="1">
      <alignment horizontal="center" vertical="center"/>
      <protection hidden="1"/>
    </xf>
    <xf numFmtId="170" fontId="18" fillId="0" borderId="0" xfId="0" applyNumberFormat="1" applyFont="1" applyFill="1" applyBorder="1" applyAlignment="1" applyProtection="1">
      <alignment horizontal="center" vertical="center"/>
      <protection hidden="1"/>
    </xf>
    <xf numFmtId="0" fontId="23" fillId="0" borderId="34" xfId="0" applyFont="1" applyFill="1" applyBorder="1" applyAlignment="1" applyProtection="1">
      <alignment vertical="center" shrinkToFit="1"/>
      <protection hidden="1"/>
    </xf>
    <xf numFmtId="171" fontId="16" fillId="24" borderId="9" xfId="0" applyNumberFormat="1" applyFont="1" applyFill="1" applyBorder="1" applyAlignment="1" applyProtection="1">
      <alignment horizontal="center" vertical="center"/>
      <protection hidden="1"/>
    </xf>
    <xf numFmtId="167" fontId="16" fillId="25" borderId="9" xfId="0" applyNumberFormat="1" applyFont="1" applyFill="1" applyBorder="1" applyAlignment="1" applyProtection="1">
      <alignment horizontal="center" vertical="center"/>
      <protection hidden="1"/>
    </xf>
    <xf numFmtId="169" fontId="16" fillId="23" borderId="9" xfId="0" applyNumberFormat="1" applyFont="1" applyFill="1" applyBorder="1" applyAlignment="1" applyProtection="1">
      <alignment horizontal="center" vertical="center"/>
      <protection hidden="1"/>
    </xf>
    <xf numFmtId="0" fontId="21" fillId="0" borderId="0" xfId="0" applyFont="1" applyAlignment="1" applyProtection="1">
      <alignment vertical="center"/>
      <protection hidden="1"/>
    </xf>
    <xf numFmtId="0" fontId="21" fillId="0" borderId="0" xfId="0" applyFont="1" applyBorder="1" applyAlignment="1" applyProtection="1">
      <alignment vertical="center"/>
      <protection hidden="1"/>
    </xf>
    <xf numFmtId="0" fontId="16" fillId="0" borderId="0" xfId="0" applyFont="1" applyAlignment="1" applyProtection="1">
      <alignment vertical="center"/>
      <protection hidden="1"/>
    </xf>
    <xf numFmtId="0" fontId="23" fillId="0" borderId="0" xfId="0" applyFont="1" applyBorder="1" applyAlignment="1" applyProtection="1">
      <alignment horizontal="right" vertical="center"/>
      <protection hidden="1"/>
    </xf>
    <xf numFmtId="0" fontId="38" fillId="0" borderId="0" xfId="0" applyFont="1" applyBorder="1" applyAlignment="1" applyProtection="1">
      <alignment horizontal="center" vertical="center"/>
      <protection hidden="1"/>
    </xf>
    <xf numFmtId="167" fontId="21" fillId="0" borderId="9" xfId="0" applyNumberFormat="1" applyFont="1" applyFill="1" applyBorder="1" applyAlignment="1" applyProtection="1">
      <alignment horizontal="center" vertical="center"/>
      <protection hidden="1"/>
    </xf>
    <xf numFmtId="0" fontId="23" fillId="0" borderId="32" xfId="0" applyFont="1" applyFill="1" applyBorder="1" applyAlignment="1" applyProtection="1">
      <alignment vertical="center"/>
      <protection hidden="1"/>
    </xf>
    <xf numFmtId="0" fontId="23" fillId="0" borderId="43" xfId="0" applyFont="1" applyFill="1" applyBorder="1" applyAlignment="1" applyProtection="1">
      <alignment vertical="center"/>
      <protection hidden="1"/>
    </xf>
    <xf numFmtId="0" fontId="23" fillId="0" borderId="44" xfId="0" applyFont="1" applyFill="1" applyBorder="1" applyAlignment="1" applyProtection="1">
      <alignment vertical="center"/>
      <protection hidden="1"/>
    </xf>
    <xf numFmtId="0" fontId="23" fillId="0" borderId="12" xfId="0" applyNumberFormat="1" applyFont="1" applyFill="1" applyBorder="1" applyAlignment="1" applyProtection="1">
      <alignment horizontal="center" vertical="center"/>
      <protection hidden="1"/>
    </xf>
    <xf numFmtId="0" fontId="23" fillId="0" borderId="60" xfId="0" applyFont="1" applyFill="1" applyBorder="1" applyAlignment="1" applyProtection="1">
      <alignment vertical="center"/>
      <protection hidden="1"/>
    </xf>
    <xf numFmtId="0" fontId="23" fillId="0" borderId="0" xfId="0" applyFont="1" applyFill="1" applyBorder="1" applyAlignment="1" applyProtection="1">
      <alignment vertical="center"/>
      <protection hidden="1"/>
    </xf>
    <xf numFmtId="0" fontId="23" fillId="0" borderId="39" xfId="0" applyFont="1" applyFill="1" applyBorder="1" applyAlignment="1" applyProtection="1">
      <alignment vertical="center"/>
      <protection hidden="1"/>
    </xf>
    <xf numFmtId="0" fontId="23" fillId="0" borderId="16" xfId="0" applyFont="1" applyFill="1" applyBorder="1" applyAlignment="1" applyProtection="1">
      <alignment horizontal="center" vertical="center"/>
      <protection hidden="1"/>
    </xf>
    <xf numFmtId="0" fontId="23" fillId="0" borderId="17" xfId="0" applyFont="1" applyFill="1" applyBorder="1" applyAlignment="1" applyProtection="1">
      <alignment horizontal="center" vertical="center"/>
      <protection hidden="1"/>
    </xf>
    <xf numFmtId="0" fontId="23" fillId="0" borderId="18" xfId="0" applyFont="1" applyFill="1" applyBorder="1" applyAlignment="1" applyProtection="1">
      <alignment horizontal="center" vertical="center"/>
      <protection hidden="1"/>
    </xf>
    <xf numFmtId="0" fontId="23" fillId="0" borderId="19" xfId="0" applyFont="1" applyFill="1" applyBorder="1" applyAlignment="1" applyProtection="1">
      <alignment horizontal="center" vertical="center"/>
      <protection hidden="1"/>
    </xf>
    <xf numFmtId="0" fontId="23" fillId="0" borderId="0" xfId="0" applyFont="1" applyFill="1" applyBorder="1" applyAlignment="1" applyProtection="1">
      <alignment horizontal="center" vertical="center"/>
      <protection hidden="1"/>
    </xf>
    <xf numFmtId="0" fontId="23" fillId="0" borderId="10" xfId="0" applyFont="1" applyFill="1" applyBorder="1" applyAlignment="1" applyProtection="1">
      <alignment horizontal="center" vertical="center"/>
      <protection hidden="1"/>
    </xf>
    <xf numFmtId="167" fontId="23" fillId="0" borderId="9" xfId="0" applyNumberFormat="1" applyFont="1" applyFill="1" applyBorder="1" applyAlignment="1" applyProtection="1">
      <alignment horizontal="center" vertical="center"/>
      <protection hidden="1"/>
    </xf>
    <xf numFmtId="0" fontId="23" fillId="0" borderId="9" xfId="0" applyFont="1" applyFill="1" applyBorder="1" applyAlignment="1" applyProtection="1">
      <alignment horizontal="center" vertical="center"/>
      <protection hidden="1"/>
    </xf>
    <xf numFmtId="0" fontId="23" fillId="0" borderId="20" xfId="0" applyFont="1" applyFill="1" applyBorder="1" applyAlignment="1" applyProtection="1">
      <alignment horizontal="center" vertical="center"/>
      <protection hidden="1"/>
    </xf>
    <xf numFmtId="0" fontId="23" fillId="0" borderId="21" xfId="0" applyFont="1" applyFill="1" applyBorder="1" applyAlignment="1" applyProtection="1">
      <alignment horizontal="center" vertical="center"/>
      <protection hidden="1"/>
    </xf>
    <xf numFmtId="0" fontId="23" fillId="0" borderId="22" xfId="0" applyFont="1" applyFill="1" applyBorder="1" applyAlignment="1" applyProtection="1">
      <alignment horizontal="center" vertical="center"/>
      <protection hidden="1"/>
    </xf>
    <xf numFmtId="170" fontId="18" fillId="24" borderId="9" xfId="0" applyNumberFormat="1" applyFont="1" applyFill="1" applyBorder="1" applyAlignment="1" applyProtection="1">
      <alignment horizontal="center" vertical="center"/>
      <protection hidden="1"/>
    </xf>
    <xf numFmtId="170" fontId="16" fillId="24" borderId="9" xfId="0" applyNumberFormat="1" applyFont="1" applyFill="1" applyBorder="1" applyAlignment="1" applyProtection="1">
      <alignment horizontal="center" vertical="center"/>
      <protection hidden="1"/>
    </xf>
    <xf numFmtId="175" fontId="16" fillId="24" borderId="9" xfId="0" applyNumberFormat="1" applyFont="1" applyFill="1" applyBorder="1" applyAlignment="1" applyProtection="1">
      <alignment horizontal="center" vertical="center"/>
      <protection hidden="1"/>
    </xf>
    <xf numFmtId="176" fontId="16" fillId="24" borderId="9" xfId="0" applyNumberFormat="1" applyFont="1" applyFill="1" applyBorder="1" applyAlignment="1" applyProtection="1">
      <alignment horizontal="center" vertical="center"/>
      <protection hidden="1"/>
    </xf>
    <xf numFmtId="177" fontId="16" fillId="24" borderId="9" xfId="1" applyNumberFormat="1" applyFont="1" applyFill="1" applyBorder="1" applyAlignment="1" applyProtection="1">
      <alignment horizontal="center" vertical="center"/>
      <protection hidden="1"/>
    </xf>
    <xf numFmtId="0" fontId="39" fillId="0" borderId="0" xfId="0" applyFont="1" applyBorder="1" applyAlignment="1" applyProtection="1">
      <alignment vertical="center"/>
      <protection hidden="1"/>
    </xf>
    <xf numFmtId="177" fontId="18" fillId="0" borderId="0" xfId="0" applyNumberFormat="1" applyFont="1" applyFill="1" applyBorder="1" applyAlignment="1" applyProtection="1">
      <alignment horizontal="right" vertical="center"/>
      <protection hidden="1"/>
    </xf>
    <xf numFmtId="0" fontId="16" fillId="0" borderId="0" xfId="0" applyFont="1" applyFill="1" applyBorder="1" applyAlignment="1" applyProtection="1">
      <alignment horizontal="left" vertical="center" wrapText="1"/>
      <protection hidden="1"/>
    </xf>
    <xf numFmtId="176" fontId="18" fillId="0" borderId="0" xfId="0" applyNumberFormat="1" applyFont="1" applyFill="1" applyBorder="1" applyAlignment="1" applyProtection="1">
      <alignment horizontal="center" vertical="center"/>
      <protection hidden="1"/>
    </xf>
    <xf numFmtId="0" fontId="16" fillId="0" borderId="12" xfId="0" applyFont="1" applyBorder="1" applyAlignment="1" applyProtection="1">
      <alignment horizontal="left" vertical="center" wrapText="1"/>
      <protection hidden="1"/>
    </xf>
    <xf numFmtId="0" fontId="40" fillId="0" borderId="0" xfId="0" applyFont="1" applyBorder="1" applyAlignment="1" applyProtection="1">
      <alignment vertical="center"/>
      <protection hidden="1"/>
    </xf>
    <xf numFmtId="177" fontId="18" fillId="0" borderId="0" xfId="0" applyNumberFormat="1" applyFont="1" applyFill="1" applyBorder="1" applyAlignment="1" applyProtection="1">
      <alignment vertical="center"/>
      <protection hidden="1"/>
    </xf>
    <xf numFmtId="0" fontId="16" fillId="0" borderId="0" xfId="0" applyFont="1" applyFill="1" applyBorder="1" applyAlignment="1" applyProtection="1">
      <alignment horizontal="center" vertical="center" wrapText="1"/>
      <protection hidden="1"/>
    </xf>
    <xf numFmtId="0" fontId="19" fillId="0" borderId="0" xfId="0" applyFont="1" applyFill="1" applyBorder="1" applyAlignment="1" applyProtection="1">
      <alignment horizontal="center" vertical="center" wrapText="1"/>
      <protection hidden="1"/>
    </xf>
    <xf numFmtId="0" fontId="16" fillId="0" borderId="0" xfId="0" applyFont="1" applyFill="1" applyBorder="1" applyAlignment="1" applyProtection="1">
      <alignment horizontal="left" vertical="center"/>
      <protection hidden="1"/>
    </xf>
    <xf numFmtId="0" fontId="21" fillId="0" borderId="0" xfId="0" applyFont="1" applyFill="1" applyAlignment="1" applyProtection="1">
      <alignment vertical="center"/>
      <protection hidden="1"/>
    </xf>
    <xf numFmtId="0" fontId="21" fillId="0" borderId="0" xfId="0" applyFont="1" applyFill="1" applyBorder="1" applyAlignment="1" applyProtection="1">
      <alignment vertical="center"/>
      <protection hidden="1"/>
    </xf>
    <xf numFmtId="184" fontId="18" fillId="0" borderId="0" xfId="0" applyNumberFormat="1" applyFont="1" applyFill="1" applyBorder="1" applyAlignment="1" applyProtection="1">
      <alignment horizontal="center" vertical="center"/>
      <protection hidden="1"/>
    </xf>
    <xf numFmtId="0" fontId="39" fillId="0" borderId="0" xfId="0" applyFont="1" applyFill="1" applyBorder="1" applyAlignment="1" applyProtection="1">
      <alignment horizontal="center" vertical="center"/>
      <protection hidden="1"/>
    </xf>
    <xf numFmtId="177" fontId="21" fillId="0" borderId="0" xfId="0" applyNumberFormat="1" applyFont="1" applyFill="1" applyAlignment="1" applyProtection="1">
      <alignment vertical="center"/>
      <protection hidden="1"/>
    </xf>
    <xf numFmtId="176" fontId="42" fillId="0" borderId="0" xfId="0" applyNumberFormat="1" applyFont="1" applyFill="1" applyBorder="1" applyAlignment="1" applyProtection="1">
      <alignment horizontal="center" vertical="center"/>
      <protection hidden="1"/>
    </xf>
    <xf numFmtId="0" fontId="42" fillId="0" borderId="0" xfId="0" applyFont="1" applyBorder="1" applyAlignment="1" applyProtection="1">
      <alignment horizontal="center" vertical="center"/>
      <protection hidden="1"/>
    </xf>
    <xf numFmtId="177" fontId="21" fillId="0" borderId="0" xfId="0" applyNumberFormat="1" applyFont="1" applyAlignment="1" applyProtection="1">
      <alignment vertical="center"/>
      <protection hidden="1"/>
    </xf>
    <xf numFmtId="0" fontId="46" fillId="0" borderId="0" xfId="0" applyFont="1" applyBorder="1" applyAlignment="1" applyProtection="1">
      <alignment horizontal="right" vertical="center"/>
      <protection hidden="1"/>
    </xf>
    <xf numFmtId="170" fontId="24" fillId="2" borderId="9" xfId="0" applyNumberFormat="1" applyFont="1" applyFill="1" applyBorder="1" applyAlignment="1" applyProtection="1">
      <alignment horizontal="center" vertical="center"/>
      <protection hidden="1"/>
    </xf>
    <xf numFmtId="200" fontId="24" fillId="2" borderId="9" xfId="0" applyNumberFormat="1" applyFont="1" applyFill="1" applyBorder="1" applyAlignment="1" applyProtection="1">
      <alignment horizontal="center" vertical="center"/>
      <protection hidden="1"/>
    </xf>
    <xf numFmtId="0" fontId="29" fillId="0" borderId="0" xfId="0" applyFont="1" applyFill="1" applyBorder="1" applyAlignment="1" applyProtection="1">
      <alignment horizontal="right" vertical="center"/>
      <protection hidden="1"/>
    </xf>
    <xf numFmtId="44" fontId="28" fillId="0" borderId="9" xfId="0" applyNumberFormat="1" applyFont="1" applyFill="1" applyBorder="1" applyAlignment="1" applyProtection="1">
      <alignment horizontal="center" vertical="center"/>
      <protection hidden="1"/>
    </xf>
    <xf numFmtId="179" fontId="29" fillId="0" borderId="0" xfId="0" applyNumberFormat="1" applyFont="1" applyFill="1" applyBorder="1" applyAlignment="1" applyProtection="1">
      <alignment horizontal="center" vertical="center" wrapText="1"/>
      <protection hidden="1"/>
    </xf>
    <xf numFmtId="0" fontId="29" fillId="0" borderId="0" xfId="0" applyFont="1" applyBorder="1" applyAlignment="1" applyProtection="1">
      <alignment horizontal="center" vertical="center"/>
      <protection hidden="1"/>
    </xf>
    <xf numFmtId="202" fontId="24" fillId="2" borderId="9" xfId="0" applyNumberFormat="1" applyFont="1" applyFill="1" applyBorder="1" applyAlignment="1" applyProtection="1">
      <alignment horizontal="center" vertical="center"/>
      <protection hidden="1"/>
    </xf>
    <xf numFmtId="0" fontId="50" fillId="0" borderId="0" xfId="0" applyFont="1" applyAlignment="1" applyProtection="1">
      <alignment vertical="center"/>
      <protection hidden="1"/>
    </xf>
    <xf numFmtId="203" fontId="28" fillId="0" borderId="9" xfId="0" applyNumberFormat="1" applyFont="1" applyFill="1" applyBorder="1" applyAlignment="1" applyProtection="1">
      <alignment horizontal="center" vertical="center"/>
      <protection hidden="1"/>
    </xf>
    <xf numFmtId="41" fontId="28" fillId="0" borderId="9" xfId="0" applyNumberFormat="1" applyFont="1" applyFill="1" applyBorder="1" applyAlignment="1" applyProtection="1">
      <alignment horizontal="center" vertical="center"/>
      <protection hidden="1"/>
    </xf>
    <xf numFmtId="2" fontId="25" fillId="0" borderId="0" xfId="0" applyNumberFormat="1" applyFont="1" applyAlignment="1" applyProtection="1">
      <alignment vertical="center"/>
      <protection hidden="1"/>
    </xf>
    <xf numFmtId="180" fontId="25" fillId="0" borderId="0" xfId="0" applyNumberFormat="1" applyFont="1" applyAlignment="1" applyProtection="1">
      <alignment vertical="center"/>
      <protection hidden="1"/>
    </xf>
    <xf numFmtId="0" fontId="24" fillId="0" borderId="0" xfId="0" applyFont="1" applyAlignment="1" applyProtection="1">
      <alignment vertical="center"/>
      <protection hidden="1"/>
    </xf>
    <xf numFmtId="0" fontId="24" fillId="0" borderId="0" xfId="0" applyFont="1" applyFill="1" applyBorder="1" applyAlignment="1" applyProtection="1">
      <alignment horizontal="right" vertical="center"/>
      <protection hidden="1"/>
    </xf>
    <xf numFmtId="0" fontId="50" fillId="0" borderId="0" xfId="0" applyFont="1" applyBorder="1" applyAlignment="1" applyProtection="1">
      <alignment vertical="center"/>
      <protection hidden="1"/>
    </xf>
    <xf numFmtId="0" fontId="25" fillId="0" borderId="0" xfId="0" applyFont="1" applyBorder="1" applyProtection="1">
      <protection hidden="1"/>
    </xf>
    <xf numFmtId="0" fontId="28" fillId="0" borderId="0" xfId="0" applyFont="1" applyBorder="1" applyAlignment="1" applyProtection="1">
      <alignment horizontal="right" vertical="center"/>
      <protection hidden="1"/>
    </xf>
    <xf numFmtId="0" fontId="51" fillId="0" borderId="0" xfId="0" applyFont="1" applyBorder="1" applyAlignment="1" applyProtection="1">
      <alignment horizontal="left" vertical="center"/>
      <protection hidden="1"/>
    </xf>
    <xf numFmtId="0" fontId="52" fillId="0" borderId="0" xfId="0" applyFont="1" applyAlignment="1" applyProtection="1">
      <alignment vertical="center"/>
      <protection hidden="1"/>
    </xf>
    <xf numFmtId="170" fontId="28" fillId="0" borderId="9" xfId="0" applyNumberFormat="1" applyFont="1" applyFill="1" applyBorder="1" applyAlignment="1" applyProtection="1">
      <alignment horizontal="center" vertical="center"/>
      <protection hidden="1"/>
    </xf>
    <xf numFmtId="170" fontId="28" fillId="0" borderId="16" xfId="0" applyNumberFormat="1" applyFont="1" applyFill="1" applyBorder="1" applyAlignment="1" applyProtection="1">
      <alignment vertical="center"/>
      <protection hidden="1"/>
    </xf>
    <xf numFmtId="170" fontId="28" fillId="0" borderId="18" xfId="0" applyNumberFormat="1" applyFont="1" applyFill="1" applyBorder="1" applyAlignment="1" applyProtection="1">
      <alignment vertical="center"/>
      <protection hidden="1"/>
    </xf>
    <xf numFmtId="168" fontId="52" fillId="0" borderId="0" xfId="0" applyNumberFormat="1" applyFont="1" applyAlignment="1" applyProtection="1">
      <alignment horizontal="center" vertical="center"/>
      <protection hidden="1"/>
    </xf>
    <xf numFmtId="169" fontId="52" fillId="0" borderId="0" xfId="0" applyNumberFormat="1" applyFont="1" applyAlignment="1" applyProtection="1">
      <alignment vertical="center"/>
      <protection hidden="1"/>
    </xf>
    <xf numFmtId="2" fontId="52" fillId="0" borderId="0" xfId="0" applyNumberFormat="1" applyFont="1" applyAlignment="1" applyProtection="1">
      <alignment vertical="center"/>
      <protection hidden="1"/>
    </xf>
    <xf numFmtId="166" fontId="52" fillId="0" borderId="0" xfId="0" applyNumberFormat="1" applyFont="1" applyAlignment="1" applyProtection="1">
      <alignment vertical="center"/>
      <protection hidden="1"/>
    </xf>
    <xf numFmtId="170" fontId="52" fillId="0" borderId="0" xfId="0" applyNumberFormat="1" applyFont="1" applyAlignment="1" applyProtection="1">
      <alignment vertical="center"/>
      <protection hidden="1"/>
    </xf>
    <xf numFmtId="166" fontId="28" fillId="0" borderId="0" xfId="0" applyNumberFormat="1" applyFont="1" applyAlignment="1" applyProtection="1">
      <alignment vertical="center"/>
      <protection hidden="1"/>
    </xf>
    <xf numFmtId="171" fontId="28" fillId="0" borderId="0" xfId="0" applyNumberFormat="1" applyFont="1" applyAlignment="1" applyProtection="1">
      <alignment vertical="center"/>
      <protection hidden="1"/>
    </xf>
    <xf numFmtId="170" fontId="28" fillId="0" borderId="0" xfId="0" applyNumberFormat="1" applyFont="1" applyAlignment="1" applyProtection="1">
      <alignment vertical="center"/>
      <protection hidden="1"/>
    </xf>
    <xf numFmtId="14" fontId="28" fillId="0" borderId="0" xfId="0" applyNumberFormat="1" applyFont="1" applyAlignment="1" applyProtection="1">
      <alignment vertical="center"/>
      <protection hidden="1"/>
    </xf>
    <xf numFmtId="0" fontId="25" fillId="0" borderId="12" xfId="0" applyNumberFormat="1" applyFont="1" applyFill="1" applyBorder="1" applyAlignment="1" applyProtection="1">
      <alignment horizontal="center" vertical="center"/>
      <protection hidden="1"/>
    </xf>
    <xf numFmtId="170" fontId="28" fillId="0" borderId="19" xfId="0" applyNumberFormat="1" applyFont="1" applyFill="1" applyBorder="1" applyAlignment="1" applyProtection="1">
      <alignment vertical="center"/>
      <protection hidden="1"/>
    </xf>
    <xf numFmtId="170" fontId="28" fillId="0" borderId="10" xfId="0" applyNumberFormat="1" applyFont="1" applyFill="1" applyBorder="1" applyAlignment="1" applyProtection="1">
      <alignment vertical="center"/>
      <protection hidden="1"/>
    </xf>
    <xf numFmtId="0" fontId="28" fillId="0" borderId="19" xfId="0" applyFont="1" applyFill="1" applyBorder="1" applyAlignment="1" applyProtection="1">
      <alignment vertical="center"/>
      <protection hidden="1"/>
    </xf>
    <xf numFmtId="0" fontId="28" fillId="0" borderId="10" xfId="0" applyFont="1" applyFill="1" applyBorder="1" applyAlignment="1" applyProtection="1">
      <alignment vertical="center"/>
      <protection hidden="1"/>
    </xf>
    <xf numFmtId="0" fontId="45" fillId="0" borderId="16" xfId="0" applyFont="1" applyFill="1" applyBorder="1" applyAlignment="1" applyProtection="1">
      <alignment vertical="center" wrapText="1"/>
      <protection hidden="1"/>
    </xf>
    <xf numFmtId="0" fontId="45" fillId="0" borderId="17" xfId="0" applyFont="1" applyFill="1" applyBorder="1" applyAlignment="1" applyProtection="1">
      <alignment vertical="center" wrapText="1"/>
      <protection hidden="1"/>
    </xf>
    <xf numFmtId="0" fontId="45" fillId="0" borderId="18" xfId="0" applyFont="1" applyFill="1" applyBorder="1" applyAlignment="1" applyProtection="1">
      <alignment vertical="center" wrapText="1"/>
      <protection hidden="1"/>
    </xf>
    <xf numFmtId="44" fontId="45" fillId="0" borderId="0" xfId="0" applyNumberFormat="1" applyFont="1" applyFill="1" applyBorder="1" applyAlignment="1" applyProtection="1">
      <alignment vertical="center" wrapText="1"/>
      <protection hidden="1"/>
    </xf>
    <xf numFmtId="0" fontId="45" fillId="0" borderId="19" xfId="0" applyFont="1" applyFill="1" applyBorder="1" applyAlignment="1" applyProtection="1">
      <alignment vertical="center" wrapText="1"/>
      <protection hidden="1"/>
    </xf>
    <xf numFmtId="0" fontId="45" fillId="0" borderId="0" xfId="0" applyFont="1" applyFill="1" applyBorder="1" applyAlignment="1" applyProtection="1">
      <alignment vertical="center" wrapText="1"/>
      <protection hidden="1"/>
    </xf>
    <xf numFmtId="0" fontId="45" fillId="0" borderId="10" xfId="0" applyFont="1" applyFill="1" applyBorder="1" applyAlignment="1" applyProtection="1">
      <alignment vertical="center" wrapText="1"/>
      <protection hidden="1"/>
    </xf>
    <xf numFmtId="170" fontId="28" fillId="0" borderId="20" xfId="0" applyNumberFormat="1" applyFont="1" applyFill="1" applyBorder="1" applyAlignment="1" applyProtection="1">
      <alignment vertical="center"/>
      <protection hidden="1"/>
    </xf>
    <xf numFmtId="170" fontId="28" fillId="0" borderId="22" xfId="0" applyNumberFormat="1" applyFont="1" applyFill="1" applyBorder="1" applyAlignment="1" applyProtection="1">
      <alignment vertical="center"/>
      <protection hidden="1"/>
    </xf>
    <xf numFmtId="0" fontId="45" fillId="0" borderId="20" xfId="0" applyFont="1" applyFill="1" applyBorder="1" applyAlignment="1" applyProtection="1">
      <alignment vertical="center" wrapText="1"/>
      <protection hidden="1"/>
    </xf>
    <xf numFmtId="0" fontId="45" fillId="0" borderId="21" xfId="0" applyFont="1" applyFill="1" applyBorder="1" applyAlignment="1" applyProtection="1">
      <alignment vertical="center" wrapText="1"/>
      <protection hidden="1"/>
    </xf>
    <xf numFmtId="0" fontId="45" fillId="0" borderId="22" xfId="0" applyFont="1" applyFill="1" applyBorder="1" applyAlignment="1" applyProtection="1">
      <alignment vertical="center" wrapText="1"/>
      <protection hidden="1"/>
    </xf>
    <xf numFmtId="196" fontId="24" fillId="2" borderId="9" xfId="0" applyNumberFormat="1" applyFont="1" applyFill="1" applyBorder="1" applyAlignment="1" applyProtection="1">
      <alignment horizontal="center" vertical="center"/>
      <protection hidden="1"/>
    </xf>
    <xf numFmtId="169" fontId="24" fillId="2" borderId="9" xfId="0" applyNumberFormat="1" applyFont="1" applyFill="1" applyBorder="1" applyAlignment="1" applyProtection="1">
      <alignment horizontal="center" vertical="center"/>
      <protection hidden="1"/>
    </xf>
    <xf numFmtId="176" fontId="24" fillId="2" borderId="9" xfId="0" applyNumberFormat="1" applyFont="1" applyFill="1" applyBorder="1" applyAlignment="1" applyProtection="1">
      <alignment horizontal="center" vertical="center"/>
      <protection hidden="1"/>
    </xf>
    <xf numFmtId="177" fontId="24" fillId="2" borderId="9" xfId="1" applyNumberFormat="1" applyFont="1" applyFill="1" applyBorder="1" applyAlignment="1" applyProtection="1">
      <alignment horizontal="center" vertical="center"/>
      <protection hidden="1"/>
    </xf>
    <xf numFmtId="170" fontId="53" fillId="0" borderId="0" xfId="0" applyNumberFormat="1" applyFont="1" applyAlignment="1" applyProtection="1">
      <alignment vertical="center"/>
      <protection hidden="1"/>
    </xf>
    <xf numFmtId="171" fontId="53" fillId="0" borderId="0" xfId="0" applyNumberFormat="1" applyFont="1" applyAlignment="1" applyProtection="1">
      <alignment vertical="center"/>
      <protection hidden="1"/>
    </xf>
    <xf numFmtId="166" fontId="53" fillId="0" borderId="0" xfId="0" applyNumberFormat="1" applyFont="1" applyAlignment="1" applyProtection="1">
      <alignment vertical="center"/>
      <protection hidden="1"/>
    </xf>
    <xf numFmtId="166" fontId="24" fillId="0" borderId="0" xfId="0" applyNumberFormat="1" applyFont="1" applyAlignment="1" applyProtection="1">
      <alignment vertical="center"/>
      <protection hidden="1"/>
    </xf>
    <xf numFmtId="171" fontId="24" fillId="0" borderId="0" xfId="0" applyNumberFormat="1" applyFont="1" applyAlignment="1" applyProtection="1">
      <alignment vertical="center"/>
      <protection hidden="1"/>
    </xf>
    <xf numFmtId="170" fontId="24" fillId="0" borderId="0" xfId="0" applyNumberFormat="1" applyFont="1" applyAlignment="1" applyProtection="1">
      <alignment vertical="center"/>
      <protection hidden="1"/>
    </xf>
    <xf numFmtId="176" fontId="29" fillId="14" borderId="9" xfId="0" applyNumberFormat="1" applyFont="1" applyFill="1" applyBorder="1" applyAlignment="1" applyProtection="1">
      <alignment horizontal="center" vertical="center"/>
      <protection hidden="1"/>
    </xf>
    <xf numFmtId="0" fontId="53" fillId="0" borderId="0" xfId="0" applyFont="1" applyAlignment="1" applyProtection="1">
      <alignment vertical="center"/>
      <protection hidden="1"/>
    </xf>
    <xf numFmtId="170" fontId="54" fillId="0" borderId="0" xfId="0" applyNumberFormat="1" applyFont="1" applyAlignment="1" applyProtection="1">
      <alignment vertical="center"/>
      <protection hidden="1"/>
    </xf>
    <xf numFmtId="0" fontId="54" fillId="0" borderId="0" xfId="0" applyFont="1" applyAlignment="1" applyProtection="1">
      <alignment vertical="center"/>
      <protection hidden="1"/>
    </xf>
    <xf numFmtId="0" fontId="46" fillId="0" borderId="0" xfId="0" applyFont="1" applyFill="1" applyBorder="1" applyAlignment="1" applyProtection="1">
      <alignment horizontal="center" vertical="center" wrapText="1"/>
      <protection hidden="1"/>
    </xf>
    <xf numFmtId="177" fontId="29" fillId="0" borderId="0" xfId="0" applyNumberFormat="1" applyFont="1" applyFill="1" applyBorder="1" applyAlignment="1" applyProtection="1">
      <alignment vertical="center"/>
      <protection hidden="1"/>
    </xf>
    <xf numFmtId="0" fontId="24" fillId="0" borderId="31" xfId="0" applyFont="1" applyBorder="1" applyAlignment="1" applyProtection="1">
      <alignment horizontal="left" vertical="center" wrapText="1"/>
      <protection hidden="1"/>
    </xf>
    <xf numFmtId="179" fontId="28" fillId="0" borderId="0" xfId="0" applyNumberFormat="1" applyFont="1" applyFill="1" applyBorder="1" applyAlignment="1" applyProtection="1">
      <alignment horizontal="center" vertical="center"/>
      <protection hidden="1"/>
    </xf>
    <xf numFmtId="0" fontId="28" fillId="0" borderId="39" xfId="0" applyFont="1" applyBorder="1" applyAlignment="1" applyProtection="1">
      <alignment horizontal="left" vertical="center"/>
      <protection hidden="1"/>
    </xf>
    <xf numFmtId="44" fontId="28" fillId="15" borderId="34" xfId="0" applyNumberFormat="1" applyFont="1" applyFill="1" applyBorder="1" applyAlignment="1" applyProtection="1">
      <alignment horizontal="center" vertical="center"/>
      <protection hidden="1"/>
    </xf>
    <xf numFmtId="0" fontId="28" fillId="15" borderId="34" xfId="0" applyNumberFormat="1" applyFont="1" applyFill="1" applyBorder="1" applyAlignment="1" applyProtection="1">
      <alignment horizontal="center" vertical="center"/>
      <protection hidden="1"/>
    </xf>
    <xf numFmtId="0" fontId="24" fillId="0" borderId="0" xfId="0" applyFont="1" applyBorder="1" applyAlignment="1" applyProtection="1">
      <alignment horizontal="right" vertical="center"/>
      <protection hidden="1"/>
    </xf>
    <xf numFmtId="0" fontId="58" fillId="0" borderId="0" xfId="0" applyFont="1" applyBorder="1" applyAlignment="1" applyProtection="1">
      <alignment vertical="center"/>
      <protection hidden="1"/>
    </xf>
    <xf numFmtId="0" fontId="29" fillId="0" borderId="0" xfId="0" applyFont="1" applyFill="1" applyBorder="1" applyAlignment="1" applyProtection="1">
      <alignment horizontal="center" vertical="center"/>
      <protection hidden="1"/>
    </xf>
    <xf numFmtId="0" fontId="28" fillId="0" borderId="0" xfId="0" applyFont="1" applyFill="1" applyBorder="1" applyAlignment="1" applyProtection="1">
      <alignment horizontal="right" vertical="center"/>
      <protection hidden="1"/>
    </xf>
    <xf numFmtId="41" fontId="28" fillId="0" borderId="0" xfId="0" applyNumberFormat="1" applyFont="1" applyAlignment="1" applyProtection="1">
      <alignment vertical="center"/>
      <protection hidden="1"/>
    </xf>
    <xf numFmtId="0" fontId="28" fillId="0" borderId="0" xfId="0" applyFont="1" applyBorder="1" applyAlignment="1" applyProtection="1">
      <alignment horizontal="center" vertical="center"/>
      <protection hidden="1"/>
    </xf>
    <xf numFmtId="0" fontId="29" fillId="0" borderId="0" xfId="0" applyFont="1" applyFill="1" applyBorder="1" applyAlignment="1" applyProtection="1">
      <alignment horizontal="center" vertical="center" shrinkToFit="1"/>
      <protection hidden="1"/>
    </xf>
    <xf numFmtId="0" fontId="25" fillId="0" borderId="29" xfId="0" applyFont="1" applyBorder="1" applyAlignment="1" applyProtection="1">
      <alignment vertical="center"/>
      <protection hidden="1"/>
    </xf>
    <xf numFmtId="0" fontId="25" fillId="0" borderId="31" xfId="0" applyFont="1" applyBorder="1" applyAlignment="1" applyProtection="1">
      <alignment vertical="center"/>
      <protection hidden="1"/>
    </xf>
    <xf numFmtId="41" fontId="28" fillId="0" borderId="31" xfId="0" applyNumberFormat="1" applyFont="1" applyBorder="1" applyAlignment="1" applyProtection="1">
      <alignment vertical="center"/>
      <protection hidden="1"/>
    </xf>
    <xf numFmtId="176" fontId="28" fillId="0" borderId="39" xfId="0" applyNumberFormat="1" applyFont="1" applyFill="1" applyBorder="1" applyAlignment="1" applyProtection="1">
      <alignment horizontal="center" vertical="center"/>
      <protection hidden="1"/>
    </xf>
    <xf numFmtId="0" fontId="28" fillId="0" borderId="38" xfId="0" applyNumberFormat="1" applyFont="1" applyFill="1" applyBorder="1" applyAlignment="1" applyProtection="1">
      <alignment horizontal="right" vertical="center"/>
      <protection hidden="1"/>
    </xf>
    <xf numFmtId="0" fontId="56" fillId="0" borderId="0" xfId="0" applyFont="1" applyAlignment="1" applyProtection="1">
      <alignment vertical="center"/>
      <protection hidden="1"/>
    </xf>
    <xf numFmtId="41" fontId="52" fillId="0" borderId="0" xfId="0" applyNumberFormat="1" applyFont="1" applyBorder="1" applyAlignment="1" applyProtection="1">
      <alignment vertical="center"/>
      <protection hidden="1"/>
    </xf>
    <xf numFmtId="0" fontId="24" fillId="0" borderId="34" xfId="0" applyNumberFormat="1" applyFont="1" applyFill="1" applyBorder="1" applyAlignment="1" applyProtection="1">
      <alignment horizontal="center" vertical="center"/>
      <protection hidden="1"/>
    </xf>
    <xf numFmtId="0" fontId="25" fillId="0" borderId="43" xfId="0" applyNumberFormat="1" applyFont="1" applyFill="1" applyBorder="1" applyAlignment="1" applyProtection="1">
      <alignment horizontal="center" vertical="center"/>
      <protection hidden="1"/>
    </xf>
    <xf numFmtId="0" fontId="25" fillId="0" borderId="0" xfId="0" applyNumberFormat="1" applyFont="1" applyFill="1" applyBorder="1" applyAlignment="1" applyProtection="1">
      <alignment horizontal="center" vertical="center"/>
      <protection hidden="1"/>
    </xf>
    <xf numFmtId="181" fontId="24" fillId="0" borderId="39" xfId="0" applyNumberFormat="1" applyFont="1" applyFill="1" applyBorder="1" applyAlignment="1" applyProtection="1">
      <alignment horizontal="center" vertical="center"/>
      <protection hidden="1"/>
    </xf>
    <xf numFmtId="195" fontId="10" fillId="0" borderId="38" xfId="0" applyNumberFormat="1" applyFont="1" applyBorder="1" applyAlignment="1" applyProtection="1">
      <alignment horizontal="left" vertical="center"/>
      <protection hidden="1"/>
    </xf>
    <xf numFmtId="0" fontId="52" fillId="0" borderId="0" xfId="0" applyFont="1" applyBorder="1" applyAlignment="1" applyProtection="1">
      <alignment vertical="center"/>
      <protection hidden="1"/>
    </xf>
    <xf numFmtId="1" fontId="52" fillId="0" borderId="0" xfId="0" applyNumberFormat="1" applyFont="1" applyFill="1" applyBorder="1" applyAlignment="1" applyProtection="1">
      <alignment vertical="center"/>
      <protection hidden="1"/>
    </xf>
    <xf numFmtId="0" fontId="52" fillId="0" borderId="0" xfId="0" applyFont="1" applyAlignment="1" applyProtection="1">
      <alignment horizontal="center" vertical="center"/>
      <protection hidden="1"/>
    </xf>
    <xf numFmtId="0" fontId="51" fillId="0" borderId="16" xfId="0" applyFont="1" applyFill="1" applyBorder="1" applyAlignment="1" applyProtection="1">
      <alignment vertical="center"/>
      <protection hidden="1"/>
    </xf>
    <xf numFmtId="0" fontId="51" fillId="0" borderId="17" xfId="0" applyFont="1" applyFill="1" applyBorder="1" applyAlignment="1" applyProtection="1">
      <alignment vertical="center"/>
      <protection hidden="1"/>
    </xf>
    <xf numFmtId="0" fontId="51" fillId="0" borderId="18" xfId="0" applyFont="1" applyFill="1" applyBorder="1" applyAlignment="1" applyProtection="1">
      <alignment vertical="center"/>
      <protection hidden="1"/>
    </xf>
    <xf numFmtId="0" fontId="59" fillId="0" borderId="30" xfId="0" applyFont="1" applyFill="1" applyBorder="1" applyAlignment="1" applyProtection="1">
      <alignment horizontal="center" vertical="center" wrapText="1"/>
      <protection hidden="1"/>
    </xf>
    <xf numFmtId="194" fontId="24" fillId="0" borderId="0" xfId="0" applyNumberFormat="1" applyFont="1" applyFill="1" applyBorder="1" applyAlignment="1" applyProtection="1">
      <alignment horizontal="right" vertical="center"/>
      <protection hidden="1"/>
    </xf>
    <xf numFmtId="170" fontId="28" fillId="0" borderId="0" xfId="0" applyNumberFormat="1" applyFont="1" applyFill="1" applyBorder="1" applyAlignment="1" applyProtection="1">
      <alignment vertical="center" wrapText="1"/>
      <protection hidden="1"/>
    </xf>
    <xf numFmtId="0" fontId="29" fillId="0" borderId="0" xfId="0" applyNumberFormat="1" applyFont="1" applyFill="1" applyBorder="1" applyAlignment="1" applyProtection="1">
      <alignment horizontal="center" vertical="center"/>
      <protection hidden="1"/>
    </xf>
    <xf numFmtId="0" fontId="29" fillId="0" borderId="39" xfId="0" applyFont="1" applyFill="1" applyBorder="1" applyAlignment="1" applyProtection="1">
      <alignment vertical="center"/>
      <protection hidden="1"/>
    </xf>
    <xf numFmtId="0" fontId="24" fillId="0" borderId="39" xfId="0" applyFont="1" applyFill="1" applyBorder="1" applyAlignment="1" applyProtection="1">
      <alignment vertical="center"/>
      <protection hidden="1"/>
    </xf>
    <xf numFmtId="0" fontId="24" fillId="0" borderId="39" xfId="0" applyFont="1" applyFill="1" applyBorder="1" applyAlignment="1" applyProtection="1">
      <alignment horizontal="center" vertical="center" wrapText="1"/>
      <protection hidden="1"/>
    </xf>
    <xf numFmtId="170" fontId="28" fillId="0" borderId="0" xfId="0" applyNumberFormat="1" applyFont="1" applyFill="1" applyBorder="1" applyAlignment="1" applyProtection="1">
      <alignment horizontal="center" vertical="center"/>
      <protection hidden="1"/>
    </xf>
    <xf numFmtId="0" fontId="24" fillId="0" borderId="24" xfId="0" applyFont="1" applyBorder="1" applyAlignment="1" applyProtection="1">
      <alignment vertical="center"/>
      <protection hidden="1"/>
    </xf>
    <xf numFmtId="170" fontId="24" fillId="0" borderId="9" xfId="0" applyNumberFormat="1" applyFont="1" applyFill="1" applyBorder="1" applyAlignment="1" applyProtection="1">
      <alignment horizontal="center" vertical="center"/>
      <protection hidden="1"/>
    </xf>
    <xf numFmtId="0" fontId="16" fillId="9" borderId="22" xfId="0" applyFont="1" applyFill="1" applyBorder="1" applyAlignment="1" applyProtection="1">
      <alignment horizontal="center" vertical="center" wrapText="1"/>
      <protection hidden="1"/>
    </xf>
    <xf numFmtId="0" fontId="24" fillId="29" borderId="0" xfId="0" applyFont="1" applyFill="1" applyBorder="1" applyAlignment="1" applyProtection="1">
      <alignment horizontal="center" vertical="center" wrapText="1"/>
      <protection hidden="1"/>
    </xf>
    <xf numFmtId="0" fontId="24" fillId="29" borderId="23" xfId="0" applyFont="1" applyFill="1" applyBorder="1" applyAlignment="1" applyProtection="1">
      <alignment horizontal="center" vertical="center" wrapText="1"/>
      <protection hidden="1"/>
    </xf>
    <xf numFmtId="0" fontId="24" fillId="29" borderId="9" xfId="0" applyFont="1" applyFill="1" applyBorder="1" applyAlignment="1" applyProtection="1">
      <alignment horizontal="center" vertical="center" wrapText="1"/>
      <protection hidden="1"/>
    </xf>
    <xf numFmtId="0" fontId="24" fillId="35" borderId="34" xfId="0" applyFont="1" applyFill="1" applyBorder="1" applyAlignment="1" applyProtection="1">
      <alignment vertical="center"/>
      <protection hidden="1"/>
    </xf>
    <xf numFmtId="0" fontId="24" fillId="29" borderId="9" xfId="0" applyFont="1" applyFill="1" applyBorder="1" applyAlignment="1" applyProtection="1">
      <alignment horizontal="center" vertical="center"/>
      <protection hidden="1"/>
    </xf>
    <xf numFmtId="0" fontId="45" fillId="0" borderId="0" xfId="0" applyFont="1" applyBorder="1" applyAlignment="1" applyProtection="1">
      <alignment vertical="center"/>
      <protection hidden="1"/>
    </xf>
    <xf numFmtId="0" fontId="27" fillId="0" borderId="0" xfId="0" applyFont="1" applyBorder="1" applyAlignment="1" applyProtection="1">
      <alignment horizontal="right" vertical="center"/>
      <protection hidden="1"/>
    </xf>
    <xf numFmtId="0" fontId="28" fillId="0" borderId="63" xfId="0" applyFont="1" applyBorder="1" applyAlignment="1" applyProtection="1">
      <alignment vertical="center"/>
      <protection hidden="1"/>
    </xf>
    <xf numFmtId="0" fontId="25" fillId="0" borderId="64" xfId="0" applyFont="1" applyBorder="1" applyAlignment="1" applyProtection="1">
      <alignment vertical="center"/>
      <protection hidden="1"/>
    </xf>
    <xf numFmtId="0" fontId="25" fillId="0" borderId="75" xfId="0" applyFont="1" applyBorder="1" applyAlignment="1" applyProtection="1">
      <alignment vertical="center"/>
      <protection hidden="1"/>
    </xf>
    <xf numFmtId="0" fontId="25" fillId="0" borderId="76" xfId="0" applyFont="1" applyBorder="1" applyAlignment="1" applyProtection="1">
      <alignment vertical="center"/>
      <protection hidden="1"/>
    </xf>
    <xf numFmtId="0" fontId="50" fillId="0" borderId="76" xfId="0" applyFont="1" applyBorder="1" applyAlignment="1" applyProtection="1">
      <alignment vertical="center"/>
      <protection hidden="1"/>
    </xf>
    <xf numFmtId="0" fontId="24" fillId="0" borderId="75" xfId="0" applyFont="1" applyBorder="1" applyAlignment="1" applyProtection="1">
      <alignment vertical="center"/>
      <protection hidden="1"/>
    </xf>
    <xf numFmtId="0" fontId="24" fillId="0" borderId="76" xfId="0" applyFont="1" applyBorder="1" applyAlignment="1" applyProtection="1">
      <alignment vertical="center"/>
      <protection hidden="1"/>
    </xf>
    <xf numFmtId="0" fontId="25" fillId="0" borderId="65" xfId="0" applyFont="1" applyBorder="1" applyAlignment="1" applyProtection="1">
      <alignment vertical="center"/>
      <protection hidden="1"/>
    </xf>
    <xf numFmtId="0" fontId="25" fillId="0" borderId="55" xfId="0" applyFont="1" applyBorder="1" applyAlignment="1" applyProtection="1">
      <alignment vertical="center"/>
      <protection hidden="1"/>
    </xf>
    <xf numFmtId="0" fontId="25" fillId="0" borderId="55" xfId="0" applyFont="1" applyFill="1" applyBorder="1" applyAlignment="1" applyProtection="1">
      <alignment vertical="center"/>
      <protection hidden="1"/>
    </xf>
    <xf numFmtId="0" fontId="24" fillId="0" borderId="55" xfId="0" applyFont="1" applyFill="1" applyBorder="1" applyAlignment="1" applyProtection="1">
      <alignment horizontal="right" vertical="center"/>
      <protection hidden="1"/>
    </xf>
    <xf numFmtId="179" fontId="29" fillId="0" borderId="55" xfId="0" applyNumberFormat="1" applyFont="1" applyFill="1" applyBorder="1" applyAlignment="1" applyProtection="1">
      <alignment horizontal="center" vertical="center" wrapText="1"/>
      <protection hidden="1"/>
    </xf>
    <xf numFmtId="0" fontId="25" fillId="0" borderId="66" xfId="0" applyFont="1" applyBorder="1" applyAlignment="1" applyProtection="1">
      <alignment vertical="center"/>
      <protection hidden="1"/>
    </xf>
    <xf numFmtId="14" fontId="24" fillId="2" borderId="34" xfId="0" applyNumberFormat="1" applyFont="1" applyFill="1" applyBorder="1" applyAlignment="1" applyProtection="1">
      <alignment horizontal="center" vertical="center"/>
      <protection hidden="1"/>
    </xf>
    <xf numFmtId="201" fontId="24" fillId="2" borderId="34" xfId="0" applyNumberFormat="1" applyFont="1" applyFill="1" applyBorder="1" applyAlignment="1" applyProtection="1">
      <alignment horizontal="center" vertical="center"/>
      <protection hidden="1"/>
    </xf>
    <xf numFmtId="0" fontId="28" fillId="0" borderId="84" xfId="0" applyNumberFormat="1" applyFont="1" applyFill="1" applyBorder="1" applyAlignment="1" applyProtection="1">
      <alignment horizontal="right" vertical="center"/>
      <protection hidden="1"/>
    </xf>
    <xf numFmtId="203" fontId="28" fillId="0" borderId="15" xfId="0" applyNumberFormat="1" applyFont="1" applyFill="1" applyBorder="1" applyAlignment="1" applyProtection="1">
      <alignment horizontal="center" vertical="center"/>
      <protection hidden="1"/>
    </xf>
    <xf numFmtId="41" fontId="28" fillId="0" borderId="15" xfId="0" applyNumberFormat="1" applyFont="1" applyFill="1" applyBorder="1" applyAlignment="1" applyProtection="1">
      <alignment horizontal="center" vertical="center"/>
      <protection hidden="1"/>
    </xf>
    <xf numFmtId="181" fontId="24" fillId="2" borderId="30" xfId="0" applyNumberFormat="1" applyFont="1" applyFill="1" applyBorder="1" applyAlignment="1" applyProtection="1">
      <alignment horizontal="center" vertical="center"/>
      <protection hidden="1"/>
    </xf>
    <xf numFmtId="0" fontId="28" fillId="0" borderId="62" xfId="0" applyFont="1" applyBorder="1" applyAlignment="1" applyProtection="1">
      <alignment vertical="center"/>
      <protection hidden="1"/>
    </xf>
    <xf numFmtId="0" fontId="28" fillId="0" borderId="64" xfId="0" applyFont="1" applyBorder="1" applyAlignment="1" applyProtection="1">
      <alignment vertical="center"/>
      <protection hidden="1"/>
    </xf>
    <xf numFmtId="0" fontId="28" fillId="0" borderId="75" xfId="0" applyFont="1" applyBorder="1" applyAlignment="1" applyProtection="1">
      <alignment vertical="center"/>
      <protection hidden="1"/>
    </xf>
    <xf numFmtId="0" fontId="28" fillId="0" borderId="76" xfId="0" applyFont="1" applyBorder="1" applyAlignment="1" applyProtection="1">
      <alignment vertical="center"/>
      <protection hidden="1"/>
    </xf>
    <xf numFmtId="0" fontId="28" fillId="0" borderId="75" xfId="0" applyFont="1" applyFill="1" applyBorder="1" applyAlignment="1" applyProtection="1">
      <alignment vertical="center"/>
      <protection hidden="1"/>
    </xf>
    <xf numFmtId="0" fontId="28" fillId="0" borderId="76" xfId="0" applyFont="1" applyFill="1" applyBorder="1" applyAlignment="1" applyProtection="1">
      <alignment vertical="center"/>
      <protection hidden="1"/>
    </xf>
    <xf numFmtId="0" fontId="52" fillId="0" borderId="76" xfId="0" applyFont="1" applyBorder="1" applyAlignment="1" applyProtection="1">
      <alignment vertical="center"/>
      <protection hidden="1"/>
    </xf>
    <xf numFmtId="1" fontId="52" fillId="0" borderId="76" xfId="0" applyNumberFormat="1" applyFont="1" applyBorder="1" applyAlignment="1" applyProtection="1">
      <alignment vertical="center"/>
      <protection hidden="1"/>
    </xf>
    <xf numFmtId="170" fontId="53" fillId="0" borderId="76" xfId="0" applyNumberFormat="1" applyFont="1" applyBorder="1" applyAlignment="1" applyProtection="1">
      <alignment vertical="center"/>
      <protection hidden="1"/>
    </xf>
    <xf numFmtId="0" fontId="61" fillId="0" borderId="75" xfId="0" applyFont="1" applyFill="1" applyBorder="1" applyAlignment="1" applyProtection="1">
      <alignment vertical="center" wrapText="1"/>
      <protection hidden="1"/>
    </xf>
    <xf numFmtId="0" fontId="24" fillId="0" borderId="75" xfId="0" applyFont="1" applyBorder="1" applyAlignment="1" applyProtection="1">
      <alignment horizontal="right" vertical="center"/>
      <protection hidden="1"/>
    </xf>
    <xf numFmtId="0" fontId="58" fillId="0" borderId="76" xfId="0" applyFont="1" applyBorder="1" applyAlignment="1" applyProtection="1">
      <alignment vertical="center"/>
      <protection hidden="1"/>
    </xf>
    <xf numFmtId="0" fontId="32" fillId="3" borderId="75" xfId="0" applyFont="1" applyFill="1" applyBorder="1" applyAlignment="1" applyProtection="1">
      <alignment vertical="center" wrapText="1"/>
      <protection hidden="1"/>
    </xf>
    <xf numFmtId="0" fontId="28" fillId="3" borderId="75" xfId="0" applyFont="1" applyFill="1" applyBorder="1" applyAlignment="1" applyProtection="1">
      <alignment vertical="center" wrapText="1"/>
      <protection hidden="1"/>
    </xf>
    <xf numFmtId="0" fontId="24" fillId="0" borderId="75" xfId="0" applyFont="1" applyBorder="1" applyAlignment="1" applyProtection="1">
      <alignment horizontal="left" vertical="center"/>
      <protection hidden="1"/>
    </xf>
    <xf numFmtId="0" fontId="28" fillId="0" borderId="75" xfId="0" applyFont="1" applyBorder="1" applyAlignment="1" applyProtection="1">
      <alignment horizontal="center" vertical="center"/>
      <protection hidden="1"/>
    </xf>
    <xf numFmtId="0" fontId="29" fillId="0" borderId="75" xfId="0" applyFont="1" applyBorder="1" applyAlignment="1" applyProtection="1">
      <alignment vertical="center"/>
      <protection hidden="1"/>
    </xf>
    <xf numFmtId="0" fontId="50" fillId="0" borderId="0" xfId="0" applyFont="1" applyFill="1" applyBorder="1" applyAlignment="1" applyProtection="1">
      <alignment vertical="center"/>
      <protection hidden="1"/>
    </xf>
    <xf numFmtId="0" fontId="24" fillId="0" borderId="60" xfId="0" applyFont="1" applyBorder="1" applyAlignment="1" applyProtection="1">
      <alignment horizontal="center" vertical="center"/>
      <protection hidden="1"/>
    </xf>
    <xf numFmtId="0" fontId="24" fillId="0" borderId="60" xfId="0" applyFont="1" applyFill="1" applyBorder="1" applyAlignment="1" applyProtection="1">
      <alignment horizontal="center" vertical="center"/>
      <protection hidden="1"/>
    </xf>
    <xf numFmtId="0" fontId="24" fillId="0" borderId="39" xfId="0" applyFont="1" applyFill="1" applyBorder="1" applyAlignment="1" applyProtection="1">
      <alignment vertical="center" wrapText="1"/>
      <protection hidden="1"/>
    </xf>
    <xf numFmtId="0" fontId="28" fillId="0" borderId="60" xfId="0" applyFont="1" applyBorder="1" applyAlignment="1" applyProtection="1">
      <alignment vertical="center"/>
      <protection hidden="1"/>
    </xf>
    <xf numFmtId="44" fontId="28" fillId="3" borderId="31" xfId="0" applyNumberFormat="1" applyFont="1" applyFill="1" applyBorder="1" applyAlignment="1" applyProtection="1">
      <alignment horizontal="center" vertical="center" wrapText="1"/>
      <protection hidden="1"/>
    </xf>
    <xf numFmtId="165" fontId="28" fillId="0" borderId="84" xfId="0" applyNumberFormat="1" applyFont="1" applyFill="1" applyBorder="1" applyAlignment="1" applyProtection="1">
      <alignment horizontal="right" vertical="center"/>
      <protection hidden="1"/>
    </xf>
    <xf numFmtId="164" fontId="28" fillId="0" borderId="83" xfId="0" applyNumberFormat="1" applyFont="1" applyFill="1" applyBorder="1" applyAlignment="1" applyProtection="1">
      <alignment horizontal="center" vertical="center"/>
      <protection hidden="1"/>
    </xf>
    <xf numFmtId="177" fontId="32" fillId="2" borderId="83" xfId="1" applyNumberFormat="1" applyFont="1" applyFill="1" applyBorder="1" applyAlignment="1" applyProtection="1">
      <alignment horizontal="center" vertical="center"/>
      <protection hidden="1"/>
    </xf>
    <xf numFmtId="0" fontId="25" fillId="0" borderId="42" xfId="0" applyFont="1" applyBorder="1" applyAlignment="1" applyProtection="1">
      <alignment vertical="center"/>
      <protection hidden="1"/>
    </xf>
    <xf numFmtId="167" fontId="24" fillId="0" borderId="42" xfId="0" applyNumberFormat="1" applyFont="1" applyBorder="1" applyAlignment="1" applyProtection="1">
      <alignment vertical="center"/>
      <protection hidden="1"/>
    </xf>
    <xf numFmtId="0" fontId="24" fillId="0" borderId="42" xfId="0" applyFont="1" applyBorder="1" applyAlignment="1" applyProtection="1">
      <alignment vertical="center"/>
      <protection hidden="1"/>
    </xf>
    <xf numFmtId="0" fontId="55" fillId="0" borderId="42" xfId="0" applyFont="1" applyBorder="1" applyAlignment="1" applyProtection="1">
      <alignment vertical="center"/>
      <protection hidden="1"/>
    </xf>
    <xf numFmtId="177" fontId="29" fillId="0" borderId="42" xfId="0" applyNumberFormat="1" applyFont="1" applyFill="1" applyBorder="1" applyAlignment="1" applyProtection="1">
      <alignment vertical="center"/>
      <protection hidden="1"/>
    </xf>
    <xf numFmtId="179" fontId="28" fillId="0" borderId="42" xfId="0" applyNumberFormat="1" applyFont="1" applyFill="1" applyBorder="1" applyAlignment="1" applyProtection="1">
      <alignment horizontal="center" vertical="center"/>
      <protection hidden="1"/>
    </xf>
    <xf numFmtId="0" fontId="24" fillId="0" borderId="43" xfId="0" applyFont="1" applyFill="1" applyBorder="1" applyAlignment="1" applyProtection="1">
      <alignment horizontal="left" vertical="center" wrapText="1"/>
      <protection hidden="1"/>
    </xf>
    <xf numFmtId="0" fontId="55" fillId="0" borderId="43" xfId="0" applyFont="1" applyBorder="1" applyAlignment="1" applyProtection="1">
      <alignment vertical="center"/>
      <protection hidden="1"/>
    </xf>
    <xf numFmtId="0" fontId="28" fillId="0" borderId="39" xfId="0" applyFont="1" applyBorder="1" applyAlignment="1" applyProtection="1">
      <alignment vertical="center"/>
      <protection hidden="1"/>
    </xf>
    <xf numFmtId="0" fontId="47" fillId="0" borderId="60" xfId="0" applyFont="1" applyBorder="1" applyAlignment="1" applyProtection="1">
      <alignment vertical="center"/>
      <protection hidden="1"/>
    </xf>
    <xf numFmtId="0" fontId="24" fillId="0" borderId="60" xfId="0" applyFont="1" applyBorder="1" applyAlignment="1" applyProtection="1">
      <alignment horizontal="right" vertical="center"/>
      <protection hidden="1"/>
    </xf>
    <xf numFmtId="0" fontId="24" fillId="0" borderId="33" xfId="0" applyFont="1" applyBorder="1" applyAlignment="1" applyProtection="1">
      <alignment horizontal="right" vertical="center"/>
      <protection hidden="1"/>
    </xf>
    <xf numFmtId="0" fontId="28" fillId="0" borderId="42" xfId="0" applyFont="1" applyBorder="1" applyAlignment="1" applyProtection="1">
      <alignment vertical="center"/>
      <protection hidden="1"/>
    </xf>
    <xf numFmtId="0" fontId="27" fillId="0" borderId="42" xfId="0" applyFont="1" applyBorder="1" applyAlignment="1" applyProtection="1">
      <alignment vertical="center"/>
      <protection hidden="1"/>
    </xf>
    <xf numFmtId="0" fontId="27" fillId="0" borderId="42" xfId="0" applyFont="1" applyBorder="1" applyAlignment="1" applyProtection="1">
      <alignment horizontal="center" vertical="center"/>
      <protection hidden="1"/>
    </xf>
    <xf numFmtId="0" fontId="59" fillId="0" borderId="29" xfId="0" applyFont="1" applyFill="1" applyBorder="1" applyAlignment="1" applyProtection="1">
      <alignment horizontal="center" vertical="center" wrapText="1"/>
      <protection hidden="1"/>
    </xf>
    <xf numFmtId="0" fontId="59" fillId="0" borderId="31" xfId="0" applyFont="1" applyFill="1" applyBorder="1" applyAlignment="1" applyProtection="1">
      <alignment horizontal="center" vertical="center" wrapText="1"/>
      <protection hidden="1"/>
    </xf>
    <xf numFmtId="0" fontId="24" fillId="0" borderId="60" xfId="0" applyFont="1" applyBorder="1" applyAlignment="1" applyProtection="1">
      <alignment horizontal="left" vertical="center"/>
      <protection hidden="1"/>
    </xf>
    <xf numFmtId="0" fontId="25" fillId="0" borderId="39" xfId="0" applyFont="1" applyBorder="1" applyAlignment="1" applyProtection="1">
      <alignment vertical="center"/>
      <protection hidden="1"/>
    </xf>
    <xf numFmtId="170" fontId="28" fillId="0" borderId="39" xfId="0" applyNumberFormat="1" applyFont="1" applyFill="1" applyBorder="1" applyAlignment="1" applyProtection="1">
      <alignment vertical="center" wrapText="1"/>
      <protection hidden="1"/>
    </xf>
    <xf numFmtId="0" fontId="28" fillId="0" borderId="60" xfId="0" applyFont="1" applyBorder="1" applyAlignment="1" applyProtection="1">
      <alignment horizontal="center" vertical="center"/>
      <protection hidden="1"/>
    </xf>
    <xf numFmtId="170" fontId="28" fillId="0" borderId="61" xfId="0" applyNumberFormat="1" applyFont="1" applyFill="1" applyBorder="1" applyAlignment="1" applyProtection="1">
      <alignment vertical="center" wrapText="1"/>
      <protection hidden="1"/>
    </xf>
    <xf numFmtId="0" fontId="25" fillId="0" borderId="60" xfId="0" applyFont="1" applyBorder="1" applyAlignment="1" applyProtection="1">
      <alignment vertical="center"/>
      <protection hidden="1"/>
    </xf>
    <xf numFmtId="0" fontId="24" fillId="29" borderId="83" xfId="0" applyFont="1" applyFill="1" applyBorder="1" applyAlignment="1" applyProtection="1">
      <alignment horizontal="center" vertical="center" wrapText="1"/>
      <protection hidden="1"/>
    </xf>
    <xf numFmtId="189" fontId="28" fillId="0" borderId="84" xfId="0" applyNumberFormat="1" applyFont="1" applyFill="1" applyBorder="1" applyAlignment="1" applyProtection="1">
      <alignment horizontal="right" vertical="center"/>
      <protection hidden="1"/>
    </xf>
    <xf numFmtId="188" fontId="28" fillId="0" borderId="84" xfId="0" applyNumberFormat="1" applyFont="1" applyFill="1" applyBorder="1" applyAlignment="1" applyProtection="1">
      <alignment horizontal="right" vertical="center"/>
      <protection hidden="1"/>
    </xf>
    <xf numFmtId="0" fontId="24" fillId="0" borderId="80" xfId="0" applyFont="1" applyBorder="1" applyAlignment="1" applyProtection="1">
      <alignment vertical="center"/>
      <protection hidden="1"/>
    </xf>
    <xf numFmtId="181" fontId="24" fillId="2" borderId="83" xfId="0" applyNumberFormat="1" applyFont="1" applyFill="1" applyBorder="1" applyAlignment="1" applyProtection="1">
      <alignment horizontal="center" vertical="center"/>
      <protection hidden="1"/>
    </xf>
    <xf numFmtId="0" fontId="29" fillId="0" borderId="60" xfId="0" applyFont="1" applyFill="1" applyBorder="1" applyAlignment="1" applyProtection="1">
      <alignment horizontal="center" vertical="center" shrinkToFit="1"/>
      <protection hidden="1"/>
    </xf>
    <xf numFmtId="170" fontId="28" fillId="0" borderId="30" xfId="0" applyNumberFormat="1" applyFont="1" applyFill="1" applyBorder="1" applyAlignment="1" applyProtection="1">
      <alignment vertical="center" wrapText="1"/>
      <protection hidden="1"/>
    </xf>
    <xf numFmtId="0" fontId="24" fillId="0" borderId="30" xfId="0" applyFont="1" applyFill="1" applyBorder="1" applyAlignment="1" applyProtection="1">
      <alignment horizontal="right" vertical="center"/>
      <protection hidden="1"/>
    </xf>
    <xf numFmtId="0" fontId="28" fillId="0" borderId="30" xfId="0" applyFont="1" applyFill="1" applyBorder="1" applyAlignment="1" applyProtection="1">
      <alignment vertical="center"/>
      <protection hidden="1"/>
    </xf>
    <xf numFmtId="0" fontId="27" fillId="0" borderId="30" xfId="0" applyFont="1" applyFill="1" applyBorder="1" applyAlignment="1" applyProtection="1">
      <alignment vertical="center"/>
      <protection hidden="1"/>
    </xf>
    <xf numFmtId="179" fontId="28" fillId="0" borderId="30" xfId="0" applyNumberFormat="1" applyFont="1" applyFill="1" applyBorder="1" applyAlignment="1" applyProtection="1">
      <alignment horizontal="center" vertical="center"/>
      <protection hidden="1"/>
    </xf>
    <xf numFmtId="0" fontId="27" fillId="0" borderId="30" xfId="0" applyFont="1" applyFill="1" applyBorder="1" applyAlignment="1" applyProtection="1">
      <alignment horizontal="center" vertical="center"/>
      <protection hidden="1"/>
    </xf>
    <xf numFmtId="0" fontId="25" fillId="0" borderId="30" xfId="0" applyFont="1" applyFill="1" applyBorder="1" applyAlignment="1" applyProtection="1">
      <alignment vertical="center"/>
      <protection hidden="1"/>
    </xf>
    <xf numFmtId="44" fontId="24" fillId="0" borderId="30" xfId="0" applyNumberFormat="1" applyFont="1" applyFill="1" applyBorder="1" applyAlignment="1" applyProtection="1">
      <alignment horizontal="center" vertical="center"/>
      <protection hidden="1"/>
    </xf>
    <xf numFmtId="44" fontId="54" fillId="0" borderId="30" xfId="0" applyNumberFormat="1" applyFont="1" applyFill="1" applyBorder="1" applyAlignment="1" applyProtection="1">
      <alignment horizontal="center" vertical="center"/>
      <protection hidden="1"/>
    </xf>
    <xf numFmtId="0" fontId="32" fillId="3" borderId="61" xfId="0" applyFont="1" applyFill="1" applyBorder="1" applyAlignment="1" applyProtection="1">
      <alignment horizontal="left" vertical="center" wrapText="1"/>
      <protection hidden="1"/>
    </xf>
    <xf numFmtId="0" fontId="28" fillId="0" borderId="30" xfId="0" applyFont="1" applyBorder="1" applyAlignment="1" applyProtection="1">
      <alignment vertical="center"/>
      <protection hidden="1"/>
    </xf>
    <xf numFmtId="0" fontId="27" fillId="0" borderId="30" xfId="0" applyFont="1" applyBorder="1" applyAlignment="1" applyProtection="1">
      <alignment vertical="center"/>
      <protection hidden="1"/>
    </xf>
    <xf numFmtId="0" fontId="27" fillId="0" borderId="30" xfId="0" applyFont="1" applyBorder="1" applyAlignment="1" applyProtection="1">
      <alignment horizontal="center" vertical="center"/>
      <protection hidden="1"/>
    </xf>
    <xf numFmtId="0" fontId="25" fillId="0" borderId="30" xfId="0" applyFont="1" applyBorder="1" applyAlignment="1" applyProtection="1">
      <alignment vertical="center"/>
      <protection hidden="1"/>
    </xf>
    <xf numFmtId="177" fontId="29" fillId="14" borderId="81" xfId="0" applyNumberFormat="1" applyFont="1" applyFill="1" applyBorder="1" applyAlignment="1" applyProtection="1">
      <alignment horizontal="center" vertical="center"/>
      <protection hidden="1"/>
    </xf>
    <xf numFmtId="176" fontId="29" fillId="4" borderId="29" xfId="0" applyNumberFormat="1" applyFont="1" applyFill="1" applyBorder="1" applyAlignment="1" applyProtection="1">
      <alignment horizontal="center" vertical="center"/>
      <protection hidden="1"/>
    </xf>
    <xf numFmtId="0" fontId="25" fillId="0" borderId="44" xfId="0" applyFont="1" applyBorder="1" applyAlignment="1" applyProtection="1">
      <alignment vertical="center"/>
      <protection hidden="1"/>
    </xf>
    <xf numFmtId="0" fontId="28" fillId="0" borderId="104" xfId="0" applyFont="1" applyBorder="1" applyAlignment="1" applyProtection="1">
      <alignment vertical="center"/>
      <protection hidden="1"/>
    </xf>
    <xf numFmtId="0" fontId="28" fillId="0" borderId="29" xfId="0" applyFont="1" applyBorder="1" applyAlignment="1" applyProtection="1">
      <alignment vertical="center"/>
      <protection hidden="1"/>
    </xf>
    <xf numFmtId="0" fontId="28" fillId="0" borderId="61" xfId="0" applyFont="1" applyBorder="1" applyAlignment="1" applyProtection="1">
      <alignment vertical="center"/>
      <protection hidden="1"/>
    </xf>
    <xf numFmtId="0" fontId="58" fillId="0" borderId="31" xfId="0" applyFont="1" applyBorder="1" applyAlignment="1" applyProtection="1">
      <alignment vertical="center"/>
      <protection hidden="1"/>
    </xf>
    <xf numFmtId="0" fontId="24" fillId="0" borderId="33" xfId="0" applyFont="1" applyBorder="1" applyAlignment="1" applyProtection="1">
      <alignment vertical="center"/>
      <protection hidden="1"/>
    </xf>
    <xf numFmtId="169" fontId="24" fillId="0" borderId="42" xfId="0" applyNumberFormat="1" applyFont="1" applyFill="1" applyBorder="1" applyAlignment="1" applyProtection="1">
      <alignment horizontal="center" vertical="center"/>
      <protection hidden="1"/>
    </xf>
    <xf numFmtId="170" fontId="24" fillId="0" borderId="42" xfId="0" applyNumberFormat="1" applyFont="1" applyFill="1" applyBorder="1" applyAlignment="1" applyProtection="1">
      <alignment horizontal="center" vertical="center"/>
      <protection hidden="1"/>
    </xf>
    <xf numFmtId="0" fontId="24" fillId="0" borderId="42" xfId="0" applyFont="1" applyFill="1" applyBorder="1" applyAlignment="1" applyProtection="1">
      <alignment vertical="center"/>
      <protection hidden="1"/>
    </xf>
    <xf numFmtId="181" fontId="24" fillId="0" borderId="42" xfId="0" applyNumberFormat="1" applyFont="1" applyFill="1" applyBorder="1" applyAlignment="1" applyProtection="1">
      <alignment horizontal="center" vertical="center"/>
      <protection hidden="1"/>
    </xf>
    <xf numFmtId="0" fontId="24" fillId="0" borderId="42" xfId="0" applyFont="1" applyBorder="1" applyAlignment="1" applyProtection="1">
      <alignment horizontal="right" vertical="center"/>
      <protection hidden="1"/>
    </xf>
    <xf numFmtId="44" fontId="25" fillId="0" borderId="47" xfId="0" applyNumberFormat="1" applyFont="1" applyBorder="1" applyAlignment="1" applyProtection="1">
      <alignment vertical="center"/>
      <protection hidden="1"/>
    </xf>
    <xf numFmtId="0" fontId="25" fillId="0" borderId="98" xfId="0" applyFont="1" applyBorder="1" applyAlignment="1" applyProtection="1">
      <alignment vertical="center"/>
      <protection hidden="1"/>
    </xf>
    <xf numFmtId="177" fontId="35" fillId="0" borderId="0" xfId="0" applyNumberFormat="1" applyFont="1" applyFill="1" applyBorder="1" applyAlignment="1" applyProtection="1">
      <alignment horizontal="center" vertical="center"/>
      <protection hidden="1"/>
    </xf>
    <xf numFmtId="0" fontId="26" fillId="0" borderId="62" xfId="0" applyFont="1" applyBorder="1" applyAlignment="1" applyProtection="1">
      <alignment vertical="center"/>
      <protection hidden="1"/>
    </xf>
    <xf numFmtId="0" fontId="10" fillId="0" borderId="63" xfId="0" applyFont="1" applyBorder="1" applyAlignment="1" applyProtection="1">
      <alignment horizontal="center" vertical="center"/>
      <protection hidden="1"/>
    </xf>
    <xf numFmtId="0" fontId="26" fillId="0" borderId="64" xfId="0" applyFont="1" applyBorder="1" applyAlignment="1" applyProtection="1">
      <alignment vertical="center"/>
      <protection hidden="1"/>
    </xf>
    <xf numFmtId="0" fontId="26" fillId="0" borderId="75" xfId="0" applyFont="1" applyBorder="1" applyAlignment="1" applyProtection="1">
      <alignment vertical="center"/>
      <protection hidden="1"/>
    </xf>
    <xf numFmtId="0" fontId="26" fillId="0" borderId="76" xfId="0" applyFont="1" applyBorder="1" applyAlignment="1" applyProtection="1">
      <alignment vertical="center"/>
      <protection hidden="1"/>
    </xf>
    <xf numFmtId="0" fontId="26" fillId="0" borderId="76" xfId="0" applyFont="1" applyFill="1" applyBorder="1" applyAlignment="1" applyProtection="1">
      <alignment vertical="center"/>
      <protection hidden="1"/>
    </xf>
    <xf numFmtId="0" fontId="33" fillId="0" borderId="75" xfId="0" applyFont="1" applyBorder="1" applyAlignment="1" applyProtection="1">
      <alignment vertical="center"/>
      <protection hidden="1"/>
    </xf>
    <xf numFmtId="0" fontId="33" fillId="0" borderId="76" xfId="0" applyFont="1" applyFill="1" applyBorder="1" applyAlignment="1" applyProtection="1">
      <alignment vertical="center"/>
      <protection hidden="1"/>
    </xf>
    <xf numFmtId="0" fontId="26" fillId="0" borderId="65" xfId="0" applyFont="1" applyBorder="1" applyAlignment="1" applyProtection="1">
      <alignment vertical="center"/>
      <protection hidden="1"/>
    </xf>
    <xf numFmtId="0" fontId="26" fillId="0" borderId="55" xfId="0" applyFont="1" applyBorder="1" applyAlignment="1" applyProtection="1">
      <alignment horizontal="center" vertical="center"/>
      <protection hidden="1"/>
    </xf>
    <xf numFmtId="0" fontId="26" fillId="0" borderId="66" xfId="0" applyFont="1" applyBorder="1" applyAlignment="1" applyProtection="1">
      <alignment vertical="center"/>
      <protection hidden="1"/>
    </xf>
    <xf numFmtId="165" fontId="33" fillId="0" borderId="34" xfId="0" applyNumberFormat="1" applyFont="1" applyFill="1" applyBorder="1" applyAlignment="1" applyProtection="1">
      <alignment horizontal="right" vertical="center"/>
      <protection hidden="1"/>
    </xf>
    <xf numFmtId="167" fontId="26" fillId="0" borderId="34" xfId="0" applyNumberFormat="1" applyFont="1" applyFill="1" applyBorder="1" applyAlignment="1" applyProtection="1">
      <alignment horizontal="center" vertical="center"/>
      <protection hidden="1"/>
    </xf>
    <xf numFmtId="0" fontId="33" fillId="0" borderId="34" xfId="0" applyNumberFormat="1" applyFont="1" applyFill="1" applyBorder="1" applyAlignment="1" applyProtection="1">
      <alignment horizontal="center" vertical="center"/>
      <protection hidden="1"/>
    </xf>
    <xf numFmtId="171" fontId="10" fillId="2" borderId="34" xfId="0" applyNumberFormat="1" applyFont="1" applyFill="1" applyBorder="1" applyAlignment="1" applyProtection="1">
      <alignment horizontal="center" vertical="center"/>
      <protection hidden="1"/>
    </xf>
    <xf numFmtId="167" fontId="10" fillId="2" borderId="34" xfId="0" applyNumberFormat="1" applyFont="1" applyFill="1" applyBorder="1" applyAlignment="1" applyProtection="1">
      <alignment horizontal="center" vertical="center"/>
      <protection hidden="1"/>
    </xf>
    <xf numFmtId="0" fontId="33" fillId="0" borderId="34" xfId="0" applyFont="1" applyFill="1" applyBorder="1" applyAlignment="1" applyProtection="1">
      <alignment horizontal="center" vertical="center"/>
      <protection hidden="1"/>
    </xf>
    <xf numFmtId="170" fontId="35" fillId="2" borderId="34" xfId="0" applyNumberFormat="1" applyFont="1" applyFill="1" applyBorder="1" applyAlignment="1" applyProtection="1">
      <alignment horizontal="center" vertical="center"/>
      <protection hidden="1"/>
    </xf>
    <xf numFmtId="181" fontId="26" fillId="0" borderId="34" xfId="0" applyNumberFormat="1" applyFont="1" applyFill="1" applyBorder="1" applyAlignment="1" applyProtection="1">
      <alignment horizontal="center" vertical="center"/>
      <protection hidden="1"/>
    </xf>
    <xf numFmtId="184" fontId="10" fillId="2" borderId="34" xfId="1" applyNumberFormat="1" applyFont="1" applyFill="1" applyBorder="1" applyAlignment="1" applyProtection="1">
      <alignment horizontal="center" vertical="center"/>
      <protection hidden="1"/>
    </xf>
    <xf numFmtId="184" fontId="35" fillId="7" borderId="34" xfId="1" applyNumberFormat="1" applyFont="1" applyFill="1" applyBorder="1" applyAlignment="1" applyProtection="1">
      <alignment horizontal="center" vertical="center"/>
      <protection hidden="1"/>
    </xf>
    <xf numFmtId="169" fontId="10" fillId="2" borderId="34" xfId="0" applyNumberFormat="1" applyFont="1" applyFill="1" applyBorder="1" applyAlignment="1" applyProtection="1">
      <alignment horizontal="center" vertical="center"/>
      <protection hidden="1"/>
    </xf>
    <xf numFmtId="170" fontId="10" fillId="0" borderId="34" xfId="0" applyNumberFormat="1" applyFont="1" applyFill="1" applyBorder="1" applyAlignment="1" applyProtection="1">
      <alignment horizontal="center" vertical="center"/>
      <protection hidden="1"/>
    </xf>
    <xf numFmtId="175" fontId="10" fillId="2" borderId="34" xfId="0" applyNumberFormat="1" applyFont="1" applyFill="1" applyBorder="1" applyAlignment="1" applyProtection="1">
      <alignment horizontal="center" vertical="center"/>
      <protection hidden="1"/>
    </xf>
    <xf numFmtId="0" fontId="26" fillId="0" borderId="34" xfId="0" applyFont="1" applyBorder="1" applyAlignment="1" applyProtection="1">
      <alignment vertical="center"/>
      <protection hidden="1"/>
    </xf>
    <xf numFmtId="177" fontId="26" fillId="0" borderId="34" xfId="0" applyNumberFormat="1" applyFont="1" applyBorder="1" applyAlignment="1" applyProtection="1">
      <alignment horizontal="center" vertical="center"/>
      <protection hidden="1"/>
    </xf>
    <xf numFmtId="177" fontId="35" fillId="7" borderId="34" xfId="0" applyNumberFormat="1" applyFont="1" applyFill="1" applyBorder="1" applyAlignment="1" applyProtection="1">
      <alignment horizontal="center" vertical="center"/>
      <protection hidden="1"/>
    </xf>
    <xf numFmtId="0" fontId="24" fillId="29" borderId="114" xfId="0" applyFont="1" applyFill="1" applyBorder="1" applyAlignment="1" applyProtection="1">
      <alignment horizontal="center" vertical="center" wrapText="1"/>
      <protection hidden="1"/>
    </xf>
    <xf numFmtId="0" fontId="24" fillId="29" borderId="115" xfId="0" applyFont="1" applyFill="1" applyBorder="1" applyAlignment="1" applyProtection="1">
      <alignment horizontal="center" vertical="center"/>
      <protection hidden="1"/>
    </xf>
    <xf numFmtId="198" fontId="28" fillId="0" borderId="115" xfId="0" applyNumberFormat="1" applyFont="1" applyFill="1" applyBorder="1" applyAlignment="1" applyProtection="1">
      <alignment horizontal="center" vertical="center"/>
      <protection hidden="1"/>
    </xf>
    <xf numFmtId="204" fontId="24" fillId="20" borderId="117" xfId="0" applyNumberFormat="1" applyFont="1" applyFill="1" applyBorder="1" applyAlignment="1" applyProtection="1">
      <alignment horizontal="center" vertical="center"/>
      <protection hidden="1"/>
    </xf>
    <xf numFmtId="170" fontId="24" fillId="0" borderId="117" xfId="0" applyNumberFormat="1" applyFont="1" applyFill="1" applyBorder="1" applyAlignment="1" applyProtection="1">
      <alignment horizontal="center" vertical="center"/>
      <protection hidden="1"/>
    </xf>
    <xf numFmtId="198" fontId="24" fillId="20" borderId="118" xfId="0" applyNumberFormat="1" applyFont="1" applyFill="1" applyBorder="1" applyAlignment="1" applyProtection="1">
      <alignment horizontal="center" vertical="center"/>
      <protection hidden="1"/>
    </xf>
    <xf numFmtId="44" fontId="24" fillId="20" borderId="117" xfId="0" applyNumberFormat="1" applyFont="1" applyFill="1" applyBorder="1" applyAlignment="1" applyProtection="1">
      <alignment horizontal="center" vertical="center"/>
      <protection hidden="1"/>
    </xf>
    <xf numFmtId="182" fontId="18" fillId="0" borderId="122" xfId="0" applyNumberFormat="1" applyFont="1" applyBorder="1" applyAlignment="1" applyProtection="1">
      <alignment vertical="center"/>
      <protection hidden="1"/>
    </xf>
    <xf numFmtId="182" fontId="16" fillId="0" borderId="0" xfId="0" applyNumberFormat="1" applyFont="1" applyFill="1" applyBorder="1" applyAlignment="1" applyProtection="1">
      <alignment horizontal="center" vertical="center"/>
      <protection hidden="1"/>
    </xf>
    <xf numFmtId="0" fontId="41" fillId="0" borderId="0" xfId="0" applyFont="1" applyFill="1" applyBorder="1" applyAlignment="1" applyProtection="1">
      <alignment horizontal="right" vertical="center"/>
      <protection hidden="1"/>
    </xf>
    <xf numFmtId="184" fontId="18" fillId="23" borderId="11" xfId="0" applyNumberFormat="1" applyFont="1" applyFill="1" applyBorder="1" applyAlignment="1" applyProtection="1">
      <alignment horizontal="center" vertical="center"/>
      <protection hidden="1"/>
    </xf>
    <xf numFmtId="176" fontId="18" fillId="7" borderId="124" xfId="0" applyNumberFormat="1" applyFont="1" applyFill="1" applyBorder="1" applyAlignment="1" applyProtection="1">
      <alignment horizontal="center" vertical="center"/>
      <protection hidden="1"/>
    </xf>
    <xf numFmtId="0" fontId="21" fillId="0" borderId="123" xfId="0" applyFont="1" applyBorder="1" applyAlignment="1" applyProtection="1">
      <alignment vertical="center"/>
      <protection hidden="1"/>
    </xf>
    <xf numFmtId="0" fontId="16" fillId="0" borderId="63" xfId="0" applyFont="1" applyBorder="1" applyAlignment="1" applyProtection="1">
      <alignment horizontal="center" vertical="center"/>
      <protection hidden="1"/>
    </xf>
    <xf numFmtId="0" fontId="21" fillId="0" borderId="63" xfId="0" applyFont="1" applyBorder="1" applyAlignment="1" applyProtection="1">
      <alignment vertical="center"/>
      <protection hidden="1"/>
    </xf>
    <xf numFmtId="0" fontId="21" fillId="0" borderId="64" xfId="0" applyFont="1" applyBorder="1" applyAlignment="1" applyProtection="1">
      <alignment vertical="center"/>
      <protection hidden="1"/>
    </xf>
    <xf numFmtId="0" fontId="21" fillId="0" borderId="75" xfId="0" applyFont="1" applyBorder="1" applyAlignment="1" applyProtection="1">
      <alignment vertical="center"/>
      <protection hidden="1"/>
    </xf>
    <xf numFmtId="0" fontId="21" fillId="0" borderId="76" xfId="0" applyFont="1" applyBorder="1" applyAlignment="1" applyProtection="1">
      <alignment vertical="center"/>
      <protection hidden="1"/>
    </xf>
    <xf numFmtId="0" fontId="21" fillId="0" borderId="76" xfId="0" applyFont="1" applyFill="1" applyBorder="1" applyAlignment="1" applyProtection="1">
      <alignment vertical="center"/>
      <protection hidden="1"/>
    </xf>
    <xf numFmtId="0" fontId="16" fillId="0" borderId="76" xfId="0" applyFont="1" applyFill="1" applyBorder="1" applyAlignment="1" applyProtection="1">
      <alignment horizontal="center" vertical="center" wrapText="1"/>
      <protection hidden="1"/>
    </xf>
    <xf numFmtId="184" fontId="16" fillId="0" borderId="76" xfId="1" applyNumberFormat="1" applyFont="1" applyFill="1" applyBorder="1" applyAlignment="1" applyProtection="1">
      <alignment horizontal="center" vertical="center"/>
      <protection hidden="1"/>
    </xf>
    <xf numFmtId="0" fontId="23" fillId="0" borderId="76" xfId="0" applyFont="1" applyFill="1" applyBorder="1" applyAlignment="1" applyProtection="1">
      <alignment horizontal="center" vertical="center"/>
      <protection hidden="1"/>
    </xf>
    <xf numFmtId="0" fontId="16" fillId="0" borderId="76" xfId="0" applyFont="1" applyFill="1" applyBorder="1" applyAlignment="1" applyProtection="1">
      <alignment horizontal="center" vertical="center"/>
      <protection hidden="1"/>
    </xf>
    <xf numFmtId="0" fontId="20" fillId="0" borderId="76" xfId="0" applyFont="1" applyFill="1" applyBorder="1" applyAlignment="1" applyProtection="1">
      <alignment vertical="center"/>
      <protection hidden="1"/>
    </xf>
    <xf numFmtId="0" fontId="42" fillId="0" borderId="76" xfId="0" applyFont="1" applyBorder="1" applyAlignment="1" applyProtection="1">
      <alignment horizontal="center" vertical="center"/>
      <protection hidden="1"/>
    </xf>
    <xf numFmtId="0" fontId="21" fillId="0" borderId="65" xfId="0" applyFont="1" applyBorder="1" applyAlignment="1" applyProtection="1">
      <alignment vertical="center"/>
      <protection hidden="1"/>
    </xf>
    <xf numFmtId="0" fontId="16" fillId="0" borderId="55" xfId="0" applyFont="1" applyBorder="1" applyAlignment="1" applyProtection="1">
      <alignment horizontal="left" vertical="center"/>
      <protection hidden="1"/>
    </xf>
    <xf numFmtId="170" fontId="16" fillId="0" borderId="55" xfId="0" applyNumberFormat="1" applyFont="1" applyFill="1" applyBorder="1" applyAlignment="1" applyProtection="1">
      <alignment horizontal="center" vertical="center"/>
      <protection hidden="1"/>
    </xf>
    <xf numFmtId="0" fontId="23" fillId="0" borderId="55" xfId="0" applyFont="1" applyFill="1" applyBorder="1" applyAlignment="1" applyProtection="1">
      <alignment horizontal="center" vertical="center"/>
      <protection hidden="1"/>
    </xf>
    <xf numFmtId="0" fontId="18" fillId="0" borderId="55" xfId="0" applyFont="1" applyFill="1" applyBorder="1" applyAlignment="1" applyProtection="1">
      <alignment horizontal="center" vertical="center"/>
      <protection hidden="1"/>
    </xf>
    <xf numFmtId="0" fontId="21" fillId="0" borderId="55" xfId="0" applyFont="1" applyFill="1" applyBorder="1" applyAlignment="1" applyProtection="1">
      <alignment vertical="center"/>
      <protection hidden="1"/>
    </xf>
    <xf numFmtId="0" fontId="21" fillId="0" borderId="66" xfId="0" applyFont="1" applyBorder="1" applyAlignment="1" applyProtection="1">
      <alignment vertical="center"/>
      <protection hidden="1"/>
    </xf>
    <xf numFmtId="165" fontId="23" fillId="0" borderId="84" xfId="0" applyNumberFormat="1" applyFont="1" applyFill="1" applyBorder="1" applyAlignment="1" applyProtection="1">
      <alignment horizontal="right" vertical="center"/>
      <protection hidden="1"/>
    </xf>
    <xf numFmtId="181" fontId="23" fillId="0" borderId="83" xfId="0" applyNumberFormat="1" applyFont="1" applyFill="1" applyBorder="1" applyAlignment="1" applyProtection="1">
      <alignment horizontal="center" vertical="center"/>
      <protection hidden="1"/>
    </xf>
    <xf numFmtId="177" fontId="19" fillId="24" borderId="83" xfId="1" applyNumberFormat="1" applyFont="1" applyFill="1" applyBorder="1" applyAlignment="1" applyProtection="1">
      <alignment horizontal="center" vertical="center"/>
      <protection hidden="1"/>
    </xf>
    <xf numFmtId="176" fontId="18" fillId="7" borderId="129" xfId="0" applyNumberFormat="1" applyFont="1" applyFill="1" applyBorder="1" applyAlignment="1" applyProtection="1">
      <alignment horizontal="center" vertical="center"/>
      <protection hidden="1"/>
    </xf>
    <xf numFmtId="178" fontId="16" fillId="0" borderId="129" xfId="0" applyNumberFormat="1" applyFont="1" applyBorder="1" applyAlignment="1" applyProtection="1">
      <alignment horizontal="center" vertical="center"/>
      <protection hidden="1"/>
    </xf>
    <xf numFmtId="177" fontId="18" fillId="7" borderId="130" xfId="0" applyNumberFormat="1" applyFont="1" applyFill="1" applyBorder="1" applyAlignment="1" applyProtection="1">
      <alignment horizontal="center" vertical="center"/>
      <protection hidden="1"/>
    </xf>
    <xf numFmtId="184" fontId="16" fillId="23" borderId="12" xfId="1" applyNumberFormat="1" applyFont="1" applyFill="1" applyBorder="1" applyAlignment="1" applyProtection="1">
      <alignment horizontal="center" vertical="center"/>
      <protection hidden="1"/>
    </xf>
    <xf numFmtId="0" fontId="16" fillId="9" borderId="82" xfId="0" applyFont="1" applyFill="1" applyBorder="1" applyAlignment="1" applyProtection="1">
      <alignment horizontal="center" vertical="center" wrapText="1"/>
      <protection hidden="1"/>
    </xf>
    <xf numFmtId="169" fontId="16" fillId="23" borderId="129" xfId="0" applyNumberFormat="1" applyFont="1" applyFill="1" applyBorder="1" applyAlignment="1" applyProtection="1">
      <alignment horizontal="center" vertical="center"/>
      <protection hidden="1"/>
    </xf>
    <xf numFmtId="170" fontId="16" fillId="0" borderId="130" xfId="0" applyNumberFormat="1" applyFont="1" applyFill="1" applyBorder="1" applyAlignment="1" applyProtection="1">
      <alignment horizontal="center" vertical="center"/>
      <protection hidden="1"/>
    </xf>
    <xf numFmtId="184" fontId="16" fillId="23" borderId="127" xfId="1" applyNumberFormat="1" applyFont="1" applyFill="1" applyBorder="1" applyAlignment="1" applyProtection="1">
      <alignment horizontal="center" vertical="center"/>
      <protection hidden="1"/>
    </xf>
    <xf numFmtId="184" fontId="18" fillId="23" borderId="130" xfId="0" applyNumberFormat="1" applyFont="1" applyFill="1" applyBorder="1" applyAlignment="1" applyProtection="1">
      <alignment horizontal="center" vertical="center"/>
      <protection hidden="1"/>
    </xf>
    <xf numFmtId="0" fontId="21" fillId="0" borderId="0" xfId="0" applyFont="1" applyBorder="1" applyAlignment="1" applyProtection="1">
      <alignment vertical="center"/>
      <protection locked="0"/>
    </xf>
    <xf numFmtId="0" fontId="16" fillId="6" borderId="9" xfId="0" applyFont="1" applyFill="1" applyBorder="1" applyAlignment="1" applyProtection="1">
      <alignment horizontal="center" vertical="center"/>
      <protection locked="0"/>
    </xf>
    <xf numFmtId="0" fontId="23" fillId="6" borderId="12" xfId="0" applyNumberFormat="1" applyFont="1" applyFill="1" applyBorder="1" applyAlignment="1" applyProtection="1">
      <alignment horizontal="center" vertical="center"/>
      <protection locked="0"/>
    </xf>
    <xf numFmtId="186" fontId="21" fillId="6" borderId="9" xfId="0" applyNumberFormat="1" applyFont="1" applyFill="1" applyBorder="1" applyAlignment="1" applyProtection="1">
      <alignment horizontal="center" vertical="center"/>
      <protection locked="0"/>
    </xf>
    <xf numFmtId="172" fontId="23" fillId="6" borderId="23" xfId="0" applyNumberFormat="1" applyFont="1" applyFill="1" applyBorder="1" applyAlignment="1" applyProtection="1">
      <alignment horizontal="center" vertical="center"/>
      <protection locked="0"/>
    </xf>
    <xf numFmtId="173" fontId="23" fillId="6" borderId="23" xfId="0" applyNumberFormat="1" applyFont="1" applyFill="1" applyBorder="1" applyAlignment="1" applyProtection="1">
      <alignment horizontal="center" vertical="center"/>
      <protection locked="0"/>
    </xf>
    <xf numFmtId="174" fontId="23" fillId="6" borderId="23" xfId="1" applyNumberFormat="1" applyFont="1" applyFill="1" applyBorder="1" applyAlignment="1" applyProtection="1">
      <alignment horizontal="center" vertical="center"/>
      <protection locked="0"/>
    </xf>
    <xf numFmtId="181" fontId="23" fillId="6" borderId="12" xfId="0" applyNumberFormat="1" applyFont="1" applyFill="1" applyBorder="1" applyAlignment="1" applyProtection="1">
      <alignment horizontal="center" vertical="center"/>
      <protection locked="0"/>
    </xf>
    <xf numFmtId="181" fontId="23" fillId="6" borderId="9" xfId="0" applyNumberFormat="1" applyFont="1" applyFill="1" applyBorder="1" applyAlignment="1" applyProtection="1">
      <alignment horizontal="center" vertical="center"/>
      <protection locked="0"/>
    </xf>
    <xf numFmtId="1" fontId="16" fillId="6" borderId="9" xfId="1" applyNumberFormat="1" applyFont="1" applyFill="1" applyBorder="1" applyAlignment="1" applyProtection="1">
      <alignment horizontal="center" vertical="center"/>
      <protection locked="0"/>
    </xf>
    <xf numFmtId="168" fontId="16" fillId="6" borderId="34" xfId="0" applyNumberFormat="1" applyFont="1" applyFill="1" applyBorder="1" applyAlignment="1" applyProtection="1">
      <alignment horizontal="center" vertical="center"/>
      <protection locked="0"/>
    </xf>
    <xf numFmtId="167" fontId="21" fillId="6" borderId="9" xfId="0" applyNumberFormat="1" applyFont="1" applyFill="1" applyBorder="1" applyAlignment="1" applyProtection="1">
      <alignment horizontal="center" vertical="center"/>
      <protection locked="0"/>
    </xf>
    <xf numFmtId="41" fontId="21" fillId="6" borderId="83" xfId="0" applyNumberFormat="1" applyFont="1" applyFill="1" applyBorder="1" applyAlignment="1" applyProtection="1">
      <alignment horizontal="center" vertical="center"/>
      <protection locked="0"/>
    </xf>
    <xf numFmtId="0" fontId="10" fillId="6" borderId="34" xfId="0" applyFont="1" applyFill="1" applyBorder="1" applyAlignment="1" applyProtection="1">
      <alignment horizontal="center" vertical="center"/>
      <protection locked="0"/>
    </xf>
    <xf numFmtId="0" fontId="33" fillId="6" borderId="34" xfId="0" applyNumberFormat="1" applyFont="1" applyFill="1" applyBorder="1" applyAlignment="1" applyProtection="1">
      <alignment horizontal="center" vertical="center"/>
      <protection locked="0"/>
    </xf>
    <xf numFmtId="0" fontId="26" fillId="6" borderId="34" xfId="0" applyFont="1" applyFill="1" applyBorder="1" applyAlignment="1" applyProtection="1">
      <alignment horizontal="center" vertical="center"/>
      <protection locked="0"/>
    </xf>
    <xf numFmtId="0" fontId="26" fillId="6" borderId="34" xfId="0" applyNumberFormat="1" applyFont="1" applyFill="1" applyBorder="1" applyAlignment="1" applyProtection="1">
      <alignment horizontal="center" vertical="center"/>
      <protection locked="0"/>
    </xf>
    <xf numFmtId="176" fontId="26" fillId="6" borderId="34" xfId="0" applyNumberFormat="1" applyFont="1" applyFill="1" applyBorder="1" applyAlignment="1" applyProtection="1">
      <alignment horizontal="center" vertical="center"/>
      <protection locked="0"/>
    </xf>
    <xf numFmtId="1" fontId="10" fillId="6" borderId="34" xfId="1" applyNumberFormat="1" applyFont="1" applyFill="1" applyBorder="1" applyAlignment="1" applyProtection="1">
      <alignment horizontal="center" vertical="center"/>
      <protection locked="0"/>
    </xf>
    <xf numFmtId="169" fontId="26" fillId="6" borderId="34" xfId="0" applyNumberFormat="1" applyFont="1" applyFill="1" applyBorder="1" applyAlignment="1" applyProtection="1">
      <alignment horizontal="center" vertical="center"/>
      <protection locked="0"/>
    </xf>
    <xf numFmtId="170" fontId="26" fillId="6" borderId="34" xfId="0" applyNumberFormat="1" applyFont="1" applyFill="1" applyBorder="1" applyAlignment="1" applyProtection="1">
      <alignment horizontal="center" vertical="center"/>
      <protection locked="0"/>
    </xf>
    <xf numFmtId="175" fontId="26" fillId="6" borderId="34" xfId="0" applyNumberFormat="1" applyFont="1" applyFill="1" applyBorder="1" applyAlignment="1" applyProtection="1">
      <alignment horizontal="center" vertical="center"/>
      <protection locked="0"/>
    </xf>
    <xf numFmtId="185" fontId="26" fillId="6" borderId="34" xfId="0" applyNumberFormat="1" applyFont="1" applyFill="1" applyBorder="1" applyAlignment="1" applyProtection="1">
      <alignment horizontal="center" vertical="center"/>
      <protection locked="0"/>
    </xf>
    <xf numFmtId="0" fontId="24" fillId="6" borderId="9" xfId="0" applyFont="1" applyFill="1" applyBorder="1" applyAlignment="1" applyProtection="1">
      <alignment horizontal="center" vertical="center"/>
      <protection locked="0"/>
    </xf>
    <xf numFmtId="0" fontId="25" fillId="6" borderId="12" xfId="0" applyNumberFormat="1" applyFont="1" applyFill="1" applyBorder="1" applyAlignment="1" applyProtection="1">
      <alignment horizontal="center" vertical="center"/>
      <protection locked="0"/>
    </xf>
    <xf numFmtId="172" fontId="28" fillId="6" borderId="9" xfId="0" applyNumberFormat="1" applyFont="1" applyFill="1" applyBorder="1" applyAlignment="1" applyProtection="1">
      <alignment horizontal="center" vertical="center"/>
      <protection locked="0"/>
    </xf>
    <xf numFmtId="197" fontId="28" fillId="6" borderId="9" xfId="1" applyNumberFormat="1" applyFont="1" applyFill="1" applyBorder="1" applyAlignment="1" applyProtection="1">
      <alignment horizontal="center" vertical="center"/>
      <protection locked="0"/>
    </xf>
    <xf numFmtId="1" fontId="24" fillId="6" borderId="12" xfId="1" applyNumberFormat="1" applyFont="1" applyFill="1" applyBorder="1" applyAlignment="1" applyProtection="1">
      <alignment horizontal="center" vertical="center"/>
      <protection locked="0"/>
    </xf>
    <xf numFmtId="0" fontId="24" fillId="6" borderId="12" xfId="0" applyFont="1" applyFill="1" applyBorder="1" applyAlignment="1" applyProtection="1">
      <alignment horizontal="center" vertical="center"/>
      <protection locked="0"/>
    </xf>
    <xf numFmtId="14" fontId="57" fillId="13" borderId="39" xfId="0" applyNumberFormat="1" applyFont="1" applyFill="1" applyBorder="1" applyAlignment="1" applyProtection="1">
      <alignment horizontal="center" vertical="center" wrapText="1"/>
      <protection locked="0"/>
    </xf>
    <xf numFmtId="169" fontId="28" fillId="6" borderId="9" xfId="0" applyNumberFormat="1" applyFont="1" applyFill="1" applyBorder="1" applyAlignment="1" applyProtection="1">
      <alignment horizontal="center" vertical="center"/>
      <protection locked="0"/>
    </xf>
    <xf numFmtId="0" fontId="28" fillId="6" borderId="9" xfId="0" applyNumberFormat="1" applyFont="1" applyFill="1" applyBorder="1" applyAlignment="1" applyProtection="1">
      <alignment horizontal="center" vertical="center"/>
      <protection locked="0"/>
    </xf>
    <xf numFmtId="16" fontId="28" fillId="6" borderId="9" xfId="0" applyNumberFormat="1" applyFont="1" applyFill="1" applyBorder="1" applyAlignment="1" applyProtection="1">
      <alignment horizontal="center" vertical="center"/>
      <protection locked="0"/>
    </xf>
    <xf numFmtId="0" fontId="24" fillId="11" borderId="34" xfId="0" applyFont="1" applyFill="1" applyBorder="1" applyAlignment="1" applyProtection="1">
      <alignment vertical="center"/>
      <protection locked="0"/>
    </xf>
    <xf numFmtId="0" fontId="25" fillId="11" borderId="34" xfId="0" applyNumberFormat="1" applyFont="1" applyFill="1" applyBorder="1" applyAlignment="1" applyProtection="1">
      <alignment horizontal="center" vertical="center"/>
      <protection locked="0"/>
    </xf>
    <xf numFmtId="176" fontId="28" fillId="6" borderId="83" xfId="0" applyNumberFormat="1" applyFont="1" applyFill="1" applyBorder="1" applyAlignment="1" applyProtection="1">
      <alignment horizontal="center" vertical="center"/>
      <protection locked="0"/>
    </xf>
    <xf numFmtId="203" fontId="25" fillId="11" borderId="56" xfId="0" applyNumberFormat="1" applyFont="1" applyFill="1" applyBorder="1" applyAlignment="1" applyProtection="1">
      <alignment vertical="center"/>
      <protection locked="0"/>
    </xf>
    <xf numFmtId="0" fontId="24" fillId="11" borderId="0" xfId="0" applyFont="1" applyFill="1" applyAlignment="1" applyProtection="1">
      <alignment horizontal="center" vertical="center"/>
      <protection locked="0"/>
    </xf>
    <xf numFmtId="0" fontId="25" fillId="0" borderId="75" xfId="0" applyFont="1" applyFill="1" applyBorder="1" applyAlignment="1" applyProtection="1">
      <alignment vertical="center"/>
      <protection hidden="1"/>
    </xf>
    <xf numFmtId="0" fontId="25" fillId="0" borderId="60" xfId="0" applyFont="1" applyFill="1" applyBorder="1" applyAlignment="1" applyProtection="1">
      <alignment vertical="center"/>
      <protection hidden="1"/>
    </xf>
    <xf numFmtId="0" fontId="25" fillId="0" borderId="0" xfId="0" applyFont="1" applyFill="1" applyBorder="1" applyAlignment="1" applyProtection="1">
      <alignment horizontal="center" vertical="center"/>
      <protection hidden="1"/>
    </xf>
    <xf numFmtId="203" fontId="25" fillId="0" borderId="43" xfId="0" applyNumberFormat="1" applyFont="1" applyFill="1" applyBorder="1" applyAlignment="1" applyProtection="1">
      <alignment vertical="center"/>
      <protection locked="0"/>
    </xf>
    <xf numFmtId="176" fontId="25" fillId="0" borderId="39" xfId="0" applyNumberFormat="1" applyFont="1" applyFill="1" applyBorder="1" applyAlignment="1" applyProtection="1">
      <alignment vertical="center"/>
      <protection locked="0"/>
    </xf>
    <xf numFmtId="0" fontId="25" fillId="0" borderId="76" xfId="0" applyFont="1" applyFill="1" applyBorder="1" applyAlignment="1" applyProtection="1">
      <alignment vertical="center"/>
      <protection hidden="1"/>
    </xf>
    <xf numFmtId="0" fontId="24" fillId="0" borderId="60" xfId="0" applyFont="1" applyFill="1" applyBorder="1" applyAlignment="1" applyProtection="1">
      <alignment horizontal="center" vertical="center" wrapText="1"/>
      <protection hidden="1"/>
    </xf>
    <xf numFmtId="0" fontId="24" fillId="0" borderId="43" xfId="0" applyFont="1" applyFill="1" applyBorder="1" applyAlignment="1" applyProtection="1">
      <alignment horizontal="center" vertical="center" wrapText="1"/>
      <protection hidden="1"/>
    </xf>
    <xf numFmtId="0" fontId="24" fillId="0" borderId="42" xfId="0" applyFont="1" applyFill="1" applyBorder="1" applyAlignment="1" applyProtection="1">
      <alignment horizontal="center" vertical="center" wrapText="1"/>
      <protection hidden="1"/>
    </xf>
    <xf numFmtId="0" fontId="24" fillId="0" borderId="34" xfId="0" applyFont="1" applyFill="1" applyBorder="1" applyAlignment="1" applyProtection="1">
      <alignment horizontal="center" vertical="center" wrapText="1"/>
      <protection hidden="1"/>
    </xf>
    <xf numFmtId="44" fontId="24" fillId="15" borderId="34" xfId="0" applyNumberFormat="1" applyFont="1" applyFill="1" applyBorder="1" applyAlignment="1" applyProtection="1">
      <alignment horizontal="center" vertical="center"/>
      <protection hidden="1"/>
    </xf>
    <xf numFmtId="176" fontId="28" fillId="15" borderId="0" xfId="0" applyNumberFormat="1" applyFont="1" applyFill="1" applyBorder="1" applyAlignment="1" applyProtection="1">
      <alignment horizontal="center" vertical="center"/>
      <protection hidden="1"/>
    </xf>
    <xf numFmtId="44" fontId="28" fillId="15" borderId="139" xfId="0" applyNumberFormat="1" applyFont="1" applyFill="1" applyBorder="1" applyAlignment="1" applyProtection="1">
      <alignment horizontal="center" vertical="center"/>
      <protection hidden="1"/>
    </xf>
    <xf numFmtId="0" fontId="0" fillId="0" borderId="34" xfId="0" applyBorder="1" applyProtection="1">
      <protection hidden="1"/>
    </xf>
    <xf numFmtId="14" fontId="0" fillId="11" borderId="34" xfId="0" applyNumberFormat="1" applyFill="1" applyBorder="1" applyProtection="1">
      <protection locked="0" hidden="1"/>
    </xf>
    <xf numFmtId="182" fontId="14" fillId="0" borderId="34" xfId="0" applyNumberFormat="1" applyFont="1" applyBorder="1" applyAlignment="1" applyProtection="1">
      <alignment horizontal="center" vertical="center"/>
      <protection hidden="1"/>
    </xf>
    <xf numFmtId="191" fontId="14" fillId="11" borderId="34" xfId="0" applyNumberFormat="1" applyFont="1" applyFill="1" applyBorder="1" applyAlignment="1" applyProtection="1">
      <alignment horizontal="center" vertical="center"/>
      <protection locked="0" hidden="1"/>
    </xf>
    <xf numFmtId="0" fontId="4" fillId="3" borderId="84" xfId="0" applyFont="1" applyFill="1" applyBorder="1" applyAlignment="1" applyProtection="1">
      <alignment horizontal="center" vertical="center"/>
      <protection hidden="1"/>
    </xf>
    <xf numFmtId="0" fontId="4" fillId="3" borderId="83" xfId="0" applyFont="1" applyFill="1" applyBorder="1" applyAlignment="1" applyProtection="1">
      <alignment horizontal="center" vertical="center" wrapText="1"/>
      <protection hidden="1"/>
    </xf>
    <xf numFmtId="192" fontId="2" fillId="0" borderId="80" xfId="0" applyNumberFormat="1" applyFont="1" applyFill="1" applyBorder="1" applyAlignment="1" applyProtection="1">
      <alignment horizontal="right" vertical="center"/>
      <protection hidden="1"/>
    </xf>
    <xf numFmtId="170" fontId="4" fillId="0" borderId="81" xfId="0" applyNumberFormat="1" applyFont="1" applyFill="1" applyBorder="1" applyAlignment="1" applyProtection="1">
      <alignment horizontal="center" vertical="center"/>
      <protection hidden="1"/>
    </xf>
    <xf numFmtId="0" fontId="0" fillId="0" borderId="123" xfId="0" applyBorder="1" applyProtection="1">
      <protection hidden="1"/>
    </xf>
    <xf numFmtId="0" fontId="0" fillId="0" borderId="63" xfId="0" applyBorder="1" applyProtection="1">
      <protection hidden="1"/>
    </xf>
    <xf numFmtId="0" fontId="0" fillId="0" borderId="64" xfId="0" applyBorder="1" applyProtection="1">
      <protection hidden="1"/>
    </xf>
    <xf numFmtId="0" fontId="0" fillId="0" borderId="75" xfId="0" applyBorder="1" applyProtection="1">
      <protection hidden="1"/>
    </xf>
    <xf numFmtId="0" fontId="0" fillId="0" borderId="76" xfId="0" applyBorder="1" applyProtection="1">
      <protection hidden="1"/>
    </xf>
    <xf numFmtId="0" fontId="0" fillId="0" borderId="0" xfId="0" applyBorder="1" applyProtection="1">
      <protection hidden="1"/>
    </xf>
    <xf numFmtId="0" fontId="0" fillId="0" borderId="0" xfId="0" applyBorder="1" applyAlignment="1" applyProtection="1">
      <alignment horizontal="right"/>
      <protection hidden="1"/>
    </xf>
    <xf numFmtId="182" fontId="14" fillId="0" borderId="0" xfId="0" applyNumberFormat="1" applyFont="1" applyBorder="1" applyAlignment="1" applyProtection="1">
      <alignment horizontal="center" vertical="center"/>
      <protection hidden="1"/>
    </xf>
    <xf numFmtId="0" fontId="0" fillId="0" borderId="65" xfId="0" applyBorder="1" applyProtection="1">
      <protection hidden="1"/>
    </xf>
    <xf numFmtId="0" fontId="0" fillId="0" borderId="66" xfId="0" applyBorder="1" applyProtection="1">
      <protection hidden="1"/>
    </xf>
    <xf numFmtId="190" fontId="5" fillId="6" borderId="9" xfId="0" applyNumberFormat="1" applyFont="1" applyFill="1" applyBorder="1" applyAlignment="1" applyProtection="1">
      <alignment horizontal="center" vertical="center"/>
      <protection locked="0" hidden="1"/>
    </xf>
    <xf numFmtId="170" fontId="5" fillId="6" borderId="83" xfId="0" applyNumberFormat="1" applyFont="1" applyFill="1" applyBorder="1" applyAlignment="1" applyProtection="1">
      <alignment horizontal="center" vertical="center"/>
      <protection locked="0" hidden="1"/>
    </xf>
    <xf numFmtId="14" fontId="25" fillId="0" borderId="0" xfId="0" applyNumberFormat="1" applyFont="1" applyAlignment="1" applyProtection="1">
      <alignment vertical="center"/>
      <protection hidden="1"/>
    </xf>
    <xf numFmtId="203" fontId="24" fillId="2" borderId="17" xfId="0" applyNumberFormat="1" applyFont="1" applyFill="1" applyBorder="1" applyAlignment="1" applyProtection="1">
      <alignment horizontal="right" vertical="center"/>
      <protection hidden="1"/>
    </xf>
    <xf numFmtId="0" fontId="24" fillId="0" borderId="148" xfId="0" applyFont="1" applyBorder="1" applyAlignment="1" applyProtection="1">
      <alignment vertical="center"/>
      <protection hidden="1"/>
    </xf>
    <xf numFmtId="44" fontId="25" fillId="11" borderId="34" xfId="0" applyNumberFormat="1" applyFont="1" applyFill="1" applyBorder="1" applyAlignment="1" applyProtection="1">
      <alignment vertical="center"/>
      <protection locked="0"/>
    </xf>
    <xf numFmtId="14" fontId="0" fillId="11" borderId="34" xfId="0" applyNumberFormat="1" applyFill="1" applyBorder="1" applyProtection="1">
      <protection locked="0"/>
    </xf>
    <xf numFmtId="191" fontId="14" fillId="11" borderId="34" xfId="0" applyNumberFormat="1" applyFont="1" applyFill="1" applyBorder="1" applyAlignment="1" applyProtection="1">
      <alignment horizontal="center" vertical="center"/>
      <protection locked="0"/>
    </xf>
    <xf numFmtId="190" fontId="5" fillId="6" borderId="9" xfId="0" applyNumberFormat="1" applyFont="1" applyFill="1" applyBorder="1" applyAlignment="1" applyProtection="1">
      <alignment horizontal="center" vertical="center"/>
      <protection locked="0"/>
    </xf>
    <xf numFmtId="170" fontId="5" fillId="6" borderId="83" xfId="0" applyNumberFormat="1" applyFont="1" applyFill="1" applyBorder="1" applyAlignment="1" applyProtection="1">
      <alignment horizontal="center" vertical="center"/>
      <protection locked="0"/>
    </xf>
    <xf numFmtId="166" fontId="2" fillId="6" borderId="9" xfId="0" applyNumberFormat="1" applyFont="1" applyFill="1" applyBorder="1" applyAlignment="1" applyProtection="1">
      <alignment horizontal="center" vertical="center"/>
      <protection locked="0" hidden="1"/>
    </xf>
    <xf numFmtId="44" fontId="2" fillId="6" borderId="9" xfId="0" applyNumberFormat="1" applyFont="1" applyFill="1" applyBorder="1" applyAlignment="1" applyProtection="1">
      <alignment horizontal="right" vertical="center"/>
      <protection locked="0"/>
    </xf>
    <xf numFmtId="44" fontId="2" fillId="11" borderId="139" xfId="0" applyNumberFormat="1" applyFont="1" applyFill="1" applyBorder="1" applyAlignment="1" applyProtection="1">
      <alignment vertical="center"/>
      <protection locked="0"/>
    </xf>
    <xf numFmtId="0" fontId="25" fillId="0" borderId="123" xfId="0" applyFont="1" applyBorder="1" applyAlignment="1" applyProtection="1">
      <alignment vertical="center"/>
      <protection hidden="1"/>
    </xf>
    <xf numFmtId="176" fontId="29" fillId="2" borderId="124" xfId="0" applyNumberFormat="1" applyFont="1" applyFill="1" applyBorder="1" applyAlignment="1" applyProtection="1">
      <alignment horizontal="center" vertical="center"/>
      <protection hidden="1"/>
    </xf>
    <xf numFmtId="0" fontId="25" fillId="0" borderId="143" xfId="0" applyFont="1" applyBorder="1" applyAlignment="1" applyProtection="1">
      <alignment vertical="center"/>
      <protection hidden="1"/>
    </xf>
    <xf numFmtId="176" fontId="64" fillId="6" borderId="9" xfId="0" applyNumberFormat="1" applyFont="1" applyFill="1" applyBorder="1" applyAlignment="1" applyProtection="1">
      <alignment vertical="center"/>
      <protection locked="0" hidden="1"/>
    </xf>
    <xf numFmtId="44" fontId="2" fillId="6" borderId="9" xfId="0" applyNumberFormat="1" applyFont="1" applyFill="1" applyBorder="1" applyAlignment="1" applyProtection="1">
      <alignment vertical="center"/>
      <protection locked="0" hidden="1"/>
    </xf>
    <xf numFmtId="203" fontId="65" fillId="0" borderId="60" xfId="0" applyNumberFormat="1" applyFont="1" applyFill="1" applyBorder="1" applyAlignment="1" applyProtection="1">
      <alignment horizontal="right" vertical="center"/>
      <protection hidden="1"/>
    </xf>
    <xf numFmtId="0" fontId="24" fillId="0" borderId="152" xfId="0" applyFont="1" applyBorder="1" applyAlignment="1" applyProtection="1">
      <alignment horizontal="left" vertical="center"/>
      <protection hidden="1"/>
    </xf>
    <xf numFmtId="181" fontId="24" fillId="2" borderId="21" xfId="0" applyNumberFormat="1" applyFont="1" applyFill="1" applyBorder="1" applyAlignment="1" applyProtection="1">
      <alignment horizontal="center" vertical="center"/>
      <protection hidden="1"/>
    </xf>
    <xf numFmtId="0" fontId="54" fillId="19" borderId="30" xfId="0" applyFont="1" applyFill="1" applyBorder="1" applyAlignment="1" applyProtection="1">
      <alignment horizontal="left" vertical="center"/>
      <protection hidden="1"/>
    </xf>
    <xf numFmtId="0" fontId="54" fillId="19" borderId="30" xfId="0" applyFont="1" applyFill="1" applyBorder="1" applyAlignment="1" applyProtection="1">
      <alignment vertical="center"/>
      <protection hidden="1"/>
    </xf>
    <xf numFmtId="0" fontId="54" fillId="19" borderId="31" xfId="0" applyFont="1" applyFill="1" applyBorder="1" applyAlignment="1" applyProtection="1">
      <alignment vertical="center"/>
      <protection hidden="1"/>
    </xf>
    <xf numFmtId="0" fontId="24" fillId="19" borderId="29" xfId="0" applyFont="1" applyFill="1" applyBorder="1" applyAlignment="1" applyProtection="1">
      <alignment horizontal="right" vertical="center"/>
      <protection hidden="1"/>
    </xf>
    <xf numFmtId="0" fontId="24" fillId="19" borderId="30" xfId="0" applyFont="1" applyFill="1" applyBorder="1" applyAlignment="1" applyProtection="1">
      <alignment horizontal="right" vertical="center"/>
      <protection hidden="1"/>
    </xf>
    <xf numFmtId="0" fontId="24" fillId="0" borderId="155" xfId="0" applyFont="1" applyBorder="1" applyAlignment="1" applyProtection="1">
      <alignment horizontal="left" vertical="center"/>
      <protection hidden="1"/>
    </xf>
    <xf numFmtId="181" fontId="24" fillId="2" borderId="150" xfId="0" applyNumberFormat="1" applyFont="1" applyFill="1" applyBorder="1" applyAlignment="1" applyProtection="1">
      <alignment horizontal="center" vertical="center"/>
      <protection hidden="1"/>
    </xf>
    <xf numFmtId="0" fontId="24" fillId="19" borderId="30" xfId="0" applyFont="1" applyFill="1" applyBorder="1" applyAlignment="1" applyProtection="1">
      <alignment horizontal="left" vertical="center"/>
      <protection hidden="1"/>
    </xf>
    <xf numFmtId="181" fontId="24" fillId="36" borderId="30" xfId="0" applyNumberFormat="1" applyFont="1" applyFill="1" applyBorder="1" applyAlignment="1" applyProtection="1">
      <alignment horizontal="center" vertical="center"/>
      <protection hidden="1"/>
    </xf>
    <xf numFmtId="181" fontId="24" fillId="2" borderId="139" xfId="0" applyNumberFormat="1" applyFont="1" applyFill="1" applyBorder="1" applyAlignment="1" applyProtection="1">
      <alignment horizontal="center" vertical="center"/>
      <protection hidden="1"/>
    </xf>
    <xf numFmtId="0" fontId="32" fillId="3" borderId="33" xfId="0" applyFont="1" applyFill="1" applyBorder="1" applyAlignment="1" applyProtection="1">
      <alignment horizontal="right" vertical="center" wrapText="1"/>
      <protection hidden="1"/>
    </xf>
    <xf numFmtId="0" fontId="32" fillId="3" borderId="42" xfId="0" applyFont="1" applyFill="1" applyBorder="1" applyAlignment="1" applyProtection="1">
      <alignment horizontal="right" vertical="center" wrapText="1"/>
      <protection hidden="1"/>
    </xf>
    <xf numFmtId="0" fontId="24" fillId="0" borderId="84" xfId="0" applyFont="1" applyBorder="1" applyAlignment="1" applyProtection="1">
      <alignment horizontal="right" vertical="center"/>
      <protection hidden="1"/>
    </xf>
    <xf numFmtId="0" fontId="24" fillId="0" borderId="38" xfId="0" applyFont="1" applyBorder="1" applyAlignment="1" applyProtection="1">
      <alignment horizontal="right" vertical="center"/>
      <protection hidden="1"/>
    </xf>
    <xf numFmtId="0" fontId="24" fillId="0" borderId="38" xfId="0" applyFont="1" applyBorder="1" applyAlignment="1" applyProtection="1">
      <alignment horizontal="left" vertical="center" wrapText="1"/>
      <protection hidden="1"/>
    </xf>
    <xf numFmtId="0" fontId="24" fillId="0" borderId="46" xfId="0" applyFont="1" applyBorder="1" applyAlignment="1" applyProtection="1">
      <alignment horizontal="left" vertical="center" wrapText="1"/>
      <protection hidden="1"/>
    </xf>
    <xf numFmtId="0" fontId="24" fillId="28" borderId="32" xfId="0" applyFont="1" applyFill="1" applyBorder="1" applyAlignment="1" applyProtection="1">
      <alignment horizontal="center" vertical="center" wrapText="1"/>
      <protection hidden="1"/>
    </xf>
    <xf numFmtId="0" fontId="24" fillId="28" borderId="43" xfId="0" applyFont="1" applyFill="1" applyBorder="1" applyAlignment="1" applyProtection="1">
      <alignment horizontal="center" vertical="center" wrapText="1"/>
      <protection hidden="1"/>
    </xf>
    <xf numFmtId="0" fontId="24" fillId="28" borderId="44" xfId="0" applyFont="1" applyFill="1" applyBorder="1" applyAlignment="1" applyProtection="1">
      <alignment horizontal="center" vertical="center" wrapText="1"/>
      <protection hidden="1"/>
    </xf>
    <xf numFmtId="0" fontId="49" fillId="11" borderId="60" xfId="0" applyFont="1" applyFill="1" applyBorder="1" applyAlignment="1" applyProtection="1">
      <alignment horizontal="right" vertical="center" wrapText="1"/>
      <protection hidden="1"/>
    </xf>
    <xf numFmtId="0" fontId="49" fillId="11" borderId="0" xfId="0" applyFont="1" applyFill="1" applyBorder="1" applyAlignment="1" applyProtection="1">
      <alignment horizontal="right" vertical="center" wrapText="1"/>
      <protection hidden="1"/>
    </xf>
    <xf numFmtId="0" fontId="49" fillId="11" borderId="39" xfId="0" applyFont="1" applyFill="1" applyBorder="1" applyAlignment="1" applyProtection="1">
      <alignment horizontal="right" vertical="center" wrapText="1"/>
      <protection hidden="1"/>
    </xf>
    <xf numFmtId="169" fontId="28" fillId="14" borderId="34" xfId="0" applyNumberFormat="1" applyFont="1" applyFill="1" applyBorder="1" applyAlignment="1" applyProtection="1">
      <alignment horizontal="center" vertical="center"/>
      <protection hidden="1"/>
    </xf>
    <xf numFmtId="0" fontId="28" fillId="30" borderId="32" xfId="0" applyFont="1" applyFill="1" applyBorder="1" applyAlignment="1" applyProtection="1">
      <alignment horizontal="center" vertical="center" wrapText="1"/>
      <protection hidden="1"/>
    </xf>
    <xf numFmtId="0" fontId="28" fillId="30" borderId="43" xfId="0" applyFont="1" applyFill="1" applyBorder="1" applyAlignment="1" applyProtection="1">
      <alignment horizontal="center" vertical="center" wrapText="1"/>
      <protection hidden="1"/>
    </xf>
    <xf numFmtId="0" fontId="28" fillId="30" borderId="44" xfId="0" applyFont="1" applyFill="1" applyBorder="1" applyAlignment="1" applyProtection="1">
      <alignment horizontal="center" vertical="center" wrapText="1"/>
      <protection hidden="1"/>
    </xf>
    <xf numFmtId="0" fontId="28" fillId="30" borderId="33" xfId="0" applyFont="1" applyFill="1" applyBorder="1" applyAlignment="1" applyProtection="1">
      <alignment horizontal="center" vertical="center" wrapText="1"/>
      <protection hidden="1"/>
    </xf>
    <xf numFmtId="0" fontId="28" fillId="30" borderId="42" xfId="0" applyFont="1" applyFill="1" applyBorder="1" applyAlignment="1" applyProtection="1">
      <alignment horizontal="center" vertical="center" wrapText="1"/>
      <protection hidden="1"/>
    </xf>
    <xf numFmtId="0" fontId="28" fillId="30" borderId="61" xfId="0" applyFont="1" applyFill="1" applyBorder="1" applyAlignment="1" applyProtection="1">
      <alignment horizontal="center" vertical="center" wrapText="1"/>
      <protection hidden="1"/>
    </xf>
    <xf numFmtId="169" fontId="28" fillId="0" borderId="34" xfId="0" applyNumberFormat="1" applyFont="1" applyFill="1" applyBorder="1" applyAlignment="1" applyProtection="1">
      <alignment horizontal="center" vertical="center"/>
      <protection hidden="1"/>
    </xf>
    <xf numFmtId="0" fontId="28" fillId="0" borderId="34" xfId="0" applyFont="1" applyFill="1" applyBorder="1" applyAlignment="1" applyProtection="1">
      <alignment horizontal="center" vertical="center"/>
      <protection hidden="1"/>
    </xf>
    <xf numFmtId="0" fontId="24" fillId="0" borderId="12" xfId="0" applyFont="1" applyBorder="1" applyAlignment="1" applyProtection="1">
      <alignment horizontal="right" vertical="center"/>
      <protection hidden="1"/>
    </xf>
    <xf numFmtId="0" fontId="24" fillId="0" borderId="9" xfId="0" applyFont="1" applyBorder="1" applyAlignment="1" applyProtection="1">
      <alignment horizontal="right" vertical="center"/>
      <protection hidden="1"/>
    </xf>
    <xf numFmtId="0" fontId="29" fillId="10" borderId="84" xfId="0" applyFont="1" applyFill="1" applyBorder="1" applyAlignment="1" applyProtection="1">
      <alignment horizontal="center" vertical="center"/>
      <protection hidden="1"/>
    </xf>
    <xf numFmtId="0" fontId="29" fillId="10" borderId="38" xfId="0" applyFont="1" applyFill="1" applyBorder="1" applyAlignment="1" applyProtection="1">
      <alignment horizontal="center" vertical="center"/>
      <protection hidden="1"/>
    </xf>
    <xf numFmtId="0" fontId="29" fillId="10" borderId="12" xfId="0" applyFont="1" applyFill="1" applyBorder="1" applyAlignment="1" applyProtection="1">
      <alignment horizontal="center" vertical="center"/>
      <protection hidden="1"/>
    </xf>
    <xf numFmtId="0" fontId="24" fillId="29" borderId="84" xfId="0" applyFont="1" applyFill="1" applyBorder="1" applyAlignment="1" applyProtection="1">
      <alignment horizontal="center" vertical="center"/>
      <protection hidden="1"/>
    </xf>
    <xf numFmtId="0" fontId="24" fillId="29" borderId="38" xfId="0" applyFont="1" applyFill="1" applyBorder="1" applyAlignment="1" applyProtection="1">
      <alignment horizontal="center" vertical="center"/>
      <protection hidden="1"/>
    </xf>
    <xf numFmtId="0" fontId="24" fillId="29" borderId="12" xfId="0" applyFont="1" applyFill="1" applyBorder="1" applyAlignment="1" applyProtection="1">
      <alignment horizontal="center" vertical="center"/>
      <protection hidden="1"/>
    </xf>
    <xf numFmtId="0" fontId="54" fillId="11" borderId="29" xfId="0" applyFont="1" applyFill="1" applyBorder="1" applyAlignment="1" applyProtection="1">
      <alignment horizontal="left" vertical="center" wrapText="1"/>
      <protection hidden="1"/>
    </xf>
    <xf numFmtId="0" fontId="54" fillId="11" borderId="30" xfId="0" applyFont="1" applyFill="1" applyBorder="1" applyAlignment="1" applyProtection="1">
      <alignment horizontal="left" vertical="center" wrapText="1"/>
      <protection hidden="1"/>
    </xf>
    <xf numFmtId="0" fontId="54" fillId="11" borderId="31" xfId="0" applyFont="1" applyFill="1" applyBorder="1" applyAlignment="1" applyProtection="1">
      <alignment horizontal="left" vertical="center" wrapText="1"/>
      <protection hidden="1"/>
    </xf>
    <xf numFmtId="0" fontId="49" fillId="0" borderId="29" xfId="0" applyFont="1" applyBorder="1" applyAlignment="1" applyProtection="1">
      <alignment horizontal="center" vertical="center"/>
      <protection hidden="1"/>
    </xf>
    <xf numFmtId="0" fontId="49" fillId="0" borderId="31" xfId="0" applyFont="1" applyBorder="1" applyAlignment="1" applyProtection="1">
      <alignment horizontal="center" vertical="center"/>
      <protection hidden="1"/>
    </xf>
    <xf numFmtId="0" fontId="49" fillId="35" borderId="29" xfId="0" applyFont="1" applyFill="1" applyBorder="1" applyAlignment="1" applyProtection="1">
      <alignment horizontal="center" vertical="center"/>
      <protection hidden="1"/>
    </xf>
    <xf numFmtId="0" fontId="49" fillId="35" borderId="31" xfId="0" applyFont="1" applyFill="1" applyBorder="1" applyAlignment="1" applyProtection="1">
      <alignment horizontal="center" vertical="center"/>
      <protection hidden="1"/>
    </xf>
    <xf numFmtId="0" fontId="25" fillId="0" borderId="43" xfId="0" applyFont="1" applyBorder="1" applyAlignment="1" applyProtection="1">
      <alignment horizontal="center" vertical="center"/>
      <protection hidden="1"/>
    </xf>
    <xf numFmtId="0" fontId="43" fillId="8" borderId="67" xfId="0" applyFont="1" applyFill="1" applyBorder="1" applyAlignment="1" applyProtection="1">
      <alignment horizontal="center" vertical="center"/>
      <protection hidden="1"/>
    </xf>
    <xf numFmtId="0" fontId="43" fillId="8" borderId="68" xfId="0" applyFont="1" applyFill="1" applyBorder="1" applyAlignment="1" applyProtection="1">
      <alignment horizontal="center" vertical="center"/>
      <protection hidden="1"/>
    </xf>
    <xf numFmtId="0" fontId="43" fillId="8" borderId="69" xfId="0" applyFont="1" applyFill="1" applyBorder="1" applyAlignment="1" applyProtection="1">
      <alignment horizontal="center" vertical="center"/>
      <protection hidden="1"/>
    </xf>
    <xf numFmtId="0" fontId="44" fillId="8" borderId="70" xfId="0" applyFont="1" applyFill="1" applyBorder="1" applyAlignment="1" applyProtection="1">
      <alignment horizontal="center" vertical="center"/>
      <protection hidden="1"/>
    </xf>
    <xf numFmtId="0" fontId="44" fillId="8" borderId="0" xfId="0" applyFont="1" applyFill="1" applyBorder="1" applyAlignment="1" applyProtection="1">
      <alignment horizontal="center" vertical="center"/>
      <protection hidden="1"/>
    </xf>
    <xf numFmtId="0" fontId="44" fillId="8" borderId="71" xfId="0" applyFont="1" applyFill="1" applyBorder="1" applyAlignment="1" applyProtection="1">
      <alignment horizontal="center" vertical="center"/>
      <protection hidden="1"/>
    </xf>
    <xf numFmtId="0" fontId="44" fillId="8" borderId="72" xfId="0" applyFont="1" applyFill="1" applyBorder="1" applyAlignment="1" applyProtection="1">
      <alignment horizontal="center" vertical="center"/>
      <protection hidden="1"/>
    </xf>
    <xf numFmtId="0" fontId="44" fillId="8" borderId="73" xfId="0" applyFont="1" applyFill="1" applyBorder="1" applyAlignment="1" applyProtection="1">
      <alignment horizontal="center" vertical="center"/>
      <protection hidden="1"/>
    </xf>
    <xf numFmtId="0" fontId="44" fillId="8" borderId="74" xfId="0" applyFont="1" applyFill="1" applyBorder="1" applyAlignment="1" applyProtection="1">
      <alignment horizontal="center" vertical="center"/>
      <protection hidden="1"/>
    </xf>
    <xf numFmtId="0" fontId="24" fillId="27" borderId="101" xfId="0" applyFont="1" applyFill="1" applyBorder="1" applyAlignment="1" applyProtection="1">
      <alignment horizontal="center" vertical="center"/>
      <protection hidden="1"/>
    </xf>
    <xf numFmtId="0" fontId="24" fillId="27" borderId="102" xfId="0" applyFont="1" applyFill="1" applyBorder="1" applyAlignment="1" applyProtection="1">
      <alignment horizontal="center" vertical="center"/>
      <protection hidden="1"/>
    </xf>
    <xf numFmtId="0" fontId="24" fillId="27" borderId="103" xfId="0" applyFont="1" applyFill="1" applyBorder="1" applyAlignment="1" applyProtection="1">
      <alignment horizontal="center" vertical="center"/>
      <protection hidden="1"/>
    </xf>
    <xf numFmtId="0" fontId="24" fillId="17" borderId="92" xfId="0" applyFont="1" applyFill="1" applyBorder="1" applyAlignment="1" applyProtection="1">
      <alignment horizontal="center" vertical="center" wrapText="1"/>
      <protection hidden="1"/>
    </xf>
    <xf numFmtId="0" fontId="24" fillId="17" borderId="25" xfId="0" applyFont="1" applyFill="1" applyBorder="1" applyAlignment="1" applyProtection="1">
      <alignment horizontal="center" vertical="center" wrapText="1"/>
      <protection hidden="1"/>
    </xf>
    <xf numFmtId="0" fontId="24" fillId="17" borderId="93" xfId="0" applyFont="1" applyFill="1" applyBorder="1" applyAlignment="1" applyProtection="1">
      <alignment horizontal="center" vertical="center" wrapText="1"/>
      <protection hidden="1"/>
    </xf>
    <xf numFmtId="0" fontId="28" fillId="0" borderId="0" xfId="0" applyFont="1" applyBorder="1" applyAlignment="1" applyProtection="1">
      <alignment horizontal="right" vertical="center"/>
      <protection hidden="1"/>
    </xf>
    <xf numFmtId="0" fontId="28" fillId="0" borderId="10" xfId="0" applyFont="1" applyBorder="1" applyAlignment="1" applyProtection="1">
      <alignment horizontal="right" vertical="center"/>
      <protection hidden="1"/>
    </xf>
    <xf numFmtId="14" fontId="24" fillId="6" borderId="11" xfId="0" applyNumberFormat="1" applyFont="1" applyFill="1" applyBorder="1" applyAlignment="1" applyProtection="1">
      <alignment horizontal="center" vertical="center"/>
      <protection locked="0"/>
    </xf>
    <xf numFmtId="14" fontId="24" fillId="6" borderId="12" xfId="0" applyNumberFormat="1" applyFont="1" applyFill="1" applyBorder="1" applyAlignment="1" applyProtection="1">
      <alignment horizontal="center" vertical="center"/>
      <protection locked="0"/>
    </xf>
    <xf numFmtId="166" fontId="24" fillId="29" borderId="91" xfId="0" applyNumberFormat="1" applyFont="1" applyFill="1" applyBorder="1" applyAlignment="1" applyProtection="1">
      <alignment horizontal="center" vertical="center"/>
      <protection hidden="1"/>
    </xf>
    <xf numFmtId="0" fontId="24" fillId="29" borderId="14" xfId="0" applyFont="1" applyFill="1" applyBorder="1" applyAlignment="1" applyProtection="1">
      <alignment horizontal="center" vertical="center"/>
      <protection hidden="1"/>
    </xf>
    <xf numFmtId="0" fontId="24" fillId="29" borderId="91" xfId="0" applyFont="1" applyFill="1" applyBorder="1" applyAlignment="1" applyProtection="1">
      <alignment horizontal="center" vertical="center"/>
      <protection hidden="1"/>
    </xf>
    <xf numFmtId="0" fontId="24" fillId="29" borderId="9" xfId="0" applyFont="1" applyFill="1" applyBorder="1" applyAlignment="1" applyProtection="1">
      <alignment horizontal="center" vertical="center" wrapText="1"/>
      <protection hidden="1"/>
    </xf>
    <xf numFmtId="0" fontId="24" fillId="29" borderId="11" xfId="0" applyFont="1" applyFill="1" applyBorder="1" applyAlignment="1" applyProtection="1">
      <alignment horizontal="center" vertical="center" wrapText="1"/>
      <protection hidden="1"/>
    </xf>
    <xf numFmtId="173" fontId="28" fillId="6" borderId="9" xfId="0" applyNumberFormat="1" applyFont="1" applyFill="1" applyBorder="1" applyAlignment="1" applyProtection="1">
      <alignment horizontal="center" vertical="center"/>
      <protection locked="0"/>
    </xf>
    <xf numFmtId="0" fontId="24" fillId="0" borderId="80" xfId="0" applyFont="1" applyBorder="1" applyAlignment="1" applyProtection="1">
      <alignment horizontal="center" vertical="center"/>
      <protection hidden="1"/>
    </xf>
    <xf numFmtId="0" fontId="24" fillId="0" borderId="24" xfId="0" applyFont="1" applyBorder="1" applyAlignment="1" applyProtection="1">
      <alignment horizontal="center" vertical="center"/>
      <protection hidden="1"/>
    </xf>
    <xf numFmtId="175" fontId="24" fillId="2" borderId="9" xfId="0" applyNumberFormat="1" applyFont="1" applyFill="1" applyBorder="1" applyAlignment="1" applyProtection="1">
      <alignment horizontal="center" vertical="center"/>
      <protection hidden="1"/>
    </xf>
    <xf numFmtId="0" fontId="24" fillId="0" borderId="91" xfId="0" applyFont="1" applyBorder="1" applyAlignment="1" applyProtection="1">
      <alignment horizontal="right" vertical="center"/>
      <protection hidden="1"/>
    </xf>
    <xf numFmtId="0" fontId="24" fillId="0" borderId="24" xfId="0" applyFont="1" applyBorder="1" applyAlignment="1" applyProtection="1">
      <alignment horizontal="right" vertical="center"/>
      <protection hidden="1"/>
    </xf>
    <xf numFmtId="182" fontId="24" fillId="0" borderId="83" xfId="0" applyNumberFormat="1" applyFont="1" applyFill="1" applyBorder="1" applyAlignment="1" applyProtection="1">
      <alignment horizontal="center" vertical="center"/>
      <protection hidden="1"/>
    </xf>
    <xf numFmtId="0" fontId="24" fillId="6" borderId="9" xfId="0" applyFont="1" applyFill="1" applyBorder="1" applyAlignment="1" applyProtection="1">
      <alignment horizontal="center" vertical="center"/>
      <protection locked="0"/>
    </xf>
    <xf numFmtId="0" fontId="24" fillId="29" borderId="32" xfId="0" applyFont="1" applyFill="1" applyBorder="1" applyAlignment="1" applyProtection="1">
      <alignment horizontal="center" vertical="center" wrapText="1"/>
      <protection hidden="1"/>
    </xf>
    <xf numFmtId="0" fontId="24" fillId="29" borderId="44" xfId="0" applyFont="1" applyFill="1" applyBorder="1" applyAlignment="1" applyProtection="1">
      <alignment horizontal="center" vertical="center" wrapText="1"/>
      <protection hidden="1"/>
    </xf>
    <xf numFmtId="0" fontId="24" fillId="29" borderId="33" xfId="0" applyFont="1" applyFill="1" applyBorder="1" applyAlignment="1" applyProtection="1">
      <alignment horizontal="center" vertical="center" wrapText="1"/>
      <protection hidden="1"/>
    </xf>
    <xf numFmtId="0" fontId="24" fillId="29" borderId="61" xfId="0" applyFont="1" applyFill="1" applyBorder="1" applyAlignment="1" applyProtection="1">
      <alignment horizontal="center" vertical="center" wrapText="1"/>
      <protection hidden="1"/>
    </xf>
    <xf numFmtId="0" fontId="24" fillId="3" borderId="28" xfId="0" applyFont="1" applyFill="1" applyBorder="1" applyAlignment="1" applyProtection="1">
      <alignment horizontal="center" vertical="center" wrapText="1"/>
      <protection hidden="1"/>
    </xf>
    <xf numFmtId="0" fontId="24" fillId="3" borderId="82" xfId="0" applyFont="1" applyFill="1" applyBorder="1" applyAlignment="1" applyProtection="1">
      <alignment horizontal="center" vertical="center" wrapText="1"/>
      <protection hidden="1"/>
    </xf>
    <xf numFmtId="0" fontId="24" fillId="29" borderId="16" xfId="0" applyFont="1" applyFill="1" applyBorder="1" applyAlignment="1" applyProtection="1">
      <alignment horizontal="center" vertical="center" wrapText="1"/>
      <protection hidden="1"/>
    </xf>
    <xf numFmtId="0" fontId="24" fillId="29" borderId="18" xfId="0" applyFont="1" applyFill="1" applyBorder="1" applyAlignment="1" applyProtection="1">
      <alignment horizontal="center" vertical="center" wrapText="1"/>
      <protection hidden="1"/>
    </xf>
    <xf numFmtId="0" fontId="24" fillId="29" borderId="19" xfId="0" applyFont="1" applyFill="1" applyBorder="1" applyAlignment="1" applyProtection="1">
      <alignment horizontal="center" vertical="center" wrapText="1"/>
      <protection hidden="1"/>
    </xf>
    <xf numFmtId="0" fontId="24" fillId="29" borderId="10" xfId="0" applyFont="1" applyFill="1" applyBorder="1" applyAlignment="1" applyProtection="1">
      <alignment horizontal="center" vertical="center" wrapText="1"/>
      <protection hidden="1"/>
    </xf>
    <xf numFmtId="0" fontId="24" fillId="29" borderId="20" xfId="0" applyFont="1" applyFill="1" applyBorder="1" applyAlignment="1" applyProtection="1">
      <alignment horizontal="center" vertical="center" wrapText="1"/>
      <protection hidden="1"/>
    </xf>
    <xf numFmtId="0" fontId="24" fillId="29" borderId="22" xfId="0" applyFont="1" applyFill="1" applyBorder="1" applyAlignment="1" applyProtection="1">
      <alignment horizontal="center" vertical="center" wrapText="1"/>
      <protection hidden="1"/>
    </xf>
    <xf numFmtId="167" fontId="28" fillId="0" borderId="11" xfId="0" applyNumberFormat="1" applyFont="1" applyFill="1" applyBorder="1" applyAlignment="1" applyProtection="1">
      <alignment horizontal="center" vertical="center"/>
      <protection hidden="1"/>
    </xf>
    <xf numFmtId="167" fontId="28" fillId="0" borderId="12" xfId="0" applyNumberFormat="1" applyFont="1" applyFill="1" applyBorder="1" applyAlignment="1" applyProtection="1">
      <alignment horizontal="center" vertical="center"/>
      <protection hidden="1"/>
    </xf>
    <xf numFmtId="0" fontId="24" fillId="29" borderId="29" xfId="0" applyFont="1" applyFill="1" applyBorder="1" applyAlignment="1" applyProtection="1">
      <alignment horizontal="center" vertical="center" wrapText="1"/>
      <protection hidden="1"/>
    </xf>
    <xf numFmtId="0" fontId="24" fillId="29" borderId="31" xfId="0" applyFont="1" applyFill="1" applyBorder="1" applyAlignment="1" applyProtection="1">
      <alignment horizontal="center" vertical="center" wrapText="1"/>
      <protection hidden="1"/>
    </xf>
    <xf numFmtId="0" fontId="28" fillId="0" borderId="21" xfId="0" applyFont="1" applyFill="1" applyBorder="1" applyAlignment="1" applyProtection="1">
      <alignment horizontal="center" vertical="center"/>
      <protection hidden="1"/>
    </xf>
    <xf numFmtId="44" fontId="45" fillId="0" borderId="19" xfId="0" applyNumberFormat="1" applyFont="1" applyFill="1" applyBorder="1" applyAlignment="1" applyProtection="1">
      <alignment horizontal="right" vertical="center" wrapText="1"/>
      <protection hidden="1"/>
    </xf>
    <xf numFmtId="44" fontId="45" fillId="0" borderId="0" xfId="0" applyNumberFormat="1" applyFont="1" applyFill="1" applyBorder="1" applyAlignment="1" applyProtection="1">
      <alignment horizontal="right" vertical="center" wrapText="1"/>
      <protection hidden="1"/>
    </xf>
    <xf numFmtId="206" fontId="24" fillId="19" borderId="49" xfId="0" applyNumberFormat="1" applyFont="1" applyFill="1" applyBorder="1" applyAlignment="1" applyProtection="1">
      <alignment horizontal="center" vertical="center"/>
      <protection hidden="1"/>
    </xf>
    <xf numFmtId="206" fontId="24" fillId="19" borderId="42" xfId="0" applyNumberFormat="1" applyFont="1" applyFill="1" applyBorder="1" applyAlignment="1" applyProtection="1">
      <alignment horizontal="center" vertical="center"/>
      <protection hidden="1"/>
    </xf>
    <xf numFmtId="206" fontId="24" fillId="19" borderId="50" xfId="0" applyNumberFormat="1" applyFont="1" applyFill="1" applyBorder="1" applyAlignment="1" applyProtection="1">
      <alignment horizontal="center" vertical="center"/>
      <protection hidden="1"/>
    </xf>
    <xf numFmtId="0" fontId="24" fillId="19" borderId="51" xfId="0" applyFont="1" applyFill="1" applyBorder="1" applyAlignment="1" applyProtection="1">
      <alignment horizontal="center" vertical="center"/>
      <protection hidden="1"/>
    </xf>
    <xf numFmtId="0" fontId="24" fillId="19" borderId="43" xfId="0" applyFont="1" applyFill="1" applyBorder="1" applyAlignment="1" applyProtection="1">
      <alignment horizontal="center" vertical="center"/>
      <protection hidden="1"/>
    </xf>
    <xf numFmtId="0" fontId="24" fillId="19" borderId="52" xfId="0" applyFont="1" applyFill="1" applyBorder="1" applyAlignment="1" applyProtection="1">
      <alignment horizontal="center" vertical="center"/>
      <protection hidden="1"/>
    </xf>
    <xf numFmtId="170" fontId="28" fillId="0" borderId="11" xfId="0" applyNumberFormat="1" applyFont="1" applyFill="1" applyBorder="1" applyAlignment="1" applyProtection="1">
      <alignment horizontal="center" vertical="center"/>
      <protection hidden="1"/>
    </xf>
    <xf numFmtId="170" fontId="28" fillId="0" borderId="12" xfId="0" applyNumberFormat="1" applyFont="1" applyFill="1" applyBorder="1" applyAlignment="1" applyProtection="1">
      <alignment horizontal="center" vertical="center"/>
      <protection hidden="1"/>
    </xf>
    <xf numFmtId="170" fontId="29" fillId="2" borderId="11" xfId="0" applyNumberFormat="1" applyFont="1" applyFill="1" applyBorder="1" applyAlignment="1" applyProtection="1">
      <alignment horizontal="center" vertical="center"/>
      <protection hidden="1"/>
    </xf>
    <xf numFmtId="170" fontId="29" fillId="2" borderId="12" xfId="0" applyNumberFormat="1" applyFont="1" applyFill="1" applyBorder="1" applyAlignment="1" applyProtection="1">
      <alignment horizontal="center" vertical="center"/>
      <protection hidden="1"/>
    </xf>
    <xf numFmtId="0" fontId="29" fillId="0" borderId="92" xfId="0" applyFont="1" applyBorder="1" applyAlignment="1" applyProtection="1">
      <alignment horizontal="right" vertical="center"/>
      <protection hidden="1"/>
    </xf>
    <xf numFmtId="0" fontId="29" fillId="0" borderId="77" xfId="0" applyFont="1" applyBorder="1" applyAlignment="1" applyProtection="1">
      <alignment horizontal="right" vertical="center"/>
      <protection hidden="1"/>
    </xf>
    <xf numFmtId="0" fontId="29" fillId="0" borderId="40" xfId="0" applyFont="1" applyBorder="1" applyAlignment="1" applyProtection="1">
      <alignment horizontal="right" vertical="center"/>
      <protection hidden="1"/>
    </xf>
    <xf numFmtId="0" fontId="46" fillId="17" borderId="92" xfId="0" applyFont="1" applyFill="1" applyBorder="1" applyAlignment="1" applyProtection="1">
      <alignment horizontal="center" vertical="center" wrapText="1"/>
      <protection hidden="1"/>
    </xf>
    <xf numFmtId="0" fontId="46" fillId="17" borderId="5" xfId="0" applyFont="1" applyFill="1" applyBorder="1" applyAlignment="1" applyProtection="1">
      <alignment horizontal="center" vertical="center" wrapText="1"/>
      <protection hidden="1"/>
    </xf>
    <xf numFmtId="0" fontId="46" fillId="17" borderId="93" xfId="0" applyFont="1" applyFill="1" applyBorder="1" applyAlignment="1" applyProtection="1">
      <alignment horizontal="center" vertical="center" wrapText="1"/>
      <protection hidden="1"/>
    </xf>
    <xf numFmtId="0" fontId="46" fillId="17" borderId="94" xfId="0" applyFont="1" applyFill="1" applyBorder="1" applyAlignment="1" applyProtection="1">
      <alignment horizontal="center" vertical="center" wrapText="1"/>
      <protection hidden="1"/>
    </xf>
    <xf numFmtId="0" fontId="46" fillId="17" borderId="26" xfId="0" applyFont="1" applyFill="1" applyBorder="1" applyAlignment="1" applyProtection="1">
      <alignment horizontal="center" vertical="center" wrapText="1"/>
      <protection hidden="1"/>
    </xf>
    <xf numFmtId="0" fontId="46" fillId="17" borderId="95" xfId="0" applyFont="1" applyFill="1" applyBorder="1" applyAlignment="1" applyProtection="1">
      <alignment horizontal="center" vertical="center" wrapText="1"/>
      <protection hidden="1"/>
    </xf>
    <xf numFmtId="49" fontId="24" fillId="31" borderId="84" xfId="0" applyNumberFormat="1" applyFont="1" applyFill="1" applyBorder="1" applyAlignment="1" applyProtection="1">
      <alignment horizontal="right" vertical="center" wrapText="1"/>
      <protection hidden="1"/>
    </xf>
    <xf numFmtId="0" fontId="24" fillId="31" borderId="12" xfId="0" applyFont="1" applyFill="1" applyBorder="1" applyAlignment="1" applyProtection="1">
      <alignment horizontal="center" vertical="center" wrapText="1"/>
      <protection hidden="1"/>
    </xf>
    <xf numFmtId="0" fontId="60" fillId="31" borderId="27" xfId="0" applyFont="1" applyFill="1" applyBorder="1" applyAlignment="1" applyProtection="1">
      <alignment horizontal="center" vertical="center" wrapText="1"/>
      <protection hidden="1"/>
    </xf>
    <xf numFmtId="0" fontId="60" fillId="31" borderId="81" xfId="0" applyFont="1" applyFill="1" applyBorder="1" applyAlignment="1" applyProtection="1">
      <alignment horizontal="center" vertical="center" wrapText="1"/>
      <protection hidden="1"/>
    </xf>
    <xf numFmtId="0" fontId="28" fillId="31" borderId="13" xfId="0" applyFont="1" applyFill="1" applyBorder="1" applyAlignment="1" applyProtection="1">
      <alignment horizontal="center" vertical="center" wrapText="1"/>
      <protection hidden="1"/>
    </xf>
    <xf numFmtId="0" fontId="28" fillId="31" borderId="96" xfId="0" applyFont="1" applyFill="1" applyBorder="1" applyAlignment="1" applyProtection="1">
      <alignment horizontal="center" vertical="center" wrapText="1"/>
      <protection hidden="1"/>
    </xf>
    <xf numFmtId="0" fontId="28" fillId="31" borderId="28" xfId="0" applyFont="1" applyFill="1" applyBorder="1" applyAlignment="1" applyProtection="1">
      <alignment horizontal="center" vertical="center" wrapText="1"/>
      <protection hidden="1"/>
    </xf>
    <xf numFmtId="0" fontId="28" fillId="31" borderId="82" xfId="0" applyFont="1" applyFill="1" applyBorder="1" applyAlignment="1" applyProtection="1">
      <alignment horizontal="center" vertical="center" wrapText="1"/>
      <protection hidden="1"/>
    </xf>
    <xf numFmtId="0" fontId="28" fillId="0" borderId="0" xfId="0" applyFont="1" applyBorder="1" applyAlignment="1" applyProtection="1">
      <alignment horizontal="left" vertical="center"/>
      <protection hidden="1"/>
    </xf>
    <xf numFmtId="0" fontId="28" fillId="15" borderId="0" xfId="0" applyFont="1" applyFill="1" applyBorder="1" applyAlignment="1" applyProtection="1">
      <alignment horizontal="left" vertical="center"/>
      <protection hidden="1"/>
    </xf>
    <xf numFmtId="0" fontId="28" fillId="15" borderId="39" xfId="0" applyFont="1" applyFill="1" applyBorder="1" applyAlignment="1" applyProtection="1">
      <alignment horizontal="left" vertical="center"/>
      <protection hidden="1"/>
    </xf>
    <xf numFmtId="0" fontId="24" fillId="0" borderId="60" xfId="0" applyFont="1" applyFill="1" applyBorder="1" applyAlignment="1" applyProtection="1">
      <alignment horizontal="center" vertical="center"/>
      <protection hidden="1"/>
    </xf>
    <xf numFmtId="0" fontId="24" fillId="0" borderId="2" xfId="0" applyFont="1" applyFill="1" applyBorder="1" applyAlignment="1" applyProtection="1">
      <alignment horizontal="center" vertical="center"/>
      <protection hidden="1"/>
    </xf>
    <xf numFmtId="0" fontId="32" fillId="18" borderId="89" xfId="0" applyFont="1" applyFill="1" applyBorder="1" applyAlignment="1" applyProtection="1">
      <alignment horizontal="center" vertical="center" wrapText="1"/>
      <protection hidden="1"/>
    </xf>
    <xf numFmtId="0" fontId="32" fillId="18" borderId="7" xfId="0" applyFont="1" applyFill="1" applyBorder="1" applyAlignment="1" applyProtection="1">
      <alignment horizontal="center" vertical="center" wrapText="1"/>
      <protection hidden="1"/>
    </xf>
    <xf numFmtId="0" fontId="32" fillId="18" borderId="90" xfId="0" applyFont="1" applyFill="1" applyBorder="1" applyAlignment="1" applyProtection="1">
      <alignment horizontal="center" vertical="center" wrapText="1"/>
      <protection hidden="1"/>
    </xf>
    <xf numFmtId="0" fontId="28" fillId="0" borderId="39" xfId="0" applyFont="1" applyBorder="1" applyAlignment="1" applyProtection="1">
      <alignment horizontal="left" vertical="center"/>
      <protection hidden="1"/>
    </xf>
    <xf numFmtId="0" fontId="24" fillId="0" borderId="84" xfId="0" applyFont="1" applyBorder="1" applyAlignment="1" applyProtection="1">
      <alignment horizontal="right" vertical="center" wrapText="1"/>
      <protection hidden="1"/>
    </xf>
    <xf numFmtId="0" fontId="24" fillId="0" borderId="38" xfId="0" applyFont="1" applyBorder="1" applyAlignment="1" applyProtection="1">
      <alignment horizontal="right" vertical="center" wrapText="1"/>
      <protection hidden="1"/>
    </xf>
    <xf numFmtId="0" fontId="24" fillId="0" borderId="17" xfId="0" applyFont="1" applyBorder="1" applyAlignment="1" applyProtection="1">
      <alignment horizontal="center" vertical="center"/>
      <protection hidden="1"/>
    </xf>
    <xf numFmtId="0" fontId="47" fillId="0" borderId="30" xfId="0" applyFont="1" applyBorder="1" applyAlignment="1" applyProtection="1">
      <alignment horizontal="center" vertical="center"/>
      <protection hidden="1"/>
    </xf>
    <xf numFmtId="0" fontId="24" fillId="0" borderId="84" xfId="0" applyFont="1" applyBorder="1" applyAlignment="1" applyProtection="1">
      <alignment horizontal="center" vertical="center" wrapText="1"/>
      <protection hidden="1"/>
    </xf>
    <xf numFmtId="0" fontId="24" fillId="0" borderId="38" xfId="0" applyFont="1" applyBorder="1" applyAlignment="1" applyProtection="1">
      <alignment horizontal="center" vertical="center" wrapText="1"/>
      <protection hidden="1"/>
    </xf>
    <xf numFmtId="195" fontId="24" fillId="0" borderId="38" xfId="0" applyNumberFormat="1" applyFont="1" applyBorder="1" applyAlignment="1" applyProtection="1">
      <alignment horizontal="center" vertical="center" wrapText="1"/>
      <protection hidden="1"/>
    </xf>
    <xf numFmtId="0" fontId="24" fillId="16" borderId="29" xfId="0" applyFont="1" applyFill="1" applyBorder="1" applyAlignment="1" applyProtection="1">
      <alignment horizontal="center" vertical="center" wrapText="1"/>
      <protection hidden="1"/>
    </xf>
    <xf numFmtId="0" fontId="24" fillId="16" borderId="30" xfId="0" applyFont="1" applyFill="1" applyBorder="1" applyAlignment="1" applyProtection="1">
      <alignment horizontal="center" vertical="center" wrapText="1"/>
      <protection hidden="1"/>
    </xf>
    <xf numFmtId="0" fontId="24" fillId="16" borderId="31" xfId="0" applyFont="1" applyFill="1" applyBorder="1" applyAlignment="1" applyProtection="1">
      <alignment horizontal="center" vertical="center" wrapText="1"/>
      <protection hidden="1"/>
    </xf>
    <xf numFmtId="0" fontId="29" fillId="10" borderId="57" xfId="0" applyFont="1" applyFill="1" applyBorder="1" applyAlignment="1" applyProtection="1">
      <alignment horizontal="center" vertical="center"/>
      <protection hidden="1"/>
    </xf>
    <xf numFmtId="0" fontId="29" fillId="10" borderId="58" xfId="0" applyFont="1" applyFill="1" applyBorder="1" applyAlignment="1" applyProtection="1">
      <alignment horizontal="center" vertical="center"/>
      <protection hidden="1"/>
    </xf>
    <xf numFmtId="0" fontId="29" fillId="10" borderId="100" xfId="0" applyFont="1" applyFill="1" applyBorder="1" applyAlignment="1" applyProtection="1">
      <alignment horizontal="center" vertical="center"/>
      <protection hidden="1"/>
    </xf>
    <xf numFmtId="0" fontId="24" fillId="29" borderId="9" xfId="0" applyFont="1" applyFill="1" applyBorder="1" applyAlignment="1" applyProtection="1">
      <alignment horizontal="center" vertical="center"/>
      <protection hidden="1"/>
    </xf>
    <xf numFmtId="0" fontId="24" fillId="29" borderId="83" xfId="0" applyFont="1" applyFill="1" applyBorder="1" applyAlignment="1" applyProtection="1">
      <alignment horizontal="center" vertical="center"/>
      <protection hidden="1"/>
    </xf>
    <xf numFmtId="169" fontId="29" fillId="0" borderId="34" xfId="0" applyNumberFormat="1" applyFont="1" applyFill="1" applyBorder="1" applyAlignment="1" applyProtection="1">
      <alignment horizontal="center" vertical="center"/>
      <protection hidden="1"/>
    </xf>
    <xf numFmtId="0" fontId="29" fillId="0" borderId="34" xfId="0" applyFont="1" applyFill="1" applyBorder="1" applyAlignment="1" applyProtection="1">
      <alignment horizontal="center" vertical="center"/>
      <protection hidden="1"/>
    </xf>
    <xf numFmtId="0" fontId="29" fillId="4" borderId="105" xfId="0" applyNumberFormat="1" applyFont="1" applyFill="1" applyBorder="1" applyAlignment="1" applyProtection="1">
      <alignment horizontal="center" vertical="center"/>
      <protection hidden="1"/>
    </xf>
    <xf numFmtId="0" fontId="29" fillId="4" borderId="54" xfId="0" applyNumberFormat="1" applyFont="1" applyFill="1" applyBorder="1" applyAlignment="1" applyProtection="1">
      <alignment horizontal="center" vertical="center"/>
      <protection hidden="1"/>
    </xf>
    <xf numFmtId="0" fontId="24" fillId="0" borderId="84" xfId="0" applyFont="1" applyBorder="1" applyAlignment="1" applyProtection="1">
      <alignment horizontal="center" vertical="center"/>
      <protection hidden="1"/>
    </xf>
    <xf numFmtId="0" fontId="24" fillId="0" borderId="38" xfId="0" applyFont="1" applyBorder="1" applyAlignment="1" applyProtection="1">
      <alignment horizontal="center" vertical="center"/>
      <protection hidden="1"/>
    </xf>
    <xf numFmtId="0" fontId="29" fillId="0" borderId="99" xfId="0" applyFont="1" applyBorder="1" applyAlignment="1" applyProtection="1">
      <alignment horizontal="center" vertical="center" shrinkToFit="1"/>
      <protection hidden="1"/>
    </xf>
    <xf numFmtId="0" fontId="29" fillId="0" borderId="53" xfId="0" applyFont="1" applyBorder="1" applyAlignment="1" applyProtection="1">
      <alignment horizontal="center" vertical="center" shrinkToFit="1"/>
      <protection hidden="1"/>
    </xf>
    <xf numFmtId="0" fontId="29" fillId="0" borderId="54" xfId="0" applyFont="1" applyBorder="1" applyAlignment="1" applyProtection="1">
      <alignment horizontal="center" vertical="center" shrinkToFit="1"/>
      <protection hidden="1"/>
    </xf>
    <xf numFmtId="170" fontId="53" fillId="0" borderId="42" xfId="0" applyNumberFormat="1" applyFont="1" applyFill="1" applyBorder="1" applyAlignment="1" applyProtection="1">
      <alignment horizontal="left" vertical="center" wrapText="1"/>
      <protection hidden="1"/>
    </xf>
    <xf numFmtId="0" fontId="25" fillId="0" borderId="29" xfId="0" applyFont="1" applyBorder="1" applyAlignment="1" applyProtection="1">
      <alignment horizontal="center" vertical="center"/>
      <protection hidden="1"/>
    </xf>
    <xf numFmtId="0" fontId="25" fillId="0" borderId="31" xfId="0" applyFont="1" applyBorder="1" applyAlignment="1" applyProtection="1">
      <alignment horizontal="center" vertical="center"/>
      <protection hidden="1"/>
    </xf>
    <xf numFmtId="0" fontId="63" fillId="0" borderId="149" xfId="0" applyFont="1" applyBorder="1" applyAlignment="1" applyProtection="1">
      <alignment horizontal="center"/>
      <protection hidden="1"/>
    </xf>
    <xf numFmtId="0" fontId="0" fillId="0" borderId="34" xfId="0" applyBorder="1" applyAlignment="1" applyProtection="1">
      <alignment horizontal="right"/>
      <protection hidden="1"/>
    </xf>
    <xf numFmtId="0" fontId="4" fillId="12" borderId="86" xfId="0" applyFont="1" applyFill="1" applyBorder="1" applyAlignment="1" applyProtection="1">
      <alignment horizontal="center" vertical="center"/>
      <protection hidden="1"/>
    </xf>
    <xf numFmtId="0" fontId="4" fillId="12" borderId="87" xfId="0" applyFont="1" applyFill="1" applyBorder="1" applyAlignment="1" applyProtection="1">
      <alignment horizontal="center" vertical="center"/>
      <protection hidden="1"/>
    </xf>
    <xf numFmtId="0" fontId="4" fillId="12" borderId="88" xfId="0" applyFont="1" applyFill="1" applyBorder="1" applyAlignment="1" applyProtection="1">
      <alignment horizontal="center" vertical="center"/>
      <protection hidden="1"/>
    </xf>
    <xf numFmtId="0" fontId="3" fillId="0" borderId="85" xfId="0" applyFont="1" applyBorder="1" applyAlignment="1" applyProtection="1">
      <alignment horizontal="center" vertical="center"/>
      <protection hidden="1"/>
    </xf>
    <xf numFmtId="0" fontId="3" fillId="0" borderId="18" xfId="0" applyFont="1" applyBorder="1" applyAlignment="1" applyProtection="1">
      <alignment horizontal="center" vertical="center"/>
      <protection hidden="1"/>
    </xf>
    <xf numFmtId="0" fontId="0" fillId="0" borderId="34" xfId="0" applyBorder="1" applyAlignment="1" applyProtection="1">
      <alignment horizontal="center"/>
      <protection hidden="1"/>
    </xf>
    <xf numFmtId="191" fontId="13" fillId="0" borderId="34" xfId="0" applyNumberFormat="1" applyFont="1" applyBorder="1" applyAlignment="1" applyProtection="1">
      <alignment horizontal="center"/>
      <protection hidden="1"/>
    </xf>
    <xf numFmtId="0" fontId="24" fillId="0" borderId="153" xfId="0" applyFont="1" applyBorder="1" applyAlignment="1" applyProtection="1">
      <alignment horizontal="right" vertical="center"/>
      <protection hidden="1"/>
    </xf>
    <xf numFmtId="0" fontId="24" fillId="0" borderId="154" xfId="0" applyFont="1" applyBorder="1" applyAlignment="1" applyProtection="1">
      <alignment horizontal="right" vertical="center"/>
      <protection hidden="1"/>
    </xf>
    <xf numFmtId="0" fontId="24" fillId="0" borderId="106" xfId="0" applyFont="1" applyBorder="1" applyAlignment="1" applyProtection="1">
      <alignment horizontal="right" vertical="center"/>
      <protection hidden="1"/>
    </xf>
    <xf numFmtId="0" fontId="62" fillId="34" borderId="140" xfId="0" applyFont="1" applyFill="1" applyBorder="1" applyAlignment="1" applyProtection="1">
      <alignment horizontal="center" vertical="center"/>
      <protection hidden="1"/>
    </xf>
    <xf numFmtId="0" fontId="62" fillId="34" borderId="141" xfId="0" applyFont="1" applyFill="1" applyBorder="1" applyAlignment="1" applyProtection="1">
      <alignment horizontal="center" vertical="center"/>
      <protection hidden="1"/>
    </xf>
    <xf numFmtId="0" fontId="62" fillId="34" borderId="142" xfId="0" applyFont="1" applyFill="1" applyBorder="1" applyAlignment="1" applyProtection="1">
      <alignment horizontal="center" vertical="center"/>
      <protection hidden="1"/>
    </xf>
    <xf numFmtId="0" fontId="0" fillId="11" borderId="34" xfId="0" applyFill="1" applyBorder="1" applyAlignment="1" applyProtection="1">
      <alignment horizontal="center"/>
      <protection locked="0"/>
    </xf>
    <xf numFmtId="179" fontId="24" fillId="22" borderId="1" xfId="0" applyNumberFormat="1" applyFont="1" applyFill="1" applyBorder="1" applyAlignment="1" applyProtection="1">
      <alignment horizontal="center" vertical="center" wrapText="1"/>
      <protection hidden="1"/>
    </xf>
    <xf numFmtId="205" fontId="48" fillId="22" borderId="1" xfId="0" applyNumberFormat="1" applyFont="1" applyFill="1" applyBorder="1" applyAlignment="1" applyProtection="1">
      <alignment horizontal="center" vertical="center" wrapText="1"/>
      <protection hidden="1"/>
    </xf>
    <xf numFmtId="0" fontId="24" fillId="0" borderId="119" xfId="0" applyFont="1" applyBorder="1" applyAlignment="1" applyProtection="1">
      <alignment horizontal="right" vertical="center"/>
      <protection hidden="1"/>
    </xf>
    <xf numFmtId="0" fontId="24" fillId="0" borderId="120" xfId="0" applyFont="1" applyBorder="1" applyAlignment="1" applyProtection="1">
      <alignment horizontal="right" vertical="center"/>
      <protection hidden="1"/>
    </xf>
    <xf numFmtId="0" fontId="24" fillId="0" borderId="121" xfId="0" applyFont="1" applyBorder="1" applyAlignment="1" applyProtection="1">
      <alignment horizontal="right" vertical="center"/>
      <protection hidden="1"/>
    </xf>
    <xf numFmtId="0" fontId="47" fillId="0" borderId="119" xfId="0" applyFont="1" applyBorder="1" applyAlignment="1" applyProtection="1">
      <alignment horizontal="right" vertical="center"/>
      <protection hidden="1"/>
    </xf>
    <xf numFmtId="0" fontId="47" fillId="0" borderId="120" xfId="0" applyFont="1" applyBorder="1" applyAlignment="1" applyProtection="1">
      <alignment horizontal="right" vertical="center"/>
      <protection hidden="1"/>
    </xf>
    <xf numFmtId="0" fontId="47" fillId="0" borderId="121" xfId="0" applyFont="1" applyBorder="1" applyAlignment="1" applyProtection="1">
      <alignment horizontal="right" vertical="center"/>
      <protection hidden="1"/>
    </xf>
    <xf numFmtId="44" fontId="48" fillId="22" borderId="1" xfId="0" applyNumberFormat="1" applyFont="1" applyFill="1" applyBorder="1" applyAlignment="1" applyProtection="1">
      <alignment horizontal="center" vertical="center" wrapText="1"/>
      <protection hidden="1"/>
    </xf>
    <xf numFmtId="0" fontId="0" fillId="0" borderId="75" xfId="0" applyBorder="1" applyAlignment="1" applyProtection="1">
      <alignment horizontal="center"/>
      <protection hidden="1"/>
    </xf>
    <xf numFmtId="0" fontId="0" fillId="0" borderId="39" xfId="0" applyBorder="1" applyAlignment="1" applyProtection="1">
      <alignment horizontal="center"/>
      <protection hidden="1"/>
    </xf>
    <xf numFmtId="207" fontId="28" fillId="0" borderId="116" xfId="0" applyNumberFormat="1" applyFont="1" applyFill="1" applyBorder="1" applyAlignment="1" applyProtection="1">
      <alignment horizontal="left" vertical="center"/>
      <protection hidden="1"/>
    </xf>
    <xf numFmtId="207" fontId="28" fillId="0" borderId="12" xfId="0" applyNumberFormat="1" applyFont="1" applyFill="1" applyBorder="1" applyAlignment="1" applyProtection="1">
      <alignment horizontal="left" vertical="center"/>
      <protection hidden="1"/>
    </xf>
    <xf numFmtId="207" fontId="28" fillId="0" borderId="145" xfId="0" applyNumberFormat="1" applyFont="1" applyFill="1" applyBorder="1" applyAlignment="1" applyProtection="1">
      <alignment horizontal="left" vertical="center"/>
      <protection hidden="1"/>
    </xf>
    <xf numFmtId="207" fontId="28" fillId="0" borderId="138" xfId="0" applyNumberFormat="1" applyFont="1" applyFill="1" applyBorder="1" applyAlignment="1" applyProtection="1">
      <alignment horizontal="left" vertical="center"/>
      <protection hidden="1"/>
    </xf>
    <xf numFmtId="0" fontId="24" fillId="0" borderId="151" xfId="0" applyFont="1" applyBorder="1" applyAlignment="1" applyProtection="1">
      <alignment horizontal="right" vertical="center"/>
      <protection hidden="1"/>
    </xf>
    <xf numFmtId="0" fontId="24" fillId="0" borderId="150" xfId="0" applyFont="1" applyBorder="1" applyAlignment="1" applyProtection="1">
      <alignment horizontal="right" vertical="center"/>
      <protection hidden="1"/>
    </xf>
    <xf numFmtId="0" fontId="24" fillId="0" borderId="146" xfId="0" applyFont="1" applyBorder="1" applyAlignment="1" applyProtection="1">
      <alignment horizontal="right" vertical="center"/>
      <protection hidden="1"/>
    </xf>
    <xf numFmtId="0" fontId="24" fillId="0" borderId="147" xfId="0" applyFont="1" applyBorder="1" applyAlignment="1" applyProtection="1">
      <alignment horizontal="right" vertical="center"/>
      <protection hidden="1"/>
    </xf>
    <xf numFmtId="0" fontId="54" fillId="19" borderId="29" xfId="0" applyFont="1" applyFill="1" applyBorder="1" applyAlignment="1" applyProtection="1">
      <alignment horizontal="right" vertical="center"/>
      <protection hidden="1"/>
    </xf>
    <xf numFmtId="0" fontId="54" fillId="19" borderId="30" xfId="0" applyFont="1" applyFill="1" applyBorder="1" applyAlignment="1" applyProtection="1">
      <alignment horizontal="right" vertical="center"/>
      <protection hidden="1"/>
    </xf>
    <xf numFmtId="0" fontId="24" fillId="32" borderId="45" xfId="0" applyFont="1" applyFill="1" applyBorder="1" applyAlignment="1" applyProtection="1">
      <alignment horizontal="center" vertical="center"/>
      <protection hidden="1"/>
    </xf>
    <xf numFmtId="0" fontId="24" fillId="32" borderId="77" xfId="0" applyFont="1" applyFill="1" applyBorder="1" applyAlignment="1" applyProtection="1">
      <alignment horizontal="center" vertical="center"/>
      <protection hidden="1"/>
    </xf>
    <xf numFmtId="0" fontId="24" fillId="32" borderId="78" xfId="0" applyFont="1" applyFill="1" applyBorder="1" applyAlignment="1" applyProtection="1">
      <alignment horizontal="center" vertical="center"/>
      <protection hidden="1"/>
    </xf>
    <xf numFmtId="0" fontId="44" fillId="8" borderId="3" xfId="0" applyFont="1" applyFill="1" applyBorder="1" applyAlignment="1" applyProtection="1">
      <alignment horizontal="center" vertical="center"/>
      <protection hidden="1"/>
    </xf>
    <xf numFmtId="0" fontId="44" fillId="8" borderId="6" xfId="0" applyFont="1" applyFill="1" applyBorder="1" applyAlignment="1" applyProtection="1">
      <alignment horizontal="center" vertical="center"/>
      <protection hidden="1"/>
    </xf>
    <xf numFmtId="0" fontId="24" fillId="3" borderId="9" xfId="0" applyFont="1" applyFill="1" applyBorder="1" applyAlignment="1" applyProtection="1">
      <alignment horizontal="center" vertical="center"/>
      <protection hidden="1"/>
    </xf>
    <xf numFmtId="0" fontId="24" fillId="0" borderId="4" xfId="0" applyFont="1" applyBorder="1" applyAlignment="1" applyProtection="1">
      <alignment horizontal="center" vertical="center" wrapText="1"/>
      <protection hidden="1"/>
    </xf>
    <xf numFmtId="0" fontId="24" fillId="0" borderId="0" xfId="0" applyFont="1" applyBorder="1" applyAlignment="1" applyProtection="1">
      <alignment horizontal="center" vertical="center" wrapText="1"/>
      <protection hidden="1"/>
    </xf>
    <xf numFmtId="199" fontId="29" fillId="0" borderId="36" xfId="0" applyNumberFormat="1" applyFont="1" applyBorder="1" applyAlignment="1" applyProtection="1">
      <alignment horizontal="right" vertical="center"/>
      <protection hidden="1"/>
    </xf>
    <xf numFmtId="0" fontId="49" fillId="0" borderId="0" xfId="0" applyFont="1" applyBorder="1" applyAlignment="1" applyProtection="1">
      <alignment horizontal="center" vertical="center"/>
      <protection hidden="1"/>
    </xf>
    <xf numFmtId="0" fontId="24" fillId="0" borderId="0" xfId="0" applyFont="1" applyBorder="1" applyAlignment="1" applyProtection="1">
      <alignment horizontal="right" vertical="center"/>
      <protection hidden="1"/>
    </xf>
    <xf numFmtId="0" fontId="24" fillId="29" borderId="107" xfId="0" applyFont="1" applyFill="1" applyBorder="1" applyAlignment="1" applyProtection="1">
      <alignment horizontal="center" vertical="center"/>
      <protection hidden="1"/>
    </xf>
    <xf numFmtId="0" fontId="24" fillId="29" borderId="108" xfId="0" applyFont="1" applyFill="1" applyBorder="1" applyAlignment="1" applyProtection="1">
      <alignment horizontal="center" vertical="center"/>
      <protection hidden="1"/>
    </xf>
    <xf numFmtId="0" fontId="24" fillId="29" borderId="112" xfId="0" applyFont="1" applyFill="1" applyBorder="1" applyAlignment="1" applyProtection="1">
      <alignment horizontal="center" vertical="center"/>
      <protection hidden="1"/>
    </xf>
    <xf numFmtId="0" fontId="24" fillId="29" borderId="24" xfId="0" applyFont="1" applyFill="1" applyBorder="1" applyAlignment="1" applyProtection="1">
      <alignment horizontal="center" vertical="center"/>
      <protection hidden="1"/>
    </xf>
    <xf numFmtId="0" fontId="24" fillId="29" borderId="109" xfId="0" applyFont="1" applyFill="1" applyBorder="1" applyAlignment="1" applyProtection="1">
      <alignment horizontal="center" vertical="center" wrapText="1"/>
      <protection hidden="1"/>
    </xf>
    <xf numFmtId="0" fontId="24" fillId="29" borderId="110" xfId="0" applyFont="1" applyFill="1" applyBorder="1" applyAlignment="1" applyProtection="1">
      <alignment horizontal="center" vertical="center" wrapText="1"/>
      <protection hidden="1"/>
    </xf>
    <xf numFmtId="0" fontId="24" fillId="29" borderId="15" xfId="0" applyFont="1" applyFill="1" applyBorder="1" applyAlignment="1" applyProtection="1">
      <alignment horizontal="center" vertical="center" wrapText="1"/>
      <protection hidden="1"/>
    </xf>
    <xf numFmtId="0" fontId="24" fillId="29" borderId="111" xfId="0" applyFont="1" applyFill="1" applyBorder="1" applyAlignment="1" applyProtection="1">
      <alignment horizontal="center" vertical="center" wrapText="1"/>
      <protection hidden="1"/>
    </xf>
    <xf numFmtId="0" fontId="24" fillId="29" borderId="113" xfId="0" applyFont="1" applyFill="1" applyBorder="1" applyAlignment="1" applyProtection="1">
      <alignment horizontal="center" vertical="center" wrapText="1"/>
      <protection hidden="1"/>
    </xf>
    <xf numFmtId="0" fontId="24" fillId="20" borderId="143" xfId="0" applyFont="1" applyFill="1" applyBorder="1" applyAlignment="1" applyProtection="1">
      <alignment horizontal="center" vertical="center"/>
      <protection hidden="1"/>
    </xf>
    <xf numFmtId="0" fontId="24" fillId="20" borderId="144" xfId="0" applyFont="1" applyFill="1" applyBorder="1" applyAlignment="1" applyProtection="1">
      <alignment horizontal="center" vertical="center"/>
      <protection hidden="1"/>
    </xf>
    <xf numFmtId="0" fontId="24" fillId="20" borderId="143" xfId="0" applyFont="1" applyFill="1" applyBorder="1" applyAlignment="1" applyProtection="1">
      <alignment horizontal="right" vertical="center"/>
      <protection hidden="1"/>
    </xf>
    <xf numFmtId="0" fontId="24" fillId="20" borderId="144" xfId="0" applyFont="1" applyFill="1" applyBorder="1" applyAlignment="1" applyProtection="1">
      <alignment horizontal="right" vertical="center"/>
      <protection hidden="1"/>
    </xf>
    <xf numFmtId="0" fontId="29" fillId="0" borderId="0" xfId="0" applyFont="1" applyBorder="1" applyAlignment="1" applyProtection="1">
      <alignment horizontal="center" vertical="center"/>
      <protection hidden="1"/>
    </xf>
    <xf numFmtId="0" fontId="24" fillId="0" borderId="34" xfId="0" applyFont="1" applyBorder="1" applyAlignment="1" applyProtection="1">
      <alignment horizontal="right" vertical="center"/>
      <protection hidden="1"/>
    </xf>
    <xf numFmtId="0" fontId="10" fillId="9" borderId="34" xfId="0" applyFont="1" applyFill="1" applyBorder="1" applyAlignment="1" applyProtection="1">
      <alignment horizontal="center" vertical="center" wrapText="1"/>
      <protection hidden="1"/>
    </xf>
    <xf numFmtId="0" fontId="10" fillId="9" borderId="32" xfId="0" applyFont="1" applyFill="1" applyBorder="1" applyAlignment="1" applyProtection="1">
      <alignment horizontal="center" vertical="center"/>
      <protection hidden="1"/>
    </xf>
    <xf numFmtId="0" fontId="10" fillId="9" borderId="44" xfId="0" applyFont="1" applyFill="1" applyBorder="1" applyAlignment="1" applyProtection="1">
      <alignment horizontal="center" vertical="center"/>
      <protection hidden="1"/>
    </xf>
    <xf numFmtId="0" fontId="10" fillId="5" borderId="29" xfId="0" applyFont="1" applyFill="1" applyBorder="1" applyAlignment="1" applyProtection="1">
      <alignment horizontal="center" vertical="center" wrapText="1"/>
      <protection hidden="1"/>
    </xf>
    <xf numFmtId="0" fontId="10" fillId="5" borderId="30" xfId="0" applyFont="1" applyFill="1" applyBorder="1" applyAlignment="1" applyProtection="1">
      <alignment horizontal="center" vertical="center" wrapText="1"/>
      <protection hidden="1"/>
    </xf>
    <xf numFmtId="0" fontId="10" fillId="5" borderId="31" xfId="0" applyFont="1" applyFill="1" applyBorder="1" applyAlignment="1" applyProtection="1">
      <alignment horizontal="center" vertical="center" wrapText="1"/>
      <protection hidden="1"/>
    </xf>
    <xf numFmtId="0" fontId="10" fillId="0" borderId="0" xfId="0" applyFont="1" applyFill="1" applyBorder="1" applyAlignment="1" applyProtection="1">
      <alignment horizontal="center" vertical="center"/>
      <protection hidden="1"/>
    </xf>
    <xf numFmtId="0" fontId="10" fillId="0" borderId="34" xfId="0" applyFont="1" applyBorder="1" applyAlignment="1" applyProtection="1">
      <alignment horizontal="right" vertical="center" wrapText="1"/>
      <protection hidden="1"/>
    </xf>
    <xf numFmtId="0" fontId="10" fillId="5" borderId="34" xfId="0" applyFont="1" applyFill="1" applyBorder="1" applyAlignment="1" applyProtection="1">
      <alignment horizontal="center" vertical="center"/>
      <protection hidden="1"/>
    </xf>
    <xf numFmtId="0" fontId="10" fillId="0" borderId="34" xfId="0" applyFont="1" applyFill="1" applyBorder="1" applyAlignment="1" applyProtection="1">
      <alignment horizontal="right" vertical="center"/>
      <protection hidden="1"/>
    </xf>
    <xf numFmtId="49" fontId="10" fillId="6" borderId="34" xfId="0" applyNumberFormat="1" applyFont="1" applyFill="1" applyBorder="1" applyAlignment="1" applyProtection="1">
      <alignment horizontal="center" vertical="center"/>
      <protection locked="0"/>
    </xf>
    <xf numFmtId="0" fontId="10" fillId="9" borderId="33" xfId="0" applyFont="1" applyFill="1" applyBorder="1" applyAlignment="1" applyProtection="1">
      <alignment horizontal="center" vertical="center"/>
      <protection hidden="1"/>
    </xf>
    <xf numFmtId="0" fontId="10" fillId="9" borderId="61" xfId="0" applyFont="1" applyFill="1" applyBorder="1" applyAlignment="1" applyProtection="1">
      <alignment horizontal="center" vertical="center"/>
      <protection hidden="1"/>
    </xf>
    <xf numFmtId="0" fontId="10" fillId="0" borderId="34" xfId="0" applyFont="1" applyBorder="1" applyAlignment="1" applyProtection="1">
      <alignment horizontal="center" vertical="center"/>
      <protection hidden="1"/>
    </xf>
    <xf numFmtId="0" fontId="35" fillId="0" borderId="34" xfId="0" applyFont="1" applyBorder="1" applyAlignment="1" applyProtection="1">
      <alignment horizontal="right" vertical="center"/>
      <protection hidden="1"/>
    </xf>
    <xf numFmtId="41" fontId="35" fillId="0" borderId="0" xfId="0" applyNumberFormat="1" applyFont="1" applyBorder="1" applyAlignment="1" applyProtection="1">
      <alignment horizontal="left" vertical="center"/>
      <protection hidden="1"/>
    </xf>
    <xf numFmtId="0" fontId="10" fillId="0" borderId="34" xfId="0" applyFont="1" applyBorder="1" applyAlignment="1" applyProtection="1">
      <alignment vertical="center"/>
      <protection hidden="1"/>
    </xf>
    <xf numFmtId="0" fontId="10" fillId="6" borderId="34" xfId="0" applyFont="1" applyFill="1" applyBorder="1" applyAlignment="1" applyProtection="1">
      <alignment horizontal="center" vertical="center"/>
      <protection locked="0"/>
    </xf>
    <xf numFmtId="0" fontId="10" fillId="9" borderId="32" xfId="0" applyFont="1" applyFill="1" applyBorder="1" applyAlignment="1" applyProtection="1">
      <alignment horizontal="center" vertical="center" wrapText="1"/>
      <protection hidden="1"/>
    </xf>
    <xf numFmtId="0" fontId="10" fillId="9" borderId="44" xfId="0" applyFont="1" applyFill="1" applyBorder="1" applyAlignment="1" applyProtection="1">
      <alignment horizontal="center" vertical="center" wrapText="1"/>
      <protection hidden="1"/>
    </xf>
    <xf numFmtId="0" fontId="10" fillId="9" borderId="33" xfId="0" applyFont="1" applyFill="1" applyBorder="1" applyAlignment="1" applyProtection="1">
      <alignment horizontal="center" vertical="center" wrapText="1"/>
      <protection hidden="1"/>
    </xf>
    <xf numFmtId="0" fontId="10" fillId="9" borderId="61" xfId="0" applyFont="1" applyFill="1" applyBorder="1" applyAlignment="1" applyProtection="1">
      <alignment horizontal="center" vertical="center" wrapText="1"/>
      <protection hidden="1"/>
    </xf>
    <xf numFmtId="0" fontId="44" fillId="8" borderId="62" xfId="0" applyFont="1" applyFill="1" applyBorder="1" applyAlignment="1" applyProtection="1">
      <alignment horizontal="center" vertical="center"/>
      <protection hidden="1"/>
    </xf>
    <xf numFmtId="0" fontId="44" fillId="8" borderId="63" xfId="0" applyFont="1" applyFill="1" applyBorder="1" applyAlignment="1" applyProtection="1">
      <alignment horizontal="center" vertical="center"/>
      <protection hidden="1"/>
    </xf>
    <xf numFmtId="0" fontId="44" fillId="8" borderId="64" xfId="0" applyFont="1" applyFill="1" applyBorder="1" applyAlignment="1" applyProtection="1">
      <alignment horizontal="center" vertical="center"/>
      <protection hidden="1"/>
    </xf>
    <xf numFmtId="0" fontId="44" fillId="8" borderId="65" xfId="0" applyFont="1" applyFill="1" applyBorder="1" applyAlignment="1" applyProtection="1">
      <alignment horizontal="center" vertical="center"/>
      <protection hidden="1"/>
    </xf>
    <xf numFmtId="0" fontId="44" fillId="8" borderId="55" xfId="0" applyFont="1" applyFill="1" applyBorder="1" applyAlignment="1" applyProtection="1">
      <alignment horizontal="center" vertical="center"/>
      <protection hidden="1"/>
    </xf>
    <xf numFmtId="0" fontId="44" fillId="8" borderId="66" xfId="0" applyFont="1" applyFill="1" applyBorder="1" applyAlignment="1" applyProtection="1">
      <alignment horizontal="center" vertical="center"/>
      <protection hidden="1"/>
    </xf>
    <xf numFmtId="49" fontId="10" fillId="21" borderId="29" xfId="0" applyNumberFormat="1" applyFont="1" applyFill="1" applyBorder="1" applyAlignment="1" applyProtection="1">
      <alignment horizontal="right" vertical="center" wrapText="1"/>
      <protection hidden="1"/>
    </xf>
    <xf numFmtId="0" fontId="10" fillId="21" borderId="31" xfId="0" applyFont="1" applyFill="1" applyBorder="1" applyAlignment="1" applyProtection="1">
      <alignment horizontal="center" vertical="center" wrapText="1"/>
      <protection hidden="1"/>
    </xf>
    <xf numFmtId="0" fontId="30" fillId="21" borderId="34" xfId="0" applyFont="1" applyFill="1" applyBorder="1" applyAlignment="1" applyProtection="1">
      <alignment horizontal="center" vertical="center" wrapText="1"/>
      <protection hidden="1"/>
    </xf>
    <xf numFmtId="183" fontId="10" fillId="0" borderId="34" xfId="0" applyNumberFormat="1" applyFont="1" applyFill="1" applyBorder="1" applyAlignment="1" applyProtection="1">
      <alignment horizontal="center" vertical="center"/>
      <protection hidden="1"/>
    </xf>
    <xf numFmtId="0" fontId="33" fillId="0" borderId="56" xfId="0" applyFont="1" applyFill="1" applyBorder="1" applyAlignment="1" applyProtection="1">
      <alignment horizontal="center" vertical="center"/>
      <protection hidden="1"/>
    </xf>
    <xf numFmtId="0" fontId="33" fillId="0" borderId="104" xfId="0" applyFont="1" applyFill="1" applyBorder="1" applyAlignment="1" applyProtection="1">
      <alignment horizontal="center" vertical="center"/>
      <protection hidden="1"/>
    </xf>
    <xf numFmtId="0" fontId="33" fillId="0" borderId="106" xfId="0" applyFont="1" applyFill="1" applyBorder="1" applyAlignment="1" applyProtection="1">
      <alignment horizontal="center" vertical="center"/>
      <protection hidden="1"/>
    </xf>
    <xf numFmtId="0" fontId="18" fillId="0" borderId="119" xfId="0" applyFont="1" applyBorder="1" applyAlignment="1" applyProtection="1">
      <alignment horizontal="right" vertical="center"/>
      <protection hidden="1"/>
    </xf>
    <xf numFmtId="0" fontId="18" fillId="0" borderId="120" xfId="0" applyFont="1" applyBorder="1" applyAlignment="1" applyProtection="1">
      <alignment horizontal="right" vertical="center"/>
      <protection hidden="1"/>
    </xf>
    <xf numFmtId="184" fontId="16" fillId="0" borderId="0" xfId="0" applyNumberFormat="1" applyFont="1" applyFill="1" applyBorder="1" applyAlignment="1" applyProtection="1">
      <alignment horizontal="center" vertical="center"/>
      <protection hidden="1"/>
    </xf>
    <xf numFmtId="0" fontId="16" fillId="0" borderId="127" xfId="0" applyFont="1" applyBorder="1" applyAlignment="1" applyProtection="1">
      <alignment horizontal="right" vertical="center"/>
      <protection hidden="1"/>
    </xf>
    <xf numFmtId="0" fontId="16" fillId="0" borderId="128" xfId="0" applyFont="1" applyBorder="1" applyAlignment="1" applyProtection="1">
      <alignment horizontal="right" vertical="center"/>
      <protection hidden="1"/>
    </xf>
    <xf numFmtId="0" fontId="37" fillId="0" borderId="4" xfId="0" applyFont="1" applyBorder="1" applyAlignment="1" applyProtection="1">
      <alignment horizontal="center" vertical="center"/>
      <protection hidden="1"/>
    </xf>
    <xf numFmtId="0" fontId="37" fillId="0" borderId="5" xfId="0" applyFont="1" applyBorder="1" applyAlignment="1" applyProtection="1">
      <alignment horizontal="center" vertical="center"/>
      <protection hidden="1"/>
    </xf>
    <xf numFmtId="0" fontId="37" fillId="0" borderId="25" xfId="0" applyFont="1" applyBorder="1" applyAlignment="1" applyProtection="1">
      <alignment horizontal="center" vertical="center"/>
      <protection hidden="1"/>
    </xf>
    <xf numFmtId="0" fontId="37" fillId="0" borderId="2" xfId="0" applyFont="1" applyBorder="1" applyAlignment="1" applyProtection="1">
      <alignment horizontal="center" vertical="center"/>
      <protection hidden="1"/>
    </xf>
    <xf numFmtId="41" fontId="37" fillId="0" borderId="0" xfId="0" applyNumberFormat="1" applyFont="1" applyFill="1" applyBorder="1" applyAlignment="1" applyProtection="1">
      <alignment horizontal="center" vertical="center"/>
      <protection hidden="1"/>
    </xf>
    <xf numFmtId="41" fontId="37" fillId="0" borderId="2" xfId="0" applyNumberFormat="1" applyFont="1" applyFill="1" applyBorder="1" applyAlignment="1" applyProtection="1">
      <alignment horizontal="center" vertical="center"/>
      <protection hidden="1"/>
    </xf>
    <xf numFmtId="0" fontId="18" fillId="0" borderId="4" xfId="0" applyFont="1" applyBorder="1" applyAlignment="1" applyProtection="1">
      <alignment horizontal="left" vertical="center"/>
      <protection hidden="1"/>
    </xf>
    <xf numFmtId="0" fontId="18" fillId="0" borderId="0" xfId="0" applyFont="1" applyBorder="1" applyAlignment="1" applyProtection="1">
      <alignment horizontal="left" vertical="center"/>
      <protection hidden="1"/>
    </xf>
    <xf numFmtId="0" fontId="16" fillId="0" borderId="0" xfId="0" applyFont="1" applyFill="1" applyBorder="1" applyAlignment="1" applyProtection="1">
      <alignment horizontal="center" vertical="center"/>
      <protection hidden="1"/>
    </xf>
    <xf numFmtId="0" fontId="16" fillId="5" borderId="45" xfId="0" applyFont="1" applyFill="1" applyBorder="1" applyAlignment="1" applyProtection="1">
      <alignment horizontal="center" vertical="center"/>
      <protection hidden="1"/>
    </xf>
    <xf numFmtId="0" fontId="16" fillId="5" borderId="77" xfId="0" applyFont="1" applyFill="1" applyBorder="1" applyAlignment="1" applyProtection="1">
      <alignment horizontal="center" vertical="center"/>
      <protection hidden="1"/>
    </xf>
    <xf numFmtId="0" fontId="16" fillId="5" borderId="78" xfId="0" applyFont="1" applyFill="1" applyBorder="1" applyAlignment="1" applyProtection="1">
      <alignment horizontal="center" vertical="center"/>
      <protection hidden="1"/>
    </xf>
    <xf numFmtId="0" fontId="21" fillId="0" borderId="4" xfId="0" applyFont="1" applyBorder="1" applyAlignment="1" applyProtection="1">
      <alignment horizontal="center" vertical="center"/>
      <protection hidden="1"/>
    </xf>
    <xf numFmtId="0" fontId="21" fillId="0" borderId="5" xfId="0" applyFont="1" applyBorder="1" applyAlignment="1" applyProtection="1">
      <alignment horizontal="center" vertical="center"/>
      <protection hidden="1"/>
    </xf>
    <xf numFmtId="0" fontId="21" fillId="0" borderId="2" xfId="0" applyFont="1" applyBorder="1" applyAlignment="1" applyProtection="1">
      <alignment horizontal="center" vertical="center"/>
      <protection hidden="1"/>
    </xf>
    <xf numFmtId="0" fontId="16" fillId="9" borderId="57" xfId="0" applyFont="1" applyFill="1" applyBorder="1" applyAlignment="1" applyProtection="1">
      <alignment horizontal="center" vertical="center" wrapText="1"/>
      <protection hidden="1"/>
    </xf>
    <xf numFmtId="0" fontId="16" fillId="9" borderId="79" xfId="0" applyFont="1" applyFill="1" applyBorder="1" applyAlignment="1" applyProtection="1">
      <alignment horizontal="center" vertical="center" wrapText="1"/>
      <protection hidden="1"/>
    </xf>
    <xf numFmtId="0" fontId="16" fillId="9" borderId="103" xfId="0" applyFont="1" applyFill="1" applyBorder="1" applyAlignment="1" applyProtection="1">
      <alignment horizontal="center" vertical="center" wrapText="1"/>
      <protection hidden="1"/>
    </xf>
    <xf numFmtId="0" fontId="16" fillId="9" borderId="80" xfId="0" applyFont="1" applyFill="1" applyBorder="1" applyAlignment="1" applyProtection="1">
      <alignment horizontal="center" vertical="center" wrapText="1"/>
      <protection hidden="1"/>
    </xf>
    <xf numFmtId="0" fontId="16" fillId="9" borderId="24" xfId="0" applyFont="1" applyFill="1" applyBorder="1" applyAlignment="1" applyProtection="1">
      <alignment horizontal="center" vertical="center" wrapText="1"/>
      <protection hidden="1"/>
    </xf>
    <xf numFmtId="0" fontId="16" fillId="9" borderId="90" xfId="0" applyFont="1" applyFill="1" applyBorder="1" applyAlignment="1" applyProtection="1">
      <alignment horizontal="center" vertical="center" wrapText="1"/>
      <protection hidden="1"/>
    </xf>
    <xf numFmtId="0" fontId="16" fillId="0" borderId="9" xfId="0" applyFont="1" applyBorder="1" applyAlignment="1" applyProtection="1">
      <alignment horizontal="right" vertical="center"/>
      <protection hidden="1"/>
    </xf>
    <xf numFmtId="0" fontId="16" fillId="0" borderId="11" xfId="0" applyFont="1" applyBorder="1" applyAlignment="1" applyProtection="1">
      <alignment horizontal="right" vertical="center"/>
      <protection hidden="1"/>
    </xf>
    <xf numFmtId="0" fontId="16" fillId="9" borderId="41" xfId="0" applyFont="1" applyFill="1" applyBorder="1" applyAlignment="1" applyProtection="1">
      <alignment horizontal="center" vertical="center"/>
      <protection hidden="1"/>
    </xf>
    <xf numFmtId="0" fontId="16" fillId="9" borderId="35" xfId="0" applyFont="1" applyFill="1" applyBorder="1" applyAlignment="1" applyProtection="1">
      <alignment horizontal="center" vertical="center"/>
      <protection hidden="1"/>
    </xf>
    <xf numFmtId="0" fontId="15" fillId="9" borderId="12" xfId="0" applyFont="1" applyFill="1" applyBorder="1" applyAlignment="1" applyProtection="1">
      <alignment horizontal="center" vertical="center" wrapText="1"/>
      <protection hidden="1"/>
    </xf>
    <xf numFmtId="0" fontId="15" fillId="9" borderId="9" xfId="0" applyFont="1" applyFill="1" applyBorder="1" applyAlignment="1" applyProtection="1">
      <alignment horizontal="center" vertical="center" wrapText="1"/>
      <protection hidden="1"/>
    </xf>
    <xf numFmtId="0" fontId="15" fillId="9" borderId="11" xfId="0" applyFont="1" applyFill="1" applyBorder="1" applyAlignment="1" applyProtection="1">
      <alignment horizontal="center" vertical="center" wrapText="1"/>
      <protection hidden="1"/>
    </xf>
    <xf numFmtId="0" fontId="15" fillId="9" borderId="101" xfId="0" applyFont="1" applyFill="1" applyBorder="1" applyAlignment="1" applyProtection="1">
      <alignment horizontal="center" vertical="center" wrapText="1"/>
      <protection hidden="1"/>
    </xf>
    <xf numFmtId="0" fontId="15" fillId="9" borderId="59" xfId="0" applyFont="1" applyFill="1" applyBorder="1" applyAlignment="1" applyProtection="1">
      <alignment horizontal="center" vertical="center" wrapText="1"/>
      <protection hidden="1"/>
    </xf>
    <xf numFmtId="0" fontId="15" fillId="9" borderId="100" xfId="0" applyFont="1" applyFill="1" applyBorder="1" applyAlignment="1" applyProtection="1">
      <alignment horizontal="center" vertical="center" wrapText="1"/>
      <protection hidden="1"/>
    </xf>
    <xf numFmtId="0" fontId="15" fillId="9" borderId="89" xfId="0" applyFont="1" applyFill="1" applyBorder="1" applyAlignment="1" applyProtection="1">
      <alignment horizontal="center" vertical="center" wrapText="1"/>
      <protection hidden="1"/>
    </xf>
    <xf numFmtId="0" fontId="15" fillId="9" borderId="8" xfId="0" applyFont="1" applyFill="1" applyBorder="1" applyAlignment="1" applyProtection="1">
      <alignment horizontal="center" vertical="center" wrapText="1"/>
      <protection hidden="1"/>
    </xf>
    <xf numFmtId="0" fontId="15" fillId="9" borderId="83" xfId="0" applyFont="1" applyFill="1" applyBorder="1" applyAlignment="1" applyProtection="1">
      <alignment horizontal="center" vertical="center" wrapText="1"/>
      <protection hidden="1"/>
    </xf>
    <xf numFmtId="0" fontId="21" fillId="0" borderId="135" xfId="0" applyFont="1" applyBorder="1" applyAlignment="1" applyProtection="1">
      <alignment vertical="center"/>
      <protection hidden="1"/>
    </xf>
    <xf numFmtId="0" fontId="21" fillId="0" borderId="37" xfId="0" applyFont="1" applyBorder="1" applyAlignment="1" applyProtection="1">
      <alignment vertical="center"/>
      <protection hidden="1"/>
    </xf>
    <xf numFmtId="0" fontId="21" fillId="0" borderId="134" xfId="0" applyFont="1" applyBorder="1" applyAlignment="1" applyProtection="1">
      <alignment vertical="center"/>
      <protection hidden="1"/>
    </xf>
    <xf numFmtId="0" fontId="21" fillId="0" borderId="92" xfId="0" applyFont="1" applyBorder="1" applyAlignment="1" applyProtection="1">
      <alignment vertical="center"/>
      <protection hidden="1"/>
    </xf>
    <xf numFmtId="0" fontId="21" fillId="0" borderId="13" xfId="0" applyFont="1" applyBorder="1" applyAlignment="1" applyProtection="1">
      <alignment vertical="center"/>
      <protection hidden="1"/>
    </xf>
    <xf numFmtId="0" fontId="21" fillId="0" borderId="96" xfId="0" applyFont="1" applyBorder="1" applyAlignment="1" applyProtection="1">
      <alignment vertical="center"/>
      <protection hidden="1"/>
    </xf>
    <xf numFmtId="187" fontId="16" fillId="0" borderId="0" xfId="0" applyNumberFormat="1" applyFont="1" applyFill="1" applyBorder="1" applyAlignment="1" applyProtection="1">
      <alignment horizontal="center" vertical="center"/>
      <protection hidden="1"/>
    </xf>
    <xf numFmtId="0" fontId="16" fillId="0" borderId="29" xfId="0" applyFont="1" applyBorder="1" applyAlignment="1" applyProtection="1">
      <alignment horizontal="right" vertical="center" wrapText="1"/>
      <protection hidden="1"/>
    </xf>
    <xf numFmtId="0" fontId="16" fillId="0" borderId="30" xfId="0" applyFont="1" applyBorder="1" applyAlignment="1" applyProtection="1">
      <alignment horizontal="right" vertical="center" wrapText="1"/>
      <protection hidden="1"/>
    </xf>
    <xf numFmtId="49" fontId="16" fillId="21" borderId="86" xfId="0" applyNumberFormat="1" applyFont="1" applyFill="1" applyBorder="1" applyAlignment="1" applyProtection="1">
      <alignment horizontal="right" vertical="center" wrapText="1"/>
      <protection hidden="1"/>
    </xf>
    <xf numFmtId="49" fontId="16" fillId="21" borderId="97" xfId="0" applyNumberFormat="1" applyFont="1" applyFill="1" applyBorder="1" applyAlignment="1" applyProtection="1">
      <alignment horizontal="right" vertical="center" wrapText="1"/>
      <protection hidden="1"/>
    </xf>
    <xf numFmtId="0" fontId="16" fillId="21" borderId="136" xfId="0" applyFont="1" applyFill="1" applyBorder="1" applyAlignment="1" applyProtection="1">
      <alignment horizontal="center" vertical="center" wrapText="1"/>
      <protection hidden="1"/>
    </xf>
    <xf numFmtId="0" fontId="16" fillId="21" borderId="138" xfId="0" applyFont="1" applyFill="1" applyBorder="1" applyAlignment="1" applyProtection="1">
      <alignment horizontal="center" vertical="center" wrapText="1"/>
      <protection hidden="1"/>
    </xf>
    <xf numFmtId="0" fontId="22" fillId="21" borderId="137" xfId="0" applyFont="1" applyFill="1" applyBorder="1" applyAlignment="1" applyProtection="1">
      <alignment horizontal="center" vertical="center" wrapText="1"/>
      <protection hidden="1"/>
    </xf>
    <xf numFmtId="0" fontId="22" fillId="21" borderId="88" xfId="0" applyFont="1" applyFill="1" applyBorder="1" applyAlignment="1" applyProtection="1">
      <alignment horizontal="center" vertical="center" wrapText="1"/>
      <protection hidden="1"/>
    </xf>
    <xf numFmtId="0" fontId="22" fillId="21" borderId="48" xfId="0" applyFont="1" applyFill="1" applyBorder="1" applyAlignment="1" applyProtection="1">
      <alignment horizontal="center" vertical="center" wrapText="1"/>
      <protection hidden="1"/>
    </xf>
    <xf numFmtId="0" fontId="22" fillId="21" borderId="98" xfId="0" applyFont="1" applyFill="1" applyBorder="1" applyAlignment="1" applyProtection="1">
      <alignment horizontal="center" vertical="center" wrapText="1"/>
      <protection hidden="1"/>
    </xf>
    <xf numFmtId="0" fontId="16" fillId="0" borderId="2" xfId="0" applyFont="1" applyFill="1" applyBorder="1" applyAlignment="1" applyProtection="1">
      <alignment horizontal="center" vertical="center"/>
      <protection hidden="1"/>
    </xf>
    <xf numFmtId="0" fontId="16" fillId="26" borderId="101" xfId="0" applyFont="1" applyFill="1" applyBorder="1" applyAlignment="1" applyProtection="1">
      <alignment horizontal="center" vertical="center" wrapText="1"/>
      <protection hidden="1"/>
    </xf>
    <xf numFmtId="0" fontId="16" fillId="26" borderId="102" xfId="0" applyFont="1" applyFill="1" applyBorder="1" applyAlignment="1" applyProtection="1">
      <alignment horizontal="center" vertical="center" wrapText="1"/>
      <protection hidden="1"/>
    </xf>
    <xf numFmtId="0" fontId="16" fillId="26" borderId="103" xfId="0" applyFont="1" applyFill="1" applyBorder="1" applyAlignment="1" applyProtection="1">
      <alignment horizontal="center" vertical="center" wrapText="1"/>
      <protection hidden="1"/>
    </xf>
    <xf numFmtId="0" fontId="16" fillId="26" borderId="131" xfId="0" applyFont="1" applyFill="1" applyBorder="1" applyAlignment="1" applyProtection="1">
      <alignment horizontal="center" vertical="center" wrapText="1"/>
      <protection hidden="1"/>
    </xf>
    <xf numFmtId="0" fontId="16" fillId="26" borderId="132" xfId="0" applyFont="1" applyFill="1" applyBorder="1" applyAlignment="1" applyProtection="1">
      <alignment horizontal="center" vertical="center" wrapText="1"/>
      <protection hidden="1"/>
    </xf>
    <xf numFmtId="0" fontId="16" fillId="26" borderId="133" xfId="0" applyFont="1" applyFill="1" applyBorder="1" applyAlignment="1" applyProtection="1">
      <alignment horizontal="center" vertical="center" wrapText="1"/>
      <protection hidden="1"/>
    </xf>
    <xf numFmtId="182" fontId="16" fillId="0" borderId="125" xfId="0" applyNumberFormat="1" applyFont="1" applyFill="1" applyBorder="1" applyAlignment="1" applyProtection="1">
      <alignment horizontal="center" vertical="center"/>
      <protection hidden="1"/>
    </xf>
    <xf numFmtId="182" fontId="16" fillId="0" borderId="126" xfId="0" applyNumberFormat="1" applyFont="1" applyFill="1" applyBorder="1" applyAlignment="1" applyProtection="1">
      <alignment horizontal="center" vertical="center"/>
      <protection hidden="1"/>
    </xf>
    <xf numFmtId="0" fontId="16" fillId="6" borderId="9" xfId="0" applyFont="1" applyFill="1" applyBorder="1" applyAlignment="1" applyProtection="1">
      <alignment horizontal="center" vertical="center"/>
      <protection locked="0"/>
    </xf>
    <xf numFmtId="0" fontId="16" fillId="9" borderId="32" xfId="0" applyFont="1" applyFill="1" applyBorder="1" applyAlignment="1" applyProtection="1">
      <alignment horizontal="center" vertical="center"/>
      <protection hidden="1"/>
    </xf>
    <xf numFmtId="0" fontId="16" fillId="9" borderId="52" xfId="0" applyFont="1" applyFill="1" applyBorder="1" applyAlignment="1" applyProtection="1">
      <alignment horizontal="center" vertical="center"/>
      <protection hidden="1"/>
    </xf>
    <xf numFmtId="0" fontId="16" fillId="9" borderId="58" xfId="0" applyFont="1" applyFill="1" applyBorder="1" applyAlignment="1" applyProtection="1">
      <alignment horizontal="center" vertical="center" wrapText="1"/>
      <protection hidden="1"/>
    </xf>
    <xf numFmtId="0" fontId="16" fillId="9" borderId="9" xfId="0" applyFont="1" applyFill="1" applyBorder="1" applyAlignment="1" applyProtection="1">
      <alignment horizontal="center" vertical="center" wrapText="1"/>
      <protection hidden="1"/>
    </xf>
    <xf numFmtId="0" fontId="16" fillId="9" borderId="15" xfId="0" applyFont="1" applyFill="1" applyBorder="1" applyAlignment="1" applyProtection="1">
      <alignment horizontal="center" vertical="center" wrapText="1"/>
      <protection hidden="1"/>
    </xf>
    <xf numFmtId="0" fontId="23" fillId="0" borderId="11" xfId="0" applyFont="1" applyBorder="1" applyAlignment="1" applyProtection="1">
      <alignment vertical="center"/>
      <protection hidden="1"/>
    </xf>
    <xf numFmtId="0" fontId="23" fillId="0" borderId="9" xfId="0" applyFont="1" applyBorder="1" applyAlignment="1" applyProtection="1">
      <alignment vertical="center"/>
      <protection hidden="1"/>
    </xf>
    <xf numFmtId="206" fontId="16" fillId="33" borderId="33" xfId="0" applyNumberFormat="1" applyFont="1" applyFill="1" applyBorder="1" applyAlignment="1" applyProtection="1">
      <alignment horizontal="center" vertical="center"/>
      <protection hidden="1"/>
    </xf>
    <xf numFmtId="206" fontId="16" fillId="33" borderId="42" xfId="0" applyNumberFormat="1" applyFont="1" applyFill="1" applyBorder="1" applyAlignment="1" applyProtection="1">
      <alignment horizontal="center" vertical="center"/>
      <protection hidden="1"/>
    </xf>
    <xf numFmtId="206" fontId="16" fillId="33" borderId="61" xfId="0" applyNumberFormat="1" applyFont="1" applyFill="1" applyBorder="1" applyAlignment="1" applyProtection="1">
      <alignment horizontal="center" vertical="center"/>
      <protection hidden="1"/>
    </xf>
    <xf numFmtId="0" fontId="16" fillId="33" borderId="32" xfId="0" applyFont="1" applyFill="1" applyBorder="1" applyAlignment="1" applyProtection="1">
      <alignment horizontal="center" vertical="center"/>
      <protection hidden="1"/>
    </xf>
    <xf numFmtId="0" fontId="16" fillId="33" borderId="43" xfId="0" applyFont="1" applyFill="1" applyBorder="1" applyAlignment="1" applyProtection="1">
      <alignment horizontal="center" vertical="center"/>
      <protection hidden="1"/>
    </xf>
    <xf numFmtId="0" fontId="16" fillId="33" borderId="44" xfId="0" applyFont="1" applyFill="1" applyBorder="1" applyAlignment="1" applyProtection="1">
      <alignment horizontal="center" vertical="center"/>
      <protection hidden="1"/>
    </xf>
    <xf numFmtId="0" fontId="16" fillId="9" borderId="59" xfId="0" applyFont="1" applyFill="1" applyBorder="1" applyAlignment="1" applyProtection="1">
      <alignment horizontal="center" vertical="center" wrapText="1"/>
      <protection hidden="1"/>
    </xf>
    <xf numFmtId="0" fontId="16" fillId="9" borderId="100" xfId="0" applyFont="1" applyFill="1" applyBorder="1" applyAlignment="1" applyProtection="1">
      <alignment horizontal="center" vertical="center" wrapText="1"/>
      <protection hidden="1"/>
    </xf>
    <xf numFmtId="0" fontId="16" fillId="9" borderId="8" xfId="0" applyFont="1" applyFill="1" applyBorder="1" applyAlignment="1" applyProtection="1">
      <alignment horizontal="center" vertical="center" wrapText="1"/>
      <protection hidden="1"/>
    </xf>
    <xf numFmtId="0" fontId="16" fillId="9" borderId="83" xfId="0" applyFont="1" applyFill="1" applyBorder="1" applyAlignment="1" applyProtection="1">
      <alignment horizontal="center" vertical="center" wrapText="1"/>
      <protection hidden="1"/>
    </xf>
    <xf numFmtId="182" fontId="16" fillId="9" borderId="41" xfId="0" applyNumberFormat="1" applyFont="1" applyFill="1" applyBorder="1" applyAlignment="1" applyProtection="1">
      <alignment horizontal="center" vertical="center"/>
      <protection hidden="1"/>
    </xf>
    <xf numFmtId="0" fontId="44" fillId="8" borderId="123" xfId="0" applyFont="1" applyFill="1" applyBorder="1" applyAlignment="1" applyProtection="1">
      <alignment horizontal="center" vertical="center"/>
      <protection hidden="1"/>
    </xf>
    <xf numFmtId="0" fontId="16" fillId="0" borderId="80" xfId="0" applyFont="1" applyBorder="1" applyAlignment="1" applyProtection="1">
      <alignment horizontal="center" vertical="center"/>
      <protection hidden="1"/>
    </xf>
    <xf numFmtId="0" fontId="16" fillId="0" borderId="24" xfId="0" applyFont="1" applyBorder="1" applyAlignment="1" applyProtection="1">
      <alignment horizontal="center" vertical="center"/>
      <protection hidden="1"/>
    </xf>
    <xf numFmtId="0" fontId="0" fillId="0" borderId="55" xfId="0" applyBorder="1" applyAlignment="1" applyProtection="1">
      <alignment horizontal="center"/>
      <protection hidden="1"/>
    </xf>
    <xf numFmtId="0" fontId="0" fillId="11" borderId="34" xfId="0" applyFill="1" applyBorder="1" applyAlignment="1" applyProtection="1">
      <alignment horizontal="center"/>
      <protection hidden="1"/>
    </xf>
    <xf numFmtId="203" fontId="66" fillId="0" borderId="60" xfId="0" applyNumberFormat="1" applyFont="1" applyFill="1" applyBorder="1" applyAlignment="1" applyProtection="1">
      <alignment horizontal="right" vertical="center"/>
      <protection hidden="1"/>
    </xf>
    <xf numFmtId="203" fontId="52" fillId="0" borderId="150" xfId="0" applyNumberFormat="1" applyFont="1" applyFill="1" applyBorder="1" applyAlignment="1" applyProtection="1">
      <alignment horizontal="center" vertical="center"/>
      <protection hidden="1"/>
    </xf>
    <xf numFmtId="203" fontId="66" fillId="19" borderId="152" xfId="0" applyNumberFormat="1" applyFont="1" applyFill="1" applyBorder="1" applyAlignment="1" applyProtection="1">
      <alignment horizontal="right" vertical="center"/>
      <protection hidden="1"/>
    </xf>
    <xf numFmtId="205" fontId="66" fillId="0" borderId="0" xfId="0" applyNumberFormat="1" applyFont="1" applyFill="1" applyBorder="1" applyAlignment="1" applyProtection="1">
      <alignment horizontal="center" vertical="center"/>
      <protection hidden="1"/>
    </xf>
  </cellXfs>
  <cellStyles count="2">
    <cellStyle name="Monétaire" xfId="1" builtinId="4"/>
    <cellStyle name="Normal" xfId="0" builtinId="0"/>
  </cellStyles>
  <dxfs count="24">
    <dxf>
      <font>
        <b/>
        <i val="0"/>
        <color rgb="FFFF0000"/>
      </font>
      <fill>
        <patternFill>
          <bgColor theme="0"/>
        </patternFill>
      </fill>
    </dxf>
    <dxf>
      <font>
        <b/>
        <i val="0"/>
        <condense val="0"/>
        <extend val="0"/>
        <sz val="7"/>
      </font>
    </dxf>
    <dxf>
      <font>
        <color theme="0"/>
      </font>
      <fill>
        <patternFill>
          <bgColor rgb="FFFF0000"/>
        </patternFill>
      </fill>
    </dxf>
    <dxf>
      <font>
        <b/>
        <i val="0"/>
        <condense val="0"/>
        <extend val="0"/>
        <sz val="7"/>
      </font>
    </dxf>
    <dxf>
      <fill>
        <patternFill patternType="solid">
          <fgColor indexed="42"/>
          <bgColor indexed="27"/>
        </patternFill>
      </fill>
    </dxf>
    <dxf>
      <fill>
        <patternFill patternType="solid">
          <fgColor indexed="26"/>
          <bgColor indexed="13"/>
        </patternFill>
      </fill>
    </dxf>
    <dxf>
      <font>
        <b/>
        <i val="0"/>
        <color theme="0"/>
      </font>
      <fill>
        <patternFill>
          <bgColor rgb="FFFF0000"/>
        </patternFill>
      </fill>
    </dxf>
    <dxf>
      <font>
        <b/>
        <i val="0"/>
        <condense val="0"/>
        <extend val="0"/>
        <sz val="7"/>
      </font>
    </dxf>
    <dxf>
      <font>
        <b/>
        <i val="0"/>
        <color rgb="FFFF0000"/>
      </font>
      <fill>
        <patternFill>
          <bgColor theme="0"/>
        </patternFill>
      </fill>
    </dxf>
    <dxf>
      <font>
        <b/>
        <i val="0"/>
        <condense val="0"/>
        <extend val="0"/>
        <color indexed="10"/>
      </font>
    </dxf>
    <dxf>
      <fill>
        <patternFill patternType="solid">
          <fgColor indexed="42"/>
          <bgColor indexed="27"/>
        </patternFill>
      </fill>
    </dxf>
    <dxf>
      <font>
        <color rgb="FF006100"/>
      </font>
      <fill>
        <patternFill>
          <bgColor rgb="FFC6EFCE"/>
        </patternFill>
      </fill>
    </dxf>
    <dxf>
      <font>
        <color rgb="FF9C0006"/>
      </font>
      <fill>
        <patternFill>
          <bgColor rgb="FFFFC7CE"/>
        </patternFill>
      </fill>
    </dxf>
    <dxf>
      <font>
        <color rgb="FFFFFF99"/>
      </font>
    </dxf>
    <dxf>
      <font>
        <color rgb="FF9C0006"/>
      </font>
      <fill>
        <patternFill>
          <bgColor rgb="FFFFC7CE"/>
        </patternFill>
      </fill>
    </dxf>
    <dxf>
      <font>
        <color rgb="FF006100"/>
      </font>
      <fill>
        <patternFill>
          <bgColor rgb="FFC6EFCE"/>
        </patternFill>
      </fill>
    </dxf>
    <dxf>
      <font>
        <b/>
        <i val="0"/>
        <color theme="4" tint="-0.24994659260841701"/>
      </font>
    </dxf>
    <dxf>
      <font>
        <b/>
        <i val="0"/>
        <color rgb="FFC00000"/>
      </font>
    </dxf>
    <dxf>
      <font>
        <b/>
        <i val="0"/>
        <color theme="1"/>
      </font>
      <fill>
        <patternFill>
          <bgColor rgb="FFFFFF99"/>
        </patternFill>
      </fill>
      <border>
        <left style="thin">
          <color auto="1"/>
        </left>
        <right style="thin">
          <color auto="1"/>
        </right>
        <top style="thin">
          <color auto="1"/>
        </top>
        <bottom style="thin">
          <color auto="1"/>
        </bottom>
      </border>
    </dxf>
    <dxf>
      <font>
        <b/>
        <i val="0"/>
        <color theme="1"/>
      </font>
      <fill>
        <patternFill>
          <bgColor rgb="FFFFFF99"/>
        </patternFill>
      </fill>
      <border>
        <left style="thin">
          <color auto="1"/>
        </left>
        <right style="thin">
          <color auto="1"/>
        </right>
        <top style="thin">
          <color auto="1"/>
        </top>
        <bottom style="thin">
          <color auto="1"/>
        </bottom>
      </border>
    </dxf>
    <dxf>
      <font>
        <b/>
        <i val="0"/>
        <condense val="0"/>
        <extend val="0"/>
        <sz val="7"/>
      </font>
    </dxf>
    <dxf>
      <font>
        <b/>
        <i val="0"/>
        <condense val="0"/>
        <extend val="0"/>
        <sz val="7"/>
      </font>
    </dxf>
    <dxf>
      <fill>
        <patternFill patternType="solid">
          <fgColor indexed="26"/>
          <bgColor indexed="43"/>
        </patternFill>
      </fill>
      <border>
        <left style="thin">
          <color indexed="8"/>
        </left>
        <right style="thin">
          <color indexed="8"/>
        </right>
        <top style="thin">
          <color indexed="8"/>
        </top>
        <bottom style="thin">
          <color indexed="8"/>
        </bottom>
      </border>
    </dxf>
    <dxf>
      <fill>
        <patternFill patternType="solid">
          <fgColor indexed="26"/>
          <bgColor indexed="43"/>
        </patternFill>
      </fill>
      <border>
        <left style="thin">
          <color indexed="8"/>
        </left>
        <right style="thin">
          <color indexed="8"/>
        </right>
        <top style="thin">
          <color indexed="8"/>
        </top>
        <bottom style="thin">
          <color indexed="8"/>
        </bottom>
      </border>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hème Office">
  <a:themeElements>
    <a:clrScheme name="vif 1">
      <a:dk1>
        <a:sysClr val="windowText" lastClr="000000"/>
      </a:dk1>
      <a:lt1>
        <a:sysClr val="window" lastClr="FFFFFF"/>
      </a:lt1>
      <a:dk2>
        <a:srgbClr val="4E5B6F"/>
      </a:dk2>
      <a:lt2>
        <a:srgbClr val="D6ECFF"/>
      </a:lt2>
      <a:accent1>
        <a:srgbClr val="7FD13B"/>
      </a:accent1>
      <a:accent2>
        <a:srgbClr val="EA157A"/>
      </a:accent2>
      <a:accent3>
        <a:srgbClr val="FEB80A"/>
      </a:accent3>
      <a:accent4>
        <a:srgbClr val="00ADDC"/>
      </a:accent4>
      <a:accent5>
        <a:srgbClr val="738AC8"/>
      </a:accent5>
      <a:accent6>
        <a:srgbClr val="1AB39F"/>
      </a:accent6>
      <a:hlink>
        <a:srgbClr val="EB8803"/>
      </a:hlink>
      <a:folHlink>
        <a:srgbClr val="5F7791"/>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G92"/>
  <sheetViews>
    <sheetView topLeftCell="A49" workbookViewId="0">
      <selection activeCell="M73" sqref="M73"/>
    </sheetView>
  </sheetViews>
  <sheetFormatPr baseColWidth="10" defaultColWidth="11.140625" defaultRowHeight="15" x14ac:dyDescent="0.25"/>
  <cols>
    <col min="1" max="1" width="2.7109375" style="18" customWidth="1"/>
    <col min="2" max="2" width="17" style="18" customWidth="1"/>
    <col min="3" max="3" width="6.7109375" style="18" customWidth="1"/>
    <col min="4" max="4" width="16.42578125" style="18" customWidth="1"/>
    <col min="5" max="5" width="14.140625" style="18" customWidth="1"/>
    <col min="6" max="6" width="5.85546875" style="18" customWidth="1"/>
    <col min="7" max="7" width="7.42578125" style="18" customWidth="1"/>
    <col min="8" max="8" width="14.140625" style="18" customWidth="1"/>
    <col min="9" max="9" width="4.85546875" style="18" customWidth="1"/>
    <col min="10" max="11" width="14.140625" style="18" customWidth="1"/>
    <col min="12" max="12" width="17.28515625" style="18" customWidth="1"/>
    <col min="13" max="13" width="17.7109375" style="18" customWidth="1"/>
    <col min="14" max="14" width="2.7109375" style="18" customWidth="1"/>
    <col min="15" max="15" width="10.7109375" style="18" customWidth="1"/>
    <col min="16" max="19" width="11.140625" style="18" customWidth="1"/>
    <col min="20" max="21" width="13.85546875" style="18" customWidth="1"/>
    <col min="22" max="25" width="11.140625" style="18" customWidth="1"/>
    <col min="26" max="16384" width="11.140625" style="18"/>
  </cols>
  <sheetData>
    <row r="1" spans="1:20" s="29" customFormat="1" ht="15.75" customHeight="1" thickTop="1" thickBot="1" x14ac:dyDescent="0.3">
      <c r="A1" s="263"/>
      <c r="B1" s="244"/>
      <c r="C1" s="244"/>
      <c r="D1" s="244"/>
      <c r="E1" s="244"/>
      <c r="F1" s="244"/>
      <c r="G1" s="244"/>
      <c r="H1" s="244"/>
      <c r="I1" s="244"/>
      <c r="J1" s="244"/>
      <c r="K1" s="244"/>
      <c r="L1" s="244"/>
      <c r="M1" s="244"/>
      <c r="N1" s="264"/>
    </row>
    <row r="2" spans="1:20" s="29" customFormat="1" ht="19.149999999999999" customHeight="1" thickTop="1" x14ac:dyDescent="0.25">
      <c r="A2" s="265"/>
      <c r="B2" s="26"/>
      <c r="C2" s="556" t="s">
        <v>0</v>
      </c>
      <c r="D2" s="557"/>
      <c r="E2" s="557"/>
      <c r="F2" s="557"/>
      <c r="G2" s="557"/>
      <c r="H2" s="557"/>
      <c r="I2" s="557"/>
      <c r="J2" s="557"/>
      <c r="K2" s="557"/>
      <c r="L2" s="558"/>
      <c r="M2" s="26"/>
      <c r="N2" s="266"/>
    </row>
    <row r="3" spans="1:20" s="29" customFormat="1" ht="15.75" customHeight="1" x14ac:dyDescent="0.25">
      <c r="A3" s="265"/>
      <c r="B3" s="26"/>
      <c r="C3" s="559" t="s">
        <v>155</v>
      </c>
      <c r="D3" s="560"/>
      <c r="E3" s="560"/>
      <c r="F3" s="560"/>
      <c r="G3" s="560"/>
      <c r="H3" s="560"/>
      <c r="I3" s="560"/>
      <c r="J3" s="560"/>
      <c r="K3" s="560"/>
      <c r="L3" s="561"/>
      <c r="M3" s="26"/>
      <c r="N3" s="266"/>
    </row>
    <row r="4" spans="1:20" s="29" customFormat="1" ht="15.75" customHeight="1" thickBot="1" x14ac:dyDescent="0.3">
      <c r="A4" s="265"/>
      <c r="B4" s="26"/>
      <c r="C4" s="562" t="s">
        <v>156</v>
      </c>
      <c r="D4" s="563"/>
      <c r="E4" s="563"/>
      <c r="F4" s="563"/>
      <c r="G4" s="563"/>
      <c r="H4" s="563"/>
      <c r="I4" s="563"/>
      <c r="J4" s="563"/>
      <c r="K4" s="563"/>
      <c r="L4" s="564"/>
      <c r="M4" s="146"/>
      <c r="N4" s="266"/>
    </row>
    <row r="5" spans="1:20" s="27" customFormat="1" ht="15.75" customHeight="1" thickTop="1" x14ac:dyDescent="0.25">
      <c r="A5" s="267"/>
      <c r="B5" s="73"/>
      <c r="C5" s="28"/>
      <c r="D5" s="28"/>
      <c r="E5" s="28"/>
      <c r="F5" s="28"/>
      <c r="G5" s="28"/>
      <c r="H5" s="28"/>
      <c r="I5" s="28"/>
      <c r="J5" s="28"/>
      <c r="K5" s="28"/>
      <c r="L5" s="28"/>
      <c r="M5" s="280"/>
      <c r="N5" s="268"/>
    </row>
    <row r="6" spans="1:20" s="29" customFormat="1" ht="20.100000000000001" customHeight="1" x14ac:dyDescent="0.25">
      <c r="A6" s="265"/>
      <c r="B6" s="565" t="s">
        <v>112</v>
      </c>
      <c r="C6" s="566"/>
      <c r="D6" s="566"/>
      <c r="E6" s="566"/>
      <c r="F6" s="566"/>
      <c r="G6" s="566"/>
      <c r="H6" s="566"/>
      <c r="I6" s="566"/>
      <c r="J6" s="566"/>
      <c r="K6" s="566"/>
      <c r="L6" s="566"/>
      <c r="M6" s="567"/>
      <c r="N6" s="266"/>
    </row>
    <row r="7" spans="1:20" s="29" customFormat="1" ht="15.75" customHeight="1" x14ac:dyDescent="0.25">
      <c r="A7" s="265"/>
      <c r="B7" s="281"/>
      <c r="C7" s="206" t="s">
        <v>1</v>
      </c>
      <c r="D7" s="28"/>
      <c r="E7" s="28"/>
      <c r="F7" s="28"/>
      <c r="G7" s="28"/>
      <c r="H7" s="28"/>
      <c r="I7" s="28"/>
      <c r="J7" s="28"/>
      <c r="K7" s="28"/>
      <c r="L7" s="26"/>
      <c r="M7" s="586" t="str">
        <f>CONCATENATE(C17," / ",C28)</f>
        <v>2020 / 2021</v>
      </c>
      <c r="N7" s="266"/>
    </row>
    <row r="8" spans="1:20" s="29" customFormat="1" ht="15.75" customHeight="1" x14ac:dyDescent="0.25">
      <c r="A8" s="265"/>
      <c r="B8" s="282" t="s">
        <v>2</v>
      </c>
      <c r="C8" s="442" t="s">
        <v>5</v>
      </c>
      <c r="D8" s="28"/>
      <c r="E8" s="72" t="s">
        <v>3</v>
      </c>
      <c r="F8" s="72"/>
      <c r="G8" s="587" t="s">
        <v>178</v>
      </c>
      <c r="H8" s="587"/>
      <c r="I8" s="587"/>
      <c r="J8" s="587"/>
      <c r="K8" s="147"/>
      <c r="L8" s="26"/>
      <c r="M8" s="586"/>
      <c r="N8" s="266"/>
    </row>
    <row r="9" spans="1:20" s="29" customFormat="1" ht="15.75" customHeight="1" x14ac:dyDescent="0.25">
      <c r="A9" s="265"/>
      <c r="B9" s="282" t="s">
        <v>4</v>
      </c>
      <c r="C9" s="442"/>
      <c r="D9" s="21"/>
      <c r="E9" s="26"/>
      <c r="F9" s="26"/>
      <c r="G9" s="19"/>
      <c r="H9" s="19"/>
      <c r="I9" s="19"/>
      <c r="J9" s="19"/>
      <c r="K9" s="19"/>
      <c r="L9" s="73"/>
      <c r="M9" s="74"/>
      <c r="N9" s="266"/>
    </row>
    <row r="10" spans="1:20" s="29" customFormat="1" ht="15.75" customHeight="1" x14ac:dyDescent="0.25">
      <c r="A10" s="265"/>
      <c r="B10" s="282"/>
      <c r="C10" s="28"/>
      <c r="D10" s="21"/>
      <c r="E10" s="571" t="s">
        <v>6</v>
      </c>
      <c r="F10" s="571"/>
      <c r="G10" s="572"/>
      <c r="H10" s="573">
        <v>43709</v>
      </c>
      <c r="I10" s="574"/>
      <c r="J10" s="220">
        <f>IF(OR(H10="",H10=" ",H10="  ",H10="   "),0,1)</f>
        <v>1</v>
      </c>
      <c r="K10" s="221">
        <f>IF(H10&lt;DATE(C17,6,1),1,2)</f>
        <v>1</v>
      </c>
      <c r="L10" s="37"/>
      <c r="M10" s="283"/>
      <c r="N10" s="266"/>
    </row>
    <row r="11" spans="1:20" s="29" customFormat="1" ht="3.95" customHeight="1" x14ac:dyDescent="0.25">
      <c r="A11" s="265"/>
      <c r="B11" s="284"/>
      <c r="C11" s="25" t="s">
        <v>8</v>
      </c>
      <c r="D11" s="26"/>
      <c r="E11" s="149"/>
      <c r="F11" s="149"/>
      <c r="G11" s="19"/>
      <c r="H11" s="26"/>
      <c r="I11" s="19"/>
      <c r="J11" s="19"/>
      <c r="K11" s="19"/>
      <c r="L11" s="37"/>
      <c r="M11" s="283"/>
      <c r="N11" s="269"/>
      <c r="O11" s="150"/>
      <c r="P11" s="150"/>
      <c r="Q11" s="150"/>
      <c r="R11" s="150"/>
      <c r="S11" s="150"/>
      <c r="T11" s="150"/>
    </row>
    <row r="12" spans="1:20" s="29" customFormat="1" ht="15.75" customHeight="1" x14ac:dyDescent="0.25">
      <c r="A12" s="265"/>
      <c r="B12" s="575" t="str">
        <f>CONCATENATE("Calendrier  ",C17," / ",C28)</f>
        <v>Calendrier  2020 / 2021</v>
      </c>
      <c r="C12" s="576"/>
      <c r="D12" s="578" t="s">
        <v>9</v>
      </c>
      <c r="E12" s="578" t="s">
        <v>10</v>
      </c>
      <c r="F12" s="594" t="s">
        <v>11</v>
      </c>
      <c r="G12" s="595"/>
      <c r="H12" s="578" t="s">
        <v>12</v>
      </c>
      <c r="I12" s="578"/>
      <c r="J12" s="578"/>
      <c r="K12" s="579"/>
      <c r="L12" s="588" t="s">
        <v>7</v>
      </c>
      <c r="M12" s="589"/>
      <c r="N12" s="269"/>
      <c r="O12" s="150"/>
      <c r="P12" s="150"/>
      <c r="Q12" s="150"/>
      <c r="R12" s="150"/>
      <c r="S12" s="150"/>
      <c r="T12" s="150"/>
    </row>
    <row r="13" spans="1:20" s="29" customFormat="1" ht="15.75" customHeight="1" x14ac:dyDescent="0.25">
      <c r="A13" s="265"/>
      <c r="B13" s="577"/>
      <c r="C13" s="576"/>
      <c r="D13" s="578"/>
      <c r="E13" s="578"/>
      <c r="F13" s="596"/>
      <c r="G13" s="597"/>
      <c r="H13" s="578"/>
      <c r="I13" s="578"/>
      <c r="J13" s="578"/>
      <c r="K13" s="579"/>
      <c r="L13" s="590"/>
      <c r="M13" s="591"/>
      <c r="N13" s="269"/>
      <c r="O13" s="150"/>
      <c r="P13" s="150"/>
      <c r="Q13" s="222" t="s">
        <v>13</v>
      </c>
      <c r="R13" s="150"/>
      <c r="S13" s="150"/>
      <c r="T13" s="150"/>
    </row>
    <row r="14" spans="1:20" s="29" customFormat="1" ht="15.75" customHeight="1" x14ac:dyDescent="0.25">
      <c r="A14" s="265"/>
      <c r="B14" s="577"/>
      <c r="C14" s="576"/>
      <c r="D14" s="578"/>
      <c r="E14" s="578"/>
      <c r="F14" s="596"/>
      <c r="G14" s="597"/>
      <c r="H14" s="578"/>
      <c r="I14" s="578"/>
      <c r="J14" s="578"/>
      <c r="K14" s="579"/>
      <c r="L14" s="602" t="s">
        <v>123</v>
      </c>
      <c r="M14" s="603"/>
      <c r="N14" s="269"/>
      <c r="O14" s="150"/>
      <c r="P14" s="150"/>
      <c r="Q14" s="222"/>
      <c r="R14" s="150"/>
      <c r="S14" s="150"/>
      <c r="T14" s="150"/>
    </row>
    <row r="15" spans="1:20" s="29" customFormat="1" ht="15.75" customHeight="1" x14ac:dyDescent="0.25">
      <c r="A15" s="265"/>
      <c r="B15" s="577"/>
      <c r="C15" s="576"/>
      <c r="D15" s="578"/>
      <c r="E15" s="578"/>
      <c r="F15" s="596"/>
      <c r="G15" s="597"/>
      <c r="H15" s="578"/>
      <c r="I15" s="578"/>
      <c r="J15" s="578"/>
      <c r="K15" s="579"/>
      <c r="L15" s="500">
        <v>900.45</v>
      </c>
      <c r="M15" s="285">
        <f>L15*10%</f>
        <v>90.045000000000016</v>
      </c>
      <c r="N15" s="269"/>
      <c r="O15" s="150"/>
      <c r="P15" s="150"/>
      <c r="Q15" s="222"/>
      <c r="R15" s="150"/>
      <c r="S15" s="150"/>
      <c r="T15" s="150"/>
    </row>
    <row r="16" spans="1:20" s="29" customFormat="1" ht="15.75" customHeight="1" x14ac:dyDescent="0.25">
      <c r="A16" s="265"/>
      <c r="B16" s="577"/>
      <c r="C16" s="576"/>
      <c r="D16" s="578"/>
      <c r="E16" s="578"/>
      <c r="F16" s="598"/>
      <c r="G16" s="599"/>
      <c r="H16" s="578"/>
      <c r="I16" s="578"/>
      <c r="J16" s="578"/>
      <c r="K16" s="578"/>
      <c r="L16" s="592" t="s">
        <v>48</v>
      </c>
      <c r="M16" s="593"/>
      <c r="N16" s="269"/>
      <c r="O16" s="150"/>
      <c r="P16" s="150" t="s">
        <v>14</v>
      </c>
      <c r="Q16" s="150" t="s">
        <v>15</v>
      </c>
      <c r="R16" s="150" t="s">
        <v>16</v>
      </c>
      <c r="S16" s="150" t="s">
        <v>17</v>
      </c>
      <c r="T16" s="150"/>
    </row>
    <row r="17" spans="1:28" s="29" customFormat="1" ht="15.75" customHeight="1" x14ac:dyDescent="0.25">
      <c r="A17" s="265"/>
      <c r="B17" s="286" t="s">
        <v>18</v>
      </c>
      <c r="C17" s="443">
        <v>2020</v>
      </c>
      <c r="D17" s="498">
        <v>4</v>
      </c>
      <c r="E17" s="151">
        <f>(D17/4)*2.5</f>
        <v>2.5</v>
      </c>
      <c r="F17" s="152"/>
      <c r="G17" s="153"/>
      <c r="H17" s="223"/>
      <c r="I17" s="224"/>
      <c r="J17" s="224"/>
      <c r="K17" s="225"/>
      <c r="L17" s="499">
        <v>609.80999999999995</v>
      </c>
      <c r="M17" s="287">
        <f>L17*10%</f>
        <v>60.980999999999995</v>
      </c>
      <c r="N17" s="270">
        <v>6</v>
      </c>
      <c r="O17" s="154">
        <v>44012</v>
      </c>
      <c r="P17" s="155">
        <v>22</v>
      </c>
      <c r="Q17" s="156">
        <v>1</v>
      </c>
      <c r="R17" s="156">
        <v>2.5</v>
      </c>
      <c r="S17" s="157">
        <v>0</v>
      </c>
      <c r="T17" s="158"/>
      <c r="U17" s="159"/>
      <c r="V17" s="160"/>
      <c r="W17" s="160"/>
      <c r="X17" s="160"/>
      <c r="Y17" s="161"/>
      <c r="Z17" s="162"/>
      <c r="AA17" s="162"/>
      <c r="AB17" s="161"/>
    </row>
    <row r="18" spans="1:28" s="29" customFormat="1" ht="15.75" customHeight="1" x14ac:dyDescent="0.25">
      <c r="A18" s="265"/>
      <c r="B18" s="259" t="s">
        <v>19</v>
      </c>
      <c r="C18" s="163">
        <f t="shared" ref="C18:C23" si="0">$C$17</f>
        <v>2020</v>
      </c>
      <c r="D18" s="498">
        <v>5</v>
      </c>
      <c r="E18" s="151">
        <f t="shared" ref="E18:E28" si="1">(D18/4)*2.5</f>
        <v>3.125</v>
      </c>
      <c r="F18" s="164"/>
      <c r="G18" s="165"/>
      <c r="H18" s="166"/>
      <c r="I18" s="73"/>
      <c r="J18" s="73"/>
      <c r="K18" s="167"/>
      <c r="L18" s="499">
        <v>750.92</v>
      </c>
      <c r="M18" s="287">
        <f t="shared" ref="M18:M28" si="2">L18*10%</f>
        <v>75.091999999999999</v>
      </c>
      <c r="N18" s="270">
        <v>7</v>
      </c>
      <c r="O18" s="154">
        <v>44043</v>
      </c>
      <c r="P18" s="155">
        <v>23</v>
      </c>
      <c r="Q18" s="156">
        <v>1</v>
      </c>
      <c r="R18" s="156">
        <v>5</v>
      </c>
      <c r="S18" s="157">
        <v>4</v>
      </c>
      <c r="T18" s="158"/>
      <c r="U18" s="159"/>
      <c r="V18" s="160"/>
      <c r="W18" s="160"/>
      <c r="X18" s="160"/>
      <c r="Y18" s="161"/>
      <c r="Z18" s="162"/>
      <c r="AA18" s="162"/>
      <c r="AB18" s="161"/>
    </row>
    <row r="19" spans="1:28" s="29" customFormat="1" ht="15.75" customHeight="1" x14ac:dyDescent="0.25">
      <c r="A19" s="265"/>
      <c r="B19" s="259" t="s">
        <v>20</v>
      </c>
      <c r="C19" s="163">
        <f t="shared" si="0"/>
        <v>2020</v>
      </c>
      <c r="D19" s="498">
        <v>3</v>
      </c>
      <c r="E19" s="151">
        <f t="shared" si="1"/>
        <v>1.875</v>
      </c>
      <c r="F19" s="164"/>
      <c r="G19" s="165"/>
      <c r="H19" s="610" t="s">
        <v>157</v>
      </c>
      <c r="I19" s="611"/>
      <c r="J19" s="611"/>
      <c r="K19" s="612"/>
      <c r="L19" s="499">
        <v>692.47</v>
      </c>
      <c r="M19" s="287">
        <f t="shared" si="2"/>
        <v>69.247</v>
      </c>
      <c r="N19" s="270">
        <v>8</v>
      </c>
      <c r="O19" s="154">
        <v>44074</v>
      </c>
      <c r="P19" s="155">
        <v>21</v>
      </c>
      <c r="Q19" s="156">
        <v>1</v>
      </c>
      <c r="R19" s="156">
        <v>7.5</v>
      </c>
      <c r="S19" s="157">
        <v>2</v>
      </c>
      <c r="T19" s="158"/>
      <c r="U19" s="159"/>
      <c r="V19" s="160"/>
      <c r="W19" s="160"/>
      <c r="X19" s="160"/>
      <c r="Y19" s="161"/>
      <c r="Z19" s="162"/>
      <c r="AA19" s="162"/>
      <c r="AB19" s="161"/>
    </row>
    <row r="20" spans="1:28" s="29" customFormat="1" ht="15.75" customHeight="1" x14ac:dyDescent="0.25">
      <c r="A20" s="265"/>
      <c r="B20" s="259" t="s">
        <v>21</v>
      </c>
      <c r="C20" s="163">
        <f t="shared" si="0"/>
        <v>2020</v>
      </c>
      <c r="D20" s="498"/>
      <c r="E20" s="151">
        <f t="shared" si="1"/>
        <v>0</v>
      </c>
      <c r="F20" s="164"/>
      <c r="G20" s="165"/>
      <c r="H20" s="607">
        <f>C28</f>
        <v>2021</v>
      </c>
      <c r="I20" s="608"/>
      <c r="J20" s="608"/>
      <c r="K20" s="609"/>
      <c r="L20" s="504"/>
      <c r="M20" s="287">
        <f t="shared" si="2"/>
        <v>0</v>
      </c>
      <c r="N20" s="270">
        <v>9</v>
      </c>
      <c r="O20" s="154">
        <v>44104</v>
      </c>
      <c r="P20" s="155">
        <v>22</v>
      </c>
      <c r="Q20" s="156">
        <v>1</v>
      </c>
      <c r="R20" s="156">
        <v>10</v>
      </c>
      <c r="S20" s="157">
        <v>4</v>
      </c>
      <c r="T20" s="158"/>
      <c r="U20" s="159"/>
      <c r="V20" s="160"/>
      <c r="W20" s="160"/>
      <c r="X20" s="160"/>
      <c r="Y20" s="161"/>
      <c r="Z20" s="162"/>
      <c r="AA20" s="162"/>
      <c r="AB20" s="161"/>
    </row>
    <row r="21" spans="1:28" s="29" customFormat="1" ht="15.75" customHeight="1" x14ac:dyDescent="0.25">
      <c r="A21" s="265"/>
      <c r="B21" s="259" t="s">
        <v>22</v>
      </c>
      <c r="C21" s="163">
        <f t="shared" si="0"/>
        <v>2020</v>
      </c>
      <c r="D21" s="498"/>
      <c r="E21" s="151">
        <f t="shared" si="1"/>
        <v>0</v>
      </c>
      <c r="F21" s="164"/>
      <c r="G21" s="165"/>
      <c r="H21" s="76" t="s">
        <v>124</v>
      </c>
      <c r="I21" s="604" t="s">
        <v>125</v>
      </c>
      <c r="J21" s="604"/>
      <c r="K21" s="77" t="s">
        <v>64</v>
      </c>
      <c r="L21" s="504"/>
      <c r="M21" s="287">
        <f t="shared" si="2"/>
        <v>0</v>
      </c>
      <c r="N21" s="270">
        <v>10</v>
      </c>
      <c r="O21" s="154">
        <v>44135</v>
      </c>
      <c r="P21" s="155">
        <v>22</v>
      </c>
      <c r="Q21" s="156">
        <v>1</v>
      </c>
      <c r="R21" s="156">
        <v>12.5</v>
      </c>
      <c r="S21" s="157">
        <v>5</v>
      </c>
      <c r="T21" s="158"/>
      <c r="U21" s="159"/>
      <c r="V21" s="160"/>
      <c r="W21" s="160"/>
      <c r="X21" s="160"/>
      <c r="Y21" s="161"/>
      <c r="Z21" s="162"/>
      <c r="AA21" s="162"/>
      <c r="AB21" s="161"/>
    </row>
    <row r="22" spans="1:28" s="29" customFormat="1" ht="15.75" customHeight="1" x14ac:dyDescent="0.25">
      <c r="A22" s="265"/>
      <c r="B22" s="259" t="s">
        <v>23</v>
      </c>
      <c r="C22" s="163">
        <f t="shared" si="0"/>
        <v>2020</v>
      </c>
      <c r="D22" s="498"/>
      <c r="E22" s="151">
        <f t="shared" si="1"/>
        <v>0</v>
      </c>
      <c r="F22" s="164"/>
      <c r="G22" s="165"/>
      <c r="H22" s="444">
        <v>5</v>
      </c>
      <c r="I22" s="580">
        <v>9</v>
      </c>
      <c r="J22" s="580"/>
      <c r="K22" s="445">
        <v>4.3499999999999996</v>
      </c>
      <c r="L22" s="504"/>
      <c r="M22" s="287">
        <f t="shared" si="2"/>
        <v>0</v>
      </c>
      <c r="N22" s="270">
        <v>11</v>
      </c>
      <c r="O22" s="154">
        <v>44165</v>
      </c>
      <c r="P22" s="155">
        <v>21</v>
      </c>
      <c r="Q22" s="156">
        <v>1</v>
      </c>
      <c r="R22" s="156">
        <v>15</v>
      </c>
      <c r="S22" s="157">
        <v>4</v>
      </c>
      <c r="T22" s="158"/>
      <c r="U22" s="159"/>
      <c r="V22" s="160"/>
      <c r="W22" s="160"/>
      <c r="X22" s="160"/>
      <c r="Y22" s="161"/>
      <c r="Z22" s="162"/>
      <c r="AA22" s="162"/>
      <c r="AB22" s="161"/>
    </row>
    <row r="23" spans="1:28" s="29" customFormat="1" ht="15.75" customHeight="1" x14ac:dyDescent="0.25">
      <c r="A23" s="265"/>
      <c r="B23" s="259" t="s">
        <v>24</v>
      </c>
      <c r="C23" s="163">
        <f t="shared" si="0"/>
        <v>2020</v>
      </c>
      <c r="D23" s="498"/>
      <c r="E23" s="151">
        <f t="shared" si="1"/>
        <v>0</v>
      </c>
      <c r="F23" s="164"/>
      <c r="G23" s="165"/>
      <c r="H23" s="168"/>
      <c r="I23" s="169"/>
      <c r="J23" s="169"/>
      <c r="K23" s="170"/>
      <c r="L23" s="505"/>
      <c r="M23" s="287">
        <f t="shared" si="2"/>
        <v>0</v>
      </c>
      <c r="N23" s="270">
        <v>12</v>
      </c>
      <c r="O23" s="154">
        <v>44196</v>
      </c>
      <c r="P23" s="155">
        <v>23</v>
      </c>
      <c r="Q23" s="156">
        <v>1</v>
      </c>
      <c r="R23" s="156">
        <v>17.5</v>
      </c>
      <c r="S23" s="157">
        <v>3</v>
      </c>
      <c r="T23" s="158"/>
      <c r="U23" s="159"/>
      <c r="V23" s="160"/>
      <c r="W23" s="160"/>
      <c r="X23" s="160"/>
      <c r="Y23" s="161"/>
      <c r="Z23" s="162"/>
      <c r="AA23" s="162"/>
      <c r="AB23" s="161"/>
    </row>
    <row r="24" spans="1:28" s="29" customFormat="1" ht="15.75" customHeight="1" x14ac:dyDescent="0.25">
      <c r="A24" s="265"/>
      <c r="B24" s="259" t="s">
        <v>25</v>
      </c>
      <c r="C24" s="163">
        <f>$C$17+1</f>
        <v>2021</v>
      </c>
      <c r="D24" s="498"/>
      <c r="E24" s="151">
        <f t="shared" si="1"/>
        <v>0</v>
      </c>
      <c r="F24" s="164"/>
      <c r="G24" s="165"/>
      <c r="H24" s="605" t="s">
        <v>126</v>
      </c>
      <c r="I24" s="606"/>
      <c r="J24" s="606"/>
      <c r="K24" s="171">
        <f>L32/F29</f>
        <v>36.921250000000001</v>
      </c>
      <c r="L24" s="505"/>
      <c r="M24" s="287">
        <f t="shared" si="2"/>
        <v>0</v>
      </c>
      <c r="N24" s="270">
        <v>1</v>
      </c>
      <c r="O24" s="154">
        <v>44227</v>
      </c>
      <c r="P24" s="155">
        <v>21</v>
      </c>
      <c r="Q24" s="156">
        <v>1</v>
      </c>
      <c r="R24" s="156">
        <v>20</v>
      </c>
      <c r="S24" s="157">
        <v>5</v>
      </c>
      <c r="T24" s="158"/>
      <c r="U24" s="159"/>
      <c r="V24" s="160"/>
      <c r="W24" s="160"/>
      <c r="X24" s="160"/>
      <c r="Y24" s="161"/>
      <c r="Z24" s="162"/>
      <c r="AA24" s="162"/>
      <c r="AB24" s="161"/>
    </row>
    <row r="25" spans="1:28" s="29" customFormat="1" ht="15.75" customHeight="1" x14ac:dyDescent="0.25">
      <c r="A25" s="265"/>
      <c r="B25" s="259" t="s">
        <v>26</v>
      </c>
      <c r="C25" s="163">
        <f>$C$17+1</f>
        <v>2021</v>
      </c>
      <c r="D25" s="498"/>
      <c r="E25" s="151">
        <f t="shared" si="1"/>
        <v>0</v>
      </c>
      <c r="F25" s="164"/>
      <c r="G25" s="165"/>
      <c r="H25" s="172"/>
      <c r="I25" s="173"/>
      <c r="J25" s="173"/>
      <c r="K25" s="174"/>
      <c r="L25" s="505"/>
      <c r="M25" s="287">
        <f t="shared" si="2"/>
        <v>0</v>
      </c>
      <c r="N25" s="270">
        <v>2</v>
      </c>
      <c r="O25" s="154">
        <v>44255</v>
      </c>
      <c r="P25" s="155">
        <v>20</v>
      </c>
      <c r="Q25" s="156">
        <v>1</v>
      </c>
      <c r="R25" s="156">
        <v>22.5</v>
      </c>
      <c r="S25" s="157">
        <v>3</v>
      </c>
      <c r="T25" s="158"/>
      <c r="U25" s="159"/>
      <c r="V25" s="160"/>
      <c r="W25" s="160"/>
      <c r="X25" s="160"/>
      <c r="Y25" s="161"/>
      <c r="Z25" s="162"/>
      <c r="AA25" s="162"/>
      <c r="AB25" s="161"/>
    </row>
    <row r="26" spans="1:28" s="29" customFormat="1" ht="15.75" customHeight="1" x14ac:dyDescent="0.25">
      <c r="A26" s="265"/>
      <c r="B26" s="259" t="s">
        <v>27</v>
      </c>
      <c r="C26" s="163">
        <f>$C$17+1</f>
        <v>2021</v>
      </c>
      <c r="D26" s="498"/>
      <c r="E26" s="151">
        <f t="shared" si="1"/>
        <v>0</v>
      </c>
      <c r="F26" s="175"/>
      <c r="G26" s="176"/>
      <c r="H26" s="172"/>
      <c r="I26" s="173"/>
      <c r="J26" s="173"/>
      <c r="K26" s="174"/>
      <c r="L26" s="499"/>
      <c r="M26" s="287">
        <f t="shared" si="2"/>
        <v>0</v>
      </c>
      <c r="N26" s="270">
        <v>3</v>
      </c>
      <c r="O26" s="154">
        <v>44286</v>
      </c>
      <c r="P26" s="155">
        <v>23</v>
      </c>
      <c r="Q26" s="156">
        <v>1</v>
      </c>
      <c r="R26" s="156">
        <v>25</v>
      </c>
      <c r="S26" s="157">
        <v>3</v>
      </c>
      <c r="T26" s="158"/>
      <c r="U26" s="159"/>
      <c r="V26" s="160"/>
      <c r="W26" s="160"/>
      <c r="X26" s="160"/>
      <c r="Y26" s="161"/>
      <c r="Z26" s="162"/>
      <c r="AA26" s="162"/>
      <c r="AB26" s="161"/>
    </row>
    <row r="27" spans="1:28" s="29" customFormat="1" ht="15.75" customHeight="1" x14ac:dyDescent="0.25">
      <c r="A27" s="265"/>
      <c r="B27" s="259" t="s">
        <v>28</v>
      </c>
      <c r="C27" s="163">
        <f>$C$17+1</f>
        <v>2021</v>
      </c>
      <c r="D27" s="498"/>
      <c r="E27" s="151">
        <f t="shared" si="1"/>
        <v>0</v>
      </c>
      <c r="F27" s="600">
        <f>K42*2</f>
        <v>0</v>
      </c>
      <c r="G27" s="601"/>
      <c r="H27" s="172"/>
      <c r="I27" s="173"/>
      <c r="J27" s="173"/>
      <c r="K27" s="174"/>
      <c r="L27" s="499"/>
      <c r="M27" s="287">
        <f t="shared" si="2"/>
        <v>0</v>
      </c>
      <c r="N27" s="270">
        <v>4</v>
      </c>
      <c r="O27" s="154">
        <v>44316</v>
      </c>
      <c r="P27" s="155">
        <v>22</v>
      </c>
      <c r="Q27" s="156">
        <v>1</v>
      </c>
      <c r="R27" s="156">
        <v>27.5</v>
      </c>
      <c r="S27" s="157">
        <v>3</v>
      </c>
      <c r="T27" s="158"/>
      <c r="U27" s="159"/>
      <c r="V27" s="160"/>
      <c r="W27" s="160"/>
      <c r="X27" s="160"/>
      <c r="Y27" s="161"/>
      <c r="Z27" s="162"/>
      <c r="AA27" s="162"/>
      <c r="AB27" s="161"/>
    </row>
    <row r="28" spans="1:28" s="29" customFormat="1" ht="15.75" customHeight="1" x14ac:dyDescent="0.25">
      <c r="A28" s="265"/>
      <c r="B28" s="259" t="s">
        <v>29</v>
      </c>
      <c r="C28" s="163">
        <f>$C$17+1</f>
        <v>2021</v>
      </c>
      <c r="D28" s="498"/>
      <c r="E28" s="151">
        <f t="shared" si="1"/>
        <v>0</v>
      </c>
      <c r="F28" s="613"/>
      <c r="G28" s="614"/>
      <c r="H28" s="177"/>
      <c r="I28" s="178"/>
      <c r="J28" s="178"/>
      <c r="K28" s="179"/>
      <c r="L28" s="499"/>
      <c r="M28" s="287">
        <f t="shared" si="2"/>
        <v>0</v>
      </c>
      <c r="N28" s="270">
        <v>5</v>
      </c>
      <c r="O28" s="154">
        <v>44347</v>
      </c>
      <c r="P28" s="155">
        <v>21</v>
      </c>
      <c r="Q28" s="156">
        <v>1</v>
      </c>
      <c r="R28" s="156">
        <v>30</v>
      </c>
      <c r="S28" s="157">
        <v>5</v>
      </c>
      <c r="T28" s="158"/>
      <c r="U28" s="159"/>
      <c r="V28" s="160"/>
      <c r="W28" s="160"/>
      <c r="X28" s="160"/>
      <c r="Y28" s="161"/>
      <c r="Z28" s="162"/>
      <c r="AA28" s="162"/>
      <c r="AB28" s="161"/>
    </row>
    <row r="29" spans="1:28" s="29" customFormat="1" ht="15.75" customHeight="1" x14ac:dyDescent="0.25">
      <c r="A29" s="265"/>
      <c r="B29" s="581" t="s">
        <v>30</v>
      </c>
      <c r="C29" s="582"/>
      <c r="D29" s="180">
        <f>SUM(D17:D28)</f>
        <v>12</v>
      </c>
      <c r="E29" s="132">
        <f>ROUNDUP((D29/4)*2.5,0)</f>
        <v>8</v>
      </c>
      <c r="F29" s="615">
        <f>IF(E29+F27&gt;30,30,E29+F27)</f>
        <v>8</v>
      </c>
      <c r="G29" s="616"/>
      <c r="H29" s="181">
        <f>ROUNDUP((H22*F29)/6,0)</f>
        <v>7</v>
      </c>
      <c r="I29" s="583">
        <f>H29*I22</f>
        <v>63</v>
      </c>
      <c r="J29" s="583"/>
      <c r="K29" s="182">
        <f>ROUND(I29*K22,2)</f>
        <v>274.05</v>
      </c>
      <c r="L29" s="183">
        <f>SUM(L17:L28)+L15</f>
        <v>2953.6499999999996</v>
      </c>
      <c r="M29" s="288">
        <f>ROUND(SUM(M17:M28)+M15,2)</f>
        <v>295.37</v>
      </c>
      <c r="N29" s="271"/>
      <c r="O29" s="184"/>
      <c r="P29" s="158"/>
      <c r="Q29" s="185">
        <v>12</v>
      </c>
      <c r="R29" s="158"/>
      <c r="S29" s="186">
        <v>41</v>
      </c>
      <c r="T29" s="184"/>
      <c r="U29" s="187"/>
      <c r="V29" s="188"/>
      <c r="W29" s="160"/>
      <c r="X29" s="160"/>
      <c r="Z29" s="161"/>
      <c r="AA29" s="161"/>
      <c r="AB29" s="189"/>
    </row>
    <row r="30" spans="1:28" s="29" customFormat="1" ht="15.75" customHeight="1" x14ac:dyDescent="0.25">
      <c r="A30" s="265"/>
      <c r="B30" s="584" t="s">
        <v>31</v>
      </c>
      <c r="C30" s="585"/>
      <c r="D30" s="585"/>
      <c r="E30" s="585"/>
      <c r="F30" s="585"/>
      <c r="G30" s="585"/>
      <c r="H30" s="585"/>
      <c r="I30" s="585"/>
      <c r="J30" s="585"/>
      <c r="K30" s="190">
        <f>K29</f>
        <v>274.05</v>
      </c>
      <c r="L30" s="78" t="s">
        <v>32</v>
      </c>
      <c r="M30" s="332">
        <f>M29</f>
        <v>295.37</v>
      </c>
      <c r="N30" s="271"/>
      <c r="O30" s="184"/>
      <c r="P30" s="191"/>
      <c r="Q30" s="184">
        <v>30</v>
      </c>
      <c r="R30" s="184"/>
      <c r="S30" s="184">
        <v>25.625</v>
      </c>
      <c r="T30" s="184"/>
      <c r="U30" s="192"/>
      <c r="V30" s="193"/>
      <c r="W30" s="193"/>
      <c r="X30" s="193"/>
      <c r="Y30" s="193"/>
      <c r="Z30" s="193"/>
      <c r="AA30" s="193"/>
    </row>
    <row r="31" spans="1:28" ht="3.95" customHeight="1" x14ac:dyDescent="0.25">
      <c r="A31" s="246"/>
      <c r="B31" s="208"/>
      <c r="C31" s="289"/>
      <c r="D31" s="290"/>
      <c r="E31" s="290"/>
      <c r="F31" s="290"/>
      <c r="G31" s="291"/>
      <c r="H31" s="291"/>
      <c r="I31" s="291"/>
      <c r="J31" s="289"/>
      <c r="K31" s="292"/>
      <c r="L31" s="293"/>
      <c r="M31" s="334"/>
      <c r="N31" s="269"/>
      <c r="O31" s="150"/>
      <c r="P31" s="150"/>
      <c r="Q31" s="150"/>
      <c r="R31" s="150"/>
      <c r="S31" s="150"/>
      <c r="T31" s="150"/>
    </row>
    <row r="32" spans="1:28" s="29" customFormat="1" ht="21.4" customHeight="1" x14ac:dyDescent="0.25">
      <c r="A32" s="265"/>
      <c r="B32" s="617" t="s">
        <v>33</v>
      </c>
      <c r="C32" s="618"/>
      <c r="D32" s="618"/>
      <c r="E32" s="618"/>
      <c r="F32" s="618"/>
      <c r="G32" s="618"/>
      <c r="H32" s="618"/>
      <c r="I32" s="618"/>
      <c r="J32" s="618"/>
      <c r="K32" s="619"/>
      <c r="L32" s="333">
        <f>IF(K30&gt;M30,K30,M30)</f>
        <v>295.37</v>
      </c>
      <c r="M32" s="335"/>
      <c r="N32" s="266"/>
    </row>
    <row r="33" spans="1:33" s="29" customFormat="1" ht="3.95" customHeight="1" x14ac:dyDescent="0.25">
      <c r="A33" s="265"/>
      <c r="B33" s="336"/>
      <c r="C33" s="295"/>
      <c r="D33" s="295"/>
      <c r="E33" s="295"/>
      <c r="F33" s="295"/>
      <c r="G33" s="296"/>
      <c r="H33" s="295"/>
      <c r="I33" s="296"/>
      <c r="J33" s="295"/>
      <c r="K33" s="295"/>
      <c r="L33" s="295"/>
      <c r="M33" s="337"/>
      <c r="N33" s="266"/>
    </row>
    <row r="34" spans="1:33" s="29" customFormat="1" ht="15.75" customHeight="1" x14ac:dyDescent="0.25">
      <c r="A34" s="265"/>
      <c r="B34" s="568" t="s">
        <v>166</v>
      </c>
      <c r="C34" s="569"/>
      <c r="D34" s="569"/>
      <c r="E34" s="569"/>
      <c r="F34" s="569"/>
      <c r="G34" s="569"/>
      <c r="H34" s="569"/>
      <c r="I34" s="569"/>
      <c r="J34" s="569"/>
      <c r="K34" s="569"/>
      <c r="L34" s="569"/>
      <c r="M34" s="570"/>
      <c r="N34" s="247"/>
      <c r="O34" s="18"/>
      <c r="P34" s="24"/>
      <c r="Q34" s="24"/>
      <c r="R34" s="24"/>
      <c r="S34" s="24"/>
      <c r="T34" s="18"/>
      <c r="U34" s="18"/>
      <c r="V34" s="24"/>
      <c r="W34" s="24"/>
      <c r="X34" s="24"/>
      <c r="Y34" s="24"/>
      <c r="Z34" s="24"/>
      <c r="AA34" s="24"/>
      <c r="AB34" s="24"/>
      <c r="AC34" s="24"/>
      <c r="AD34" s="24"/>
      <c r="AE34" s="24"/>
      <c r="AF34" s="24"/>
      <c r="AG34" s="24"/>
    </row>
    <row r="35" spans="1:33" s="29" customFormat="1" ht="15.75" customHeight="1" x14ac:dyDescent="0.25">
      <c r="A35" s="265"/>
      <c r="B35" s="620" t="s">
        <v>167</v>
      </c>
      <c r="C35" s="621"/>
      <c r="D35" s="621"/>
      <c r="E35" s="621"/>
      <c r="F35" s="621"/>
      <c r="G35" s="621"/>
      <c r="H35" s="621"/>
      <c r="I35" s="621"/>
      <c r="J35" s="621"/>
      <c r="K35" s="621"/>
      <c r="L35" s="621"/>
      <c r="M35" s="622"/>
      <c r="N35" s="248"/>
      <c r="O35" s="139"/>
      <c r="P35" s="194"/>
      <c r="Q35" s="194"/>
      <c r="R35" s="194"/>
      <c r="S35" s="194"/>
      <c r="T35" s="139"/>
      <c r="U35" s="139"/>
      <c r="V35" s="194"/>
      <c r="W35" s="194"/>
      <c r="X35" s="194"/>
      <c r="Y35" s="194"/>
      <c r="Z35" s="194"/>
      <c r="AA35" s="194"/>
      <c r="AB35" s="194"/>
      <c r="AC35" s="194"/>
      <c r="AD35" s="194"/>
      <c r="AE35" s="194"/>
      <c r="AF35" s="194"/>
      <c r="AG35" s="194"/>
    </row>
    <row r="36" spans="1:33" s="29" customFormat="1" ht="15.75" customHeight="1" x14ac:dyDescent="0.25">
      <c r="A36" s="265"/>
      <c r="B36" s="623" t="s">
        <v>34</v>
      </c>
      <c r="C36" s="624"/>
      <c r="D36" s="624"/>
      <c r="E36" s="624"/>
      <c r="F36" s="624"/>
      <c r="G36" s="624"/>
      <c r="H36" s="624"/>
      <c r="I36" s="624"/>
      <c r="J36" s="624"/>
      <c r="K36" s="624"/>
      <c r="L36" s="624"/>
      <c r="M36" s="625"/>
      <c r="N36" s="266"/>
      <c r="P36" s="194"/>
      <c r="Q36" s="194"/>
      <c r="R36" s="194"/>
      <c r="S36" s="194"/>
      <c r="V36" s="194"/>
      <c r="W36" s="194"/>
      <c r="X36" s="194"/>
      <c r="Y36" s="194"/>
      <c r="Z36" s="194"/>
      <c r="AA36" s="194"/>
      <c r="AB36" s="194"/>
      <c r="AC36" s="194"/>
      <c r="AD36" s="194"/>
      <c r="AE36" s="194"/>
      <c r="AF36" s="194"/>
      <c r="AG36" s="194"/>
    </row>
    <row r="37" spans="1:33" s="29" customFormat="1" ht="3.95" customHeight="1" x14ac:dyDescent="0.25">
      <c r="A37" s="265"/>
      <c r="B37" s="284"/>
      <c r="C37" s="26"/>
      <c r="D37" s="26"/>
      <c r="E37" s="21"/>
      <c r="F37" s="21"/>
      <c r="G37" s="21"/>
      <c r="H37" s="21"/>
      <c r="I37" s="21"/>
      <c r="J37" s="21"/>
      <c r="K37" s="26"/>
      <c r="L37" s="195"/>
      <c r="M37" s="297"/>
      <c r="N37" s="266"/>
    </row>
    <row r="38" spans="1:33" s="29" customFormat="1" ht="15.75" customHeight="1" x14ac:dyDescent="0.25">
      <c r="A38" s="265"/>
      <c r="B38" s="626" t="s">
        <v>35</v>
      </c>
      <c r="C38" s="627">
        <f>C27</f>
        <v>2021</v>
      </c>
      <c r="D38" s="628" t="s">
        <v>168</v>
      </c>
      <c r="E38" s="628"/>
      <c r="F38" s="628"/>
      <c r="G38" s="628"/>
      <c r="H38" s="628"/>
      <c r="I38" s="628"/>
      <c r="J38" s="628"/>
      <c r="K38" s="628"/>
      <c r="L38" s="628"/>
      <c r="M38" s="629"/>
      <c r="N38" s="266"/>
    </row>
    <row r="39" spans="1:33" s="29" customFormat="1" ht="15.75" customHeight="1" x14ac:dyDescent="0.25">
      <c r="A39" s="265"/>
      <c r="B39" s="626"/>
      <c r="C39" s="627"/>
      <c r="D39" s="630" t="s">
        <v>36</v>
      </c>
      <c r="E39" s="630"/>
      <c r="F39" s="630"/>
      <c r="G39" s="630"/>
      <c r="H39" s="630"/>
      <c r="I39" s="630"/>
      <c r="J39" s="630"/>
      <c r="K39" s="630"/>
      <c r="L39" s="630"/>
      <c r="M39" s="631"/>
      <c r="N39" s="266"/>
    </row>
    <row r="40" spans="1:33" s="29" customFormat="1" ht="15.75" customHeight="1" x14ac:dyDescent="0.25">
      <c r="A40" s="265"/>
      <c r="B40" s="626"/>
      <c r="C40" s="627"/>
      <c r="D40" s="632" t="s">
        <v>37</v>
      </c>
      <c r="E40" s="632"/>
      <c r="F40" s="632"/>
      <c r="G40" s="632"/>
      <c r="H40" s="632"/>
      <c r="I40" s="632"/>
      <c r="J40" s="632"/>
      <c r="K40" s="632"/>
      <c r="L40" s="632"/>
      <c r="M40" s="633"/>
      <c r="N40" s="266"/>
    </row>
    <row r="41" spans="1:33" s="29" customFormat="1" ht="3.95" customHeight="1" x14ac:dyDescent="0.25">
      <c r="A41" s="265"/>
      <c r="B41" s="637"/>
      <c r="C41" s="638"/>
      <c r="D41" s="638"/>
      <c r="E41" s="32"/>
      <c r="F41" s="32"/>
      <c r="G41" s="32"/>
      <c r="H41" s="20"/>
      <c r="I41" s="32"/>
      <c r="J41" s="34"/>
      <c r="K41" s="33"/>
      <c r="L41" s="35"/>
      <c r="M41" s="297"/>
      <c r="N41" s="266"/>
    </row>
    <row r="42" spans="1:33" s="29" customFormat="1" ht="15.75" customHeight="1" x14ac:dyDescent="0.25">
      <c r="A42" s="265"/>
      <c r="B42" s="643" t="s">
        <v>129</v>
      </c>
      <c r="C42" s="644"/>
      <c r="D42" s="644"/>
      <c r="E42" s="644"/>
      <c r="F42" s="644"/>
      <c r="G42" s="644"/>
      <c r="H42" s="644"/>
      <c r="I42" s="644"/>
      <c r="J42" s="196">
        <f>C27</f>
        <v>2021</v>
      </c>
      <c r="K42" s="446">
        <v>0</v>
      </c>
      <c r="L42" s="26"/>
      <c r="M42" s="297"/>
      <c r="N42" s="266"/>
    </row>
    <row r="43" spans="1:33" s="29" customFormat="1" ht="3.95" customHeight="1" x14ac:dyDescent="0.25">
      <c r="A43" s="265"/>
      <c r="B43" s="298"/>
      <c r="C43" s="26"/>
      <c r="D43" s="26"/>
      <c r="E43" s="26"/>
      <c r="F43" s="26"/>
      <c r="G43" s="26"/>
      <c r="H43" s="26"/>
      <c r="I43" s="26"/>
      <c r="J43" s="26"/>
      <c r="K43" s="26"/>
      <c r="L43" s="26"/>
      <c r="M43" s="297"/>
      <c r="N43" s="266"/>
    </row>
    <row r="44" spans="1:33" s="29" customFormat="1" ht="15.75" customHeight="1" x14ac:dyDescent="0.25">
      <c r="A44" s="265"/>
      <c r="B44" s="639" t="s">
        <v>38</v>
      </c>
      <c r="C44" s="640"/>
      <c r="D44" s="640"/>
      <c r="E44" s="640"/>
      <c r="F44" s="640"/>
      <c r="G44" s="640"/>
      <c r="H44" s="640"/>
      <c r="I44" s="640"/>
      <c r="J44" s="640"/>
      <c r="K44" s="640"/>
      <c r="L44" s="640"/>
      <c r="M44" s="641"/>
      <c r="N44" s="266"/>
    </row>
    <row r="45" spans="1:33" s="29" customFormat="1" ht="15.75" customHeight="1" x14ac:dyDescent="0.25">
      <c r="A45" s="265"/>
      <c r="B45" s="284"/>
      <c r="C45" s="26"/>
      <c r="D45" s="26"/>
      <c r="E45" s="26"/>
      <c r="F45" s="26"/>
      <c r="G45" s="26"/>
      <c r="H45" s="645" t="s">
        <v>158</v>
      </c>
      <c r="I45" s="645"/>
      <c r="J45" s="645"/>
      <c r="K45" s="26"/>
      <c r="L45" s="26"/>
      <c r="M45" s="297"/>
      <c r="N45" s="266"/>
    </row>
    <row r="46" spans="1:33" s="29" customFormat="1" ht="15.75" customHeight="1" x14ac:dyDescent="0.25">
      <c r="A46" s="265"/>
      <c r="B46" s="299" t="s">
        <v>39</v>
      </c>
      <c r="C46" s="26" t="s">
        <v>40</v>
      </c>
      <c r="D46" s="26"/>
      <c r="E46" s="26"/>
      <c r="F46" s="26"/>
      <c r="G46" s="26"/>
      <c r="H46" s="197"/>
      <c r="I46" s="442"/>
      <c r="J46" s="19"/>
      <c r="K46" s="38" t="str">
        <f>IF(ISBLANK(I46),"",L32)</f>
        <v/>
      </c>
      <c r="L46" s="26"/>
      <c r="M46" s="297"/>
      <c r="N46" s="266"/>
    </row>
    <row r="47" spans="1:33" s="29" customFormat="1" ht="15.75" customHeight="1" x14ac:dyDescent="0.25">
      <c r="A47" s="265"/>
      <c r="B47" s="299" t="s">
        <v>41</v>
      </c>
      <c r="C47" s="26" t="s">
        <v>42</v>
      </c>
      <c r="D47" s="26"/>
      <c r="E47" s="26"/>
      <c r="F47" s="26"/>
      <c r="G47" s="26"/>
      <c r="H47" s="197"/>
      <c r="I47" s="442"/>
      <c r="J47" s="19"/>
      <c r="K47" s="38" t="str">
        <f>IF(ISBLANK(I47),"",L32)</f>
        <v/>
      </c>
      <c r="L47" s="26"/>
      <c r="M47" s="297"/>
      <c r="N47" s="266"/>
    </row>
    <row r="48" spans="1:33" s="29" customFormat="1" ht="15.75" customHeight="1" x14ac:dyDescent="0.25">
      <c r="A48" s="265"/>
      <c r="B48" s="299" t="s">
        <v>43</v>
      </c>
      <c r="C48" s="26" t="s">
        <v>44</v>
      </c>
      <c r="D48" s="26"/>
      <c r="E48" s="26"/>
      <c r="F48" s="26"/>
      <c r="G48" s="26"/>
      <c r="H48" s="197"/>
      <c r="I48" s="442" t="s">
        <v>5</v>
      </c>
      <c r="J48" s="19"/>
      <c r="K48" s="468">
        <f>IF(ISBLANK(I48),"",L32/F29)</f>
        <v>36.921250000000001</v>
      </c>
      <c r="L48" s="635" t="str">
        <f>IF(ISBLANK(I48),"","par jour ouvrable pris")</f>
        <v>par jour ouvrable pris</v>
      </c>
      <c r="M48" s="636"/>
      <c r="N48" s="266"/>
    </row>
    <row r="49" spans="1:26" s="29" customFormat="1" ht="15.75" customHeight="1" x14ac:dyDescent="0.25">
      <c r="A49" s="265"/>
      <c r="B49" s="299" t="s">
        <v>45</v>
      </c>
      <c r="C49" s="26" t="s">
        <v>165</v>
      </c>
      <c r="D49" s="26"/>
      <c r="E49" s="26"/>
      <c r="F49" s="26"/>
      <c r="G49" s="26"/>
      <c r="H49" s="197"/>
      <c r="I49" s="442"/>
      <c r="J49" s="19"/>
      <c r="K49" s="468" t="str">
        <f>IF(ISBLANK(I49),"",L32/12)</f>
        <v/>
      </c>
      <c r="L49" s="635" t="str">
        <f>IF(ISBLANK(I49),"","par mois")</f>
        <v/>
      </c>
      <c r="M49" s="636"/>
      <c r="N49" s="266"/>
    </row>
    <row r="50" spans="1:26" s="29" customFormat="1" ht="15.75" customHeight="1" x14ac:dyDescent="0.25">
      <c r="A50" s="265"/>
      <c r="B50" s="299" t="s">
        <v>46</v>
      </c>
      <c r="C50" s="26" t="s">
        <v>47</v>
      </c>
      <c r="D50" s="26"/>
      <c r="E50" s="634" t="s">
        <v>103</v>
      </c>
      <c r="F50" s="634"/>
      <c r="G50" s="634"/>
      <c r="H50" s="642"/>
      <c r="I50" s="447"/>
      <c r="J50" s="19"/>
      <c r="K50" s="468" t="str">
        <f>IF(ISBLANK(I50),"",L32/3)</f>
        <v/>
      </c>
      <c r="L50" s="635" t="str">
        <f>IF(ISBLANK(I50),"","par mois")</f>
        <v/>
      </c>
      <c r="M50" s="636"/>
      <c r="N50" s="266"/>
    </row>
    <row r="51" spans="1:26" s="29" customFormat="1" ht="15.75" customHeight="1" x14ac:dyDescent="0.25">
      <c r="A51" s="265"/>
      <c r="B51" s="299" t="s">
        <v>101</v>
      </c>
      <c r="C51" s="26" t="s">
        <v>47</v>
      </c>
      <c r="D51" s="26"/>
      <c r="E51" s="634" t="s">
        <v>102</v>
      </c>
      <c r="F51" s="634"/>
      <c r="G51" s="634"/>
      <c r="H51" s="198">
        <f>C28</f>
        <v>2021</v>
      </c>
      <c r="I51" s="447"/>
      <c r="J51" s="19"/>
      <c r="K51" s="469" t="str">
        <f>IF(ISBLANK(I51),"","montant dû")</f>
        <v/>
      </c>
      <c r="L51" s="469" t="str">
        <f>IF(ISBLANK(I51),"","déjà versé")</f>
        <v/>
      </c>
      <c r="M51" s="469" t="str">
        <f>IF(ISBLANK(I51),"","restant dû")</f>
        <v/>
      </c>
      <c r="N51" s="266"/>
    </row>
    <row r="52" spans="1:26" s="29" customFormat="1" ht="15.75" customHeight="1" x14ac:dyDescent="0.25">
      <c r="A52" s="265"/>
      <c r="B52" s="300"/>
      <c r="C52" s="301"/>
      <c r="D52" s="301"/>
      <c r="E52" s="302"/>
      <c r="F52" s="302"/>
      <c r="G52" s="301"/>
      <c r="H52" s="294"/>
      <c r="I52" s="303"/>
      <c r="J52" s="289"/>
      <c r="K52" s="199" t="str">
        <f>IF(ISBLANK(I51),"",L32)</f>
        <v/>
      </c>
      <c r="L52" s="200" t="str">
        <f>IF(ISBLANK(I51),"",M89)</f>
        <v/>
      </c>
      <c r="M52" s="467" t="e">
        <f>K52-L52</f>
        <v>#VALUE!</v>
      </c>
      <c r="N52" s="266"/>
    </row>
    <row r="53" spans="1:26" s="27" customFormat="1" ht="3.95" customHeight="1" x14ac:dyDescent="0.25">
      <c r="A53" s="267"/>
      <c r="B53" s="319"/>
      <c r="C53" s="320"/>
      <c r="D53" s="320"/>
      <c r="E53" s="321"/>
      <c r="F53" s="321"/>
      <c r="G53" s="320"/>
      <c r="H53" s="322"/>
      <c r="I53" s="323"/>
      <c r="J53" s="324"/>
      <c r="K53" s="325"/>
      <c r="L53" s="325"/>
      <c r="M53" s="326"/>
      <c r="N53" s="268"/>
    </row>
    <row r="54" spans="1:26" s="29" customFormat="1" ht="20.100000000000001" customHeight="1" x14ac:dyDescent="0.25">
      <c r="A54" s="272"/>
      <c r="B54" s="525" t="s">
        <v>108</v>
      </c>
      <c r="C54" s="526"/>
      <c r="D54" s="526"/>
      <c r="E54" s="526"/>
      <c r="F54" s="526"/>
      <c r="G54" s="526"/>
      <c r="H54" s="526"/>
      <c r="I54" s="526"/>
      <c r="J54" s="526"/>
      <c r="K54" s="526"/>
      <c r="L54" s="526"/>
      <c r="M54" s="527"/>
      <c r="N54" s="266"/>
      <c r="O54" s="29" t="s">
        <v>153</v>
      </c>
      <c r="Q54" s="456"/>
    </row>
    <row r="55" spans="1:26" s="27" customFormat="1" ht="3.95" customHeight="1" x14ac:dyDescent="0.25">
      <c r="A55" s="272"/>
      <c r="B55" s="304"/>
      <c r="C55" s="226"/>
      <c r="D55" s="226"/>
      <c r="E55" s="226"/>
      <c r="F55" s="226"/>
      <c r="G55" s="226"/>
      <c r="H55" s="226"/>
      <c r="I55" s="226"/>
      <c r="J55" s="226"/>
      <c r="K55" s="226"/>
      <c r="L55" s="226"/>
      <c r="M55" s="305"/>
      <c r="N55" s="268"/>
    </row>
    <row r="56" spans="1:26" s="29" customFormat="1" ht="22.9" customHeight="1" x14ac:dyDescent="0.25">
      <c r="A56" s="272"/>
      <c r="B56" s="528" t="s">
        <v>113</v>
      </c>
      <c r="C56" s="529"/>
      <c r="D56" s="529"/>
      <c r="E56" s="529"/>
      <c r="F56" s="529"/>
      <c r="G56" s="529"/>
      <c r="H56" s="529"/>
      <c r="I56" s="529"/>
      <c r="J56" s="529"/>
      <c r="K56" s="529"/>
      <c r="L56" s="530"/>
      <c r="M56" s="448">
        <v>44071</v>
      </c>
      <c r="N56" s="266"/>
      <c r="O56" s="29" t="s">
        <v>154</v>
      </c>
      <c r="Q56" s="456" t="s">
        <v>5</v>
      </c>
    </row>
    <row r="57" spans="1:26" s="29" customFormat="1" ht="3.95" customHeight="1" x14ac:dyDescent="0.25">
      <c r="A57" s="273"/>
      <c r="B57" s="336"/>
      <c r="C57" s="328"/>
      <c r="D57" s="329"/>
      <c r="E57" s="328"/>
      <c r="F57" s="328"/>
      <c r="G57" s="322"/>
      <c r="H57" s="330"/>
      <c r="I57" s="331"/>
      <c r="J57" s="329"/>
      <c r="K57" s="329"/>
      <c r="L57" s="329"/>
      <c r="M57" s="338"/>
      <c r="N57" s="274"/>
      <c r="S57" s="202"/>
      <c r="T57" s="202"/>
    </row>
    <row r="58" spans="1:26" s="29" customFormat="1" ht="15.75" customHeight="1" x14ac:dyDescent="0.25">
      <c r="A58" s="275"/>
      <c r="B58" s="519" t="s">
        <v>127</v>
      </c>
      <c r="C58" s="520"/>
      <c r="D58" s="520"/>
      <c r="E58" s="520"/>
      <c r="F58" s="520"/>
      <c r="G58" s="520"/>
      <c r="H58" s="520"/>
      <c r="I58" s="520"/>
      <c r="J58" s="520"/>
      <c r="K58" s="520"/>
      <c r="L58" s="520"/>
      <c r="M58" s="327">
        <f>C88</f>
        <v>2022</v>
      </c>
      <c r="N58" s="266"/>
    </row>
    <row r="59" spans="1:26" s="29" customFormat="1" ht="15.75" customHeight="1" x14ac:dyDescent="0.25">
      <c r="A59" s="276"/>
      <c r="B59" s="532" t="s">
        <v>128</v>
      </c>
      <c r="C59" s="533"/>
      <c r="D59" s="533"/>
      <c r="E59" s="533"/>
      <c r="F59" s="533"/>
      <c r="G59" s="533"/>
      <c r="H59" s="533"/>
      <c r="I59" s="533"/>
      <c r="J59" s="533"/>
      <c r="K59" s="533"/>
      <c r="L59" s="533"/>
      <c r="M59" s="534"/>
      <c r="N59" s="266"/>
    </row>
    <row r="60" spans="1:26" s="29" customFormat="1" ht="29.25" customHeight="1" x14ac:dyDescent="0.25">
      <c r="A60" s="276"/>
      <c r="B60" s="535"/>
      <c r="C60" s="536"/>
      <c r="D60" s="536"/>
      <c r="E60" s="536"/>
      <c r="F60" s="536"/>
      <c r="G60" s="536"/>
      <c r="H60" s="536"/>
      <c r="I60" s="536"/>
      <c r="J60" s="536"/>
      <c r="K60" s="536"/>
      <c r="L60" s="536"/>
      <c r="M60" s="537"/>
      <c r="N60" s="266"/>
    </row>
    <row r="61" spans="1:26" s="29" customFormat="1" ht="12" customHeight="1" x14ac:dyDescent="0.25">
      <c r="A61" s="277"/>
      <c r="B61" s="306"/>
      <c r="C61" s="32"/>
      <c r="D61" s="32"/>
      <c r="E61" s="75"/>
      <c r="F61" s="75"/>
      <c r="G61" s="32"/>
      <c r="H61" s="75"/>
      <c r="I61" s="203"/>
      <c r="J61" s="73"/>
      <c r="K61" s="32"/>
      <c r="L61" s="203"/>
      <c r="M61" s="307"/>
      <c r="N61" s="247"/>
      <c r="S61" s="18"/>
      <c r="T61" s="18"/>
      <c r="U61" s="18"/>
      <c r="V61" s="18"/>
      <c r="W61" s="18"/>
      <c r="X61" s="18"/>
      <c r="Y61" s="18"/>
      <c r="Z61" s="18"/>
    </row>
    <row r="62" spans="1:26" s="29" customFormat="1" ht="15.75" customHeight="1" x14ac:dyDescent="0.25">
      <c r="A62" s="249"/>
      <c r="B62" s="521" t="s">
        <v>110</v>
      </c>
      <c r="C62" s="522"/>
      <c r="D62" s="522"/>
      <c r="E62" s="522"/>
      <c r="F62" s="522"/>
      <c r="G62" s="522"/>
      <c r="H62" s="219">
        <f>DATE(C82,10,31)</f>
        <v>44500</v>
      </c>
      <c r="I62" s="538">
        <f>IF(F82&lt;3,0,IF(F82=3,1,IF(F82=4,1,IF(F82=5,1,IF(F82&gt;5.9,2,1)))))</f>
        <v>0</v>
      </c>
      <c r="J62" s="539"/>
      <c r="K62" s="204" t="s">
        <v>105</v>
      </c>
      <c r="L62" s="227">
        <f>K24</f>
        <v>36.921250000000001</v>
      </c>
      <c r="M62" s="307"/>
      <c r="N62" s="247"/>
      <c r="S62" s="18"/>
      <c r="T62" s="18"/>
      <c r="U62" s="18"/>
      <c r="V62" s="18"/>
      <c r="W62" s="18"/>
      <c r="X62" s="18"/>
      <c r="Y62" s="18"/>
      <c r="Z62" s="18"/>
    </row>
    <row r="63" spans="1:26" s="29" customFormat="1" ht="26.25" customHeight="1" x14ac:dyDescent="0.25">
      <c r="A63" s="249"/>
      <c r="B63" s="647" t="s">
        <v>111</v>
      </c>
      <c r="C63" s="648"/>
      <c r="D63" s="648"/>
      <c r="E63" s="649">
        <f>DATE(C82,10,31)</f>
        <v>44500</v>
      </c>
      <c r="F63" s="649"/>
      <c r="G63" s="523" t="s">
        <v>109</v>
      </c>
      <c r="H63" s="524"/>
      <c r="I63" s="531">
        <f>I82</f>
        <v>0</v>
      </c>
      <c r="J63" s="531"/>
      <c r="K63" s="228"/>
      <c r="L63" s="228"/>
      <c r="M63" s="308"/>
      <c r="N63" s="247"/>
      <c r="O63" s="205"/>
      <c r="S63" s="18"/>
      <c r="T63" s="18"/>
      <c r="U63" s="18"/>
      <c r="V63" s="18"/>
      <c r="W63" s="18"/>
      <c r="X63" s="18"/>
      <c r="Y63" s="18"/>
      <c r="Z63" s="18"/>
    </row>
    <row r="64" spans="1:26" s="29" customFormat="1" ht="15.75" customHeight="1" x14ac:dyDescent="0.25">
      <c r="A64" s="249"/>
      <c r="B64" s="662" t="s">
        <v>106</v>
      </c>
      <c r="C64" s="663"/>
      <c r="D64" s="663"/>
      <c r="E64" s="663"/>
      <c r="F64" s="663"/>
      <c r="G64" s="663"/>
      <c r="H64" s="663"/>
      <c r="I64" s="658">
        <f>I62-I63</f>
        <v>0</v>
      </c>
      <c r="J64" s="659"/>
      <c r="K64" s="228"/>
      <c r="L64" s="228"/>
      <c r="M64" s="308"/>
      <c r="N64" s="247"/>
      <c r="S64" s="18"/>
      <c r="T64" s="18"/>
      <c r="U64" s="18"/>
      <c r="V64" s="18"/>
      <c r="W64" s="18"/>
      <c r="X64" s="18"/>
      <c r="Y64" s="18"/>
      <c r="Z64" s="18"/>
    </row>
    <row r="65" spans="1:26" s="29" customFormat="1" ht="3.95" customHeight="1" x14ac:dyDescent="0.25">
      <c r="A65" s="278"/>
      <c r="B65" s="309"/>
      <c r="C65" s="206"/>
      <c r="D65" s="206"/>
      <c r="E65" s="206"/>
      <c r="F65" s="206"/>
      <c r="G65" s="206"/>
      <c r="H65" s="206"/>
      <c r="I65" s="206"/>
      <c r="J65" s="206"/>
      <c r="K65" s="228"/>
      <c r="L65" s="228"/>
      <c r="M65" s="308"/>
      <c r="N65" s="247"/>
      <c r="S65" s="18"/>
      <c r="T65" s="18"/>
      <c r="U65" s="18"/>
      <c r="V65" s="18"/>
      <c r="W65" s="18"/>
      <c r="X65" s="18"/>
      <c r="Y65" s="18"/>
      <c r="Z65" s="18"/>
    </row>
    <row r="66" spans="1:26" s="29" customFormat="1" ht="19.149999999999999" customHeight="1" x14ac:dyDescent="0.25">
      <c r="A66" s="279"/>
      <c r="B66" s="664" t="s">
        <v>107</v>
      </c>
      <c r="C66" s="665"/>
      <c r="D66" s="665"/>
      <c r="E66" s="665"/>
      <c r="F66" s="665"/>
      <c r="G66" s="665"/>
      <c r="H66" s="666"/>
      <c r="I66" s="660" t="str">
        <f>IF(AND(M56&gt;DATE(C82,10,31),M56&lt;=DATE(C88,4,30)),I64*L62,"non dû")</f>
        <v>non dû</v>
      </c>
      <c r="J66" s="661"/>
      <c r="K66" s="667">
        <f>IF(I66="non dû",0,I64)</f>
        <v>0</v>
      </c>
      <c r="L66" s="667"/>
      <c r="M66" s="310"/>
      <c r="N66" s="247"/>
      <c r="S66" s="18"/>
      <c r="T66" s="18"/>
      <c r="U66" s="18"/>
      <c r="V66" s="18"/>
      <c r="W66" s="18"/>
      <c r="X66" s="18"/>
      <c r="Y66" s="18"/>
      <c r="Z66" s="18"/>
    </row>
    <row r="67" spans="1:26" s="29" customFormat="1" ht="3.95" customHeight="1" x14ac:dyDescent="0.25">
      <c r="A67" s="279"/>
      <c r="B67" s="317"/>
      <c r="C67" s="207"/>
      <c r="D67" s="207"/>
      <c r="E67" s="207"/>
      <c r="F67" s="207"/>
      <c r="G67" s="207"/>
      <c r="H67" s="207"/>
      <c r="I67" s="229"/>
      <c r="J67" s="229"/>
      <c r="K67" s="228"/>
      <c r="L67" s="228"/>
      <c r="M67" s="308"/>
      <c r="N67" s="247"/>
      <c r="S67" s="18"/>
      <c r="T67" s="18"/>
      <c r="U67" s="18"/>
      <c r="V67" s="18"/>
      <c r="W67" s="18"/>
      <c r="X67" s="18"/>
      <c r="Y67" s="18"/>
      <c r="Z67" s="18"/>
    </row>
    <row r="68" spans="1:26" s="29" customFormat="1" ht="3" customHeight="1" x14ac:dyDescent="0.25">
      <c r="A68" s="265"/>
      <c r="B68" s="646"/>
      <c r="C68" s="646"/>
      <c r="D68" s="646"/>
      <c r="E68" s="646"/>
      <c r="F68" s="646"/>
      <c r="G68" s="646"/>
      <c r="H68" s="646"/>
      <c r="I68" s="646"/>
      <c r="J68" s="646"/>
      <c r="K68" s="318"/>
      <c r="L68" s="318"/>
      <c r="M68" s="318"/>
      <c r="N68" s="266"/>
    </row>
    <row r="69" spans="1:26" ht="20.100000000000001" customHeight="1" x14ac:dyDescent="0.25">
      <c r="A69" s="246"/>
      <c r="B69" s="650" t="s">
        <v>135</v>
      </c>
      <c r="C69" s="651"/>
      <c r="D69" s="651"/>
      <c r="E69" s="651"/>
      <c r="F69" s="651"/>
      <c r="G69" s="651"/>
      <c r="H69" s="651"/>
      <c r="I69" s="651"/>
      <c r="J69" s="651"/>
      <c r="K69" s="651"/>
      <c r="L69" s="651"/>
      <c r="M69" s="652"/>
      <c r="N69" s="247"/>
    </row>
    <row r="70" spans="1:26" s="23" customFormat="1" ht="3.95" customHeight="1" x14ac:dyDescent="0.25">
      <c r="A70" s="457"/>
      <c r="B70" s="463"/>
      <c r="C70" s="24"/>
      <c r="D70" s="24"/>
      <c r="E70" s="24"/>
      <c r="F70" s="24"/>
      <c r="G70" s="24"/>
      <c r="H70" s="24"/>
      <c r="I70" s="24"/>
      <c r="J70" s="464"/>
      <c r="K70" s="464"/>
      <c r="L70" s="464"/>
      <c r="M70" s="232"/>
      <c r="N70" s="462"/>
    </row>
    <row r="71" spans="1:26" s="23" customFormat="1" ht="15" customHeight="1" x14ac:dyDescent="0.25">
      <c r="A71" s="457"/>
      <c r="B71" s="463"/>
      <c r="C71" s="24"/>
      <c r="D71" s="24"/>
      <c r="E71" s="24"/>
      <c r="F71" s="24"/>
      <c r="G71" s="24"/>
      <c r="H71" s="24"/>
      <c r="I71" s="24"/>
      <c r="J71" s="465"/>
      <c r="K71" s="465"/>
      <c r="L71" s="466" t="s">
        <v>171</v>
      </c>
      <c r="M71" s="466" t="s">
        <v>87</v>
      </c>
      <c r="N71" s="462"/>
    </row>
    <row r="72" spans="1:26" x14ac:dyDescent="0.25">
      <c r="A72" s="246"/>
      <c r="B72" s="311"/>
      <c r="C72" s="19"/>
      <c r="D72" s="19"/>
      <c r="E72" s="19"/>
      <c r="F72" s="19"/>
      <c r="G72" s="19"/>
      <c r="H72" s="19"/>
      <c r="I72" s="19"/>
      <c r="J72" s="668" t="s">
        <v>151</v>
      </c>
      <c r="K72" s="669"/>
      <c r="L72" s="455">
        <v>10</v>
      </c>
      <c r="M72" s="493">
        <v>366.85</v>
      </c>
      <c r="N72" s="247"/>
    </row>
    <row r="73" spans="1:26" s="23" customFormat="1" ht="3.95" customHeight="1" x14ac:dyDescent="0.25">
      <c r="A73" s="457"/>
      <c r="B73" s="458"/>
      <c r="C73" s="36"/>
      <c r="D73" s="36"/>
      <c r="E73" s="36"/>
      <c r="F73" s="36"/>
      <c r="G73" s="36"/>
      <c r="H73" s="36"/>
      <c r="I73" s="36"/>
      <c r="J73" s="459"/>
      <c r="K73" s="459"/>
      <c r="L73" s="460"/>
      <c r="M73" s="461"/>
      <c r="N73" s="462"/>
    </row>
    <row r="74" spans="1:26" ht="15.75" customHeight="1" x14ac:dyDescent="0.25">
      <c r="A74" s="246"/>
      <c r="B74" s="542" t="s">
        <v>82</v>
      </c>
      <c r="C74" s="543"/>
      <c r="D74" s="543"/>
      <c r="E74" s="544"/>
      <c r="F74" s="203"/>
      <c r="G74" s="548" t="s">
        <v>114</v>
      </c>
      <c r="H74" s="549"/>
      <c r="I74" s="550"/>
      <c r="J74" s="230"/>
      <c r="K74" s="653" t="s">
        <v>104</v>
      </c>
      <c r="L74" s="654"/>
      <c r="M74" s="655"/>
      <c r="N74" s="247"/>
    </row>
    <row r="75" spans="1:26" x14ac:dyDescent="0.25">
      <c r="A75" s="246"/>
      <c r="B75" s="545" t="s">
        <v>83</v>
      </c>
      <c r="C75" s="546"/>
      <c r="D75" s="546"/>
      <c r="E75" s="547"/>
      <c r="F75" s="28"/>
      <c r="G75" s="553" t="s">
        <v>50</v>
      </c>
      <c r="H75" s="554"/>
      <c r="I75" s="240" t="s">
        <v>115</v>
      </c>
      <c r="J75" s="231"/>
      <c r="K75" s="547" t="s">
        <v>84</v>
      </c>
      <c r="L75" s="656"/>
      <c r="M75" s="657"/>
      <c r="N75" s="247"/>
    </row>
    <row r="76" spans="1:26" x14ac:dyDescent="0.25">
      <c r="A76" s="246"/>
      <c r="B76" s="545" t="s">
        <v>78</v>
      </c>
      <c r="C76" s="547"/>
      <c r="D76" s="239" t="s">
        <v>85</v>
      </c>
      <c r="E76" s="239" t="s">
        <v>86</v>
      </c>
      <c r="F76" s="24"/>
      <c r="G76" s="208">
        <f>$C$28</f>
        <v>2021</v>
      </c>
      <c r="H76" s="209" t="s">
        <v>116</v>
      </c>
      <c r="I76" s="452"/>
      <c r="J76" s="232"/>
      <c r="K76" s="547" t="s">
        <v>78</v>
      </c>
      <c r="L76" s="656"/>
      <c r="M76" s="312" t="s">
        <v>87</v>
      </c>
      <c r="N76" s="247"/>
    </row>
    <row r="77" spans="1:26" x14ac:dyDescent="0.25">
      <c r="A77" s="246"/>
      <c r="B77" s="313" t="s">
        <v>130</v>
      </c>
      <c r="C77" s="163">
        <f t="shared" ref="C77:C83" si="3">$C$28</f>
        <v>2021</v>
      </c>
      <c r="D77" s="449"/>
      <c r="E77" s="450"/>
      <c r="F77" s="233"/>
      <c r="G77" s="208">
        <f>$C$28</f>
        <v>2021</v>
      </c>
      <c r="H77" s="210" t="s">
        <v>117</v>
      </c>
      <c r="I77" s="453"/>
      <c r="J77" s="211"/>
      <c r="K77" s="212" t="s">
        <v>18</v>
      </c>
      <c r="L77" s="163">
        <f>IF($I$51="x",$C$17,$C$28)</f>
        <v>2021</v>
      </c>
      <c r="M77" s="454"/>
      <c r="N77" s="247"/>
      <c r="O77" s="213" t="str">
        <f>IF(AND($I$49="x",M77&gt;0),"effacer les données","")</f>
        <v/>
      </c>
    </row>
    <row r="78" spans="1:26" x14ac:dyDescent="0.25">
      <c r="A78" s="246"/>
      <c r="B78" s="314" t="s">
        <v>131</v>
      </c>
      <c r="C78" s="163">
        <f t="shared" si="3"/>
        <v>2021</v>
      </c>
      <c r="D78" s="449"/>
      <c r="E78" s="450"/>
      <c r="F78" s="233"/>
      <c r="G78" s="208">
        <f>$C$28+1</f>
        <v>2022</v>
      </c>
      <c r="H78" s="209" t="s">
        <v>118</v>
      </c>
      <c r="I78" s="453"/>
      <c r="J78" s="211"/>
      <c r="K78" s="212" t="s">
        <v>19</v>
      </c>
      <c r="L78" s="163">
        <f t="shared" ref="L78:L83" si="4">IF($I$51="x",$C$17,$C$28)</f>
        <v>2021</v>
      </c>
      <c r="M78" s="454"/>
      <c r="N78" s="247"/>
      <c r="O78" s="213" t="str">
        <f t="shared" ref="O78:O88" si="5">IF(AND($I$49="x",M78&gt;0),"effacer les données","")</f>
        <v/>
      </c>
    </row>
    <row r="79" spans="1:26" x14ac:dyDescent="0.25">
      <c r="A79" s="246"/>
      <c r="B79" s="314" t="s">
        <v>132</v>
      </c>
      <c r="C79" s="163">
        <f t="shared" si="3"/>
        <v>2021</v>
      </c>
      <c r="D79" s="449"/>
      <c r="E79" s="451"/>
      <c r="F79" s="233"/>
      <c r="G79" s="208">
        <f>$C$28+1</f>
        <v>2022</v>
      </c>
      <c r="H79" s="209" t="s">
        <v>119</v>
      </c>
      <c r="I79" s="453"/>
      <c r="J79" s="211"/>
      <c r="K79" s="212" t="s">
        <v>20</v>
      </c>
      <c r="L79" s="163">
        <f t="shared" si="4"/>
        <v>2021</v>
      </c>
      <c r="M79" s="454"/>
      <c r="N79" s="247"/>
      <c r="O79" s="213" t="str">
        <f t="shared" si="5"/>
        <v/>
      </c>
    </row>
    <row r="80" spans="1:26" x14ac:dyDescent="0.25">
      <c r="A80" s="246"/>
      <c r="B80" s="314" t="s">
        <v>133</v>
      </c>
      <c r="C80" s="163">
        <f t="shared" si="3"/>
        <v>2021</v>
      </c>
      <c r="D80" s="449"/>
      <c r="E80" s="450"/>
      <c r="F80" s="233"/>
      <c r="G80" s="208">
        <f>$C$28+1</f>
        <v>2022</v>
      </c>
      <c r="H80" s="209" t="s">
        <v>120</v>
      </c>
      <c r="I80" s="453"/>
      <c r="J80" s="211"/>
      <c r="K80" s="212" t="s">
        <v>21</v>
      </c>
      <c r="L80" s="163">
        <f t="shared" si="4"/>
        <v>2021</v>
      </c>
      <c r="M80" s="454"/>
      <c r="N80" s="247"/>
      <c r="O80" s="213" t="str">
        <f t="shared" si="5"/>
        <v/>
      </c>
    </row>
    <row r="81" spans="1:15" x14ac:dyDescent="0.25">
      <c r="A81" s="246"/>
      <c r="B81" s="314" t="s">
        <v>134</v>
      </c>
      <c r="C81" s="163">
        <f t="shared" si="3"/>
        <v>2021</v>
      </c>
      <c r="D81" s="449"/>
      <c r="E81" s="450"/>
      <c r="F81" s="233"/>
      <c r="G81" s="208">
        <f>$C$28+1</f>
        <v>2022</v>
      </c>
      <c r="H81" s="209" t="s">
        <v>121</v>
      </c>
      <c r="I81" s="453"/>
      <c r="J81" s="211"/>
      <c r="K81" s="212" t="s">
        <v>22</v>
      </c>
      <c r="L81" s="163">
        <f t="shared" si="4"/>
        <v>2021</v>
      </c>
      <c r="M81" s="454"/>
      <c r="N81" s="247"/>
      <c r="O81" s="213" t="str">
        <f t="shared" si="5"/>
        <v/>
      </c>
    </row>
    <row r="82" spans="1:15" x14ac:dyDescent="0.25">
      <c r="A82" s="246"/>
      <c r="B82" s="314" t="s">
        <v>116</v>
      </c>
      <c r="C82" s="163">
        <f t="shared" si="3"/>
        <v>2021</v>
      </c>
      <c r="D82" s="449"/>
      <c r="E82" s="450"/>
      <c r="F82" s="214">
        <f>SUM(D77:D82)</f>
        <v>0</v>
      </c>
      <c r="G82" s="551" t="s">
        <v>122</v>
      </c>
      <c r="H82" s="552"/>
      <c r="I82" s="215">
        <f>SUM(I76:I81)</f>
        <v>0</v>
      </c>
      <c r="J82" s="211"/>
      <c r="K82" s="212" t="s">
        <v>23</v>
      </c>
      <c r="L82" s="163">
        <f t="shared" si="4"/>
        <v>2021</v>
      </c>
      <c r="M82" s="454"/>
      <c r="N82" s="247"/>
      <c r="O82" s="213" t="str">
        <f t="shared" si="5"/>
        <v/>
      </c>
    </row>
    <row r="83" spans="1:15" x14ac:dyDescent="0.25">
      <c r="A83" s="246"/>
      <c r="B83" s="314" t="s">
        <v>117</v>
      </c>
      <c r="C83" s="163">
        <f t="shared" si="3"/>
        <v>2021</v>
      </c>
      <c r="D83" s="449"/>
      <c r="E83" s="450"/>
      <c r="F83" s="233"/>
      <c r="G83" s="555"/>
      <c r="H83" s="555"/>
      <c r="I83" s="216"/>
      <c r="J83" s="211"/>
      <c r="K83" s="212" t="s">
        <v>24</v>
      </c>
      <c r="L83" s="163">
        <f t="shared" si="4"/>
        <v>2021</v>
      </c>
      <c r="M83" s="454"/>
      <c r="N83" s="247"/>
      <c r="O83" s="213" t="str">
        <f t="shared" si="5"/>
        <v/>
      </c>
    </row>
    <row r="84" spans="1:15" x14ac:dyDescent="0.25">
      <c r="A84" s="246"/>
      <c r="B84" s="314" t="s">
        <v>118</v>
      </c>
      <c r="C84" s="163">
        <f>$C$28+1</f>
        <v>2022</v>
      </c>
      <c r="D84" s="449"/>
      <c r="E84" s="450"/>
      <c r="F84" s="233"/>
      <c r="G84" s="19"/>
      <c r="H84" s="30"/>
      <c r="I84" s="217"/>
      <c r="J84" s="211"/>
      <c r="K84" s="212" t="s">
        <v>25</v>
      </c>
      <c r="L84" s="163">
        <f>IF($I$51="x",$C$17+1,$C$28+1)</f>
        <v>2022</v>
      </c>
      <c r="M84" s="454"/>
      <c r="N84" s="247"/>
      <c r="O84" s="213" t="str">
        <f t="shared" si="5"/>
        <v/>
      </c>
    </row>
    <row r="85" spans="1:15" x14ac:dyDescent="0.25">
      <c r="A85" s="246"/>
      <c r="B85" s="314" t="s">
        <v>119</v>
      </c>
      <c r="C85" s="163">
        <f>$C$28+1</f>
        <v>2022</v>
      </c>
      <c r="D85" s="449"/>
      <c r="E85" s="450"/>
      <c r="F85" s="233"/>
      <c r="G85" s="19"/>
      <c r="H85" s="30"/>
      <c r="I85" s="217"/>
      <c r="J85" s="211"/>
      <c r="K85" s="212" t="s">
        <v>26</v>
      </c>
      <c r="L85" s="163">
        <f>IF($I$51="x",$C$17+1,$C$28+1)</f>
        <v>2022</v>
      </c>
      <c r="M85" s="454"/>
      <c r="N85" s="247"/>
      <c r="O85" s="213" t="str">
        <f t="shared" si="5"/>
        <v/>
      </c>
    </row>
    <row r="86" spans="1:15" x14ac:dyDescent="0.25">
      <c r="A86" s="246"/>
      <c r="B86" s="314" t="s">
        <v>120</v>
      </c>
      <c r="C86" s="163">
        <f>$C$28+1</f>
        <v>2022</v>
      </c>
      <c r="D86" s="449"/>
      <c r="E86" s="450"/>
      <c r="F86" s="233"/>
      <c r="G86" s="19"/>
      <c r="H86" s="30"/>
      <c r="I86" s="217"/>
      <c r="J86" s="211"/>
      <c r="K86" s="212" t="s">
        <v>27</v>
      </c>
      <c r="L86" s="163">
        <f>IF($I$51="x",$C$17+1,$C$28+1)</f>
        <v>2022</v>
      </c>
      <c r="M86" s="454"/>
      <c r="N86" s="247"/>
      <c r="O86" s="213" t="str">
        <f t="shared" si="5"/>
        <v/>
      </c>
    </row>
    <row r="87" spans="1:15" x14ac:dyDescent="0.25">
      <c r="A87" s="246"/>
      <c r="B87" s="314" t="s">
        <v>121</v>
      </c>
      <c r="C87" s="163">
        <f>$C$28+1</f>
        <v>2022</v>
      </c>
      <c r="D87" s="449"/>
      <c r="E87" s="450"/>
      <c r="F87" s="233"/>
      <c r="G87" s="19"/>
      <c r="H87" s="30"/>
      <c r="I87" s="217"/>
      <c r="J87" s="211"/>
      <c r="K87" s="212" t="s">
        <v>28</v>
      </c>
      <c r="L87" s="163">
        <f>IF($I$51="x",$C$17+1,$C$28+1)</f>
        <v>2022</v>
      </c>
      <c r="M87" s="454"/>
      <c r="N87" s="247"/>
      <c r="O87" s="213" t="str">
        <f t="shared" si="5"/>
        <v/>
      </c>
    </row>
    <row r="88" spans="1:15" x14ac:dyDescent="0.25">
      <c r="A88" s="246"/>
      <c r="B88" s="314" t="s">
        <v>91</v>
      </c>
      <c r="C88" s="163">
        <f>$C$28+1</f>
        <v>2022</v>
      </c>
      <c r="D88" s="449"/>
      <c r="E88" s="450"/>
      <c r="F88" s="233"/>
      <c r="G88" s="19"/>
      <c r="H88" s="30"/>
      <c r="I88" s="217"/>
      <c r="J88" s="211"/>
      <c r="K88" s="212" t="s">
        <v>88</v>
      </c>
      <c r="L88" s="163">
        <f>IF($I$51="x",$C$17+1,$C$28+1)</f>
        <v>2022</v>
      </c>
      <c r="M88" s="454"/>
      <c r="N88" s="247"/>
      <c r="O88" s="213" t="str">
        <f t="shared" si="5"/>
        <v/>
      </c>
    </row>
    <row r="89" spans="1:15" x14ac:dyDescent="0.25">
      <c r="A89" s="246"/>
      <c r="B89" s="315" t="s">
        <v>89</v>
      </c>
      <c r="C89" s="234"/>
      <c r="D89" s="181">
        <f>SUM(D77:D88)</f>
        <v>0</v>
      </c>
      <c r="E89" s="235"/>
      <c r="F89" s="32"/>
      <c r="G89" s="19"/>
      <c r="H89" s="31"/>
      <c r="I89" s="31"/>
      <c r="J89" s="218"/>
      <c r="K89" s="540" t="s">
        <v>90</v>
      </c>
      <c r="L89" s="541"/>
      <c r="M89" s="316">
        <f>SUM(M77:M88)</f>
        <v>0</v>
      </c>
      <c r="N89" s="247"/>
    </row>
    <row r="90" spans="1:15" x14ac:dyDescent="0.25">
      <c r="A90" s="246"/>
      <c r="B90" s="339"/>
      <c r="C90" s="291"/>
      <c r="D90" s="340"/>
      <c r="E90" s="341"/>
      <c r="F90" s="341"/>
      <c r="G90" s="289"/>
      <c r="H90" s="342"/>
      <c r="I90" s="342"/>
      <c r="J90" s="343"/>
      <c r="K90" s="344"/>
      <c r="L90" s="345">
        <f>L32+M72-M89</f>
        <v>662.22</v>
      </c>
      <c r="M90" s="346" t="str">
        <f>IF(M89&gt;L32,"Trop perçu",IF(M89&lt;L32,"A régulariser",""))</f>
        <v>A régulariser</v>
      </c>
      <c r="N90" s="247"/>
    </row>
    <row r="91" spans="1:15" ht="10.5" customHeight="1" thickBot="1" x14ac:dyDescent="0.3">
      <c r="A91" s="251"/>
      <c r="B91" s="252"/>
      <c r="C91" s="252"/>
      <c r="D91" s="252"/>
      <c r="E91" s="252"/>
      <c r="F91" s="252"/>
      <c r="G91" s="252"/>
      <c r="H91" s="252"/>
      <c r="I91" s="252"/>
      <c r="J91" s="252"/>
      <c r="K91" s="252"/>
      <c r="L91" s="252"/>
      <c r="M91" s="252"/>
      <c r="N91" s="256"/>
    </row>
    <row r="92" spans="1:15" ht="15.75" thickTop="1" x14ac:dyDescent="0.25"/>
  </sheetData>
  <sheetProtection selectLockedCells="1"/>
  <mergeCells count="74">
    <mergeCell ref="B68:J68"/>
    <mergeCell ref="B63:D63"/>
    <mergeCell ref="E63:F63"/>
    <mergeCell ref="B69:M69"/>
    <mergeCell ref="B76:C76"/>
    <mergeCell ref="K74:M74"/>
    <mergeCell ref="K75:M75"/>
    <mergeCell ref="K76:L76"/>
    <mergeCell ref="I64:J64"/>
    <mergeCell ref="I66:J66"/>
    <mergeCell ref="B64:H64"/>
    <mergeCell ref="B66:H66"/>
    <mergeCell ref="K66:L66"/>
    <mergeCell ref="J72:K72"/>
    <mergeCell ref="E51:G51"/>
    <mergeCell ref="L50:M50"/>
    <mergeCell ref="B41:D41"/>
    <mergeCell ref="B44:M44"/>
    <mergeCell ref="E50:H50"/>
    <mergeCell ref="L49:M49"/>
    <mergeCell ref="L48:M48"/>
    <mergeCell ref="B42:I42"/>
    <mergeCell ref="H45:J45"/>
    <mergeCell ref="B38:B40"/>
    <mergeCell ref="C38:C40"/>
    <mergeCell ref="D38:M38"/>
    <mergeCell ref="D39:M39"/>
    <mergeCell ref="D40:M40"/>
    <mergeCell ref="F28:G28"/>
    <mergeCell ref="F29:G29"/>
    <mergeCell ref="B32:K32"/>
    <mergeCell ref="B35:M35"/>
    <mergeCell ref="B36:M36"/>
    <mergeCell ref="G8:J8"/>
    <mergeCell ref="L12:M13"/>
    <mergeCell ref="L16:M16"/>
    <mergeCell ref="F12:G16"/>
    <mergeCell ref="F27:G27"/>
    <mergeCell ref="L14:M14"/>
    <mergeCell ref="I21:J21"/>
    <mergeCell ref="H24:J24"/>
    <mergeCell ref="H20:K20"/>
    <mergeCell ref="H19:K19"/>
    <mergeCell ref="C2:L2"/>
    <mergeCell ref="C3:L3"/>
    <mergeCell ref="C4:L4"/>
    <mergeCell ref="B6:M6"/>
    <mergeCell ref="B34:M34"/>
    <mergeCell ref="E10:G10"/>
    <mergeCell ref="H10:I10"/>
    <mergeCell ref="B12:C16"/>
    <mergeCell ref="D12:D16"/>
    <mergeCell ref="E12:E16"/>
    <mergeCell ref="H12:K16"/>
    <mergeCell ref="I22:J22"/>
    <mergeCell ref="B29:C29"/>
    <mergeCell ref="I29:J29"/>
    <mergeCell ref="B30:J30"/>
    <mergeCell ref="M7:M8"/>
    <mergeCell ref="K89:L89"/>
    <mergeCell ref="B74:E74"/>
    <mergeCell ref="B75:E75"/>
    <mergeCell ref="G74:I74"/>
    <mergeCell ref="G82:H82"/>
    <mergeCell ref="G75:H75"/>
    <mergeCell ref="G83:H83"/>
    <mergeCell ref="B58:L58"/>
    <mergeCell ref="B62:G62"/>
    <mergeCell ref="G63:H63"/>
    <mergeCell ref="B54:M54"/>
    <mergeCell ref="B56:L56"/>
    <mergeCell ref="I63:J63"/>
    <mergeCell ref="B59:M60"/>
    <mergeCell ref="I62:J62"/>
  </mergeCells>
  <conditionalFormatting sqref="K46:K47">
    <cfRule type="expression" dxfId="23" priority="28" stopIfTrue="1">
      <formula>L$32=K46</formula>
    </cfRule>
  </conditionalFormatting>
  <conditionalFormatting sqref="K49">
    <cfRule type="expression" dxfId="22" priority="31" stopIfTrue="1">
      <formula>L$32/12=K49</formula>
    </cfRule>
  </conditionalFormatting>
  <conditionalFormatting sqref="B8">
    <cfRule type="expression" dxfId="21" priority="34" stopIfTrue="1">
      <formula>$C$9&lt;&gt;""</formula>
    </cfRule>
  </conditionalFormatting>
  <conditionalFormatting sqref="B9:B10">
    <cfRule type="expression" dxfId="20" priority="35" stopIfTrue="1">
      <formula>$C$8&lt;&gt;""</formula>
    </cfRule>
  </conditionalFormatting>
  <conditionalFormatting sqref="L48:M48 K52">
    <cfRule type="notContainsBlanks" dxfId="19" priority="40">
      <formula>LEN(TRIM(K48))&gt;0</formula>
    </cfRule>
  </conditionalFormatting>
  <conditionalFormatting sqref="K49:M51">
    <cfRule type="notContainsBlanks" dxfId="18" priority="41">
      <formula>LEN(TRIM(K49))&gt;0</formula>
    </cfRule>
  </conditionalFormatting>
  <conditionalFormatting sqref="M90">
    <cfRule type="containsText" dxfId="17" priority="8" operator="containsText" text="Trop perçu">
      <formula>NOT(ISERROR(SEARCH("Trop perçu",M90)))</formula>
    </cfRule>
    <cfRule type="containsText" dxfId="16" priority="9" operator="containsText" text="A régulariser">
      <formula>NOT(ISERROR(SEARCH("A régulariser",M90)))</formula>
    </cfRule>
  </conditionalFormatting>
  <conditionalFormatting sqref="L90">
    <cfRule type="cellIs" dxfId="15" priority="4" operator="greaterThan">
      <formula>0</formula>
    </cfRule>
    <cfRule type="cellIs" dxfId="14" priority="5" operator="lessThan">
      <formula>0</formula>
    </cfRule>
  </conditionalFormatting>
  <conditionalFormatting sqref="I64:J64">
    <cfRule type="cellIs" dxfId="13" priority="3" operator="greaterThan">
      <formula>0</formula>
    </cfRule>
  </conditionalFormatting>
  <conditionalFormatting sqref="M52">
    <cfRule type="cellIs" dxfId="12" priority="1" operator="lessThan">
      <formula>0</formula>
    </cfRule>
    <cfRule type="cellIs" dxfId="11" priority="2" operator="greaterThan">
      <formula>0</formula>
    </cfRule>
  </conditionalFormatting>
  <printOptions horizontalCentered="1" verticalCentered="1"/>
  <pageMargins left="0" right="0" top="0.15748031496062992" bottom="0.15748031496062992" header="0" footer="0"/>
  <pageSetup paperSize="9" scale="65" orientation="portrait" r:id="rId1"/>
  <ignoredErrors>
    <ignoredError sqref="O77:O88 F82 I82 K46:K52 L48:L52 M51" emptyCellReference="1"/>
    <ignoredError sqref="M52" evalError="1"/>
  </ignoredError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79"/>
  <sheetViews>
    <sheetView tabSelected="1" topLeftCell="A31" zoomScaleNormal="100" workbookViewId="0">
      <selection activeCell="B46" sqref="B46"/>
    </sheetView>
  </sheetViews>
  <sheetFormatPr baseColWidth="10" defaultColWidth="11.7109375" defaultRowHeight="15" x14ac:dyDescent="0.25"/>
  <cols>
    <col min="1" max="1" width="2.7109375" style="18" customWidth="1"/>
    <col min="2" max="9" width="13.7109375" style="18" customWidth="1"/>
    <col min="10" max="10" width="15.5703125" style="18" customWidth="1"/>
    <col min="11" max="11" width="2.7109375" style="18" customWidth="1"/>
    <col min="12" max="16384" width="11.7109375" style="18"/>
  </cols>
  <sheetData>
    <row r="1" spans="1:13" ht="15.75" customHeight="1" thickTop="1" thickBot="1" x14ac:dyDescent="0.3">
      <c r="A1" s="501"/>
      <c r="B1" s="244"/>
      <c r="C1" s="244"/>
      <c r="D1" s="244"/>
      <c r="E1" s="244"/>
      <c r="F1" s="244"/>
      <c r="G1" s="244"/>
      <c r="H1" s="244"/>
      <c r="I1" s="244"/>
      <c r="J1" s="244"/>
      <c r="K1" s="245"/>
    </row>
    <row r="2" spans="1:13" ht="15.75" customHeight="1" thickTop="1" x14ac:dyDescent="0.25">
      <c r="A2" s="246"/>
      <c r="B2" s="26"/>
      <c r="C2" s="26"/>
      <c r="D2" s="710" t="s">
        <v>0</v>
      </c>
      <c r="E2" s="710"/>
      <c r="F2" s="710"/>
      <c r="G2" s="710"/>
      <c r="H2" s="710"/>
      <c r="I2" s="26"/>
      <c r="J2" s="26"/>
      <c r="K2" s="247"/>
    </row>
    <row r="3" spans="1:13" ht="15.75" customHeight="1" thickBot="1" x14ac:dyDescent="0.3">
      <c r="A3" s="246"/>
      <c r="B3" s="28"/>
      <c r="C3" s="19"/>
      <c r="D3" s="711" t="s">
        <v>136</v>
      </c>
      <c r="E3" s="711"/>
      <c r="F3" s="711"/>
      <c r="G3" s="711"/>
      <c r="H3" s="711"/>
      <c r="I3" s="19"/>
      <c r="J3" s="716" t="str">
        <f>AI!M7</f>
        <v>2020 / 2021</v>
      </c>
      <c r="K3" s="247"/>
    </row>
    <row r="4" spans="1:13" ht="15.75" customHeight="1" thickTop="1" x14ac:dyDescent="0.25">
      <c r="A4" s="246"/>
      <c r="B4" s="28"/>
      <c r="C4" s="19"/>
      <c r="D4" s="28"/>
      <c r="E4" s="28"/>
      <c r="F4" s="28"/>
      <c r="G4" s="28"/>
      <c r="H4" s="28"/>
      <c r="I4" s="19"/>
      <c r="J4" s="716"/>
      <c r="K4" s="247"/>
    </row>
    <row r="5" spans="1:13" ht="15.75" customHeight="1" x14ac:dyDescent="0.25">
      <c r="A5" s="246"/>
      <c r="B5" s="28"/>
      <c r="C5" s="19"/>
      <c r="D5" s="148" t="s">
        <v>3</v>
      </c>
      <c r="E5" s="712" t="str">
        <f>AI!G8</f>
        <v>BONHOMME Nathan</v>
      </c>
      <c r="F5" s="712"/>
      <c r="G5" s="712"/>
      <c r="H5" s="712"/>
      <c r="I5" s="19"/>
      <c r="J5" s="19"/>
      <c r="K5" s="247"/>
    </row>
    <row r="6" spans="1:13" ht="3.95" customHeight="1" x14ac:dyDescent="0.25">
      <c r="A6" s="246"/>
      <c r="B6" s="28"/>
      <c r="C6" s="19"/>
      <c r="D6" s="19"/>
      <c r="E6" s="28"/>
      <c r="F6" s="19"/>
      <c r="G6" s="19"/>
      <c r="H6" s="19"/>
      <c r="I6" s="19"/>
      <c r="J6" s="19"/>
      <c r="K6" s="247"/>
    </row>
    <row r="7" spans="1:13" ht="15.75" customHeight="1" thickBot="1" x14ac:dyDescent="0.3">
      <c r="A7" s="246"/>
      <c r="B7" s="19"/>
      <c r="C7" s="19"/>
      <c r="D7" s="19"/>
      <c r="E7" s="19"/>
      <c r="F7" s="19"/>
      <c r="G7" s="19"/>
      <c r="H7" s="19"/>
      <c r="I7" s="713" t="str">
        <f>IF(AI!C8="x","Calcul en Brut","Calcul en Net")</f>
        <v>Calcul en Brut</v>
      </c>
      <c r="J7" s="714"/>
      <c r="K7" s="247"/>
    </row>
    <row r="8" spans="1:13" ht="15.75" customHeight="1" thickTop="1" thickBot="1" x14ac:dyDescent="0.3">
      <c r="A8" s="246"/>
      <c r="B8" s="19"/>
      <c r="C8" s="19"/>
      <c r="D8" s="715">
        <f>AI!C28</f>
        <v>2021</v>
      </c>
      <c r="E8" s="715"/>
      <c r="F8" s="715"/>
      <c r="G8" s="715"/>
      <c r="H8" s="502">
        <f>AI!L32</f>
        <v>295.37</v>
      </c>
      <c r="I8" s="713"/>
      <c r="J8" s="714"/>
      <c r="K8" s="247"/>
      <c r="L8" s="137"/>
    </row>
    <row r="9" spans="1:13" ht="15.75" customHeight="1" thickTop="1" x14ac:dyDescent="0.25">
      <c r="A9" s="246"/>
      <c r="B9" s="19"/>
      <c r="C9" s="19"/>
      <c r="D9" s="19"/>
      <c r="E9" s="19"/>
      <c r="F9" s="19"/>
      <c r="G9" s="19"/>
      <c r="H9" s="19"/>
      <c r="I9" s="713"/>
      <c r="J9" s="714"/>
      <c r="K9" s="247"/>
    </row>
    <row r="10" spans="1:13" ht="3.95" customHeight="1" x14ac:dyDescent="0.25">
      <c r="A10" s="246"/>
      <c r="B10" s="19"/>
      <c r="C10" s="19"/>
      <c r="D10" s="19"/>
      <c r="E10" s="19"/>
      <c r="F10" s="19"/>
      <c r="G10" s="19"/>
      <c r="H10" s="19"/>
      <c r="I10" s="19"/>
      <c r="J10" s="19"/>
      <c r="K10" s="247"/>
    </row>
    <row r="11" spans="1:13" ht="15.75" customHeight="1" x14ac:dyDescent="0.25">
      <c r="A11" s="246"/>
      <c r="B11" s="707" t="s">
        <v>137</v>
      </c>
      <c r="C11" s="708"/>
      <c r="D11" s="708"/>
      <c r="E11" s="708"/>
      <c r="F11" s="708"/>
      <c r="G11" s="708"/>
      <c r="H11" s="708"/>
      <c r="I11" s="708"/>
      <c r="J11" s="709"/>
      <c r="K11" s="247"/>
    </row>
    <row r="12" spans="1:13" ht="3.95" customHeight="1" x14ac:dyDescent="0.25">
      <c r="A12" s="246"/>
      <c r="B12" s="19"/>
      <c r="C12" s="19"/>
      <c r="D12" s="19"/>
      <c r="E12" s="19"/>
      <c r="F12" s="19"/>
      <c r="G12" s="19"/>
      <c r="H12" s="19"/>
      <c r="I12" s="19"/>
      <c r="J12" s="242"/>
      <c r="K12" s="247"/>
    </row>
    <row r="13" spans="1:13" ht="15.75" customHeight="1" x14ac:dyDescent="0.25">
      <c r="A13" s="246"/>
      <c r="B13" s="26"/>
      <c r="C13" s="19"/>
      <c r="D13" s="19"/>
      <c r="E13" s="131" t="s">
        <v>138</v>
      </c>
      <c r="F13" s="132">
        <f>AI!F29</f>
        <v>8</v>
      </c>
      <c r="G13" s="19"/>
      <c r="H13" s="717" t="str">
        <f>IF(AI!Q54="x",AI!O54,IF(AI!Q56="x",AI!O56))</f>
        <v>Date de fin de contrat</v>
      </c>
      <c r="I13" s="717"/>
      <c r="J13" s="257">
        <f>AI!M56</f>
        <v>44071</v>
      </c>
      <c r="K13" s="247"/>
    </row>
    <row r="14" spans="1:13" ht="3.95" customHeight="1" x14ac:dyDescent="0.25">
      <c r="A14" s="246"/>
      <c r="B14" s="19"/>
      <c r="C14" s="19"/>
      <c r="D14" s="19"/>
      <c r="E14" s="19"/>
      <c r="F14" s="19"/>
      <c r="G14" s="19"/>
      <c r="H14" s="19"/>
      <c r="I14" s="19"/>
      <c r="J14" s="19"/>
      <c r="K14" s="247"/>
    </row>
    <row r="15" spans="1:13" ht="15.75" customHeight="1" x14ac:dyDescent="0.25">
      <c r="A15" s="246"/>
      <c r="B15" s="26"/>
      <c r="C15" s="26"/>
      <c r="D15" s="26"/>
      <c r="E15" s="131" t="s">
        <v>139</v>
      </c>
      <c r="F15" s="133">
        <f>IF(AI!I48="x",AI!K48,0)</f>
        <v>36.921250000000001</v>
      </c>
      <c r="G15" s="19"/>
      <c r="H15" s="19"/>
      <c r="I15" s="148" t="s">
        <v>140</v>
      </c>
      <c r="J15" s="258" t="str">
        <f>AI!K49</f>
        <v/>
      </c>
      <c r="K15" s="247"/>
      <c r="M15" s="490">
        <f>DATE(AI!L77,6,30)</f>
        <v>44377</v>
      </c>
    </row>
    <row r="16" spans="1:13" ht="3.95" customHeight="1" x14ac:dyDescent="0.25">
      <c r="A16" s="246"/>
      <c r="B16" s="19"/>
      <c r="C16" s="26"/>
      <c r="D16" s="26"/>
      <c r="E16" s="26"/>
      <c r="F16" s="26"/>
      <c r="G16" s="19"/>
      <c r="H16" s="19"/>
      <c r="I16" s="19"/>
      <c r="J16" s="19"/>
      <c r="K16" s="247"/>
    </row>
    <row r="17" spans="1:14" ht="15.75" customHeight="1" x14ac:dyDescent="0.25">
      <c r="A17" s="246"/>
      <c r="B17" s="19"/>
      <c r="C17" s="19"/>
      <c r="D17" s="26"/>
      <c r="E17" s="26"/>
      <c r="F17" s="19"/>
      <c r="G17" s="19"/>
      <c r="H17" s="148" t="s">
        <v>141</v>
      </c>
      <c r="I17" s="138" t="str">
        <f>IF(AI!I46="x","voir ci-dessous",IF(AI!I47="x","voir ci-dessous",IF(AI!I51="x","voir ci-dessous",IF(AI!I50="x","voir ci-dessous",""))))</f>
        <v/>
      </c>
      <c r="J17" s="19"/>
      <c r="K17" s="248"/>
    </row>
    <row r="18" spans="1:14" ht="3.95" customHeight="1" thickBot="1" x14ac:dyDescent="0.3">
      <c r="A18" s="246"/>
      <c r="B18" s="19"/>
      <c r="C18" s="19"/>
      <c r="D18" s="19"/>
      <c r="E18" s="19"/>
      <c r="F18" s="19"/>
      <c r="G18" s="19"/>
      <c r="H18" s="19"/>
      <c r="I18" s="19"/>
      <c r="J18" s="243"/>
      <c r="K18" s="247"/>
    </row>
    <row r="19" spans="1:14" ht="15.75" customHeight="1" thickTop="1" x14ac:dyDescent="0.25">
      <c r="A19" s="246"/>
      <c r="B19" s="718" t="s">
        <v>78</v>
      </c>
      <c r="C19" s="719"/>
      <c r="D19" s="722" t="s">
        <v>85</v>
      </c>
      <c r="E19" s="722" t="s">
        <v>55</v>
      </c>
      <c r="F19" s="723" t="s">
        <v>142</v>
      </c>
      <c r="G19" s="719" t="s">
        <v>78</v>
      </c>
      <c r="H19" s="719"/>
      <c r="I19" s="723" t="s">
        <v>143</v>
      </c>
      <c r="J19" s="725" t="s">
        <v>144</v>
      </c>
      <c r="K19" s="247"/>
    </row>
    <row r="20" spans="1:14" ht="9.4" customHeight="1" x14ac:dyDescent="0.25">
      <c r="A20" s="246"/>
      <c r="B20" s="720"/>
      <c r="C20" s="721"/>
      <c r="D20" s="578"/>
      <c r="E20" s="578"/>
      <c r="F20" s="724"/>
      <c r="G20" s="721"/>
      <c r="H20" s="721"/>
      <c r="I20" s="724"/>
      <c r="J20" s="726"/>
      <c r="K20" s="247"/>
      <c r="L20" s="134"/>
    </row>
    <row r="21" spans="1:14" ht="16.350000000000001" customHeight="1" x14ac:dyDescent="0.25">
      <c r="A21" s="246"/>
      <c r="B21" s="720"/>
      <c r="C21" s="721"/>
      <c r="D21" s="578"/>
      <c r="E21" s="578"/>
      <c r="F21" s="237" t="s">
        <v>145</v>
      </c>
      <c r="G21" s="721"/>
      <c r="H21" s="721"/>
      <c r="I21" s="238" t="s">
        <v>152</v>
      </c>
      <c r="J21" s="375" t="s">
        <v>146</v>
      </c>
      <c r="K21" s="247"/>
      <c r="L21" s="134"/>
    </row>
    <row r="22" spans="1:14" ht="15.75" customHeight="1" x14ac:dyDescent="0.25">
      <c r="A22" s="246"/>
      <c r="B22" s="720"/>
      <c r="C22" s="721"/>
      <c r="D22" s="578"/>
      <c r="E22" s="578"/>
      <c r="F22" s="241" t="s">
        <v>147</v>
      </c>
      <c r="G22" s="721"/>
      <c r="H22" s="721"/>
      <c r="I22" s="241" t="s">
        <v>147</v>
      </c>
      <c r="J22" s="376" t="s">
        <v>147</v>
      </c>
      <c r="K22" s="247"/>
    </row>
    <row r="23" spans="1:14" ht="15.75" customHeight="1" x14ac:dyDescent="0.25">
      <c r="A23" s="246"/>
      <c r="B23" s="697">
        <f>DATE(AI!$C$77,6,30)</f>
        <v>44377</v>
      </c>
      <c r="C23" s="698"/>
      <c r="D23" s="140">
        <f>AI!D77</f>
        <v>0</v>
      </c>
      <c r="E23" s="141">
        <f>AI!E77</f>
        <v>0</v>
      </c>
      <c r="F23" s="135">
        <f>IF($J$13&lt;B23,D23*$F$15,"")</f>
        <v>0</v>
      </c>
      <c r="G23" s="697">
        <f>DATE(AI!$C$77,6,1)</f>
        <v>44348</v>
      </c>
      <c r="H23" s="698"/>
      <c r="I23" s="135">
        <f>IF($J$13&gt;$M$15,AI!M77,0)</f>
        <v>0</v>
      </c>
      <c r="J23" s="377">
        <f>IF($J$13&gt;$M$15,$J$15,0)</f>
        <v>0</v>
      </c>
      <c r="K23" s="247"/>
    </row>
    <row r="24" spans="1:14" ht="15.75" customHeight="1" x14ac:dyDescent="0.25">
      <c r="A24" s="246"/>
      <c r="B24" s="697">
        <f>DATE(AI!$C$77,7,31)</f>
        <v>44408</v>
      </c>
      <c r="C24" s="698"/>
      <c r="D24" s="140">
        <f>AI!D78</f>
        <v>0</v>
      </c>
      <c r="E24" s="141">
        <f>AI!E78</f>
        <v>0</v>
      </c>
      <c r="F24" s="135">
        <f>IF($J$13&lt;B24,D24*$F$15,"")</f>
        <v>0</v>
      </c>
      <c r="G24" s="697">
        <f>DATE(AI!$C$77,7,1)</f>
        <v>44378</v>
      </c>
      <c r="H24" s="698"/>
      <c r="I24" s="135">
        <f>IF($J$13&gt;$M$15,AI!M78,0)</f>
        <v>0</v>
      </c>
      <c r="J24" s="377">
        <f t="shared" ref="J24:J34" si="0">IF($J$13&gt;$M$15,$J$15,0)</f>
        <v>0</v>
      </c>
      <c r="K24" s="247"/>
    </row>
    <row r="25" spans="1:14" ht="15.75" customHeight="1" x14ac:dyDescent="0.25">
      <c r="A25" s="246"/>
      <c r="B25" s="697">
        <f>DATE(AI!$C$77,8,31)</f>
        <v>44439</v>
      </c>
      <c r="C25" s="698"/>
      <c r="D25" s="140">
        <f>AI!D79</f>
        <v>0</v>
      </c>
      <c r="E25" s="141">
        <f>AI!E79</f>
        <v>0</v>
      </c>
      <c r="F25" s="135">
        <f>IF($J$13&lt;B25,D25*$F$15,"")</f>
        <v>0</v>
      </c>
      <c r="G25" s="697">
        <f>DATE(AI!$C$77,8,1)</f>
        <v>44409</v>
      </c>
      <c r="H25" s="698"/>
      <c r="I25" s="135">
        <f>IF($J$13&gt;$M$15,AI!M79,0)</f>
        <v>0</v>
      </c>
      <c r="J25" s="377">
        <f t="shared" si="0"/>
        <v>0</v>
      </c>
      <c r="K25" s="247"/>
    </row>
    <row r="26" spans="1:14" ht="15.75" customHeight="1" x14ac:dyDescent="0.25">
      <c r="A26" s="246"/>
      <c r="B26" s="697">
        <f>DATE(AI!$C$77,9,30)</f>
        <v>44469</v>
      </c>
      <c r="C26" s="698"/>
      <c r="D26" s="140">
        <f>AI!D80</f>
        <v>0</v>
      </c>
      <c r="E26" s="141">
        <f>AI!E80</f>
        <v>0</v>
      </c>
      <c r="F26" s="135">
        <f t="shared" ref="F26:F34" si="1">IF($J$13&lt;B26,D26*$F$15,"")</f>
        <v>0</v>
      </c>
      <c r="G26" s="697">
        <f>DATE(AI!$C$77,9,1)</f>
        <v>44440</v>
      </c>
      <c r="H26" s="698"/>
      <c r="I26" s="135">
        <f>IF($J$13&gt;$M$15,AI!M80,0)</f>
        <v>0</v>
      </c>
      <c r="J26" s="377">
        <f t="shared" si="0"/>
        <v>0</v>
      </c>
      <c r="K26" s="247"/>
    </row>
    <row r="27" spans="1:14" ht="15.75" customHeight="1" x14ac:dyDescent="0.25">
      <c r="A27" s="246"/>
      <c r="B27" s="697">
        <f>DATE(AI!$C$77,10,31)</f>
        <v>44500</v>
      </c>
      <c r="C27" s="698"/>
      <c r="D27" s="140">
        <f>AI!D81</f>
        <v>0</v>
      </c>
      <c r="E27" s="141">
        <f>AI!E81</f>
        <v>0</v>
      </c>
      <c r="F27" s="135">
        <f t="shared" si="1"/>
        <v>0</v>
      </c>
      <c r="G27" s="697">
        <f>DATE(AI!$C$77,10,1)</f>
        <v>44470</v>
      </c>
      <c r="H27" s="698"/>
      <c r="I27" s="135">
        <f>IF($J$13&gt;$M$15,AI!M81,0)</f>
        <v>0</v>
      </c>
      <c r="J27" s="377">
        <f t="shared" si="0"/>
        <v>0</v>
      </c>
      <c r="K27" s="247"/>
      <c r="N27" s="142"/>
    </row>
    <row r="28" spans="1:14" ht="15.75" customHeight="1" x14ac:dyDescent="0.25">
      <c r="A28" s="246"/>
      <c r="B28" s="697">
        <f>DATE(AI!$C$77,11,30)</f>
        <v>44530</v>
      </c>
      <c r="C28" s="698"/>
      <c r="D28" s="140">
        <f>AI!D82</f>
        <v>0</v>
      </c>
      <c r="E28" s="141">
        <f>AI!E82</f>
        <v>0</v>
      </c>
      <c r="F28" s="135">
        <f t="shared" si="1"/>
        <v>0</v>
      </c>
      <c r="G28" s="697">
        <f>DATE(AI!$C$77,11,1)</f>
        <v>44501</v>
      </c>
      <c r="H28" s="698"/>
      <c r="I28" s="135">
        <f>IF($J$13&gt;$M$15,AI!M82,0)</f>
        <v>0</v>
      </c>
      <c r="J28" s="377">
        <f t="shared" si="0"/>
        <v>0</v>
      </c>
      <c r="K28" s="247"/>
    </row>
    <row r="29" spans="1:14" ht="15.75" customHeight="1" x14ac:dyDescent="0.25">
      <c r="A29" s="246"/>
      <c r="B29" s="697">
        <f>DATE(AI!$C$77,12,31)</f>
        <v>44561</v>
      </c>
      <c r="C29" s="698"/>
      <c r="D29" s="140">
        <f>AI!D83</f>
        <v>0</v>
      </c>
      <c r="E29" s="141">
        <f>AI!E83</f>
        <v>0</v>
      </c>
      <c r="F29" s="135">
        <f t="shared" si="1"/>
        <v>0</v>
      </c>
      <c r="G29" s="697">
        <f>DATE(AI!$C$77,12,1)</f>
        <v>44531</v>
      </c>
      <c r="H29" s="698"/>
      <c r="I29" s="135">
        <f>IF($J$13&gt;$M$15,AI!M83,0)</f>
        <v>0</v>
      </c>
      <c r="J29" s="377">
        <f t="shared" si="0"/>
        <v>0</v>
      </c>
      <c r="K29" s="247"/>
      <c r="N29" s="142"/>
    </row>
    <row r="30" spans="1:14" ht="15.75" customHeight="1" x14ac:dyDescent="0.25">
      <c r="A30" s="246"/>
      <c r="B30" s="697">
        <f>DATE(AI!$C$77+1,1,31)</f>
        <v>44592</v>
      </c>
      <c r="C30" s="698"/>
      <c r="D30" s="140">
        <f>AI!D84</f>
        <v>0</v>
      </c>
      <c r="E30" s="141">
        <f>AI!E84</f>
        <v>0</v>
      </c>
      <c r="F30" s="135">
        <f t="shared" si="1"/>
        <v>0</v>
      </c>
      <c r="G30" s="697">
        <f>DATE(AI!$C$77+1,1,1)</f>
        <v>44562</v>
      </c>
      <c r="H30" s="698"/>
      <c r="I30" s="135">
        <f>IF($J$13&gt;$M$15,AI!M84,0)</f>
        <v>0</v>
      </c>
      <c r="J30" s="377">
        <f t="shared" si="0"/>
        <v>0</v>
      </c>
      <c r="K30" s="247"/>
    </row>
    <row r="31" spans="1:14" ht="15.75" customHeight="1" x14ac:dyDescent="0.25">
      <c r="A31" s="246"/>
      <c r="B31" s="697">
        <f>DATE(AI!$C$77+1,2,29)</f>
        <v>44621</v>
      </c>
      <c r="C31" s="698"/>
      <c r="D31" s="140">
        <f>AI!D85</f>
        <v>0</v>
      </c>
      <c r="E31" s="141">
        <f>AI!E85</f>
        <v>0</v>
      </c>
      <c r="F31" s="135">
        <f t="shared" si="1"/>
        <v>0</v>
      </c>
      <c r="G31" s="697">
        <f>DATE(AI!$C$77+1,2,1)</f>
        <v>44593</v>
      </c>
      <c r="H31" s="698"/>
      <c r="I31" s="135">
        <f>IF($J$13&gt;$M$15,AI!M85,0)</f>
        <v>0</v>
      </c>
      <c r="J31" s="377">
        <f t="shared" si="0"/>
        <v>0</v>
      </c>
      <c r="K31" s="247"/>
    </row>
    <row r="32" spans="1:14" ht="15.75" customHeight="1" x14ac:dyDescent="0.25">
      <c r="A32" s="246"/>
      <c r="B32" s="697">
        <f>DATE(AI!$C$77+1,3,31)</f>
        <v>44651</v>
      </c>
      <c r="C32" s="698"/>
      <c r="D32" s="140">
        <f>AI!D86</f>
        <v>0</v>
      </c>
      <c r="E32" s="141">
        <f>AI!E86</f>
        <v>0</v>
      </c>
      <c r="F32" s="135">
        <f t="shared" si="1"/>
        <v>0</v>
      </c>
      <c r="G32" s="697">
        <f>DATE(AI!$C$77+1,3,1)</f>
        <v>44621</v>
      </c>
      <c r="H32" s="698"/>
      <c r="I32" s="135">
        <f>IF($J$13&gt;$M$15,AI!M86,0)</f>
        <v>0</v>
      </c>
      <c r="J32" s="377">
        <f t="shared" si="0"/>
        <v>0</v>
      </c>
      <c r="K32" s="247"/>
    </row>
    <row r="33" spans="1:15" ht="15.75" customHeight="1" x14ac:dyDescent="0.25">
      <c r="A33" s="246"/>
      <c r="B33" s="697">
        <f>DATE(AI!$C$77+1,4,30)</f>
        <v>44681</v>
      </c>
      <c r="C33" s="698"/>
      <c r="D33" s="140">
        <f>AI!D87</f>
        <v>0</v>
      </c>
      <c r="E33" s="141">
        <f>AI!E87</f>
        <v>0</v>
      </c>
      <c r="F33" s="135">
        <f t="shared" si="1"/>
        <v>0</v>
      </c>
      <c r="G33" s="697">
        <f>DATE(AI!$C$77+1,4,1)</f>
        <v>44652</v>
      </c>
      <c r="H33" s="698"/>
      <c r="I33" s="135">
        <f>IF($J$13&gt;$M$15,AI!M87,0)</f>
        <v>0</v>
      </c>
      <c r="J33" s="377">
        <f t="shared" si="0"/>
        <v>0</v>
      </c>
      <c r="K33" s="247"/>
    </row>
    <row r="34" spans="1:15" ht="15.75" customHeight="1" x14ac:dyDescent="0.25">
      <c r="A34" s="246"/>
      <c r="B34" s="699">
        <f>DATE(AI!$C$77+1,5,31)</f>
        <v>44712</v>
      </c>
      <c r="C34" s="700"/>
      <c r="D34" s="260">
        <f>AI!D88</f>
        <v>0</v>
      </c>
      <c r="E34" s="261">
        <f>AI!E88</f>
        <v>0</v>
      </c>
      <c r="F34" s="135">
        <f t="shared" si="1"/>
        <v>0</v>
      </c>
      <c r="G34" s="699">
        <f>DATE(AI!$C$77+1,5,1)</f>
        <v>44682</v>
      </c>
      <c r="H34" s="700"/>
      <c r="I34" s="135">
        <f>IF($J$13&gt;$M$15,AI!M88,0)</f>
        <v>0</v>
      </c>
      <c r="J34" s="377">
        <f t="shared" si="0"/>
        <v>0</v>
      </c>
      <c r="K34" s="247"/>
      <c r="L34" s="143"/>
      <c r="N34" s="142"/>
    </row>
    <row r="35" spans="1:15" s="144" customFormat="1" ht="15.75" customHeight="1" thickBot="1" x14ac:dyDescent="0.3">
      <c r="A35" s="249"/>
      <c r="B35" s="727" t="s">
        <v>148</v>
      </c>
      <c r="C35" s="728"/>
      <c r="D35" s="378">
        <f>SUM(D23:D34)</f>
        <v>0</v>
      </c>
      <c r="E35" s="379"/>
      <c r="F35" s="380">
        <f>SUM(F23:F34)</f>
        <v>0</v>
      </c>
      <c r="G35" s="729" t="s">
        <v>149</v>
      </c>
      <c r="H35" s="730"/>
      <c r="I35" s="381">
        <f>SUM(I23:I34)</f>
        <v>0</v>
      </c>
      <c r="J35" s="380">
        <f>SUM(J23:J34)</f>
        <v>0</v>
      </c>
      <c r="K35" s="250"/>
      <c r="L35" s="143"/>
      <c r="N35" s="142"/>
    </row>
    <row r="36" spans="1:15" ht="9.9499999999999993" customHeight="1" thickTop="1" x14ac:dyDescent="0.25">
      <c r="A36" s="246"/>
      <c r="B36" s="19"/>
      <c r="C36" s="19"/>
      <c r="D36" s="731" t="s">
        <v>8</v>
      </c>
      <c r="E36" s="731"/>
      <c r="F36" s="731"/>
      <c r="G36" s="731"/>
      <c r="H36" s="731"/>
      <c r="I36" s="731"/>
      <c r="J36" s="19"/>
      <c r="K36" s="247"/>
      <c r="N36" s="23"/>
    </row>
    <row r="37" spans="1:15" ht="15.75" customHeight="1" x14ac:dyDescent="0.25">
      <c r="A37" s="246"/>
      <c r="B37" s="705" t="s">
        <v>181</v>
      </c>
      <c r="C37" s="706"/>
      <c r="D37" s="706"/>
      <c r="E37" s="706"/>
      <c r="F37" s="706"/>
      <c r="G37" s="706"/>
      <c r="H37" s="509">
        <f>AI!C77</f>
        <v>2021</v>
      </c>
      <c r="I37" s="510"/>
      <c r="J37" s="511"/>
      <c r="K37" s="247"/>
      <c r="N37" s="23"/>
    </row>
    <row r="38" spans="1:15" ht="15.75" customHeight="1" x14ac:dyDescent="0.25">
      <c r="A38" s="246"/>
      <c r="B38" s="701" t="s">
        <v>175</v>
      </c>
      <c r="C38" s="702"/>
      <c r="D38" s="702"/>
      <c r="E38" s="702"/>
      <c r="F38" s="702"/>
      <c r="G38" s="702"/>
      <c r="H38" s="507" t="str">
        <f>CONCATENATE(AI!C17-1,"/",AI!C28-1)</f>
        <v>2019/2020</v>
      </c>
      <c r="I38" s="508">
        <f>AI!M72</f>
        <v>366.85</v>
      </c>
      <c r="J38" s="506"/>
      <c r="K38" s="247"/>
    </row>
    <row r="39" spans="1:15" ht="15.75" customHeight="1" x14ac:dyDescent="0.25">
      <c r="A39" s="246"/>
      <c r="B39" s="703" t="s">
        <v>176</v>
      </c>
      <c r="C39" s="704"/>
      <c r="D39" s="704"/>
      <c r="E39" s="704"/>
      <c r="F39" s="704"/>
      <c r="G39" s="704"/>
      <c r="H39" s="492" t="str">
        <f>CONCATENATE(AI!C17-1,"/",AI!C28-1)</f>
        <v>2019/2020</v>
      </c>
      <c r="I39" s="491">
        <f>AI!L72</f>
        <v>10</v>
      </c>
      <c r="J39" s="857"/>
      <c r="K39" s="247"/>
    </row>
    <row r="40" spans="1:15" ht="15.75" customHeight="1" x14ac:dyDescent="0.25">
      <c r="A40" s="246"/>
      <c r="B40" s="679" t="s">
        <v>177</v>
      </c>
      <c r="C40" s="680"/>
      <c r="D40" s="680"/>
      <c r="E40" s="680"/>
      <c r="F40" s="680"/>
      <c r="G40" s="680"/>
      <c r="H40" s="514">
        <f>AI!C21</f>
        <v>2020</v>
      </c>
      <c r="I40" s="518">
        <f>IF(AI!I66="non dû",0,AI!I66)</f>
        <v>0</v>
      </c>
      <c r="J40" s="858">
        <f>IF(AI!I66="non dû",0,AI!I64-AI!I82)</f>
        <v>0</v>
      </c>
      <c r="K40" s="247"/>
      <c r="N40" s="142"/>
      <c r="O40" s="142"/>
    </row>
    <row r="41" spans="1:15" ht="15.75" customHeight="1" x14ac:dyDescent="0.25">
      <c r="A41" s="246"/>
      <c r="B41" s="512"/>
      <c r="C41" s="513"/>
      <c r="D41" s="513"/>
      <c r="E41" s="513"/>
      <c r="F41" s="513"/>
      <c r="G41" s="513"/>
      <c r="H41" s="516"/>
      <c r="I41" s="517"/>
      <c r="J41" s="859"/>
      <c r="K41" s="247"/>
      <c r="N41" s="142"/>
      <c r="O41" s="142"/>
    </row>
    <row r="42" spans="1:15" ht="15.75" customHeight="1" x14ac:dyDescent="0.25">
      <c r="A42" s="246"/>
      <c r="B42" s="681" t="s">
        <v>173</v>
      </c>
      <c r="C42" s="681"/>
      <c r="D42" s="681"/>
      <c r="E42" s="681"/>
      <c r="F42" s="681"/>
      <c r="G42" s="681"/>
      <c r="H42" s="681"/>
      <c r="I42" s="515">
        <f>IF(F35&gt;0,F35,IF(I35&gt;0,I35,IF(J35&gt;0,J35,0)))</f>
        <v>0</v>
      </c>
      <c r="J42" s="857">
        <f>D35</f>
        <v>0</v>
      </c>
      <c r="K42" s="247"/>
    </row>
    <row r="43" spans="1:15" ht="15.75" customHeight="1" x14ac:dyDescent="0.25">
      <c r="A43" s="246"/>
      <c r="B43" s="732" t="s">
        <v>174</v>
      </c>
      <c r="C43" s="732"/>
      <c r="D43" s="732"/>
      <c r="E43" s="732"/>
      <c r="F43" s="732"/>
      <c r="G43" s="732"/>
      <c r="H43" s="732"/>
      <c r="I43" s="262">
        <f>IF(F35&gt;0,D35*F15-F35,IF(I35&gt;0,I35,IF(J35&gt;0,J35,0)))</f>
        <v>0</v>
      </c>
      <c r="J43" s="857">
        <f>I43/AI!K24</f>
        <v>0</v>
      </c>
      <c r="K43" s="247"/>
    </row>
    <row r="44" spans="1:15" ht="9.9499999999999993" customHeight="1" thickBot="1" x14ac:dyDescent="0.3">
      <c r="A44" s="246"/>
      <c r="B44" s="19"/>
      <c r="C44" s="148"/>
      <c r="D44" s="19"/>
      <c r="E44" s="19"/>
      <c r="F44" s="19"/>
      <c r="G44" s="19"/>
      <c r="H44" s="19"/>
      <c r="I44" s="19"/>
      <c r="J44" s="860"/>
      <c r="K44" s="247"/>
    </row>
    <row r="45" spans="1:15" ht="15.75" customHeight="1" thickTop="1" thickBot="1" x14ac:dyDescent="0.3">
      <c r="A45" s="246"/>
      <c r="B45" s="688" t="str">
        <f>IF(H13="Date de fin de période","total congés payés restant dû","Total congés payer à reporter sur le BS ligne congés payés")</f>
        <v>Total congés payer à reporter sur le BS ligne congés payés</v>
      </c>
      <c r="C45" s="689"/>
      <c r="D45" s="689"/>
      <c r="E45" s="689"/>
      <c r="F45" s="689"/>
      <c r="G45" s="690"/>
      <c r="H45" s="686">
        <f>H8+I38+I40-I42+I43</f>
        <v>662.22</v>
      </c>
      <c r="I45" s="686"/>
      <c r="J45" s="19"/>
      <c r="K45" s="247"/>
    </row>
    <row r="46" spans="1:15" ht="8.1" customHeight="1" thickTop="1" thickBot="1" x14ac:dyDescent="0.3">
      <c r="A46" s="246"/>
      <c r="B46" s="19"/>
      <c r="C46" s="36"/>
      <c r="D46" s="36"/>
      <c r="E46" s="36"/>
      <c r="F46" s="145"/>
      <c r="G46" s="136"/>
      <c r="H46" s="19"/>
      <c r="I46" s="19"/>
      <c r="J46" s="19"/>
      <c r="K46" s="247"/>
    </row>
    <row r="47" spans="1:15" ht="15.75" customHeight="1" thickTop="1" thickBot="1" x14ac:dyDescent="0.3">
      <c r="A47" s="246"/>
      <c r="B47" s="691" t="s">
        <v>172</v>
      </c>
      <c r="C47" s="692"/>
      <c r="D47" s="692"/>
      <c r="E47" s="692"/>
      <c r="F47" s="692"/>
      <c r="G47" s="693"/>
      <c r="H47" s="694">
        <f>IF(H13="Date de fin de contrat",H8+I38-I42-I43,"")</f>
        <v>662.22</v>
      </c>
      <c r="I47" s="694"/>
      <c r="J47" s="19"/>
      <c r="K47" s="247"/>
    </row>
    <row r="48" spans="1:15" ht="8.1" customHeight="1" thickTop="1" thickBot="1" x14ac:dyDescent="0.3">
      <c r="A48" s="246"/>
      <c r="B48" s="19"/>
      <c r="C48" s="36"/>
      <c r="D48" s="36"/>
      <c r="E48" s="36"/>
      <c r="F48" s="145"/>
      <c r="G48" s="136"/>
      <c r="H48" s="19"/>
      <c r="I48" s="19"/>
      <c r="J48" s="19"/>
      <c r="K48" s="247"/>
    </row>
    <row r="49" spans="1:14" ht="15.75" customHeight="1" thickTop="1" thickBot="1" x14ac:dyDescent="0.3">
      <c r="A49" s="246"/>
      <c r="B49" s="691" t="s">
        <v>150</v>
      </c>
      <c r="C49" s="692"/>
      <c r="D49" s="692"/>
      <c r="E49" s="692"/>
      <c r="F49" s="692"/>
      <c r="G49" s="693"/>
      <c r="H49" s="687">
        <f>I39+J40+F13-J42-J43</f>
        <v>18</v>
      </c>
      <c r="I49" s="687"/>
      <c r="J49" s="19"/>
      <c r="K49" s="247"/>
    </row>
    <row r="50" spans="1:14" ht="15.75" customHeight="1" thickTop="1" thickBot="1" x14ac:dyDescent="0.3">
      <c r="A50" s="503"/>
      <c r="B50" s="252"/>
      <c r="C50" s="252"/>
      <c r="D50" s="253"/>
      <c r="E50" s="253"/>
      <c r="F50" s="253"/>
      <c r="G50" s="254"/>
      <c r="H50" s="255"/>
      <c r="I50" s="252"/>
      <c r="J50" s="252"/>
      <c r="K50" s="256"/>
    </row>
    <row r="51" spans="1:14" ht="15.75" customHeight="1" thickTop="1" thickBot="1" x14ac:dyDescent="0.3">
      <c r="B51" s="19"/>
      <c r="C51" s="19"/>
      <c r="D51" s="19"/>
      <c r="E51" s="19"/>
      <c r="F51" s="19"/>
      <c r="G51" s="201"/>
      <c r="H51" s="19"/>
      <c r="I51" s="19"/>
      <c r="J51" s="19"/>
    </row>
    <row r="52" spans="1:14" ht="16.5" thickTop="1" thickBot="1" x14ac:dyDescent="0.3">
      <c r="B52" s="478"/>
      <c r="C52" s="479"/>
      <c r="D52" s="479"/>
      <c r="E52" s="479"/>
      <c r="F52" s="479"/>
      <c r="G52" s="480"/>
    </row>
    <row r="53" spans="1:14" ht="15.75" customHeight="1" thickTop="1" thickBot="1" x14ac:dyDescent="0.3">
      <c r="B53" s="481"/>
      <c r="C53" s="682" t="s">
        <v>92</v>
      </c>
      <c r="D53" s="683"/>
      <c r="E53" s="683"/>
      <c r="F53" s="684"/>
      <c r="G53" s="482"/>
      <c r="L53" s="29"/>
      <c r="M53" s="29"/>
      <c r="N53" s="29"/>
    </row>
    <row r="54" spans="1:14" ht="15.75" thickTop="1" x14ac:dyDescent="0.25">
      <c r="B54" s="481"/>
      <c r="C54" s="483"/>
      <c r="D54" s="483"/>
      <c r="E54" s="483"/>
      <c r="F54" s="483"/>
      <c r="G54" s="482"/>
    </row>
    <row r="55" spans="1:14" x14ac:dyDescent="0.25">
      <c r="B55" s="695" t="s">
        <v>98</v>
      </c>
      <c r="C55" s="696"/>
      <c r="D55" s="685" t="s">
        <v>179</v>
      </c>
      <c r="E55" s="685"/>
      <c r="F55" s="685"/>
      <c r="G55" s="482"/>
    </row>
    <row r="56" spans="1:14" x14ac:dyDescent="0.25">
      <c r="B56" s="481"/>
      <c r="C56" s="483"/>
      <c r="D56" s="483"/>
      <c r="E56" s="483"/>
      <c r="F56" s="483"/>
      <c r="G56" s="482"/>
    </row>
    <row r="57" spans="1:14" x14ac:dyDescent="0.25">
      <c r="B57" s="481"/>
      <c r="C57" s="671" t="s">
        <v>95</v>
      </c>
      <c r="D57" s="671"/>
      <c r="E57" s="671"/>
      <c r="F57" s="494">
        <v>43891</v>
      </c>
      <c r="G57" s="482"/>
    </row>
    <row r="58" spans="1:14" ht="15.75" x14ac:dyDescent="0.25">
      <c r="B58" s="481"/>
      <c r="C58" s="483"/>
      <c r="D58" s="671" t="s">
        <v>97</v>
      </c>
      <c r="E58" s="671"/>
      <c r="F58" s="472" t="str">
        <f>CONCATENATE(D64," / ",D75)</f>
        <v>2020 / 2021</v>
      </c>
      <c r="G58" s="482"/>
    </row>
    <row r="59" spans="1:14" ht="15.75" x14ac:dyDescent="0.25">
      <c r="B59" s="481"/>
      <c r="C59" s="483"/>
      <c r="D59" s="483"/>
      <c r="E59" s="484"/>
      <c r="F59" s="485"/>
      <c r="G59" s="482"/>
    </row>
    <row r="60" spans="1:14" ht="15.75" x14ac:dyDescent="0.25">
      <c r="B60" s="481"/>
      <c r="C60" s="671" t="s">
        <v>96</v>
      </c>
      <c r="D60" s="671"/>
      <c r="E60" s="671"/>
      <c r="F60" s="495">
        <v>4</v>
      </c>
      <c r="G60" s="482"/>
    </row>
    <row r="61" spans="1:14" x14ac:dyDescent="0.25">
      <c r="B61" s="481"/>
      <c r="C61" s="483"/>
      <c r="D61" s="483"/>
      <c r="E61" s="483"/>
      <c r="F61" s="483"/>
      <c r="G61" s="482"/>
    </row>
    <row r="62" spans="1:14" x14ac:dyDescent="0.25">
      <c r="B62" s="481"/>
      <c r="C62" s="672" t="s">
        <v>83</v>
      </c>
      <c r="D62" s="673"/>
      <c r="E62" s="673"/>
      <c r="F62" s="674"/>
      <c r="G62" s="482"/>
    </row>
    <row r="63" spans="1:14" x14ac:dyDescent="0.25">
      <c r="B63" s="481"/>
      <c r="C63" s="474" t="s">
        <v>78</v>
      </c>
      <c r="D63" s="2"/>
      <c r="E63" s="7" t="s">
        <v>93</v>
      </c>
      <c r="F63" s="475" t="s">
        <v>86</v>
      </c>
      <c r="G63" s="482"/>
    </row>
    <row r="64" spans="1:14" x14ac:dyDescent="0.25">
      <c r="B64" s="481"/>
      <c r="C64" s="476" t="str">
        <f>TEXT(F57,"mmmm")</f>
        <v>mars</v>
      </c>
      <c r="D64" s="5" t="str">
        <f>TEXT(F57,"aaaa")</f>
        <v>2020</v>
      </c>
      <c r="E64" s="496"/>
      <c r="F64" s="497"/>
      <c r="G64" s="482"/>
    </row>
    <row r="65" spans="2:7" x14ac:dyDescent="0.25">
      <c r="B65" s="481"/>
      <c r="C65" s="476">
        <f>EDATE($F$57,1)</f>
        <v>43922</v>
      </c>
      <c r="D65" s="5" t="str">
        <f>TEXT(C65,"aaaa")</f>
        <v>2020</v>
      </c>
      <c r="E65" s="496"/>
      <c r="F65" s="497"/>
      <c r="G65" s="482"/>
    </row>
    <row r="66" spans="2:7" x14ac:dyDescent="0.25">
      <c r="B66" s="481"/>
      <c r="C66" s="476">
        <f>EDATE($F$57,2)</f>
        <v>43952</v>
      </c>
      <c r="D66" s="5" t="str">
        <f t="shared" ref="D66:D74" si="2">TEXT(C66,"aaaa")</f>
        <v>2020</v>
      </c>
      <c r="E66" s="496"/>
      <c r="F66" s="497"/>
      <c r="G66" s="482"/>
    </row>
    <row r="67" spans="2:7" x14ac:dyDescent="0.25">
      <c r="B67" s="481"/>
      <c r="C67" s="476">
        <f>EDATE($F$57,3)</f>
        <v>43983</v>
      </c>
      <c r="D67" s="5" t="str">
        <f t="shared" si="2"/>
        <v>2020</v>
      </c>
      <c r="E67" s="496"/>
      <c r="F67" s="497"/>
      <c r="G67" s="482"/>
    </row>
    <row r="68" spans="2:7" x14ac:dyDescent="0.25">
      <c r="B68" s="481"/>
      <c r="C68" s="476">
        <f>EDATE($F$57,4)</f>
        <v>44013</v>
      </c>
      <c r="D68" s="5" t="str">
        <f t="shared" si="2"/>
        <v>2020</v>
      </c>
      <c r="E68" s="496"/>
      <c r="F68" s="497"/>
      <c r="G68" s="482"/>
    </row>
    <row r="69" spans="2:7" x14ac:dyDescent="0.25">
      <c r="B69" s="481"/>
      <c r="C69" s="476">
        <f>EDATE($F$57,5)</f>
        <v>44044</v>
      </c>
      <c r="D69" s="5" t="str">
        <f t="shared" si="2"/>
        <v>2020</v>
      </c>
      <c r="E69" s="496">
        <v>1</v>
      </c>
      <c r="F69" s="497" t="s">
        <v>180</v>
      </c>
      <c r="G69" s="482"/>
    </row>
    <row r="70" spans="2:7" x14ac:dyDescent="0.25">
      <c r="B70" s="481"/>
      <c r="C70" s="476">
        <f>EDATE($F$57,6)</f>
        <v>44075</v>
      </c>
      <c r="D70" s="5" t="str">
        <f t="shared" si="2"/>
        <v>2020</v>
      </c>
      <c r="E70" s="496"/>
      <c r="F70" s="497"/>
      <c r="G70" s="482"/>
    </row>
    <row r="71" spans="2:7" x14ac:dyDescent="0.25">
      <c r="B71" s="481"/>
      <c r="C71" s="476">
        <f>EDATE($F$57,7)</f>
        <v>44105</v>
      </c>
      <c r="D71" s="5" t="str">
        <f t="shared" si="2"/>
        <v>2020</v>
      </c>
      <c r="E71" s="496"/>
      <c r="F71" s="497"/>
      <c r="G71" s="482"/>
    </row>
    <row r="72" spans="2:7" x14ac:dyDescent="0.25">
      <c r="B72" s="481"/>
      <c r="C72" s="476">
        <f>EDATE($F$57,8)</f>
        <v>44136</v>
      </c>
      <c r="D72" s="5" t="str">
        <f t="shared" si="2"/>
        <v>2020</v>
      </c>
      <c r="E72" s="496"/>
      <c r="F72" s="497"/>
      <c r="G72" s="482"/>
    </row>
    <row r="73" spans="2:7" x14ac:dyDescent="0.25">
      <c r="B73" s="481"/>
      <c r="C73" s="476">
        <f>EDATE($F$57,9)</f>
        <v>44166</v>
      </c>
      <c r="D73" s="5" t="str">
        <f t="shared" si="2"/>
        <v>2020</v>
      </c>
      <c r="E73" s="496"/>
      <c r="F73" s="497"/>
      <c r="G73" s="482"/>
    </row>
    <row r="74" spans="2:7" x14ac:dyDescent="0.25">
      <c r="B74" s="481"/>
      <c r="C74" s="476">
        <f>EDATE($F$57,10)</f>
        <v>44197</v>
      </c>
      <c r="D74" s="5" t="str">
        <f t="shared" si="2"/>
        <v>2021</v>
      </c>
      <c r="E74" s="496"/>
      <c r="F74" s="497"/>
      <c r="G74" s="482"/>
    </row>
    <row r="75" spans="2:7" x14ac:dyDescent="0.25">
      <c r="B75" s="481"/>
      <c r="C75" s="476">
        <f>EDATE($F$57,11)</f>
        <v>44228</v>
      </c>
      <c r="D75" s="5" t="str">
        <f>TEXT(C75,"aaaa")</f>
        <v>2021</v>
      </c>
      <c r="E75" s="496"/>
      <c r="F75" s="497"/>
      <c r="G75" s="482"/>
    </row>
    <row r="76" spans="2:7" x14ac:dyDescent="0.25">
      <c r="B76" s="481"/>
      <c r="C76" s="675" t="s">
        <v>94</v>
      </c>
      <c r="D76" s="676"/>
      <c r="E76" s="6">
        <f>SUM(E64:E75)</f>
        <v>1</v>
      </c>
      <c r="F76" s="477"/>
      <c r="G76" s="482"/>
    </row>
    <row r="77" spans="2:7" x14ac:dyDescent="0.25">
      <c r="B77" s="481"/>
      <c r="C77" s="677" t="s">
        <v>99</v>
      </c>
      <c r="D77" s="677"/>
      <c r="E77" s="678">
        <f>IF(E76&gt;F60,"supérieure au contrat",F60-E76)</f>
        <v>3</v>
      </c>
      <c r="F77" s="678"/>
      <c r="G77" s="482"/>
    </row>
    <row r="78" spans="2:7" ht="15.75" thickBot="1" x14ac:dyDescent="0.3">
      <c r="B78" s="486"/>
      <c r="C78" s="670" t="str">
        <f>IF(E77="supérieure au contrat","semaines non déduites au contrat sont dues à l'assmat","")</f>
        <v/>
      </c>
      <c r="D78" s="670"/>
      <c r="E78" s="670"/>
      <c r="F78" s="670"/>
      <c r="G78" s="487"/>
    </row>
    <row r="79" spans="2:7" ht="15.75" thickTop="1" x14ac:dyDescent="0.25"/>
  </sheetData>
  <sheetProtection selectLockedCells="1"/>
  <mergeCells count="65">
    <mergeCell ref="J19:J20"/>
    <mergeCell ref="B35:C35"/>
    <mergeCell ref="G35:H35"/>
    <mergeCell ref="D36:I36"/>
    <mergeCell ref="B43:H43"/>
    <mergeCell ref="B23:C23"/>
    <mergeCell ref="B34:C34"/>
    <mergeCell ref="B27:C27"/>
    <mergeCell ref="B26:C26"/>
    <mergeCell ref="B24:C24"/>
    <mergeCell ref="B25:C25"/>
    <mergeCell ref="B33:C33"/>
    <mergeCell ref="B32:C32"/>
    <mergeCell ref="B31:C31"/>
    <mergeCell ref="B30:C30"/>
    <mergeCell ref="B29:C29"/>
    <mergeCell ref="H13:I13"/>
    <mergeCell ref="B19:C22"/>
    <mergeCell ref="D19:D22"/>
    <mergeCell ref="E19:E22"/>
    <mergeCell ref="F19:F20"/>
    <mergeCell ref="G19:H22"/>
    <mergeCell ref="I19:I20"/>
    <mergeCell ref="B11:J11"/>
    <mergeCell ref="D2:H2"/>
    <mergeCell ref="D3:H3"/>
    <mergeCell ref="E5:H5"/>
    <mergeCell ref="I7:J9"/>
    <mergeCell ref="D8:G8"/>
    <mergeCell ref="J3:J4"/>
    <mergeCell ref="G23:H23"/>
    <mergeCell ref="G24:H24"/>
    <mergeCell ref="G25:H25"/>
    <mergeCell ref="G26:H26"/>
    <mergeCell ref="G27:H27"/>
    <mergeCell ref="G33:H33"/>
    <mergeCell ref="G34:H34"/>
    <mergeCell ref="B38:G38"/>
    <mergeCell ref="B39:G39"/>
    <mergeCell ref="G28:H28"/>
    <mergeCell ref="G29:H29"/>
    <mergeCell ref="G30:H30"/>
    <mergeCell ref="G31:H31"/>
    <mergeCell ref="G32:H32"/>
    <mergeCell ref="B28:C28"/>
    <mergeCell ref="B37:G37"/>
    <mergeCell ref="B40:G40"/>
    <mergeCell ref="B42:H42"/>
    <mergeCell ref="C53:F53"/>
    <mergeCell ref="D55:F55"/>
    <mergeCell ref="C57:E57"/>
    <mergeCell ref="H45:I45"/>
    <mergeCell ref="H49:I49"/>
    <mergeCell ref="B45:G45"/>
    <mergeCell ref="B49:G49"/>
    <mergeCell ref="B47:G47"/>
    <mergeCell ref="H47:I47"/>
    <mergeCell ref="B55:C55"/>
    <mergeCell ref="C78:F78"/>
    <mergeCell ref="D58:E58"/>
    <mergeCell ref="C60:E60"/>
    <mergeCell ref="C62:F62"/>
    <mergeCell ref="C76:D76"/>
    <mergeCell ref="C77:D77"/>
    <mergeCell ref="E77:F77"/>
  </mergeCells>
  <conditionalFormatting sqref="D36">
    <cfRule type="cellIs" dxfId="10" priority="2" stopIfTrue="1" operator="notEqual">
      <formula>""</formula>
    </cfRule>
  </conditionalFormatting>
  <conditionalFormatting sqref="J13">
    <cfRule type="cellIs" dxfId="9" priority="3" stopIfTrue="1" operator="equal">
      <formula>"Date FdC ?"</formula>
    </cfRule>
  </conditionalFormatting>
  <conditionalFormatting sqref="E77:F77">
    <cfRule type="containsText" dxfId="8" priority="1" operator="containsText" text="vous avez pris trop de semaine">
      <formula>NOT(ISERROR(SEARCH("vous avez pris trop de semaine",E77)))</formula>
    </cfRule>
  </conditionalFormatting>
  <printOptions horizontalCentered="1" verticalCentered="1"/>
  <pageMargins left="0.31496062992125984" right="0.31496062992125984" top="0.35433070866141736" bottom="0.35433070866141736" header="0" footer="0"/>
  <pageSetup paperSize="9" scale="74"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X59"/>
  <sheetViews>
    <sheetView topLeftCell="A28" zoomScale="115" zoomScaleNormal="115" workbookViewId="0">
      <selection activeCell="C7" sqref="C7"/>
    </sheetView>
  </sheetViews>
  <sheetFormatPr baseColWidth="10" defaultColWidth="11.7109375" defaultRowHeight="12.75" x14ac:dyDescent="0.25"/>
  <cols>
    <col min="1" max="1" width="2.7109375" style="39" customWidth="1"/>
    <col min="2" max="2" width="15.42578125" style="39" customWidth="1"/>
    <col min="3" max="3" width="5.5703125" style="39" customWidth="1"/>
    <col min="4" max="4" width="11.28515625" style="39" customWidth="1"/>
    <col min="5" max="6" width="12.140625" style="39" customWidth="1"/>
    <col min="7" max="7" width="8.5703125" style="39" customWidth="1"/>
    <col min="8" max="8" width="12.7109375" style="39" customWidth="1"/>
    <col min="9" max="9" width="5.5703125" style="39" customWidth="1"/>
    <col min="10" max="11" width="11.28515625" style="39" customWidth="1"/>
    <col min="12" max="12" width="2.7109375" style="39" customWidth="1"/>
    <col min="13" max="16384" width="11.7109375" style="39"/>
  </cols>
  <sheetData>
    <row r="1" spans="1:24" ht="13.9" customHeight="1" thickTop="1" thickBot="1" x14ac:dyDescent="0.3">
      <c r="A1" s="348"/>
      <c r="B1" s="349"/>
      <c r="C1" s="349"/>
      <c r="D1" s="349"/>
      <c r="E1" s="349"/>
      <c r="F1" s="349"/>
      <c r="G1" s="349"/>
      <c r="H1" s="349"/>
      <c r="I1" s="349"/>
      <c r="J1" s="349"/>
      <c r="K1" s="349"/>
      <c r="L1" s="350"/>
    </row>
    <row r="2" spans="1:24" ht="13.9" customHeight="1" thickTop="1" x14ac:dyDescent="0.25">
      <c r="A2" s="351"/>
      <c r="B2" s="40"/>
      <c r="C2" s="40"/>
      <c r="D2" s="755" t="s">
        <v>49</v>
      </c>
      <c r="E2" s="756"/>
      <c r="F2" s="756"/>
      <c r="G2" s="756"/>
      <c r="H2" s="756"/>
      <c r="I2" s="757"/>
      <c r="J2" s="40"/>
      <c r="K2" s="40"/>
      <c r="L2" s="352"/>
    </row>
    <row r="3" spans="1:24" ht="13.9" customHeight="1" thickBot="1" x14ac:dyDescent="0.3">
      <c r="A3" s="351"/>
      <c r="B3" s="40"/>
      <c r="C3" s="40"/>
      <c r="D3" s="758" t="s">
        <v>56</v>
      </c>
      <c r="E3" s="759"/>
      <c r="F3" s="759"/>
      <c r="G3" s="759"/>
      <c r="H3" s="759"/>
      <c r="I3" s="760"/>
      <c r="J3" s="40"/>
      <c r="K3" s="40"/>
      <c r="L3" s="352"/>
    </row>
    <row r="4" spans="1:24" ht="13.9" customHeight="1" thickTop="1" x14ac:dyDescent="0.25">
      <c r="A4" s="351"/>
      <c r="B4" s="41"/>
      <c r="C4" s="41"/>
      <c r="D4" s="41"/>
      <c r="E4" s="41"/>
      <c r="F4" s="41"/>
      <c r="G4" s="41"/>
      <c r="H4" s="41"/>
      <c r="I4" s="41"/>
      <c r="J4" s="41"/>
      <c r="K4" s="41"/>
      <c r="L4" s="352"/>
    </row>
    <row r="5" spans="1:24" ht="13.9" customHeight="1" x14ac:dyDescent="0.25">
      <c r="A5" s="351"/>
      <c r="B5" s="741" t="s">
        <v>57</v>
      </c>
      <c r="C5" s="741"/>
      <c r="D5" s="741"/>
      <c r="E5" s="741"/>
      <c r="F5" s="741"/>
      <c r="G5" s="741"/>
      <c r="H5" s="741"/>
      <c r="I5" s="741"/>
      <c r="J5" s="741"/>
      <c r="K5" s="741"/>
      <c r="L5" s="352"/>
    </row>
    <row r="6" spans="1:24" ht="13.9" customHeight="1" x14ac:dyDescent="0.25">
      <c r="A6" s="351"/>
      <c r="B6" s="41"/>
      <c r="C6" s="71" t="s">
        <v>1</v>
      </c>
      <c r="D6" s="42"/>
      <c r="E6" s="40"/>
      <c r="F6" s="40"/>
      <c r="G6" s="40"/>
      <c r="H6" s="40"/>
      <c r="I6" s="40"/>
      <c r="J6" s="40"/>
      <c r="K6" s="764" t="str">
        <f>CONCATENATE(C12," / ",C23)</f>
        <v>2018 / 2019</v>
      </c>
      <c r="L6" s="352"/>
    </row>
    <row r="7" spans="1:24" ht="13.9" customHeight="1" x14ac:dyDescent="0.25">
      <c r="A7" s="351"/>
      <c r="B7" s="8" t="s">
        <v>2</v>
      </c>
      <c r="C7" s="432" t="s">
        <v>5</v>
      </c>
      <c r="D7" s="40"/>
      <c r="E7" s="22" t="s">
        <v>3</v>
      </c>
      <c r="F7" s="750"/>
      <c r="G7" s="750"/>
      <c r="H7" s="750"/>
      <c r="I7" s="40"/>
      <c r="J7" s="40"/>
      <c r="K7" s="764"/>
      <c r="L7" s="352"/>
    </row>
    <row r="8" spans="1:24" ht="13.9" customHeight="1" x14ac:dyDescent="0.25">
      <c r="A8" s="351"/>
      <c r="B8" s="8" t="s">
        <v>4</v>
      </c>
      <c r="C8" s="432"/>
      <c r="D8" s="40"/>
      <c r="E8" s="40"/>
      <c r="F8" s="40"/>
      <c r="G8" s="40"/>
      <c r="H8" s="40"/>
      <c r="I8" s="40"/>
      <c r="J8" s="40"/>
      <c r="K8" s="40"/>
      <c r="L8" s="353"/>
      <c r="M8" s="43"/>
      <c r="N8" s="43"/>
      <c r="O8" s="44"/>
      <c r="P8" s="44"/>
      <c r="Q8" s="44"/>
      <c r="R8" s="44"/>
      <c r="S8" s="44"/>
      <c r="T8" s="43"/>
      <c r="U8" s="43"/>
      <c r="V8" s="43"/>
      <c r="W8" s="43"/>
      <c r="X8" s="43"/>
    </row>
    <row r="9" spans="1:24" ht="3.95" customHeight="1" x14ac:dyDescent="0.25">
      <c r="A9" s="351"/>
      <c r="B9" s="40"/>
      <c r="C9" s="45" t="s">
        <v>8</v>
      </c>
      <c r="D9" s="40"/>
      <c r="E9" s="40"/>
      <c r="F9" s="40"/>
      <c r="G9" s="40"/>
      <c r="H9" s="40"/>
      <c r="I9" s="40"/>
      <c r="J9" s="40"/>
      <c r="K9" s="40"/>
      <c r="L9" s="353"/>
      <c r="M9" s="43"/>
      <c r="N9" s="43"/>
      <c r="O9" s="44"/>
      <c r="P9" s="44"/>
      <c r="Q9" s="44"/>
      <c r="R9" s="44"/>
      <c r="S9" s="44"/>
      <c r="T9" s="43"/>
      <c r="U9" s="43"/>
      <c r="V9" s="43"/>
      <c r="W9" s="43"/>
      <c r="X9" s="43"/>
    </row>
    <row r="10" spans="1:24" s="49" customFormat="1" ht="13.9" customHeight="1" x14ac:dyDescent="0.25">
      <c r="A10" s="354"/>
      <c r="B10" s="734" t="s">
        <v>50</v>
      </c>
      <c r="C10" s="735"/>
      <c r="D10" s="733" t="s">
        <v>51</v>
      </c>
      <c r="E10" s="733" t="s">
        <v>52</v>
      </c>
      <c r="F10" s="733" t="s">
        <v>11</v>
      </c>
      <c r="G10" s="46"/>
      <c r="H10" s="734" t="s">
        <v>50</v>
      </c>
      <c r="I10" s="735"/>
      <c r="J10" s="751" t="s">
        <v>58</v>
      </c>
      <c r="K10" s="752"/>
      <c r="L10" s="355"/>
      <c r="M10" s="47"/>
      <c r="N10" s="47"/>
      <c r="O10" s="8"/>
      <c r="P10" s="48"/>
      <c r="Q10" s="44"/>
      <c r="R10" s="44"/>
      <c r="S10" s="44"/>
      <c r="T10" s="44"/>
      <c r="U10" s="44"/>
      <c r="V10" s="47"/>
      <c r="W10" s="47"/>
      <c r="X10" s="47"/>
    </row>
    <row r="11" spans="1:24" s="49" customFormat="1" ht="13.9" customHeight="1" x14ac:dyDescent="0.25">
      <c r="A11" s="354"/>
      <c r="B11" s="744" t="str">
        <f>CONCATENATE(C12," / ",C23)</f>
        <v>2018 / 2019</v>
      </c>
      <c r="C11" s="745"/>
      <c r="D11" s="733"/>
      <c r="E11" s="733"/>
      <c r="F11" s="733"/>
      <c r="G11" s="46"/>
      <c r="H11" s="744" t="str">
        <f>CONCATENATE(I12," / ",I23)</f>
        <v>2018 / 2019</v>
      </c>
      <c r="I11" s="745"/>
      <c r="J11" s="753"/>
      <c r="K11" s="754"/>
      <c r="L11" s="355"/>
      <c r="M11" s="47"/>
      <c r="N11" s="47"/>
      <c r="O11" s="8"/>
      <c r="P11" s="48"/>
      <c r="Q11" s="44"/>
      <c r="R11" s="44"/>
      <c r="S11" s="44"/>
      <c r="T11" s="44"/>
      <c r="U11" s="44"/>
      <c r="V11" s="47"/>
      <c r="W11" s="47"/>
      <c r="X11" s="47"/>
    </row>
    <row r="12" spans="1:24" ht="13.9" customHeight="1" x14ac:dyDescent="0.25">
      <c r="A12" s="351"/>
      <c r="B12" s="359" t="s">
        <v>18</v>
      </c>
      <c r="C12" s="433">
        <v>2018</v>
      </c>
      <c r="D12" s="434">
        <v>1</v>
      </c>
      <c r="E12" s="360">
        <f>D12*2.5</f>
        <v>2.5</v>
      </c>
      <c r="F12" s="765"/>
      <c r="G12" s="40"/>
      <c r="H12" s="359" t="s">
        <v>18</v>
      </c>
      <c r="I12" s="361">
        <f>C12</f>
        <v>2018</v>
      </c>
      <c r="J12" s="436"/>
      <c r="K12" s="366">
        <f>J12*10%</f>
        <v>0</v>
      </c>
      <c r="L12" s="353"/>
      <c r="M12" s="43"/>
      <c r="N12" s="43"/>
      <c r="O12" s="50"/>
      <c r="P12" s="51"/>
      <c r="Q12" s="52"/>
      <c r="R12" s="52"/>
      <c r="S12" s="53"/>
      <c r="T12" s="54"/>
      <c r="U12" s="54"/>
      <c r="V12" s="43"/>
      <c r="W12" s="43"/>
      <c r="X12" s="43"/>
    </row>
    <row r="13" spans="1:24" ht="13.9" customHeight="1" x14ac:dyDescent="0.25">
      <c r="A13" s="351"/>
      <c r="B13" s="359" t="s">
        <v>19</v>
      </c>
      <c r="C13" s="361">
        <f t="shared" ref="C13:C18" si="0">$C$12</f>
        <v>2018</v>
      </c>
      <c r="D13" s="434">
        <v>1</v>
      </c>
      <c r="E13" s="360">
        <f t="shared" ref="E13:E23" si="1">D13*2.5</f>
        <v>2.5</v>
      </c>
      <c r="F13" s="766"/>
      <c r="G13" s="40"/>
      <c r="H13" s="359" t="s">
        <v>19</v>
      </c>
      <c r="I13" s="361">
        <f>C13</f>
        <v>2018</v>
      </c>
      <c r="J13" s="436"/>
      <c r="K13" s="366">
        <f t="shared" ref="K13:K23" si="2">J13*10%</f>
        <v>0</v>
      </c>
      <c r="L13" s="353"/>
      <c r="M13" s="43"/>
      <c r="N13" s="43"/>
      <c r="O13" s="55"/>
      <c r="P13" s="56"/>
      <c r="Q13" s="52"/>
      <c r="R13" s="52"/>
      <c r="S13" s="53"/>
      <c r="T13" s="54"/>
      <c r="U13" s="54"/>
      <c r="V13" s="43"/>
      <c r="W13" s="43"/>
      <c r="X13" s="43"/>
    </row>
    <row r="14" spans="1:24" ht="13.9" customHeight="1" x14ac:dyDescent="0.25">
      <c r="A14" s="351"/>
      <c r="B14" s="359" t="s">
        <v>20</v>
      </c>
      <c r="C14" s="361">
        <f t="shared" si="0"/>
        <v>2018</v>
      </c>
      <c r="D14" s="435">
        <v>1</v>
      </c>
      <c r="E14" s="360">
        <f t="shared" si="1"/>
        <v>2.5</v>
      </c>
      <c r="F14" s="766"/>
      <c r="G14" s="40"/>
      <c r="H14" s="359" t="s">
        <v>20</v>
      </c>
      <c r="I14" s="361">
        <f t="shared" ref="I14:I23" si="3">C14</f>
        <v>2018</v>
      </c>
      <c r="J14" s="436"/>
      <c r="K14" s="366">
        <f t="shared" si="2"/>
        <v>0</v>
      </c>
      <c r="L14" s="353"/>
      <c r="M14" s="43"/>
      <c r="N14" s="43"/>
      <c r="O14" s="55"/>
      <c r="P14" s="56"/>
      <c r="Q14" s="52"/>
      <c r="R14" s="52"/>
      <c r="S14" s="53"/>
      <c r="T14" s="54"/>
      <c r="U14" s="54"/>
      <c r="V14" s="43"/>
      <c r="W14" s="43"/>
      <c r="X14" s="43"/>
    </row>
    <row r="15" spans="1:24" ht="13.9" customHeight="1" x14ac:dyDescent="0.25">
      <c r="A15" s="351"/>
      <c r="B15" s="359" t="s">
        <v>21</v>
      </c>
      <c r="C15" s="361">
        <f t="shared" si="0"/>
        <v>2018</v>
      </c>
      <c r="D15" s="435">
        <v>1</v>
      </c>
      <c r="E15" s="360">
        <f t="shared" si="1"/>
        <v>2.5</v>
      </c>
      <c r="F15" s="766"/>
      <c r="G15" s="40"/>
      <c r="H15" s="359" t="s">
        <v>21</v>
      </c>
      <c r="I15" s="361">
        <f t="shared" si="3"/>
        <v>2018</v>
      </c>
      <c r="J15" s="436"/>
      <c r="K15" s="366">
        <f t="shared" si="2"/>
        <v>0</v>
      </c>
      <c r="L15" s="353"/>
      <c r="M15" s="43"/>
      <c r="N15" s="43"/>
      <c r="O15" s="55"/>
      <c r="P15" s="56"/>
      <c r="Q15" s="52"/>
      <c r="R15" s="52"/>
      <c r="S15" s="53"/>
      <c r="T15" s="54"/>
      <c r="U15" s="54"/>
      <c r="V15" s="43"/>
      <c r="W15" s="43"/>
      <c r="X15" s="43"/>
    </row>
    <row r="16" spans="1:24" ht="13.9" customHeight="1" x14ac:dyDescent="0.25">
      <c r="A16" s="351"/>
      <c r="B16" s="359" t="s">
        <v>22</v>
      </c>
      <c r="C16" s="361">
        <f t="shared" si="0"/>
        <v>2018</v>
      </c>
      <c r="D16" s="435">
        <v>0.5</v>
      </c>
      <c r="E16" s="360">
        <f t="shared" si="1"/>
        <v>1.25</v>
      </c>
      <c r="F16" s="766"/>
      <c r="G16" s="40"/>
      <c r="H16" s="359" t="s">
        <v>22</v>
      </c>
      <c r="I16" s="361">
        <f t="shared" si="3"/>
        <v>2018</v>
      </c>
      <c r="J16" s="436"/>
      <c r="K16" s="366">
        <f t="shared" si="2"/>
        <v>0</v>
      </c>
      <c r="L16" s="353"/>
      <c r="M16" s="43"/>
      <c r="N16" s="43"/>
      <c r="O16" s="55"/>
      <c r="P16" s="56"/>
      <c r="Q16" s="52"/>
      <c r="R16" s="52"/>
      <c r="S16" s="53"/>
      <c r="T16" s="54"/>
      <c r="U16" s="54"/>
      <c r="V16" s="43"/>
      <c r="W16" s="43"/>
      <c r="X16" s="43"/>
    </row>
    <row r="17" spans="1:24" ht="13.9" customHeight="1" x14ac:dyDescent="0.25">
      <c r="A17" s="351"/>
      <c r="B17" s="359" t="s">
        <v>23</v>
      </c>
      <c r="C17" s="361">
        <f t="shared" si="0"/>
        <v>2018</v>
      </c>
      <c r="D17" s="435">
        <v>1</v>
      </c>
      <c r="E17" s="360">
        <f t="shared" si="1"/>
        <v>2.5</v>
      </c>
      <c r="F17" s="766"/>
      <c r="G17" s="40"/>
      <c r="H17" s="359" t="s">
        <v>23</v>
      </c>
      <c r="I17" s="361">
        <f t="shared" si="3"/>
        <v>2018</v>
      </c>
      <c r="J17" s="436"/>
      <c r="K17" s="366">
        <f t="shared" si="2"/>
        <v>0</v>
      </c>
      <c r="L17" s="353"/>
      <c r="M17" s="43"/>
      <c r="N17" s="43"/>
      <c r="O17" s="55"/>
      <c r="P17" s="56"/>
      <c r="Q17" s="52"/>
      <c r="R17" s="52"/>
      <c r="S17" s="53"/>
      <c r="T17" s="54"/>
      <c r="U17" s="54"/>
      <c r="V17" s="43"/>
      <c r="W17" s="43"/>
      <c r="X17" s="43"/>
    </row>
    <row r="18" spans="1:24" ht="13.9" customHeight="1" x14ac:dyDescent="0.25">
      <c r="A18" s="351"/>
      <c r="B18" s="359" t="s">
        <v>24</v>
      </c>
      <c r="C18" s="361">
        <f t="shared" si="0"/>
        <v>2018</v>
      </c>
      <c r="D18" s="435">
        <v>1</v>
      </c>
      <c r="E18" s="360">
        <f t="shared" si="1"/>
        <v>2.5</v>
      </c>
      <c r="F18" s="766"/>
      <c r="G18" s="40"/>
      <c r="H18" s="359" t="s">
        <v>24</v>
      </c>
      <c r="I18" s="361">
        <f t="shared" si="3"/>
        <v>2018</v>
      </c>
      <c r="J18" s="436"/>
      <c r="K18" s="366">
        <f t="shared" si="2"/>
        <v>0</v>
      </c>
      <c r="L18" s="353"/>
      <c r="M18" s="43"/>
      <c r="N18" s="43"/>
      <c r="O18" s="55"/>
      <c r="P18" s="56"/>
      <c r="Q18" s="52"/>
      <c r="R18" s="52"/>
      <c r="S18" s="53"/>
      <c r="T18" s="54"/>
      <c r="U18" s="54"/>
      <c r="V18" s="43"/>
      <c r="W18" s="43"/>
      <c r="X18" s="43"/>
    </row>
    <row r="19" spans="1:24" ht="13.9" customHeight="1" x14ac:dyDescent="0.25">
      <c r="A19" s="351"/>
      <c r="B19" s="359" t="s">
        <v>25</v>
      </c>
      <c r="C19" s="361">
        <f>$C$12+1</f>
        <v>2019</v>
      </c>
      <c r="D19" s="435">
        <v>1</v>
      </c>
      <c r="E19" s="360">
        <f t="shared" si="1"/>
        <v>2.5</v>
      </c>
      <c r="F19" s="766"/>
      <c r="G19" s="40"/>
      <c r="H19" s="359" t="s">
        <v>25</v>
      </c>
      <c r="I19" s="361">
        <f t="shared" si="3"/>
        <v>2019</v>
      </c>
      <c r="J19" s="436"/>
      <c r="K19" s="366">
        <f t="shared" si="2"/>
        <v>0</v>
      </c>
      <c r="L19" s="353"/>
      <c r="M19" s="43"/>
      <c r="N19" s="43"/>
      <c r="O19" s="55"/>
      <c r="P19" s="56"/>
      <c r="Q19" s="52"/>
      <c r="R19" s="52"/>
      <c r="S19" s="53"/>
      <c r="T19" s="54"/>
      <c r="U19" s="54"/>
      <c r="V19" s="43"/>
      <c r="W19" s="43"/>
      <c r="X19" s="43"/>
    </row>
    <row r="20" spans="1:24" ht="13.9" customHeight="1" x14ac:dyDescent="0.25">
      <c r="A20" s="351"/>
      <c r="B20" s="359" t="s">
        <v>26</v>
      </c>
      <c r="C20" s="361">
        <f>$C$12+1</f>
        <v>2019</v>
      </c>
      <c r="D20" s="435">
        <v>1</v>
      </c>
      <c r="E20" s="360">
        <f t="shared" si="1"/>
        <v>2.5</v>
      </c>
      <c r="F20" s="766"/>
      <c r="G20" s="40"/>
      <c r="H20" s="359" t="s">
        <v>26</v>
      </c>
      <c r="I20" s="361">
        <f t="shared" si="3"/>
        <v>2019</v>
      </c>
      <c r="J20" s="436"/>
      <c r="K20" s="366">
        <f t="shared" si="2"/>
        <v>0</v>
      </c>
      <c r="L20" s="353"/>
      <c r="M20" s="43"/>
      <c r="N20" s="43"/>
      <c r="O20" s="55"/>
      <c r="P20" s="56"/>
      <c r="Q20" s="52"/>
      <c r="R20" s="52"/>
      <c r="S20" s="53"/>
      <c r="T20" s="54"/>
      <c r="U20" s="54"/>
      <c r="V20" s="43"/>
      <c r="W20" s="43"/>
      <c r="X20" s="43"/>
    </row>
    <row r="21" spans="1:24" ht="13.9" customHeight="1" x14ac:dyDescent="0.25">
      <c r="A21" s="351"/>
      <c r="B21" s="359" t="s">
        <v>27</v>
      </c>
      <c r="C21" s="361">
        <f>$C$12+1</f>
        <v>2019</v>
      </c>
      <c r="D21" s="435">
        <v>1</v>
      </c>
      <c r="E21" s="360">
        <f t="shared" si="1"/>
        <v>2.5</v>
      </c>
      <c r="F21" s="767"/>
      <c r="G21" s="40"/>
      <c r="H21" s="359" t="s">
        <v>27</v>
      </c>
      <c r="I21" s="361">
        <f t="shared" si="3"/>
        <v>2019</v>
      </c>
      <c r="J21" s="436"/>
      <c r="K21" s="366">
        <f t="shared" si="2"/>
        <v>0</v>
      </c>
      <c r="L21" s="353"/>
      <c r="M21" s="43"/>
      <c r="N21" s="43"/>
      <c r="O21" s="55"/>
      <c r="P21" s="56"/>
      <c r="Q21" s="52"/>
      <c r="R21" s="52"/>
      <c r="S21" s="53"/>
      <c r="T21" s="54"/>
      <c r="U21" s="54"/>
      <c r="V21" s="43"/>
      <c r="W21" s="43"/>
      <c r="X21" s="43"/>
    </row>
    <row r="22" spans="1:24" ht="13.9" customHeight="1" x14ac:dyDescent="0.25">
      <c r="A22" s="351"/>
      <c r="B22" s="359" t="s">
        <v>28</v>
      </c>
      <c r="C22" s="361">
        <f>$C$12+1</f>
        <v>2019</v>
      </c>
      <c r="D22" s="434">
        <v>1</v>
      </c>
      <c r="E22" s="360">
        <f t="shared" si="1"/>
        <v>2.5</v>
      </c>
      <c r="F22" s="360">
        <f>J29*2</f>
        <v>0</v>
      </c>
      <c r="G22" s="40"/>
      <c r="H22" s="359" t="s">
        <v>28</v>
      </c>
      <c r="I22" s="361">
        <f t="shared" si="3"/>
        <v>2019</v>
      </c>
      <c r="J22" s="436"/>
      <c r="K22" s="366">
        <f t="shared" si="2"/>
        <v>0</v>
      </c>
      <c r="L22" s="353"/>
      <c r="M22" s="43"/>
      <c r="N22" s="43"/>
      <c r="O22" s="55"/>
      <c r="P22" s="56"/>
      <c r="Q22" s="52"/>
      <c r="R22" s="52"/>
      <c r="S22" s="53"/>
      <c r="T22" s="54"/>
      <c r="U22" s="54"/>
      <c r="V22" s="43"/>
      <c r="W22" s="43"/>
      <c r="X22" s="43"/>
    </row>
    <row r="23" spans="1:24" ht="13.9" customHeight="1" x14ac:dyDescent="0.25">
      <c r="A23" s="351"/>
      <c r="B23" s="359" t="s">
        <v>29</v>
      </c>
      <c r="C23" s="361">
        <f>$C$12+1</f>
        <v>2019</v>
      </c>
      <c r="D23" s="434">
        <v>1</v>
      </c>
      <c r="E23" s="360">
        <f t="shared" si="1"/>
        <v>2.5</v>
      </c>
      <c r="F23" s="364"/>
      <c r="G23" s="40"/>
      <c r="H23" s="359" t="s">
        <v>29</v>
      </c>
      <c r="I23" s="361">
        <f t="shared" si="3"/>
        <v>2019</v>
      </c>
      <c r="J23" s="436"/>
      <c r="K23" s="366">
        <f t="shared" si="2"/>
        <v>0</v>
      </c>
      <c r="L23" s="353"/>
      <c r="M23" s="43"/>
      <c r="N23" s="43"/>
      <c r="O23" s="55"/>
      <c r="P23" s="56"/>
      <c r="Q23" s="52"/>
      <c r="R23" s="52"/>
      <c r="S23" s="53"/>
      <c r="T23" s="54"/>
      <c r="U23" s="54"/>
      <c r="V23" s="43"/>
      <c r="W23" s="43"/>
      <c r="X23" s="43"/>
    </row>
    <row r="24" spans="1:24" ht="13.9" customHeight="1" x14ac:dyDescent="0.25">
      <c r="A24" s="351"/>
      <c r="B24" s="746" t="s">
        <v>53</v>
      </c>
      <c r="C24" s="746"/>
      <c r="D24" s="362">
        <f>SUM(D12:D23)</f>
        <v>11.5</v>
      </c>
      <c r="E24" s="363">
        <f>ROUNDUP(E12+E13+E14+E15+E16+E17+E18+E19+E20+E21+E22+E23,0)</f>
        <v>29</v>
      </c>
      <c r="F24" s="365">
        <f>E24+F22</f>
        <v>29</v>
      </c>
      <c r="G24" s="40"/>
      <c r="H24" s="746" t="s">
        <v>53</v>
      </c>
      <c r="I24" s="746"/>
      <c r="J24" s="367">
        <f>SUM(J12:J23)</f>
        <v>0</v>
      </c>
      <c r="K24" s="368">
        <f>SUM(K12:K23)</f>
        <v>0</v>
      </c>
      <c r="L24" s="353"/>
      <c r="M24" s="43"/>
      <c r="N24" s="43"/>
      <c r="O24" s="57"/>
      <c r="P24" s="57"/>
      <c r="Q24" s="58"/>
      <c r="R24" s="58"/>
      <c r="S24" s="59"/>
      <c r="T24" s="43"/>
      <c r="U24" s="60"/>
      <c r="V24" s="43"/>
      <c r="W24" s="43"/>
      <c r="X24" s="43"/>
    </row>
    <row r="25" spans="1:24" ht="3.95" customHeight="1" x14ac:dyDescent="0.25">
      <c r="A25" s="351"/>
      <c r="B25" s="57"/>
      <c r="C25" s="57"/>
      <c r="D25" s="8"/>
      <c r="E25" s="8"/>
      <c r="F25" s="8"/>
      <c r="G25" s="40"/>
      <c r="H25" s="40"/>
      <c r="I25" s="40"/>
      <c r="J25" s="61"/>
      <c r="K25" s="347"/>
      <c r="L25" s="353"/>
      <c r="M25" s="43"/>
      <c r="N25" s="43"/>
      <c r="O25" s="43"/>
      <c r="P25" s="43"/>
      <c r="Q25" s="43"/>
      <c r="R25" s="43"/>
      <c r="S25" s="43"/>
      <c r="T25" s="43"/>
      <c r="U25" s="43"/>
      <c r="V25" s="43"/>
      <c r="W25" s="43"/>
      <c r="X25" s="43"/>
    </row>
    <row r="26" spans="1:24" ht="16.899999999999999" customHeight="1" x14ac:dyDescent="0.25">
      <c r="A26" s="351"/>
      <c r="B26" s="761" t="s">
        <v>35</v>
      </c>
      <c r="C26" s="762">
        <f>C22</f>
        <v>2019</v>
      </c>
      <c r="D26" s="763" t="s">
        <v>163</v>
      </c>
      <c r="E26" s="763"/>
      <c r="F26" s="763"/>
      <c r="G26" s="763"/>
      <c r="H26" s="763"/>
      <c r="I26" s="763"/>
      <c r="J26" s="763"/>
      <c r="K26" s="763"/>
      <c r="L26" s="353"/>
      <c r="M26" s="43"/>
      <c r="N26" s="43"/>
      <c r="O26" s="43"/>
      <c r="P26" s="43"/>
      <c r="Q26" s="43"/>
      <c r="R26" s="43"/>
      <c r="S26" s="43"/>
      <c r="T26" s="43"/>
      <c r="U26" s="43"/>
      <c r="V26" s="43"/>
      <c r="W26" s="43"/>
      <c r="X26" s="43"/>
    </row>
    <row r="27" spans="1:24" ht="16.899999999999999" customHeight="1" x14ac:dyDescent="0.25">
      <c r="A27" s="351"/>
      <c r="B27" s="761"/>
      <c r="C27" s="762"/>
      <c r="D27" s="763"/>
      <c r="E27" s="763"/>
      <c r="F27" s="763"/>
      <c r="G27" s="763"/>
      <c r="H27" s="763"/>
      <c r="I27" s="763"/>
      <c r="J27" s="763"/>
      <c r="K27" s="763"/>
      <c r="L27" s="353"/>
      <c r="M27" s="43"/>
      <c r="N27" s="43"/>
      <c r="O27" s="43"/>
      <c r="P27" s="43"/>
      <c r="Q27" s="43"/>
      <c r="R27" s="43"/>
      <c r="S27" s="43"/>
      <c r="T27" s="43"/>
      <c r="U27" s="43"/>
      <c r="V27" s="43"/>
      <c r="W27" s="43"/>
      <c r="X27" s="43"/>
    </row>
    <row r="28" spans="1:24" ht="3.95" customHeight="1" x14ac:dyDescent="0.25">
      <c r="A28" s="351"/>
      <c r="B28" s="739"/>
      <c r="C28" s="739"/>
      <c r="D28" s="739"/>
      <c r="E28" s="58"/>
      <c r="F28" s="58"/>
      <c r="G28" s="41"/>
      <c r="H28" s="62"/>
      <c r="I28" s="61"/>
      <c r="J28" s="63"/>
      <c r="K28" s="40"/>
      <c r="L28" s="353"/>
      <c r="M28" s="43"/>
      <c r="N28" s="43"/>
      <c r="O28" s="43"/>
      <c r="P28" s="43"/>
      <c r="Q28" s="43"/>
      <c r="R28" s="43"/>
      <c r="S28" s="43"/>
      <c r="T28" s="43"/>
      <c r="U28" s="43"/>
      <c r="V28" s="43"/>
      <c r="W28" s="43"/>
      <c r="X28" s="43"/>
    </row>
    <row r="29" spans="1:24" ht="13.9" customHeight="1" x14ac:dyDescent="0.25">
      <c r="A29" s="351"/>
      <c r="B29" s="740" t="s">
        <v>59</v>
      </c>
      <c r="C29" s="740"/>
      <c r="D29" s="740"/>
      <c r="E29" s="740"/>
      <c r="F29" s="740"/>
      <c r="G29" s="740"/>
      <c r="H29" s="740"/>
      <c r="I29" s="740"/>
      <c r="J29" s="437"/>
      <c r="K29" s="40"/>
      <c r="L29" s="353"/>
      <c r="M29" s="1"/>
      <c r="N29" s="1"/>
      <c r="O29" s="58"/>
      <c r="P29" s="64"/>
      <c r="Q29" s="43"/>
      <c r="R29" s="43"/>
      <c r="S29" s="43"/>
      <c r="T29" s="43"/>
      <c r="U29" s="43"/>
      <c r="V29" s="43"/>
      <c r="W29" s="43"/>
      <c r="X29" s="43"/>
    </row>
    <row r="30" spans="1:24" ht="3.95" customHeight="1" x14ac:dyDescent="0.25">
      <c r="A30" s="351"/>
      <c r="B30" s="40"/>
      <c r="C30" s="65"/>
      <c r="D30" s="65"/>
      <c r="E30" s="65"/>
      <c r="F30" s="64"/>
      <c r="G30" s="64"/>
      <c r="H30" s="64"/>
      <c r="I30" s="64"/>
      <c r="J30" s="66"/>
      <c r="K30" s="40"/>
      <c r="L30" s="353"/>
      <c r="M30" s="1"/>
      <c r="N30" s="1"/>
      <c r="O30" s="58"/>
      <c r="P30" s="64"/>
      <c r="Q30" s="43"/>
      <c r="R30" s="43"/>
      <c r="S30" s="43"/>
      <c r="T30" s="43"/>
      <c r="U30" s="43"/>
      <c r="V30" s="43"/>
      <c r="W30" s="43"/>
      <c r="X30" s="43"/>
    </row>
    <row r="31" spans="1:24" ht="13.9" customHeight="1" x14ac:dyDescent="0.25">
      <c r="A31" s="351"/>
      <c r="B31" s="741" t="s">
        <v>60</v>
      </c>
      <c r="C31" s="741"/>
      <c r="D31" s="741"/>
      <c r="E31" s="741"/>
      <c r="F31" s="741"/>
      <c r="G31" s="741"/>
      <c r="H31" s="741"/>
      <c r="I31" s="741"/>
      <c r="J31" s="741"/>
      <c r="K31" s="741"/>
      <c r="L31" s="353"/>
      <c r="M31" s="43"/>
      <c r="N31" s="43"/>
      <c r="O31" s="43"/>
      <c r="P31" s="43"/>
      <c r="Q31" s="43"/>
      <c r="R31" s="43"/>
      <c r="S31" s="43"/>
      <c r="T31" s="43"/>
      <c r="U31" s="43"/>
      <c r="V31" s="43"/>
      <c r="W31" s="43"/>
      <c r="X31" s="43"/>
    </row>
    <row r="32" spans="1:24" ht="3.95" customHeight="1" x14ac:dyDescent="0.25">
      <c r="A32" s="351"/>
      <c r="B32" s="40"/>
      <c r="C32" s="8"/>
      <c r="D32" s="8"/>
      <c r="E32" s="8"/>
      <c r="F32" s="8"/>
      <c r="G32" s="8"/>
      <c r="H32" s="8"/>
      <c r="I32" s="8"/>
      <c r="J32" s="8"/>
      <c r="K32" s="40"/>
      <c r="L32" s="353"/>
      <c r="M32" s="43"/>
      <c r="N32" s="43"/>
      <c r="O32" s="43"/>
      <c r="P32" s="43"/>
      <c r="Q32" s="43"/>
      <c r="R32" s="43"/>
      <c r="S32" s="43"/>
      <c r="T32" s="43"/>
      <c r="U32" s="43"/>
      <c r="V32" s="43"/>
      <c r="W32" s="43"/>
      <c r="X32" s="43"/>
    </row>
    <row r="33" spans="1:24" ht="13.9" customHeight="1" x14ac:dyDescent="0.25">
      <c r="A33" s="351"/>
      <c r="B33" s="40"/>
      <c r="C33" s="40"/>
      <c r="D33" s="40"/>
      <c r="E33" s="40"/>
      <c r="F33" s="40"/>
      <c r="G33" s="742" t="s">
        <v>61</v>
      </c>
      <c r="H33" s="742"/>
      <c r="I33" s="742"/>
      <c r="J33" s="743"/>
      <c r="K33" s="743"/>
      <c r="L33" s="353"/>
      <c r="M33" s="43"/>
      <c r="N33" s="43"/>
      <c r="O33" s="43"/>
      <c r="P33" s="43"/>
      <c r="Q33" s="43"/>
      <c r="R33" s="43"/>
      <c r="S33" s="43"/>
      <c r="T33" s="43"/>
      <c r="U33" s="43"/>
      <c r="V33" s="43"/>
      <c r="W33" s="43"/>
      <c r="X33" s="43"/>
    </row>
    <row r="34" spans="1:24" ht="3.95" customHeight="1" x14ac:dyDescent="0.25">
      <c r="A34" s="351"/>
      <c r="B34" s="40"/>
      <c r="C34" s="40"/>
      <c r="D34" s="40"/>
      <c r="E34" s="40"/>
      <c r="F34" s="40"/>
      <c r="G34" s="57"/>
      <c r="H34" s="64"/>
      <c r="I34" s="40"/>
      <c r="J34" s="67"/>
      <c r="K34" s="40"/>
      <c r="L34" s="353"/>
      <c r="M34" s="43"/>
      <c r="N34" s="43"/>
      <c r="O34" s="43"/>
      <c r="P34" s="43"/>
      <c r="Q34" s="43"/>
      <c r="R34" s="43"/>
      <c r="S34" s="43"/>
      <c r="T34" s="43"/>
      <c r="U34" s="43"/>
      <c r="V34" s="43"/>
      <c r="W34" s="43"/>
      <c r="X34" s="43"/>
    </row>
    <row r="35" spans="1:24" ht="28.35" customHeight="1" x14ac:dyDescent="0.25">
      <c r="A35" s="351"/>
      <c r="B35" s="733" t="s">
        <v>62</v>
      </c>
      <c r="C35" s="733"/>
      <c r="D35" s="733"/>
      <c r="E35" s="733"/>
      <c r="F35" s="733"/>
      <c r="G35" s="733"/>
      <c r="H35" s="733"/>
      <c r="I35" s="40"/>
      <c r="J35" s="40"/>
      <c r="K35" s="40"/>
      <c r="L35" s="353"/>
      <c r="M35" s="43"/>
      <c r="N35" s="43"/>
      <c r="O35" s="43"/>
      <c r="P35" s="43"/>
      <c r="Q35" s="43"/>
      <c r="R35" s="43"/>
      <c r="S35" s="43"/>
      <c r="T35" s="43"/>
      <c r="U35" s="43"/>
      <c r="V35" s="43"/>
      <c r="W35" s="43"/>
      <c r="X35" s="43"/>
    </row>
    <row r="36" spans="1:24" ht="13.9" customHeight="1" x14ac:dyDescent="0.25">
      <c r="A36" s="351"/>
      <c r="B36" s="734" t="s">
        <v>50</v>
      </c>
      <c r="C36" s="735"/>
      <c r="D36" s="733" t="s">
        <v>54</v>
      </c>
      <c r="E36" s="733" t="s">
        <v>55</v>
      </c>
      <c r="F36" s="733" t="s">
        <v>63</v>
      </c>
      <c r="G36" s="733" t="s">
        <v>64</v>
      </c>
      <c r="H36" s="733" t="s">
        <v>65</v>
      </c>
      <c r="I36" s="40"/>
      <c r="J36" s="40"/>
      <c r="K36" s="40"/>
      <c r="L36" s="353"/>
      <c r="M36" s="43"/>
      <c r="N36" s="43"/>
      <c r="O36" s="43"/>
      <c r="P36" s="43"/>
      <c r="Q36" s="43"/>
      <c r="R36" s="44"/>
      <c r="S36" s="44"/>
      <c r="T36" s="64"/>
      <c r="U36" s="43"/>
      <c r="V36" s="43"/>
      <c r="W36" s="43"/>
      <c r="X36" s="43"/>
    </row>
    <row r="37" spans="1:24" ht="13.9" customHeight="1" x14ac:dyDescent="0.25">
      <c r="A37" s="351"/>
      <c r="B37" s="744" t="str">
        <f>CONCATENATE(C38," / ",C49)</f>
        <v>2019 / 2020</v>
      </c>
      <c r="C37" s="745"/>
      <c r="D37" s="733"/>
      <c r="E37" s="733"/>
      <c r="F37" s="733"/>
      <c r="G37" s="733"/>
      <c r="H37" s="733"/>
      <c r="I37" s="40"/>
      <c r="J37" s="40"/>
      <c r="K37" s="40"/>
      <c r="L37" s="353"/>
      <c r="M37" s="43"/>
      <c r="N37" s="43"/>
      <c r="O37" s="43"/>
      <c r="P37" s="43"/>
      <c r="Q37" s="43"/>
      <c r="R37" s="44"/>
      <c r="S37" s="44"/>
      <c r="T37" s="64"/>
      <c r="U37" s="43"/>
      <c r="V37" s="43"/>
      <c r="W37" s="43"/>
      <c r="X37" s="43"/>
    </row>
    <row r="38" spans="1:24" ht="13.9" customHeight="1" x14ac:dyDescent="0.25">
      <c r="A38" s="351"/>
      <c r="B38" s="359" t="s">
        <v>18</v>
      </c>
      <c r="C38" s="361">
        <f t="shared" ref="C38:C44" si="4">$C$23</f>
        <v>2019</v>
      </c>
      <c r="D38" s="438"/>
      <c r="E38" s="439"/>
      <c r="F38" s="440"/>
      <c r="G38" s="441"/>
      <c r="H38" s="366">
        <f>F38*G38</f>
        <v>0</v>
      </c>
      <c r="I38" s="40"/>
      <c r="J38" s="40"/>
      <c r="K38" s="40"/>
      <c r="L38" s="353"/>
      <c r="M38" s="43"/>
      <c r="N38" s="43"/>
      <c r="O38" s="43"/>
      <c r="P38" s="43"/>
      <c r="Q38" s="44"/>
      <c r="R38" s="44"/>
      <c r="S38" s="44"/>
      <c r="T38" s="64"/>
      <c r="U38" s="43"/>
      <c r="V38" s="43"/>
      <c r="W38" s="43"/>
      <c r="X38" s="43"/>
    </row>
    <row r="39" spans="1:24" ht="13.9" customHeight="1" x14ac:dyDescent="0.25">
      <c r="A39" s="351"/>
      <c r="B39" s="359" t="s">
        <v>19</v>
      </c>
      <c r="C39" s="361">
        <f t="shared" si="4"/>
        <v>2019</v>
      </c>
      <c r="D39" s="438"/>
      <c r="E39" s="439"/>
      <c r="F39" s="440"/>
      <c r="G39" s="441"/>
      <c r="H39" s="366">
        <f t="shared" ref="H39:H49" si="5">F39*G39</f>
        <v>0</v>
      </c>
      <c r="I39" s="40"/>
      <c r="J39" s="40"/>
      <c r="K39" s="40"/>
      <c r="L39" s="353"/>
      <c r="M39" s="43"/>
      <c r="N39" s="43"/>
      <c r="O39" s="43"/>
      <c r="P39" s="43"/>
      <c r="Q39" s="44"/>
      <c r="R39" s="44"/>
      <c r="S39" s="44"/>
      <c r="T39" s="64"/>
      <c r="U39" s="43"/>
      <c r="V39" s="43"/>
      <c r="W39" s="43"/>
      <c r="X39" s="43"/>
    </row>
    <row r="40" spans="1:24" ht="13.9" customHeight="1" x14ac:dyDescent="0.25">
      <c r="A40" s="351"/>
      <c r="B40" s="359" t="s">
        <v>20</v>
      </c>
      <c r="C40" s="361">
        <f t="shared" si="4"/>
        <v>2019</v>
      </c>
      <c r="D40" s="438"/>
      <c r="E40" s="439"/>
      <c r="F40" s="440"/>
      <c r="G40" s="441"/>
      <c r="H40" s="366">
        <f t="shared" si="5"/>
        <v>0</v>
      </c>
      <c r="I40" s="40"/>
      <c r="J40" s="40"/>
      <c r="K40" s="40"/>
      <c r="L40" s="353"/>
      <c r="M40" s="43"/>
      <c r="N40" s="43"/>
      <c r="O40" s="43"/>
      <c r="P40" s="43"/>
      <c r="Q40" s="43"/>
      <c r="R40" s="43"/>
      <c r="S40" s="43"/>
      <c r="T40" s="68"/>
      <c r="U40" s="43"/>
      <c r="V40" s="43"/>
      <c r="W40" s="43"/>
      <c r="X40" s="43"/>
    </row>
    <row r="41" spans="1:24" ht="13.9" customHeight="1" x14ac:dyDescent="0.25">
      <c r="A41" s="351"/>
      <c r="B41" s="359" t="s">
        <v>21</v>
      </c>
      <c r="C41" s="361">
        <f t="shared" si="4"/>
        <v>2019</v>
      </c>
      <c r="D41" s="438"/>
      <c r="E41" s="439"/>
      <c r="F41" s="440"/>
      <c r="G41" s="441"/>
      <c r="H41" s="366">
        <f t="shared" si="5"/>
        <v>0</v>
      </c>
      <c r="I41" s="40"/>
      <c r="J41" s="40"/>
      <c r="K41" s="40"/>
      <c r="L41" s="353"/>
      <c r="M41" s="43"/>
      <c r="N41" s="43"/>
      <c r="O41" s="43"/>
      <c r="P41" s="43"/>
      <c r="Q41" s="43"/>
      <c r="R41" s="43"/>
      <c r="S41" s="43"/>
      <c r="T41" s="43"/>
      <c r="U41" s="43"/>
      <c r="V41" s="43"/>
      <c r="W41" s="43"/>
      <c r="X41" s="43"/>
    </row>
    <row r="42" spans="1:24" ht="13.9" customHeight="1" x14ac:dyDescent="0.25">
      <c r="A42" s="351"/>
      <c r="B42" s="359" t="s">
        <v>22</v>
      </c>
      <c r="C42" s="361">
        <f t="shared" si="4"/>
        <v>2019</v>
      </c>
      <c r="D42" s="438"/>
      <c r="E42" s="439"/>
      <c r="F42" s="440"/>
      <c r="G42" s="441"/>
      <c r="H42" s="366">
        <f t="shared" si="5"/>
        <v>0</v>
      </c>
      <c r="I42" s="40"/>
      <c r="J42" s="40"/>
      <c r="K42" s="40"/>
      <c r="L42" s="352"/>
    </row>
    <row r="43" spans="1:24" ht="13.9" customHeight="1" x14ac:dyDescent="0.25">
      <c r="A43" s="351"/>
      <c r="B43" s="359" t="s">
        <v>23</v>
      </c>
      <c r="C43" s="361">
        <f t="shared" si="4"/>
        <v>2019</v>
      </c>
      <c r="D43" s="438"/>
      <c r="E43" s="439"/>
      <c r="F43" s="440"/>
      <c r="G43" s="441"/>
      <c r="H43" s="366">
        <f t="shared" si="5"/>
        <v>0</v>
      </c>
      <c r="I43" s="40"/>
      <c r="J43" s="40"/>
      <c r="K43" s="40"/>
      <c r="L43" s="352"/>
    </row>
    <row r="44" spans="1:24" ht="13.9" customHeight="1" x14ac:dyDescent="0.25">
      <c r="A44" s="351"/>
      <c r="B44" s="359" t="s">
        <v>24</v>
      </c>
      <c r="C44" s="361">
        <f t="shared" si="4"/>
        <v>2019</v>
      </c>
      <c r="D44" s="438"/>
      <c r="E44" s="439"/>
      <c r="F44" s="440"/>
      <c r="G44" s="441"/>
      <c r="H44" s="366">
        <f t="shared" si="5"/>
        <v>0</v>
      </c>
      <c r="I44" s="40"/>
      <c r="J44" s="40"/>
      <c r="K44" s="40"/>
      <c r="L44" s="352"/>
    </row>
    <row r="45" spans="1:24" ht="13.9" customHeight="1" x14ac:dyDescent="0.25">
      <c r="A45" s="351"/>
      <c r="B45" s="359" t="s">
        <v>25</v>
      </c>
      <c r="C45" s="361">
        <f>$C$23+1</f>
        <v>2020</v>
      </c>
      <c r="D45" s="438"/>
      <c r="E45" s="439"/>
      <c r="F45" s="440"/>
      <c r="G45" s="441"/>
      <c r="H45" s="366">
        <f t="shared" si="5"/>
        <v>0</v>
      </c>
      <c r="I45" s="40"/>
      <c r="J45" s="40"/>
      <c r="K45" s="40"/>
      <c r="L45" s="352"/>
    </row>
    <row r="46" spans="1:24" ht="13.9" customHeight="1" x14ac:dyDescent="0.25">
      <c r="A46" s="351"/>
      <c r="B46" s="359" t="s">
        <v>26</v>
      </c>
      <c r="C46" s="361">
        <f>$C$23+1</f>
        <v>2020</v>
      </c>
      <c r="D46" s="438"/>
      <c r="E46" s="439"/>
      <c r="F46" s="440"/>
      <c r="G46" s="441"/>
      <c r="H46" s="366">
        <f t="shared" si="5"/>
        <v>0</v>
      </c>
      <c r="I46" s="40"/>
      <c r="J46" s="40"/>
      <c r="K46" s="40"/>
      <c r="L46" s="352"/>
    </row>
    <row r="47" spans="1:24" ht="13.9" customHeight="1" x14ac:dyDescent="0.25">
      <c r="A47" s="351"/>
      <c r="B47" s="359" t="s">
        <v>27</v>
      </c>
      <c r="C47" s="361">
        <f>$C$23+1</f>
        <v>2020</v>
      </c>
      <c r="D47" s="438"/>
      <c r="E47" s="439"/>
      <c r="F47" s="440"/>
      <c r="G47" s="441"/>
      <c r="H47" s="366">
        <f t="shared" si="5"/>
        <v>0</v>
      </c>
      <c r="I47" s="40"/>
      <c r="J47" s="40"/>
      <c r="K47" s="40"/>
      <c r="L47" s="352"/>
    </row>
    <row r="48" spans="1:24" ht="13.9" customHeight="1" x14ac:dyDescent="0.25">
      <c r="A48" s="351"/>
      <c r="B48" s="359" t="s">
        <v>28</v>
      </c>
      <c r="C48" s="361">
        <f>$C$23+1</f>
        <v>2020</v>
      </c>
      <c r="D48" s="438"/>
      <c r="E48" s="439"/>
      <c r="F48" s="440"/>
      <c r="G48" s="441"/>
      <c r="H48" s="366">
        <f t="shared" si="5"/>
        <v>0</v>
      </c>
      <c r="I48" s="40"/>
      <c r="J48" s="40"/>
      <c r="K48" s="40"/>
      <c r="L48" s="352"/>
    </row>
    <row r="49" spans="1:12" ht="13.9" customHeight="1" x14ac:dyDescent="0.25">
      <c r="A49" s="351"/>
      <c r="B49" s="359" t="s">
        <v>91</v>
      </c>
      <c r="C49" s="361">
        <f>$C$23+1</f>
        <v>2020</v>
      </c>
      <c r="D49" s="438"/>
      <c r="E49" s="439"/>
      <c r="F49" s="440"/>
      <c r="G49" s="441"/>
      <c r="H49" s="366">
        <f t="shared" si="5"/>
        <v>0</v>
      </c>
      <c r="I49" s="40"/>
      <c r="J49" s="40"/>
      <c r="K49" s="40"/>
      <c r="L49" s="352"/>
    </row>
    <row r="50" spans="1:12" ht="13.9" customHeight="1" x14ac:dyDescent="0.25">
      <c r="A50" s="351"/>
      <c r="B50" s="746" t="s">
        <v>66</v>
      </c>
      <c r="C50" s="746"/>
      <c r="D50" s="369">
        <f>SUM(D38:D49)</f>
        <v>0</v>
      </c>
      <c r="E50" s="370"/>
      <c r="F50" s="371">
        <f>SUM(F38:F49)</f>
        <v>0</v>
      </c>
      <c r="G50" s="372"/>
      <c r="H50" s="368">
        <f>SUM(H38:H49)</f>
        <v>0</v>
      </c>
      <c r="I50" s="40"/>
      <c r="J50" s="40"/>
      <c r="K50" s="40"/>
      <c r="L50" s="352"/>
    </row>
    <row r="51" spans="1:12" ht="13.9" customHeight="1" x14ac:dyDescent="0.25">
      <c r="A51" s="351"/>
      <c r="B51" s="40"/>
      <c r="C51" s="40"/>
      <c r="D51" s="69">
        <f>IF(D50&lt;F24,F24-D50,"")</f>
        <v>29</v>
      </c>
      <c r="E51" s="748" t="str">
        <f>IF(SUM(D38:D49)&lt;F24,"Jrs risquent d'être perdus","")</f>
        <v>Jrs risquent d'être perdus</v>
      </c>
      <c r="F51" s="748"/>
      <c r="G51" s="748"/>
      <c r="H51" s="748"/>
      <c r="I51" s="40"/>
      <c r="J51" s="40"/>
      <c r="K51" s="40"/>
      <c r="L51" s="352"/>
    </row>
    <row r="52" spans="1:12" ht="3.95" customHeight="1" x14ac:dyDescent="0.25">
      <c r="A52" s="351"/>
      <c r="B52" s="40"/>
      <c r="C52" s="40"/>
      <c r="D52" s="748" t="str">
        <f>IF(D50&gt;F24,"vous dépassez le nbr de jour acquis","")</f>
        <v/>
      </c>
      <c r="E52" s="748"/>
      <c r="F52" s="748"/>
      <c r="G52" s="748"/>
      <c r="H52" s="748"/>
      <c r="I52" s="40"/>
      <c r="J52" s="40"/>
      <c r="K52" s="40"/>
      <c r="L52" s="352"/>
    </row>
    <row r="53" spans="1:12" ht="13.9" customHeight="1" x14ac:dyDescent="0.25">
      <c r="A53" s="351"/>
      <c r="B53" s="736" t="s">
        <v>67</v>
      </c>
      <c r="C53" s="737"/>
      <c r="D53" s="737"/>
      <c r="E53" s="737"/>
      <c r="F53" s="737"/>
      <c r="G53" s="737"/>
      <c r="H53" s="737"/>
      <c r="I53" s="737"/>
      <c r="J53" s="737"/>
      <c r="K53" s="738"/>
      <c r="L53" s="352"/>
    </row>
    <row r="54" spans="1:12" ht="3.95" customHeight="1" x14ac:dyDescent="0.25">
      <c r="A54" s="351"/>
      <c r="B54" s="40"/>
      <c r="C54" s="40"/>
      <c r="D54" s="40"/>
      <c r="E54" s="40"/>
      <c r="F54" s="40"/>
      <c r="G54" s="40"/>
      <c r="H54" s="40"/>
      <c r="I54" s="40"/>
      <c r="J54" s="40"/>
      <c r="K54" s="40"/>
      <c r="L54" s="352"/>
    </row>
    <row r="55" spans="1:12" ht="13.9" customHeight="1" x14ac:dyDescent="0.25">
      <c r="A55" s="351"/>
      <c r="B55" s="749" t="s">
        <v>68</v>
      </c>
      <c r="C55" s="749"/>
      <c r="D55" s="749"/>
      <c r="E55" s="749"/>
      <c r="F55" s="749"/>
      <c r="G55" s="749"/>
      <c r="H55" s="373">
        <f>H50</f>
        <v>0</v>
      </c>
      <c r="I55" s="40"/>
      <c r="J55" s="40"/>
      <c r="K55" s="40"/>
      <c r="L55" s="352"/>
    </row>
    <row r="56" spans="1:12" ht="13.9" customHeight="1" x14ac:dyDescent="0.25">
      <c r="A56" s="351"/>
      <c r="B56" s="749" t="s">
        <v>69</v>
      </c>
      <c r="C56" s="749"/>
      <c r="D56" s="749"/>
      <c r="E56" s="749"/>
      <c r="F56" s="749"/>
      <c r="G56" s="749"/>
      <c r="H56" s="373">
        <f>K24</f>
        <v>0</v>
      </c>
      <c r="I56" s="40"/>
      <c r="J56" s="40"/>
      <c r="K56" s="40"/>
      <c r="L56" s="352"/>
    </row>
    <row r="57" spans="1:12" ht="13.9" customHeight="1" x14ac:dyDescent="0.25">
      <c r="A57" s="351"/>
      <c r="B57" s="747" t="s">
        <v>70</v>
      </c>
      <c r="C57" s="747"/>
      <c r="D57" s="747"/>
      <c r="E57" s="747"/>
      <c r="F57" s="747"/>
      <c r="G57" s="747"/>
      <c r="H57" s="374">
        <f>IF(H55&lt;H56,H55-H56,0)</f>
        <v>0</v>
      </c>
      <c r="I57" s="40"/>
      <c r="J57" s="70"/>
      <c r="K57" s="40"/>
      <c r="L57" s="352"/>
    </row>
    <row r="58" spans="1:12" ht="9.9499999999999993" customHeight="1" thickBot="1" x14ac:dyDescent="0.3">
      <c r="A58" s="356"/>
      <c r="B58" s="357"/>
      <c r="C58" s="357"/>
      <c r="D58" s="357"/>
      <c r="E58" s="357"/>
      <c r="F58" s="357"/>
      <c r="G58" s="357"/>
      <c r="H58" s="357"/>
      <c r="I58" s="357"/>
      <c r="J58" s="357"/>
      <c r="K58" s="357"/>
      <c r="L58" s="358"/>
    </row>
    <row r="59" spans="1:12" ht="13.5" thickTop="1" x14ac:dyDescent="0.25"/>
  </sheetData>
  <sheetProtection algorithmName="SHA-512" hashValue="2E00jHzmyICP7W+zUHI+DZoX72ME6g4XvcxGM6Mtrocpww2uIwH8lSqpbNR0JsK01/P8URsvQBq+ebAHj1KdbQ==" saltValue="iwhLbLfBUZlUb3D10XpHjA==" spinCount="100000" sheet="1" objects="1" scenarios="1" selectLockedCells="1"/>
  <mergeCells count="39">
    <mergeCell ref="F7:H7"/>
    <mergeCell ref="J10:K11"/>
    <mergeCell ref="D2:I2"/>
    <mergeCell ref="D3:I3"/>
    <mergeCell ref="B56:G56"/>
    <mergeCell ref="B26:B27"/>
    <mergeCell ref="C26:C27"/>
    <mergeCell ref="D26:K27"/>
    <mergeCell ref="B5:K5"/>
    <mergeCell ref="K6:K7"/>
    <mergeCell ref="B11:C11"/>
    <mergeCell ref="B10:C10"/>
    <mergeCell ref="H11:I11"/>
    <mergeCell ref="F12:F21"/>
    <mergeCell ref="B24:C24"/>
    <mergeCell ref="H24:I24"/>
    <mergeCell ref="B57:G57"/>
    <mergeCell ref="B36:C36"/>
    <mergeCell ref="D36:D37"/>
    <mergeCell ref="E36:E37"/>
    <mergeCell ref="D52:H52"/>
    <mergeCell ref="E51:H51"/>
    <mergeCell ref="B55:G55"/>
    <mergeCell ref="D10:D11"/>
    <mergeCell ref="E10:E11"/>
    <mergeCell ref="F10:F11"/>
    <mergeCell ref="H10:I10"/>
    <mergeCell ref="B53:K53"/>
    <mergeCell ref="B28:D28"/>
    <mergeCell ref="B29:I29"/>
    <mergeCell ref="B31:K31"/>
    <mergeCell ref="G33:I33"/>
    <mergeCell ref="J33:K33"/>
    <mergeCell ref="B35:H35"/>
    <mergeCell ref="F36:F37"/>
    <mergeCell ref="G36:G37"/>
    <mergeCell ref="H36:H37"/>
    <mergeCell ref="B37:C37"/>
    <mergeCell ref="B50:C50"/>
  </mergeCells>
  <conditionalFormatting sqref="B7:B8">
    <cfRule type="expression" dxfId="7" priority="3" stopIfTrue="1">
      <formula>$C$8&lt;&gt;""</formula>
    </cfRule>
  </conditionalFormatting>
  <conditionalFormatting sqref="D51:E51">
    <cfRule type="containsText" dxfId="6" priority="1" operator="containsText" text="vous dépassez le nbr de jour acquis">
      <formula>NOT(ISERROR(SEARCH("vous dépassez le nbr de jour acquis",D51)))</formula>
    </cfRule>
  </conditionalFormatting>
  <printOptions horizontalCentered="1" verticalCentered="1"/>
  <pageMargins left="0.23622047244094491" right="0.23622047244094491" top="0.74803149606299213" bottom="0.74803149606299213" header="0.31496062992125984" footer="0.31496062992125984"/>
  <pageSetup paperSize="9" scale="89"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R58"/>
  <sheetViews>
    <sheetView topLeftCell="A49" zoomScale="115" zoomScaleNormal="115" workbookViewId="0">
      <selection activeCell="D22" sqref="D22"/>
    </sheetView>
  </sheetViews>
  <sheetFormatPr baseColWidth="10" defaultColWidth="11.140625" defaultRowHeight="12.75" x14ac:dyDescent="0.25"/>
  <cols>
    <col min="1" max="1" width="2.7109375" style="84" customWidth="1"/>
    <col min="2" max="2" width="15.7109375" style="84" customWidth="1"/>
    <col min="3" max="3" width="5.28515625" style="84" customWidth="1"/>
    <col min="4" max="11" width="12.28515625" style="84" customWidth="1"/>
    <col min="12" max="12" width="2.7109375" style="84" customWidth="1"/>
    <col min="13" max="16384" width="11.140625" style="84"/>
  </cols>
  <sheetData>
    <row r="1" spans="1:13" ht="15.75" customHeight="1" thickTop="1" thickBot="1" x14ac:dyDescent="0.3">
      <c r="A1" s="387"/>
      <c r="B1" s="388"/>
      <c r="C1" s="388"/>
      <c r="D1" s="389"/>
      <c r="E1" s="389"/>
      <c r="F1" s="389"/>
      <c r="G1" s="389"/>
      <c r="H1" s="389"/>
      <c r="I1" s="389"/>
      <c r="J1" s="389"/>
      <c r="K1" s="389"/>
      <c r="L1" s="390"/>
    </row>
    <row r="2" spans="1:13" ht="15.75" customHeight="1" thickTop="1" x14ac:dyDescent="0.25">
      <c r="A2" s="391"/>
      <c r="B2" s="14"/>
      <c r="C2" s="852" t="s">
        <v>49</v>
      </c>
      <c r="D2" s="756"/>
      <c r="E2" s="756"/>
      <c r="F2" s="756"/>
      <c r="G2" s="756"/>
      <c r="H2" s="756"/>
      <c r="I2" s="756"/>
      <c r="J2" s="757"/>
      <c r="K2" s="85"/>
      <c r="L2" s="392"/>
    </row>
    <row r="3" spans="1:13" ht="15.75" customHeight="1" thickBot="1" x14ac:dyDescent="0.3">
      <c r="A3" s="391"/>
      <c r="B3" s="14"/>
      <c r="C3" s="758" t="s">
        <v>170</v>
      </c>
      <c r="D3" s="759"/>
      <c r="E3" s="759"/>
      <c r="F3" s="759"/>
      <c r="G3" s="759"/>
      <c r="H3" s="759"/>
      <c r="I3" s="759"/>
      <c r="J3" s="760"/>
      <c r="K3" s="85"/>
      <c r="L3" s="392"/>
    </row>
    <row r="4" spans="1:13" ht="15.75" customHeight="1" thickTop="1" x14ac:dyDescent="0.25">
      <c r="A4" s="391"/>
      <c r="B4" s="85"/>
      <c r="C4" s="85"/>
      <c r="D4" s="85"/>
      <c r="E4" s="85"/>
      <c r="F4" s="85"/>
      <c r="G4" s="85"/>
      <c r="H4" s="85"/>
      <c r="I4" s="85"/>
      <c r="J4" s="85"/>
      <c r="K4" s="85"/>
      <c r="L4" s="392"/>
    </row>
    <row r="5" spans="1:13" ht="15.75" customHeight="1" x14ac:dyDescent="0.25">
      <c r="A5" s="391"/>
      <c r="B5" s="782" t="s">
        <v>71</v>
      </c>
      <c r="C5" s="783"/>
      <c r="D5" s="783"/>
      <c r="E5" s="783"/>
      <c r="F5" s="783"/>
      <c r="G5" s="783"/>
      <c r="H5" s="783"/>
      <c r="I5" s="783"/>
      <c r="J5" s="783"/>
      <c r="K5" s="784"/>
      <c r="L5" s="392"/>
      <c r="M5" s="86"/>
    </row>
    <row r="6" spans="1:13" ht="15.75" customHeight="1" x14ac:dyDescent="0.25">
      <c r="A6" s="391"/>
      <c r="B6" s="9"/>
      <c r="C6" s="17" t="s">
        <v>1</v>
      </c>
      <c r="D6" s="10"/>
      <c r="E6" s="85"/>
      <c r="F6" s="85"/>
      <c r="G6" s="85"/>
      <c r="H6" s="85"/>
      <c r="I6" s="85"/>
      <c r="J6" s="85"/>
      <c r="K6" s="831" t="str">
        <f>CONCATENATE(C12," / ",C23)</f>
        <v>2019 / 2020</v>
      </c>
      <c r="L6" s="392"/>
    </row>
    <row r="7" spans="1:13" ht="15.75" customHeight="1" x14ac:dyDescent="0.25">
      <c r="A7" s="391"/>
      <c r="B7" s="14" t="s">
        <v>2</v>
      </c>
      <c r="C7" s="420" t="s">
        <v>5</v>
      </c>
      <c r="D7" s="419"/>
      <c r="E7" s="85"/>
      <c r="F7" s="87" t="s">
        <v>3</v>
      </c>
      <c r="G7" s="833"/>
      <c r="H7" s="833"/>
      <c r="I7" s="833"/>
      <c r="J7" s="85"/>
      <c r="K7" s="832"/>
      <c r="L7" s="392"/>
    </row>
    <row r="8" spans="1:13" ht="15.75" customHeight="1" x14ac:dyDescent="0.25">
      <c r="A8" s="391"/>
      <c r="B8" s="14" t="s">
        <v>4</v>
      </c>
      <c r="C8" s="420"/>
      <c r="D8" s="85"/>
      <c r="E8" s="85"/>
      <c r="F8" s="87"/>
      <c r="G8" s="14"/>
      <c r="H8" s="14"/>
      <c r="I8" s="14"/>
      <c r="J8" s="85"/>
      <c r="K8" s="383"/>
      <c r="L8" s="392"/>
    </row>
    <row r="9" spans="1:13" ht="3.95" customHeight="1" x14ac:dyDescent="0.25">
      <c r="A9" s="391"/>
      <c r="B9" s="85"/>
      <c r="C9" s="88" t="s">
        <v>8</v>
      </c>
      <c r="D9" s="85"/>
      <c r="E9" s="85"/>
      <c r="F9" s="85"/>
      <c r="G9" s="85"/>
      <c r="H9" s="85"/>
      <c r="I9" s="85"/>
      <c r="J9" s="85"/>
      <c r="K9" s="85"/>
      <c r="L9" s="392"/>
    </row>
    <row r="10" spans="1:13" ht="15.75" customHeight="1" x14ac:dyDescent="0.25">
      <c r="A10" s="391"/>
      <c r="B10" s="834" t="s">
        <v>50</v>
      </c>
      <c r="C10" s="835"/>
      <c r="D10" s="836" t="s">
        <v>51</v>
      </c>
      <c r="E10" s="836" t="s">
        <v>52</v>
      </c>
      <c r="F10" s="836" t="s">
        <v>11</v>
      </c>
      <c r="G10" s="836" t="s">
        <v>12</v>
      </c>
      <c r="H10" s="836"/>
      <c r="I10" s="836"/>
      <c r="J10" s="847" t="s">
        <v>72</v>
      </c>
      <c r="K10" s="848"/>
      <c r="L10" s="392"/>
    </row>
    <row r="11" spans="1:13" ht="15.75" customHeight="1" x14ac:dyDescent="0.25">
      <c r="A11" s="391"/>
      <c r="B11" s="851" t="str">
        <f>K6</f>
        <v>2019 / 2020</v>
      </c>
      <c r="C11" s="797"/>
      <c r="D11" s="837"/>
      <c r="E11" s="837"/>
      <c r="F11" s="837"/>
      <c r="G11" s="838"/>
      <c r="H11" s="838"/>
      <c r="I11" s="838"/>
      <c r="J11" s="849"/>
      <c r="K11" s="850"/>
      <c r="L11" s="392"/>
    </row>
    <row r="12" spans="1:13" ht="15.75" customHeight="1" x14ac:dyDescent="0.25">
      <c r="A12" s="391"/>
      <c r="B12" s="407" t="s">
        <v>18</v>
      </c>
      <c r="C12" s="421">
        <v>2019</v>
      </c>
      <c r="D12" s="422">
        <v>1</v>
      </c>
      <c r="E12" s="89">
        <f>D12*2.5</f>
        <v>2.5</v>
      </c>
      <c r="F12" s="839"/>
      <c r="G12" s="90"/>
      <c r="H12" s="91"/>
      <c r="I12" s="92"/>
      <c r="J12" s="426"/>
      <c r="K12" s="408">
        <f>J12*10%</f>
        <v>0</v>
      </c>
      <c r="L12" s="392"/>
    </row>
    <row r="13" spans="1:13" ht="15.75" customHeight="1" x14ac:dyDescent="0.25">
      <c r="A13" s="391"/>
      <c r="B13" s="407" t="s">
        <v>19</v>
      </c>
      <c r="C13" s="93">
        <f t="shared" ref="C13:C18" si="0">$C$12</f>
        <v>2019</v>
      </c>
      <c r="D13" s="422">
        <v>0.5</v>
      </c>
      <c r="E13" s="89">
        <f t="shared" ref="E13:E23" si="1">D13*2.5</f>
        <v>1.25</v>
      </c>
      <c r="F13" s="839"/>
      <c r="G13" s="94"/>
      <c r="H13" s="95"/>
      <c r="I13" s="96"/>
      <c r="J13" s="426"/>
      <c r="K13" s="408">
        <f t="shared" ref="K13:K23" si="2">J13*10%</f>
        <v>0</v>
      </c>
      <c r="L13" s="392"/>
      <c r="M13" s="79"/>
    </row>
    <row r="14" spans="1:13" ht="15.75" customHeight="1" x14ac:dyDescent="0.25">
      <c r="A14" s="391"/>
      <c r="B14" s="407" t="s">
        <v>20</v>
      </c>
      <c r="C14" s="93">
        <f t="shared" si="0"/>
        <v>2019</v>
      </c>
      <c r="D14" s="422">
        <v>1</v>
      </c>
      <c r="E14" s="89">
        <f t="shared" si="1"/>
        <v>2.5</v>
      </c>
      <c r="F14" s="839"/>
      <c r="G14" s="844" t="s">
        <v>161</v>
      </c>
      <c r="H14" s="845"/>
      <c r="I14" s="846"/>
      <c r="J14" s="426"/>
      <c r="K14" s="408">
        <f t="shared" si="2"/>
        <v>0</v>
      </c>
      <c r="L14" s="392"/>
    </row>
    <row r="15" spans="1:13" ht="15.75" customHeight="1" x14ac:dyDescent="0.25">
      <c r="A15" s="391"/>
      <c r="B15" s="407" t="s">
        <v>21</v>
      </c>
      <c r="C15" s="93">
        <f t="shared" si="0"/>
        <v>2019</v>
      </c>
      <c r="D15" s="422">
        <v>1</v>
      </c>
      <c r="E15" s="89">
        <f t="shared" si="1"/>
        <v>2.5</v>
      </c>
      <c r="F15" s="839"/>
      <c r="G15" s="841">
        <f>C23</f>
        <v>2020</v>
      </c>
      <c r="H15" s="842"/>
      <c r="I15" s="843"/>
      <c r="J15" s="426"/>
      <c r="K15" s="408">
        <f t="shared" si="2"/>
        <v>0</v>
      </c>
      <c r="L15" s="392"/>
    </row>
    <row r="16" spans="1:13" ht="15.75" customHeight="1" x14ac:dyDescent="0.25">
      <c r="A16" s="391"/>
      <c r="B16" s="407" t="s">
        <v>22</v>
      </c>
      <c r="C16" s="93">
        <f t="shared" si="0"/>
        <v>2019</v>
      </c>
      <c r="D16" s="422">
        <v>1</v>
      </c>
      <c r="E16" s="89">
        <f t="shared" si="1"/>
        <v>2.5</v>
      </c>
      <c r="F16" s="839"/>
      <c r="G16" s="80" t="s">
        <v>159</v>
      </c>
      <c r="H16" s="80" t="s">
        <v>160</v>
      </c>
      <c r="I16" s="80" t="s">
        <v>64</v>
      </c>
      <c r="J16" s="426"/>
      <c r="K16" s="408">
        <f t="shared" si="2"/>
        <v>0</v>
      </c>
      <c r="L16" s="392"/>
    </row>
    <row r="17" spans="1:15" ht="15.75" customHeight="1" x14ac:dyDescent="0.25">
      <c r="A17" s="391"/>
      <c r="B17" s="407" t="s">
        <v>23</v>
      </c>
      <c r="C17" s="93">
        <f t="shared" si="0"/>
        <v>2019</v>
      </c>
      <c r="D17" s="422">
        <v>1</v>
      </c>
      <c r="E17" s="89">
        <f t="shared" si="1"/>
        <v>2.5</v>
      </c>
      <c r="F17" s="840"/>
      <c r="G17" s="423">
        <v>3</v>
      </c>
      <c r="H17" s="424">
        <v>8</v>
      </c>
      <c r="I17" s="425">
        <v>5.7055999999999996</v>
      </c>
      <c r="J17" s="427"/>
      <c r="K17" s="408">
        <f t="shared" si="2"/>
        <v>0</v>
      </c>
      <c r="L17" s="392"/>
    </row>
    <row r="18" spans="1:15" ht="15.75" customHeight="1" x14ac:dyDescent="0.25">
      <c r="A18" s="391"/>
      <c r="B18" s="407" t="s">
        <v>24</v>
      </c>
      <c r="C18" s="93">
        <f t="shared" si="0"/>
        <v>2019</v>
      </c>
      <c r="D18" s="422">
        <v>0.75</v>
      </c>
      <c r="E18" s="89">
        <f t="shared" si="1"/>
        <v>1.875</v>
      </c>
      <c r="F18" s="840"/>
      <c r="G18" s="97"/>
      <c r="H18" s="98"/>
      <c r="I18" s="99"/>
      <c r="J18" s="427"/>
      <c r="K18" s="408">
        <f t="shared" si="2"/>
        <v>0</v>
      </c>
      <c r="L18" s="392"/>
    </row>
    <row r="19" spans="1:15" ht="15.75" customHeight="1" x14ac:dyDescent="0.25">
      <c r="A19" s="391"/>
      <c r="B19" s="407" t="s">
        <v>25</v>
      </c>
      <c r="C19" s="93">
        <f>$C$18+1</f>
        <v>2020</v>
      </c>
      <c r="D19" s="422">
        <v>1</v>
      </c>
      <c r="E19" s="89">
        <f t="shared" si="1"/>
        <v>2.5</v>
      </c>
      <c r="F19" s="840"/>
      <c r="G19" s="100"/>
      <c r="H19" s="101"/>
      <c r="I19" s="102"/>
      <c r="J19" s="427"/>
      <c r="K19" s="408">
        <f t="shared" si="2"/>
        <v>0</v>
      </c>
      <c r="L19" s="392"/>
    </row>
    <row r="20" spans="1:15" ht="15.75" customHeight="1" x14ac:dyDescent="0.25">
      <c r="A20" s="391"/>
      <c r="B20" s="407" t="s">
        <v>26</v>
      </c>
      <c r="C20" s="93">
        <f>$C$18+1</f>
        <v>2020</v>
      </c>
      <c r="D20" s="422">
        <v>1</v>
      </c>
      <c r="E20" s="89">
        <f t="shared" si="1"/>
        <v>2.5</v>
      </c>
      <c r="F20" s="840"/>
      <c r="G20" s="100"/>
      <c r="H20" s="101"/>
      <c r="I20" s="102"/>
      <c r="J20" s="427"/>
      <c r="K20" s="408">
        <f t="shared" si="2"/>
        <v>0</v>
      </c>
      <c r="L20" s="392"/>
    </row>
    <row r="21" spans="1:15" ht="15.75" customHeight="1" x14ac:dyDescent="0.25">
      <c r="A21" s="391"/>
      <c r="B21" s="407" t="s">
        <v>27</v>
      </c>
      <c r="C21" s="93">
        <f>$C$18+1</f>
        <v>2020</v>
      </c>
      <c r="D21" s="422">
        <v>1</v>
      </c>
      <c r="E21" s="89">
        <f t="shared" si="1"/>
        <v>2.5</v>
      </c>
      <c r="F21" s="840"/>
      <c r="G21" s="100"/>
      <c r="H21" s="101"/>
      <c r="I21" s="102"/>
      <c r="J21" s="427"/>
      <c r="K21" s="408">
        <f t="shared" si="2"/>
        <v>0</v>
      </c>
      <c r="L21" s="392"/>
    </row>
    <row r="22" spans="1:15" ht="15.75" customHeight="1" x14ac:dyDescent="0.25">
      <c r="A22" s="391"/>
      <c r="B22" s="407" t="s">
        <v>28</v>
      </c>
      <c r="C22" s="93">
        <f>$C$18+1</f>
        <v>2020</v>
      </c>
      <c r="D22" s="422">
        <v>0.75</v>
      </c>
      <c r="E22" s="89">
        <f t="shared" si="1"/>
        <v>1.875</v>
      </c>
      <c r="F22" s="103">
        <f>I33*2</f>
        <v>6</v>
      </c>
      <c r="G22" s="100"/>
      <c r="H22" s="101"/>
      <c r="I22" s="102"/>
      <c r="J22" s="427"/>
      <c r="K22" s="408">
        <f t="shared" si="2"/>
        <v>0</v>
      </c>
      <c r="L22" s="392"/>
    </row>
    <row r="23" spans="1:15" ht="15.75" customHeight="1" x14ac:dyDescent="0.25">
      <c r="A23" s="391"/>
      <c r="B23" s="407" t="s">
        <v>29</v>
      </c>
      <c r="C23" s="93">
        <f>$C$18+1</f>
        <v>2020</v>
      </c>
      <c r="D23" s="422">
        <v>1</v>
      </c>
      <c r="E23" s="89">
        <f t="shared" si="1"/>
        <v>2.5</v>
      </c>
      <c r="F23" s="104"/>
      <c r="G23" s="105"/>
      <c r="H23" s="106"/>
      <c r="I23" s="107"/>
      <c r="J23" s="427"/>
      <c r="K23" s="408">
        <f t="shared" si="2"/>
        <v>0</v>
      </c>
      <c r="L23" s="392"/>
    </row>
    <row r="24" spans="1:15" ht="15.75" customHeight="1" x14ac:dyDescent="0.25">
      <c r="A24" s="391"/>
      <c r="B24" s="853" t="s">
        <v>53</v>
      </c>
      <c r="C24" s="854"/>
      <c r="D24" s="81">
        <f>ROUND(SUM(D12:D23),0)</f>
        <v>11</v>
      </c>
      <c r="E24" s="82">
        <f>ROUNDUP(E12+E13+E14+E15+E16+E17+E18+E19+E20+E21+E22+E23,0)</f>
        <v>28</v>
      </c>
      <c r="F24" s="108">
        <f>E24+F22</f>
        <v>34</v>
      </c>
      <c r="G24" s="109">
        <f>ROUNDUP(G17*F24/6,0)</f>
        <v>17</v>
      </c>
      <c r="H24" s="110">
        <f>G24*H17</f>
        <v>136</v>
      </c>
      <c r="I24" s="111">
        <f>ROUND(H24*I17,4)</f>
        <v>775.96159999999998</v>
      </c>
      <c r="J24" s="112">
        <f>SUM(J12:J23)</f>
        <v>0</v>
      </c>
      <c r="K24" s="409">
        <f>ROUND(SUM(K12:K23),4)</f>
        <v>0</v>
      </c>
      <c r="L24" s="392"/>
    </row>
    <row r="25" spans="1:15" ht="15.75" customHeight="1" x14ac:dyDescent="0.25">
      <c r="A25" s="391"/>
      <c r="B25" s="771" t="s">
        <v>73</v>
      </c>
      <c r="C25" s="772"/>
      <c r="D25" s="772"/>
      <c r="E25" s="772"/>
      <c r="F25" s="772"/>
      <c r="G25" s="772"/>
      <c r="H25" s="772"/>
      <c r="I25" s="410">
        <f>I24</f>
        <v>775.96159999999998</v>
      </c>
      <c r="J25" s="411" t="s">
        <v>32</v>
      </c>
      <c r="K25" s="412">
        <f>K24</f>
        <v>0</v>
      </c>
      <c r="L25" s="392"/>
    </row>
    <row r="26" spans="1:15" ht="3.95" customHeight="1" x14ac:dyDescent="0.25">
      <c r="A26" s="391"/>
      <c r="B26" s="13"/>
      <c r="C26" s="13"/>
      <c r="D26" s="14"/>
      <c r="E26" s="14"/>
      <c r="F26" s="14"/>
      <c r="G26" s="14"/>
      <c r="H26" s="113"/>
      <c r="I26" s="113"/>
      <c r="J26" s="114"/>
      <c r="K26" s="85"/>
      <c r="L26" s="392"/>
    </row>
    <row r="27" spans="1:15" ht="15.75" customHeight="1" x14ac:dyDescent="0.25">
      <c r="A27" s="391"/>
      <c r="B27" s="825" t="s">
        <v>164</v>
      </c>
      <c r="C27" s="826"/>
      <c r="D27" s="826"/>
      <c r="E27" s="826"/>
      <c r="F27" s="826"/>
      <c r="G27" s="826"/>
      <c r="H27" s="826"/>
      <c r="I27" s="826"/>
      <c r="J27" s="826"/>
      <c r="K27" s="827"/>
      <c r="L27" s="392"/>
    </row>
    <row r="28" spans="1:15" ht="15.75" customHeight="1" x14ac:dyDescent="0.25">
      <c r="A28" s="391"/>
      <c r="B28" s="828"/>
      <c r="C28" s="829"/>
      <c r="D28" s="829"/>
      <c r="E28" s="829"/>
      <c r="F28" s="829"/>
      <c r="G28" s="829"/>
      <c r="H28" s="829"/>
      <c r="I28" s="829"/>
      <c r="J28" s="829"/>
      <c r="K28" s="830"/>
      <c r="L28" s="392"/>
    </row>
    <row r="29" spans="1:15" ht="3.95" customHeight="1" x14ac:dyDescent="0.25">
      <c r="A29" s="391"/>
      <c r="B29" s="13"/>
      <c r="C29" s="115"/>
      <c r="D29" s="115"/>
      <c r="E29" s="115"/>
      <c r="F29" s="115"/>
      <c r="G29" s="115"/>
      <c r="H29" s="115"/>
      <c r="I29" s="115"/>
      <c r="J29" s="115"/>
      <c r="K29" s="85"/>
      <c r="L29" s="392"/>
    </row>
    <row r="30" spans="1:15" ht="15.75" customHeight="1" x14ac:dyDescent="0.25">
      <c r="A30" s="391"/>
      <c r="B30" s="816" t="s">
        <v>35</v>
      </c>
      <c r="C30" s="818">
        <f>C22</f>
        <v>2020</v>
      </c>
      <c r="D30" s="820" t="s">
        <v>162</v>
      </c>
      <c r="E30" s="820"/>
      <c r="F30" s="820"/>
      <c r="G30" s="820"/>
      <c r="H30" s="820"/>
      <c r="I30" s="820"/>
      <c r="J30" s="820"/>
      <c r="K30" s="821"/>
      <c r="L30" s="392"/>
    </row>
    <row r="31" spans="1:15" ht="15.75" customHeight="1" x14ac:dyDescent="0.25">
      <c r="A31" s="391"/>
      <c r="B31" s="817"/>
      <c r="C31" s="819"/>
      <c r="D31" s="822"/>
      <c r="E31" s="822"/>
      <c r="F31" s="822"/>
      <c r="G31" s="822"/>
      <c r="H31" s="822"/>
      <c r="I31" s="822"/>
      <c r="J31" s="822"/>
      <c r="K31" s="823"/>
      <c r="L31" s="392"/>
    </row>
    <row r="32" spans="1:15" ht="3.95" customHeight="1" x14ac:dyDescent="0.25">
      <c r="A32" s="391"/>
      <c r="B32" s="781"/>
      <c r="C32" s="824"/>
      <c r="D32" s="824"/>
      <c r="E32" s="11"/>
      <c r="F32" s="11"/>
      <c r="G32" s="9"/>
      <c r="H32" s="116"/>
      <c r="I32" s="15"/>
      <c r="J32" s="114"/>
      <c r="K32" s="85"/>
      <c r="L32" s="392"/>
      <c r="M32" s="781"/>
      <c r="N32" s="781"/>
      <c r="O32" s="14"/>
    </row>
    <row r="33" spans="1:18" ht="15.75" customHeight="1" x14ac:dyDescent="0.25">
      <c r="A33" s="391"/>
      <c r="B33" s="814" t="s">
        <v>74</v>
      </c>
      <c r="C33" s="815"/>
      <c r="D33" s="815"/>
      <c r="E33" s="815"/>
      <c r="F33" s="815"/>
      <c r="G33" s="815"/>
      <c r="H33" s="117">
        <f>C22</f>
        <v>2020</v>
      </c>
      <c r="I33" s="428">
        <v>3</v>
      </c>
      <c r="J33" s="85"/>
      <c r="K33" s="85"/>
      <c r="L33" s="392"/>
      <c r="M33" s="781"/>
      <c r="N33" s="781"/>
      <c r="O33" s="11"/>
    </row>
    <row r="34" spans="1:18" ht="3.95" customHeight="1" x14ac:dyDescent="0.25">
      <c r="A34" s="391"/>
      <c r="B34" s="85"/>
      <c r="C34" s="85"/>
      <c r="D34" s="85"/>
      <c r="E34" s="10"/>
      <c r="F34" s="10"/>
      <c r="G34" s="10"/>
      <c r="H34" s="118"/>
      <c r="I34" s="85"/>
      <c r="J34" s="119"/>
      <c r="K34" s="85"/>
      <c r="L34" s="392"/>
      <c r="M34" s="14"/>
      <c r="N34" s="14"/>
      <c r="O34" s="11"/>
    </row>
    <row r="35" spans="1:18" ht="15.75" customHeight="1" x14ac:dyDescent="0.25">
      <c r="A35" s="391"/>
      <c r="B35" s="782" t="s">
        <v>75</v>
      </c>
      <c r="C35" s="783"/>
      <c r="D35" s="783"/>
      <c r="E35" s="783"/>
      <c r="F35" s="783"/>
      <c r="G35" s="783"/>
      <c r="H35" s="783"/>
      <c r="I35" s="783"/>
      <c r="J35" s="783"/>
      <c r="K35" s="784"/>
      <c r="L35" s="392"/>
    </row>
    <row r="36" spans="1:18" ht="3.95" customHeight="1" x14ac:dyDescent="0.25">
      <c r="A36" s="391"/>
      <c r="B36" s="85"/>
      <c r="C36" s="120"/>
      <c r="D36" s="121"/>
      <c r="E36" s="120"/>
      <c r="F36" s="9"/>
      <c r="G36" s="122"/>
      <c r="H36" s="14"/>
      <c r="I36" s="813"/>
      <c r="J36" s="813"/>
      <c r="K36" s="9"/>
      <c r="L36" s="392"/>
    </row>
    <row r="37" spans="1:18" ht="15.75" customHeight="1" x14ac:dyDescent="0.25">
      <c r="A37" s="391"/>
      <c r="B37" s="788" t="s">
        <v>76</v>
      </c>
      <c r="C37" s="789"/>
      <c r="D37" s="789"/>
      <c r="E37" s="790"/>
      <c r="F37" s="9"/>
      <c r="G37" s="13"/>
      <c r="H37" s="14"/>
      <c r="I37" s="794" t="s">
        <v>77</v>
      </c>
      <c r="J37" s="795"/>
      <c r="K37" s="429"/>
      <c r="L37" s="393"/>
      <c r="M37" s="123"/>
      <c r="N37" s="123"/>
      <c r="O37" s="123"/>
      <c r="P37" s="123"/>
      <c r="Q37" s="123"/>
    </row>
    <row r="38" spans="1:18" ht="15.75" customHeight="1" x14ac:dyDescent="0.25">
      <c r="A38" s="391"/>
      <c r="B38" s="791"/>
      <c r="C38" s="792"/>
      <c r="D38" s="792"/>
      <c r="E38" s="793"/>
      <c r="F38" s="124"/>
      <c r="G38" s="124"/>
      <c r="H38" s="124"/>
      <c r="I38" s="85"/>
      <c r="J38" s="85"/>
      <c r="K38" s="384" t="s">
        <v>8</v>
      </c>
      <c r="L38" s="393"/>
      <c r="M38" s="124"/>
      <c r="N38" s="124"/>
      <c r="O38" s="13"/>
      <c r="P38" s="124"/>
      <c r="Q38" s="16"/>
    </row>
    <row r="39" spans="1:18" ht="15.75" customHeight="1" x14ac:dyDescent="0.25">
      <c r="A39" s="391"/>
      <c r="B39" s="796" t="s">
        <v>78</v>
      </c>
      <c r="C39" s="797"/>
      <c r="D39" s="236" t="s">
        <v>54</v>
      </c>
      <c r="E39" s="414" t="s">
        <v>55</v>
      </c>
      <c r="F39" s="798" t="s">
        <v>79</v>
      </c>
      <c r="G39" s="799"/>
      <c r="H39" s="800"/>
      <c r="I39" s="801" t="s">
        <v>80</v>
      </c>
      <c r="J39" s="802"/>
      <c r="K39" s="803"/>
      <c r="L39" s="394"/>
      <c r="M39" s="120"/>
      <c r="N39" s="120"/>
      <c r="O39" s="120"/>
      <c r="P39" s="120"/>
      <c r="Q39" s="120"/>
    </row>
    <row r="40" spans="1:18" ht="15" customHeight="1" x14ac:dyDescent="0.25">
      <c r="A40" s="391"/>
      <c r="B40" s="407" t="s">
        <v>18</v>
      </c>
      <c r="C40" s="93">
        <f>$C$23</f>
        <v>2020</v>
      </c>
      <c r="D40" s="430"/>
      <c r="E40" s="431"/>
      <c r="F40" s="798"/>
      <c r="G40" s="799"/>
      <c r="H40" s="800"/>
      <c r="I40" s="804"/>
      <c r="J40" s="805"/>
      <c r="K40" s="806"/>
      <c r="L40" s="394"/>
      <c r="M40" s="120"/>
      <c r="N40" s="120"/>
      <c r="O40" s="120"/>
      <c r="P40" s="120"/>
      <c r="Q40" s="120"/>
    </row>
    <row r="41" spans="1:18" ht="15" customHeight="1" x14ac:dyDescent="0.25">
      <c r="A41" s="391"/>
      <c r="B41" s="407" t="s">
        <v>19</v>
      </c>
      <c r="C41" s="93">
        <f t="shared" ref="C41:C46" si="3">$C$23</f>
        <v>2020</v>
      </c>
      <c r="D41" s="430"/>
      <c r="E41" s="431"/>
      <c r="F41" s="798"/>
      <c r="G41" s="799"/>
      <c r="H41" s="800"/>
      <c r="I41" s="804"/>
      <c r="J41" s="805"/>
      <c r="K41" s="806"/>
      <c r="L41" s="394"/>
      <c r="M41" s="120"/>
      <c r="N41" s="120"/>
      <c r="O41" s="120"/>
      <c r="P41" s="120"/>
      <c r="Q41" s="120"/>
    </row>
    <row r="42" spans="1:18" ht="15" customHeight="1" x14ac:dyDescent="0.25">
      <c r="A42" s="391"/>
      <c r="B42" s="407" t="s">
        <v>20</v>
      </c>
      <c r="C42" s="93">
        <f t="shared" si="3"/>
        <v>2020</v>
      </c>
      <c r="D42" s="430"/>
      <c r="E42" s="431"/>
      <c r="F42" s="807"/>
      <c r="G42" s="808"/>
      <c r="H42" s="809"/>
      <c r="I42" s="810"/>
      <c r="J42" s="811"/>
      <c r="K42" s="812"/>
      <c r="L42" s="395"/>
      <c r="M42" s="11"/>
      <c r="N42" s="125"/>
      <c r="O42" s="12"/>
      <c r="P42" s="11"/>
      <c r="Q42" s="125"/>
    </row>
    <row r="43" spans="1:18" ht="15" customHeight="1" x14ac:dyDescent="0.25">
      <c r="A43" s="391"/>
      <c r="B43" s="407" t="s">
        <v>21</v>
      </c>
      <c r="C43" s="93">
        <f t="shared" si="3"/>
        <v>2020</v>
      </c>
      <c r="D43" s="430"/>
      <c r="E43" s="431"/>
      <c r="F43" s="807"/>
      <c r="G43" s="808"/>
      <c r="H43" s="809"/>
      <c r="I43" s="810"/>
      <c r="J43" s="811"/>
      <c r="K43" s="812"/>
      <c r="L43" s="396"/>
      <c r="M43" s="11"/>
      <c r="N43" s="125"/>
      <c r="O43" s="124"/>
      <c r="P43" s="11"/>
      <c r="Q43" s="125"/>
    </row>
    <row r="44" spans="1:18" ht="15" customHeight="1" x14ac:dyDescent="0.25">
      <c r="A44" s="391"/>
      <c r="B44" s="407" t="s">
        <v>22</v>
      </c>
      <c r="C44" s="93">
        <f t="shared" si="3"/>
        <v>2020</v>
      </c>
      <c r="D44" s="430"/>
      <c r="E44" s="431"/>
      <c r="F44" s="807"/>
      <c r="G44" s="808"/>
      <c r="H44" s="809"/>
      <c r="I44" s="810"/>
      <c r="J44" s="811"/>
      <c r="K44" s="812"/>
      <c r="L44" s="393"/>
      <c r="M44" s="124"/>
      <c r="N44" s="126"/>
      <c r="O44" s="126"/>
      <c r="P44" s="126"/>
      <c r="Q44" s="124"/>
      <c r="R44" s="770"/>
    </row>
    <row r="45" spans="1:18" ht="15" customHeight="1" x14ac:dyDescent="0.25">
      <c r="A45" s="391"/>
      <c r="B45" s="407" t="s">
        <v>23</v>
      </c>
      <c r="C45" s="93">
        <f t="shared" si="3"/>
        <v>2020</v>
      </c>
      <c r="D45" s="430"/>
      <c r="E45" s="431"/>
      <c r="F45" s="807"/>
      <c r="G45" s="808"/>
      <c r="H45" s="809"/>
      <c r="I45" s="810"/>
      <c r="J45" s="811"/>
      <c r="K45" s="812"/>
      <c r="L45" s="393"/>
      <c r="M45" s="124"/>
      <c r="N45" s="124"/>
      <c r="O45" s="124"/>
      <c r="P45" s="120"/>
      <c r="Q45" s="124"/>
      <c r="R45" s="770"/>
    </row>
    <row r="46" spans="1:18" ht="15" customHeight="1" x14ac:dyDescent="0.25">
      <c r="A46" s="391"/>
      <c r="B46" s="407" t="s">
        <v>24</v>
      </c>
      <c r="C46" s="93">
        <f t="shared" si="3"/>
        <v>2020</v>
      </c>
      <c r="D46" s="430"/>
      <c r="E46" s="431"/>
      <c r="F46" s="807"/>
      <c r="G46" s="808"/>
      <c r="H46" s="809"/>
      <c r="I46" s="810"/>
      <c r="J46" s="811"/>
      <c r="K46" s="812"/>
      <c r="L46" s="393"/>
      <c r="M46" s="124"/>
      <c r="N46" s="124"/>
      <c r="O46" s="124"/>
      <c r="P46" s="124"/>
      <c r="Q46" s="124"/>
      <c r="R46" s="123"/>
    </row>
    <row r="47" spans="1:18" ht="15" customHeight="1" x14ac:dyDescent="0.25">
      <c r="A47" s="391"/>
      <c r="B47" s="407" t="s">
        <v>25</v>
      </c>
      <c r="C47" s="93">
        <f>$C$23+1</f>
        <v>2021</v>
      </c>
      <c r="D47" s="430"/>
      <c r="E47" s="431"/>
      <c r="F47" s="807"/>
      <c r="G47" s="808"/>
      <c r="H47" s="809"/>
      <c r="I47" s="810"/>
      <c r="J47" s="811"/>
      <c r="K47" s="812"/>
      <c r="L47" s="397"/>
      <c r="M47" s="14"/>
      <c r="N47" s="14"/>
      <c r="O47" s="14"/>
      <c r="P47" s="14"/>
      <c r="Q47" s="14"/>
    </row>
    <row r="48" spans="1:18" ht="15" customHeight="1" x14ac:dyDescent="0.25">
      <c r="A48" s="391"/>
      <c r="B48" s="407" t="s">
        <v>26</v>
      </c>
      <c r="C48" s="93">
        <f>$C$23+1</f>
        <v>2021</v>
      </c>
      <c r="D48" s="430"/>
      <c r="E48" s="431"/>
      <c r="F48" s="807"/>
      <c r="G48" s="808"/>
      <c r="H48" s="809"/>
      <c r="I48" s="810"/>
      <c r="J48" s="811"/>
      <c r="K48" s="812"/>
      <c r="L48" s="393"/>
      <c r="M48" s="124"/>
      <c r="N48" s="124"/>
      <c r="O48" s="13"/>
      <c r="P48" s="124"/>
      <c r="Q48" s="16"/>
    </row>
    <row r="49" spans="1:17" ht="15" customHeight="1" x14ac:dyDescent="0.25">
      <c r="A49" s="391"/>
      <c r="B49" s="407" t="s">
        <v>27</v>
      </c>
      <c r="C49" s="93">
        <f>$C$23+1</f>
        <v>2021</v>
      </c>
      <c r="D49" s="430"/>
      <c r="E49" s="431"/>
      <c r="F49" s="807"/>
      <c r="G49" s="808"/>
      <c r="H49" s="809"/>
      <c r="I49" s="810"/>
      <c r="J49" s="811"/>
      <c r="K49" s="812"/>
      <c r="L49" s="398"/>
      <c r="M49" s="124"/>
      <c r="N49" s="12"/>
      <c r="O49" s="120"/>
      <c r="P49" s="120"/>
      <c r="Q49" s="120"/>
    </row>
    <row r="50" spans="1:17" ht="15" customHeight="1" x14ac:dyDescent="0.25">
      <c r="A50" s="391"/>
      <c r="B50" s="407" t="s">
        <v>28</v>
      </c>
      <c r="C50" s="93">
        <f>$C$23+1</f>
        <v>2021</v>
      </c>
      <c r="D50" s="430"/>
      <c r="E50" s="431"/>
      <c r="F50" s="807"/>
      <c r="G50" s="808"/>
      <c r="H50" s="809"/>
      <c r="I50" s="810"/>
      <c r="J50" s="811"/>
      <c r="K50" s="812"/>
      <c r="L50" s="393"/>
      <c r="M50" s="124"/>
      <c r="N50" s="101"/>
      <c r="O50" s="120"/>
      <c r="P50" s="120"/>
      <c r="Q50" s="120"/>
    </row>
    <row r="51" spans="1:17" ht="15" customHeight="1" x14ac:dyDescent="0.25">
      <c r="A51" s="391"/>
      <c r="B51" s="407" t="s">
        <v>91</v>
      </c>
      <c r="C51" s="93">
        <f>$C$23+1</f>
        <v>2021</v>
      </c>
      <c r="D51" s="430"/>
      <c r="E51" s="431"/>
      <c r="F51" s="807"/>
      <c r="G51" s="808"/>
      <c r="H51" s="809"/>
      <c r="I51" s="810"/>
      <c r="J51" s="811"/>
      <c r="K51" s="812"/>
      <c r="L51" s="393"/>
      <c r="M51" s="124"/>
      <c r="N51" s="124"/>
      <c r="O51" s="120"/>
      <c r="P51" s="120"/>
      <c r="Q51" s="120"/>
    </row>
    <row r="52" spans="1:17" ht="15.75" customHeight="1" x14ac:dyDescent="0.25">
      <c r="A52" s="391"/>
      <c r="B52" s="771" t="s">
        <v>81</v>
      </c>
      <c r="C52" s="772"/>
      <c r="D52" s="415">
        <f>IF(D40+D41+D42+D43+D44+D45+D46+D47+D48+D49+D50+D51&gt;F24,FALSE,D40+D41+D42+D43+D44+D45+D46+D47+D48+D49+D50+D51)</f>
        <v>0</v>
      </c>
      <c r="E52" s="416"/>
      <c r="F52" s="413">
        <f>D52*(I25/F24)</f>
        <v>0</v>
      </c>
      <c r="G52" s="83">
        <f>F24-D52</f>
        <v>34</v>
      </c>
      <c r="H52" s="385">
        <f>I25-F52</f>
        <v>775.96159999999998</v>
      </c>
      <c r="I52" s="417">
        <f>D52*(I25/F24)</f>
        <v>0</v>
      </c>
      <c r="J52" s="415">
        <f>F24-D52</f>
        <v>34</v>
      </c>
      <c r="K52" s="418">
        <f ca="1">K25-I52+IF(I25&gt;K25,I52-K52,0)</f>
        <v>0</v>
      </c>
      <c r="L52" s="393"/>
      <c r="M52" s="127"/>
      <c r="N52" s="123"/>
      <c r="O52" s="12"/>
      <c r="P52" s="11"/>
      <c r="Q52" s="125"/>
    </row>
    <row r="53" spans="1:17" ht="3.95" customHeight="1" x14ac:dyDescent="0.25">
      <c r="A53" s="391"/>
      <c r="B53" s="773"/>
      <c r="C53" s="774"/>
      <c r="D53" s="774"/>
      <c r="E53" s="774"/>
      <c r="F53" s="775"/>
      <c r="G53" s="775"/>
      <c r="H53" s="775"/>
      <c r="I53" s="774"/>
      <c r="J53" s="774"/>
      <c r="K53" s="776"/>
      <c r="L53" s="393"/>
      <c r="M53" s="123"/>
      <c r="N53" s="123"/>
      <c r="O53" s="124"/>
      <c r="P53" s="11"/>
      <c r="Q53" s="125"/>
    </row>
    <row r="54" spans="1:17" ht="15.75" customHeight="1" x14ac:dyDescent="0.25">
      <c r="A54" s="391"/>
      <c r="B54" s="777">
        <f>IF(D40+D41+D42+D43+D44+D45+D46+D47+D48+D49+D50+D51&gt;F24,"vous dépassez le nbr de jour acquis",0)</f>
        <v>0</v>
      </c>
      <c r="C54" s="778"/>
      <c r="D54" s="778"/>
      <c r="E54" s="778"/>
      <c r="F54" s="778"/>
      <c r="G54" s="778"/>
      <c r="H54" s="128"/>
      <c r="I54" s="779" t="s">
        <v>8</v>
      </c>
      <c r="J54" s="779"/>
      <c r="K54" s="780"/>
      <c r="L54" s="399"/>
      <c r="M54" s="129"/>
      <c r="N54" s="129"/>
      <c r="O54" s="124"/>
      <c r="P54" s="11"/>
      <c r="Q54" s="125"/>
    </row>
    <row r="55" spans="1:17" ht="3.95" customHeight="1" thickBot="1" x14ac:dyDescent="0.3">
      <c r="A55" s="391"/>
      <c r="B55" s="785"/>
      <c r="C55" s="786"/>
      <c r="D55" s="786"/>
      <c r="E55" s="786"/>
      <c r="F55" s="786"/>
      <c r="G55" s="786"/>
      <c r="H55" s="786"/>
      <c r="I55" s="786"/>
      <c r="J55" s="786"/>
      <c r="K55" s="787"/>
      <c r="L55" s="393"/>
      <c r="M55" s="123"/>
      <c r="N55" s="123"/>
      <c r="O55" s="124"/>
      <c r="P55" s="11"/>
      <c r="Q55" s="125"/>
    </row>
    <row r="56" spans="1:17" ht="15.75" customHeight="1" thickTop="1" thickBot="1" x14ac:dyDescent="0.3">
      <c r="A56" s="391"/>
      <c r="B56" s="768" t="s">
        <v>169</v>
      </c>
      <c r="C56" s="769"/>
      <c r="D56" s="769"/>
      <c r="E56" s="769"/>
      <c r="F56" s="769"/>
      <c r="G56" s="769"/>
      <c r="H56" s="769"/>
      <c r="I56" s="382" t="str">
        <f>K6</f>
        <v>2019 / 2020</v>
      </c>
      <c r="J56" s="386">
        <f>IF(I25&gt;K25,H52,K52)</f>
        <v>775.96159999999998</v>
      </c>
      <c r="K56" s="125"/>
      <c r="L56" s="392"/>
      <c r="M56" s="130"/>
    </row>
    <row r="57" spans="1:17" ht="9.9499999999999993" customHeight="1" thickTop="1" thickBot="1" x14ac:dyDescent="0.3">
      <c r="A57" s="400"/>
      <c r="B57" s="401"/>
      <c r="C57" s="401"/>
      <c r="D57" s="402"/>
      <c r="E57" s="402"/>
      <c r="F57" s="403"/>
      <c r="G57" s="402"/>
      <c r="H57" s="404"/>
      <c r="I57" s="405"/>
      <c r="J57" s="402"/>
      <c r="K57" s="404"/>
      <c r="L57" s="406"/>
    </row>
    <row r="58" spans="1:17" ht="13.5" thickTop="1" x14ac:dyDescent="0.25"/>
  </sheetData>
  <sheetProtection algorithmName="SHA-512" hashValue="vHHdH7BA2mpw4KzJBuNG8dRCVqvBZgSvrNix1u50URUyX2G/XkXCbettaL/5X3/7mhpEHGjPa5hy5TVtaZJAJg==" saltValue="SeehztcWeOuBY0hFzNUpKQ==" spinCount="100000" sheet="1" objects="1" scenarios="1" selectLockedCells="1"/>
  <mergeCells count="41">
    <mergeCell ref="C2:J2"/>
    <mergeCell ref="C3:J3"/>
    <mergeCell ref="B24:C24"/>
    <mergeCell ref="B25:H25"/>
    <mergeCell ref="B27:K28"/>
    <mergeCell ref="B5:K5"/>
    <mergeCell ref="K6:K7"/>
    <mergeCell ref="G7:I7"/>
    <mergeCell ref="B10:C10"/>
    <mergeCell ref="D10:D11"/>
    <mergeCell ref="E10:E11"/>
    <mergeCell ref="F10:F11"/>
    <mergeCell ref="G10:I11"/>
    <mergeCell ref="F12:F21"/>
    <mergeCell ref="G15:I15"/>
    <mergeCell ref="G14:I14"/>
    <mergeCell ref="J10:K11"/>
    <mergeCell ref="B11:C11"/>
    <mergeCell ref="M32:N32"/>
    <mergeCell ref="B30:B31"/>
    <mergeCell ref="C30:C31"/>
    <mergeCell ref="D30:K31"/>
    <mergeCell ref="B32:D32"/>
    <mergeCell ref="M33:N33"/>
    <mergeCell ref="B35:K35"/>
    <mergeCell ref="B55:K55"/>
    <mergeCell ref="B37:E38"/>
    <mergeCell ref="I37:J37"/>
    <mergeCell ref="B39:C39"/>
    <mergeCell ref="F39:H41"/>
    <mergeCell ref="I39:K41"/>
    <mergeCell ref="F42:H51"/>
    <mergeCell ref="I42:K51"/>
    <mergeCell ref="I36:J36"/>
    <mergeCell ref="B33:G33"/>
    <mergeCell ref="B56:H56"/>
    <mergeCell ref="R44:R45"/>
    <mergeCell ref="B52:C52"/>
    <mergeCell ref="B53:K53"/>
    <mergeCell ref="B54:G54"/>
    <mergeCell ref="I54:K54"/>
  </mergeCells>
  <conditionalFormatting sqref="E53">
    <cfRule type="cellIs" dxfId="5" priority="6" stopIfTrue="1" operator="notEqual">
      <formula>""</formula>
    </cfRule>
  </conditionalFormatting>
  <conditionalFormatting sqref="I54">
    <cfRule type="cellIs" dxfId="4" priority="8" stopIfTrue="1" operator="notEqual">
      <formula>""</formula>
    </cfRule>
  </conditionalFormatting>
  <conditionalFormatting sqref="B2">
    <cfRule type="expression" dxfId="3" priority="4" stopIfTrue="1">
      <formula>$C$10&lt;&gt;""</formula>
    </cfRule>
  </conditionalFormatting>
  <conditionalFormatting sqref="B54:G54">
    <cfRule type="containsText" dxfId="2" priority="1" operator="containsText" text="vous dépassez le nbr de jour acquis">
      <formula>NOT(ISERROR(SEARCH("vous dépassez le nbr de jour acquis",B54)))</formula>
    </cfRule>
  </conditionalFormatting>
  <conditionalFormatting sqref="B3 B7:B8">
    <cfRule type="expression" dxfId="1" priority="34" stopIfTrue="1">
      <formula>#REF!&lt;&gt;""</formula>
    </cfRule>
  </conditionalFormatting>
  <printOptions horizontalCentered="1" verticalCentered="1"/>
  <pageMargins left="0.31496062992125984" right="0.31496062992125984" top="0.35433070866141736" bottom="0.35433070866141736" header="0" footer="0"/>
  <pageSetup paperSize="9" scale="78" orientation="portrait" horizontalDpi="0" verticalDpi="0"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workbookViewId="0">
      <selection activeCell="B15" sqref="B15"/>
    </sheetView>
  </sheetViews>
  <sheetFormatPr baseColWidth="10" defaultRowHeight="15" x14ac:dyDescent="0.25"/>
  <cols>
    <col min="1" max="1" width="2.7109375" style="3" customWidth="1"/>
    <col min="2" max="2" width="22.85546875" style="3" customWidth="1"/>
    <col min="3" max="3" width="10.85546875" style="3" customWidth="1"/>
    <col min="4" max="4" width="11.42578125" style="3"/>
    <col min="5" max="5" width="22.28515625" style="3" customWidth="1"/>
    <col min="6" max="6" width="2.7109375" style="3" customWidth="1"/>
    <col min="7" max="16384" width="11.42578125" style="3"/>
  </cols>
  <sheetData>
    <row r="1" spans="1:6" ht="16.5" thickTop="1" thickBot="1" x14ac:dyDescent="0.3">
      <c r="A1" s="478"/>
      <c r="B1" s="479"/>
      <c r="C1" s="479"/>
      <c r="D1" s="479"/>
      <c r="E1" s="479"/>
      <c r="F1" s="480"/>
    </row>
    <row r="2" spans="1:6" ht="28.5" customHeight="1" thickTop="1" thickBot="1" x14ac:dyDescent="0.3">
      <c r="A2" s="481"/>
      <c r="B2" s="682" t="s">
        <v>92</v>
      </c>
      <c r="C2" s="683"/>
      <c r="D2" s="683"/>
      <c r="E2" s="684"/>
      <c r="F2" s="482"/>
    </row>
    <row r="3" spans="1:6" ht="15.75" thickTop="1" x14ac:dyDescent="0.25">
      <c r="A3" s="481"/>
      <c r="B3" s="483"/>
      <c r="C3" s="483"/>
      <c r="D3" s="483"/>
      <c r="E3" s="483"/>
      <c r="F3" s="482"/>
    </row>
    <row r="4" spans="1:6" x14ac:dyDescent="0.25">
      <c r="A4" s="481"/>
      <c r="B4" s="470" t="s">
        <v>98</v>
      </c>
      <c r="C4" s="856" t="s">
        <v>100</v>
      </c>
      <c r="D4" s="856"/>
      <c r="E4" s="856"/>
      <c r="F4" s="482"/>
    </row>
    <row r="5" spans="1:6" x14ac:dyDescent="0.25">
      <c r="A5" s="481"/>
      <c r="B5" s="483"/>
      <c r="C5" s="483"/>
      <c r="D5" s="483"/>
      <c r="E5" s="483"/>
      <c r="F5" s="482"/>
    </row>
    <row r="6" spans="1:6" x14ac:dyDescent="0.25">
      <c r="A6" s="481"/>
      <c r="B6" s="671" t="s">
        <v>95</v>
      </c>
      <c r="C6" s="671"/>
      <c r="D6" s="671"/>
      <c r="E6" s="471">
        <v>43556</v>
      </c>
      <c r="F6" s="482"/>
    </row>
    <row r="7" spans="1:6" ht="15.75" x14ac:dyDescent="0.25">
      <c r="A7" s="481"/>
      <c r="B7" s="483"/>
      <c r="C7" s="671" t="s">
        <v>97</v>
      </c>
      <c r="D7" s="671"/>
      <c r="E7" s="472" t="str">
        <f>CONCATENATE(C13," / ",C24)</f>
        <v>2019 / 2020</v>
      </c>
      <c r="F7" s="482"/>
    </row>
    <row r="8" spans="1:6" ht="15.75" x14ac:dyDescent="0.25">
      <c r="A8" s="481"/>
      <c r="B8" s="483"/>
      <c r="C8" s="483"/>
      <c r="D8" s="484"/>
      <c r="E8" s="485"/>
      <c r="F8" s="482"/>
    </row>
    <row r="9" spans="1:6" ht="15.75" x14ac:dyDescent="0.25">
      <c r="A9" s="481"/>
      <c r="B9" s="671" t="s">
        <v>96</v>
      </c>
      <c r="C9" s="671"/>
      <c r="D9" s="671"/>
      <c r="E9" s="473">
        <v>5</v>
      </c>
      <c r="F9" s="482"/>
    </row>
    <row r="10" spans="1:6" x14ac:dyDescent="0.25">
      <c r="A10" s="481"/>
      <c r="B10" s="483"/>
      <c r="C10" s="483"/>
      <c r="D10" s="483"/>
      <c r="E10" s="483"/>
      <c r="F10" s="482"/>
    </row>
    <row r="11" spans="1:6" x14ac:dyDescent="0.25">
      <c r="A11" s="481"/>
      <c r="B11" s="672" t="s">
        <v>83</v>
      </c>
      <c r="C11" s="673"/>
      <c r="D11" s="673"/>
      <c r="E11" s="674"/>
      <c r="F11" s="482"/>
    </row>
    <row r="12" spans="1:6" x14ac:dyDescent="0.25">
      <c r="A12" s="481"/>
      <c r="B12" s="474" t="s">
        <v>78</v>
      </c>
      <c r="C12" s="2"/>
      <c r="D12" s="7" t="s">
        <v>93</v>
      </c>
      <c r="E12" s="475" t="s">
        <v>86</v>
      </c>
      <c r="F12" s="482"/>
    </row>
    <row r="13" spans="1:6" x14ac:dyDescent="0.25">
      <c r="A13" s="481"/>
      <c r="B13" s="476" t="str">
        <f>TEXT(E6,"mmmm")</f>
        <v>avril</v>
      </c>
      <c r="C13" s="5" t="str">
        <f>TEXT(E6,"aaaa")</f>
        <v>2019</v>
      </c>
      <c r="D13" s="488"/>
      <c r="E13" s="489"/>
      <c r="F13" s="482"/>
    </row>
    <row r="14" spans="1:6" x14ac:dyDescent="0.25">
      <c r="A14" s="481"/>
      <c r="B14" s="476">
        <f>EDATE($E$6,1)</f>
        <v>43586</v>
      </c>
      <c r="C14" s="5" t="str">
        <f>TEXT(B14,"aaaa")</f>
        <v>2019</v>
      </c>
      <c r="D14" s="488"/>
      <c r="E14" s="489"/>
      <c r="F14" s="482"/>
    </row>
    <row r="15" spans="1:6" x14ac:dyDescent="0.25">
      <c r="A15" s="481"/>
      <c r="B15" s="476">
        <f>EDATE($E$6,2)</f>
        <v>43617</v>
      </c>
      <c r="C15" s="5" t="str">
        <f t="shared" ref="C15:C23" si="0">TEXT(B15,"aaaa")</f>
        <v>2019</v>
      </c>
      <c r="D15" s="488"/>
      <c r="E15" s="489"/>
      <c r="F15" s="482"/>
    </row>
    <row r="16" spans="1:6" x14ac:dyDescent="0.25">
      <c r="A16" s="481"/>
      <c r="B16" s="476">
        <f>EDATE($E$6,3)</f>
        <v>43647</v>
      </c>
      <c r="C16" s="5" t="str">
        <f t="shared" si="0"/>
        <v>2019</v>
      </c>
      <c r="D16" s="488"/>
      <c r="E16" s="489"/>
      <c r="F16" s="482"/>
    </row>
    <row r="17" spans="1:6" x14ac:dyDescent="0.25">
      <c r="A17" s="481"/>
      <c r="B17" s="476">
        <f>EDATE($E$6,4)</f>
        <v>43678</v>
      </c>
      <c r="C17" s="5" t="str">
        <f t="shared" si="0"/>
        <v>2019</v>
      </c>
      <c r="D17" s="488"/>
      <c r="E17" s="489"/>
      <c r="F17" s="482"/>
    </row>
    <row r="18" spans="1:6" x14ac:dyDescent="0.25">
      <c r="A18" s="481"/>
      <c r="B18" s="476">
        <f>EDATE($E$6,5)</f>
        <v>43709</v>
      </c>
      <c r="C18" s="5" t="str">
        <f t="shared" si="0"/>
        <v>2019</v>
      </c>
      <c r="D18" s="488"/>
      <c r="E18" s="489"/>
      <c r="F18" s="482"/>
    </row>
    <row r="19" spans="1:6" x14ac:dyDescent="0.25">
      <c r="A19" s="481"/>
      <c r="B19" s="476">
        <f>EDATE($E$6,6)</f>
        <v>43739</v>
      </c>
      <c r="C19" s="5" t="str">
        <f t="shared" si="0"/>
        <v>2019</v>
      </c>
      <c r="D19" s="488"/>
      <c r="E19" s="489"/>
      <c r="F19" s="482"/>
    </row>
    <row r="20" spans="1:6" x14ac:dyDescent="0.25">
      <c r="A20" s="481"/>
      <c r="B20" s="476">
        <f>EDATE($E$6,7)</f>
        <v>43770</v>
      </c>
      <c r="C20" s="5" t="str">
        <f t="shared" si="0"/>
        <v>2019</v>
      </c>
      <c r="D20" s="488">
        <v>1</v>
      </c>
      <c r="E20" s="489"/>
      <c r="F20" s="482"/>
    </row>
    <row r="21" spans="1:6" x14ac:dyDescent="0.25">
      <c r="A21" s="481"/>
      <c r="B21" s="476">
        <f>EDATE($E$6,8)</f>
        <v>43800</v>
      </c>
      <c r="C21" s="5" t="str">
        <f t="shared" si="0"/>
        <v>2019</v>
      </c>
      <c r="D21" s="488"/>
      <c r="E21" s="489"/>
      <c r="F21" s="482"/>
    </row>
    <row r="22" spans="1:6" x14ac:dyDescent="0.25">
      <c r="A22" s="481"/>
      <c r="B22" s="476">
        <f>EDATE($E$6,9)</f>
        <v>43831</v>
      </c>
      <c r="C22" s="5" t="str">
        <f t="shared" si="0"/>
        <v>2020</v>
      </c>
      <c r="D22" s="488">
        <v>3</v>
      </c>
      <c r="E22" s="489"/>
      <c r="F22" s="482"/>
    </row>
    <row r="23" spans="1:6" x14ac:dyDescent="0.25">
      <c r="A23" s="481"/>
      <c r="B23" s="476">
        <f>EDATE($E$6,10)</f>
        <v>43862</v>
      </c>
      <c r="C23" s="5" t="str">
        <f t="shared" si="0"/>
        <v>2020</v>
      </c>
      <c r="D23" s="488"/>
      <c r="E23" s="489"/>
      <c r="F23" s="482"/>
    </row>
    <row r="24" spans="1:6" x14ac:dyDescent="0.25">
      <c r="A24" s="481"/>
      <c r="B24" s="476">
        <f>EDATE($E$6,11)</f>
        <v>43891</v>
      </c>
      <c r="C24" s="5" t="str">
        <f>TEXT(B24,"aaaa")</f>
        <v>2020</v>
      </c>
      <c r="D24" s="488"/>
      <c r="E24" s="489"/>
      <c r="F24" s="482"/>
    </row>
    <row r="25" spans="1:6" x14ac:dyDescent="0.25">
      <c r="A25" s="481"/>
      <c r="B25" s="675" t="s">
        <v>94</v>
      </c>
      <c r="C25" s="676"/>
      <c r="D25" s="6">
        <f>(D13+D14+D15+D16+D17+D18+D19+D20+D21+D22+D23+D24)</f>
        <v>4</v>
      </c>
      <c r="E25" s="477"/>
      <c r="F25" s="482"/>
    </row>
    <row r="26" spans="1:6" x14ac:dyDescent="0.25">
      <c r="A26" s="481"/>
      <c r="B26" s="677" t="s">
        <v>99</v>
      </c>
      <c r="C26" s="677"/>
      <c r="D26" s="678">
        <f>IF(D25&gt;E9,"vous avez pris trop de semaine",E9-D25)</f>
        <v>1</v>
      </c>
      <c r="E26" s="678"/>
      <c r="F26" s="482"/>
    </row>
    <row r="27" spans="1:6" ht="15.75" thickBot="1" x14ac:dyDescent="0.3">
      <c r="A27" s="486"/>
      <c r="B27" s="855"/>
      <c r="C27" s="855"/>
      <c r="D27" s="855"/>
      <c r="E27" s="855"/>
      <c r="F27" s="487"/>
    </row>
    <row r="28" spans="1:6" ht="15.75" thickTop="1" x14ac:dyDescent="0.25">
      <c r="C28" s="4"/>
    </row>
  </sheetData>
  <mergeCells count="11">
    <mergeCell ref="B11:E11"/>
    <mergeCell ref="B2:E2"/>
    <mergeCell ref="C7:D7"/>
    <mergeCell ref="B6:D6"/>
    <mergeCell ref="B9:D9"/>
    <mergeCell ref="C4:E4"/>
    <mergeCell ref="B25:C25"/>
    <mergeCell ref="D27:E27"/>
    <mergeCell ref="B27:C27"/>
    <mergeCell ref="B26:C26"/>
    <mergeCell ref="D26:E26"/>
  </mergeCells>
  <conditionalFormatting sqref="D26:E26">
    <cfRule type="containsText" dxfId="0" priority="1" operator="containsText" text="vous avez pris trop de semaine">
      <formula>NOT(ISERROR(SEARCH("vous avez pris trop de semaine",D26)))</formula>
    </cfRule>
  </conditionalFormatting>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3</vt:i4>
      </vt:variant>
    </vt:vector>
  </HeadingPairs>
  <TitlesOfParts>
    <vt:vector size="8" baseType="lpstr">
      <vt:lpstr>AI</vt:lpstr>
      <vt:lpstr>récapitulatif AI</vt:lpstr>
      <vt:lpstr>REGUL AC</vt:lpstr>
      <vt:lpstr>indemnité compensatrice CP AC</vt:lpstr>
      <vt:lpstr>recap sem parents</vt:lpstr>
      <vt:lpstr>AI!Zone_d_impression</vt:lpstr>
      <vt:lpstr>'indemnité compensatrice CP AC'!Zone_d_impression</vt:lpstr>
      <vt:lpstr>'récapitulatif AI'!Zone_d_impression</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karine</dc:creator>
  <cp:lastModifiedBy>karine tison</cp:lastModifiedBy>
  <cp:lastPrinted>2020-06-28T10:59:54Z</cp:lastPrinted>
  <dcterms:created xsi:type="dcterms:W3CDTF">2019-08-20T07:16:42Z</dcterms:created>
  <dcterms:modified xsi:type="dcterms:W3CDTF">2020-06-29T09:53:04Z</dcterms:modified>
</cp:coreProperties>
</file>