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 codeName="{4470D2CD-2249-CD33-4A35-6F278624656F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F:\DOCUMENTS PROFESSIONNELS\MEDIA AGENCY CONSULTING\Client\Electrometal\TRAVAUX\MAQUETTES AMELIORATION TABLEAU\"/>
    </mc:Choice>
  </mc:AlternateContent>
  <xr:revisionPtr revIDLastSave="0" documentId="13_ncr:1_{3E2742AF-1F39-4B46-83E4-A2205D4AE521}" xr6:coauthVersionLast="45" xr6:coauthVersionMax="45" xr10:uidLastSave="{00000000-0000-0000-0000-000000000000}"/>
  <bookViews>
    <workbookView xWindow="28680" yWindow="-120" windowWidth="29040" windowHeight="15840" tabRatio="918" activeTab="6" xr2:uid="{00000000-000D-0000-FFFF-FFFF00000000}"/>
  </bookViews>
  <sheets>
    <sheet name="ACHATS FRS 20" sheetId="6" r:id="rId1"/>
    <sheet name="FACT - PEINTURE- SERRURERIE" sheetId="8" r:id="rId2"/>
    <sheet name="FACT - ELECTRICITE" sheetId="13" r:id="rId3"/>
    <sheet name="FACT - ACHAT DIVERS" sheetId="14" r:id="rId4"/>
    <sheet name="FACT - FRS EXPORTS-TRANSPORTS" sheetId="18" r:id="rId5"/>
    <sheet name="FACT - FRAIS Généraux" sheetId="17" r:id="rId6"/>
    <sheet name="SUIVI DES FACTURES FRS" sheetId="19" r:id="rId7"/>
    <sheet name="MAQUETTE" sheetId="21" r:id="rId8"/>
    <sheet name="Feuil1" sheetId="20" r:id="rId9"/>
  </sheets>
  <definedNames>
    <definedName name="_xlnm._FilterDatabase" localSheetId="0" hidden="1">'ACHATS FRS 20'!$B$5:$N$67</definedName>
    <definedName name="_xlnm._FilterDatabase" localSheetId="3" hidden="1">'FACT - ACHAT DIVERS'!$E$4:$P$84</definedName>
    <definedName name="_xlnm._FilterDatabase" localSheetId="2" hidden="1">'FACT - ELECTRICITE'!$E$4:$N$84</definedName>
    <definedName name="_xlnm._FilterDatabase" localSheetId="5" hidden="1">'FACT - FRAIS Généraux'!$BE$4:$BP$80</definedName>
    <definedName name="_xlnm._FilterDatabase" localSheetId="4" hidden="1">'FACT - FRS EXPORTS-TRANSPORTS'!$R$4:$AC$62</definedName>
    <definedName name="_xlnm._FilterDatabase" localSheetId="1" hidden="1">'FACT - PEINTURE- SERRURERIE'!$E$4:$P$175</definedName>
    <definedName name="_xlnm._FilterDatabase" localSheetId="8" hidden="1">Feuil1!$B$5:$H$5</definedName>
    <definedName name="_xlnm._FilterDatabase" localSheetId="6" hidden="1">'SUIVI DES FACTURES FRS'!$B$5:$O$5</definedName>
  </definedNames>
  <calcPr calcId="181029"/>
</workbook>
</file>

<file path=xl/calcChain.xml><?xml version="1.0" encoding="utf-8"?>
<calcChain xmlns="http://schemas.openxmlformats.org/spreadsheetml/2006/main">
  <c r="H122" i="19" l="1"/>
  <c r="H121" i="19"/>
  <c r="H120" i="19"/>
  <c r="H119" i="19"/>
  <c r="H118" i="19"/>
  <c r="H117" i="19"/>
  <c r="H116" i="19"/>
  <c r="H115" i="19"/>
  <c r="H114" i="19"/>
  <c r="G113" i="19"/>
  <c r="F112" i="19"/>
  <c r="G111" i="19"/>
  <c r="G110" i="19"/>
  <c r="G109" i="19"/>
  <c r="G108" i="19"/>
  <c r="G107" i="19"/>
  <c r="G106" i="19"/>
  <c r="G105" i="19"/>
  <c r="G104" i="19"/>
  <c r="G103" i="19"/>
  <c r="G102" i="19"/>
  <c r="G101" i="19"/>
  <c r="G100" i="19"/>
  <c r="G99" i="19"/>
  <c r="G98" i="19"/>
  <c r="G97" i="19"/>
  <c r="G96" i="19"/>
  <c r="G95" i="19"/>
  <c r="G94" i="19"/>
  <c r="G93" i="19"/>
  <c r="G92" i="19"/>
  <c r="G91" i="19"/>
  <c r="G90" i="19"/>
  <c r="G89" i="19"/>
  <c r="G88" i="19"/>
  <c r="G87" i="19"/>
  <c r="G86" i="19"/>
  <c r="G85" i="19"/>
  <c r="G84" i="19"/>
  <c r="G83" i="19"/>
  <c r="G82" i="19"/>
  <c r="G81" i="19"/>
  <c r="G80" i="19"/>
  <c r="G79" i="19"/>
  <c r="G78" i="19"/>
  <c r="G77" i="19"/>
  <c r="G76" i="19"/>
  <c r="G75" i="19"/>
  <c r="G74" i="19"/>
  <c r="G73" i="19"/>
  <c r="G72" i="19"/>
  <c r="G71" i="19"/>
  <c r="G70" i="19"/>
  <c r="G69" i="19"/>
  <c r="G68" i="19"/>
  <c r="G67" i="19"/>
  <c r="G66" i="19"/>
  <c r="G65" i="19"/>
  <c r="G64" i="19"/>
  <c r="G63" i="19"/>
  <c r="G62" i="19"/>
  <c r="G61" i="19"/>
  <c r="G60" i="19"/>
  <c r="G59" i="19"/>
  <c r="G58" i="19"/>
  <c r="G57" i="19"/>
  <c r="G56" i="19"/>
  <c r="G55" i="19"/>
  <c r="G54" i="19"/>
  <c r="G53" i="19"/>
  <c r="G52" i="19"/>
  <c r="G51" i="19"/>
  <c r="G50" i="19"/>
  <c r="G49" i="19"/>
  <c r="G48" i="19"/>
  <c r="G47" i="19"/>
  <c r="G46" i="19"/>
  <c r="G45" i="19"/>
  <c r="G44" i="19"/>
  <c r="G43" i="19"/>
  <c r="G42" i="19"/>
  <c r="G41" i="19"/>
  <c r="G40" i="19"/>
  <c r="G39" i="19"/>
  <c r="G38" i="19"/>
  <c r="G37" i="19"/>
  <c r="G36" i="19"/>
  <c r="G35" i="19"/>
  <c r="G34" i="19"/>
  <c r="G33" i="19"/>
  <c r="G32" i="19"/>
  <c r="G31" i="19"/>
  <c r="G30" i="19"/>
  <c r="G29" i="19"/>
  <c r="G28" i="19"/>
  <c r="G27" i="19"/>
  <c r="G26" i="19"/>
  <c r="G25" i="19"/>
  <c r="G24" i="19"/>
  <c r="G23" i="19"/>
  <c r="G22" i="19"/>
  <c r="G21" i="19"/>
  <c r="G20" i="19"/>
  <c r="G19" i="19"/>
  <c r="G18" i="19"/>
  <c r="G17" i="19"/>
  <c r="G16" i="19"/>
  <c r="G15" i="19"/>
  <c r="G14" i="19"/>
  <c r="G13" i="19"/>
  <c r="G12" i="19"/>
  <c r="G11" i="19"/>
  <c r="G10" i="19"/>
  <c r="G9" i="19"/>
  <c r="G8" i="19"/>
  <c r="G7" i="19"/>
  <c r="G6" i="19"/>
  <c r="J3" i="19" l="1"/>
  <c r="L5" i="21"/>
  <c r="L4" i="21"/>
  <c r="DK81" i="17" l="1"/>
  <c r="J54" i="13" l="1"/>
  <c r="J46" i="8" l="1"/>
  <c r="J47" i="8"/>
  <c r="J45" i="8"/>
  <c r="J44" i="13" l="1"/>
  <c r="J45" i="13"/>
  <c r="W108" i="8" l="1"/>
  <c r="W109" i="8"/>
  <c r="W110" i="8"/>
  <c r="W111" i="8"/>
  <c r="W112" i="8"/>
  <c r="W113" i="8"/>
  <c r="W114" i="8"/>
  <c r="W115" i="8"/>
  <c r="W116" i="8"/>
  <c r="W117" i="8"/>
  <c r="W118" i="8"/>
  <c r="W119" i="8"/>
  <c r="W120" i="8"/>
  <c r="W121" i="8"/>
  <c r="W122" i="8"/>
  <c r="W123" i="8"/>
  <c r="W124" i="8"/>
  <c r="W125" i="8"/>
  <c r="W126" i="8"/>
  <c r="W127" i="8"/>
  <c r="W128" i="8"/>
  <c r="W129" i="8"/>
  <c r="W130" i="8"/>
  <c r="W131" i="8"/>
  <c r="W132" i="8"/>
  <c r="W133" i="8"/>
  <c r="W134" i="8"/>
  <c r="W135" i="8"/>
  <c r="W136" i="8"/>
  <c r="W137" i="8"/>
  <c r="W138" i="8"/>
  <c r="W139" i="8"/>
  <c r="W140" i="8"/>
  <c r="W141" i="8"/>
  <c r="W142" i="8"/>
  <c r="W143" i="8"/>
  <c r="W144" i="8"/>
  <c r="W145" i="8"/>
  <c r="W146" i="8"/>
  <c r="W147" i="8"/>
  <c r="W148" i="8"/>
  <c r="W149" i="8"/>
  <c r="W150" i="8"/>
  <c r="W151" i="8"/>
  <c r="W152" i="8"/>
  <c r="W153" i="8"/>
  <c r="W154" i="8"/>
  <c r="W155" i="8"/>
  <c r="W156" i="8"/>
  <c r="W157" i="8"/>
  <c r="W158" i="8"/>
  <c r="W159" i="8"/>
  <c r="W160" i="8"/>
  <c r="W161" i="8"/>
  <c r="W162" i="8"/>
  <c r="W163" i="8"/>
  <c r="W164" i="8"/>
  <c r="W165" i="8"/>
  <c r="W166" i="8"/>
  <c r="W167" i="8"/>
  <c r="W168" i="8"/>
  <c r="W169" i="8"/>
  <c r="W170" i="8"/>
  <c r="W171" i="8"/>
  <c r="W172" i="8"/>
  <c r="W173" i="8"/>
  <c r="W174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51" i="13"/>
  <c r="N30" i="6" l="1"/>
  <c r="M30" i="6"/>
  <c r="L30" i="6"/>
  <c r="J30" i="6"/>
  <c r="I30" i="6"/>
  <c r="H30" i="6"/>
  <c r="G30" i="6"/>
  <c r="F30" i="6"/>
  <c r="E30" i="6"/>
  <c r="D30" i="6"/>
  <c r="C30" i="6"/>
  <c r="C31" i="6"/>
  <c r="N31" i="6" l="1"/>
  <c r="M31" i="6"/>
  <c r="K31" i="6"/>
  <c r="J31" i="6"/>
  <c r="H31" i="6"/>
  <c r="G31" i="6"/>
  <c r="F31" i="6"/>
  <c r="E31" i="6"/>
  <c r="D31" i="6"/>
  <c r="DI14" i="17" l="1"/>
  <c r="DI15" i="17"/>
  <c r="DI16" i="17"/>
  <c r="DI17" i="17"/>
  <c r="DI18" i="17"/>
  <c r="DI19" i="17"/>
  <c r="DI20" i="17"/>
  <c r="DI21" i="17"/>
  <c r="DI22" i="17"/>
  <c r="DI23" i="17"/>
  <c r="DI24" i="17"/>
  <c r="DI25" i="17"/>
  <c r="DI26" i="17"/>
  <c r="DI27" i="17"/>
  <c r="DI28" i="17"/>
  <c r="DI29" i="17"/>
  <c r="DI30" i="17"/>
  <c r="DI31" i="17"/>
  <c r="DI32" i="17"/>
  <c r="DI33" i="17"/>
  <c r="DI34" i="17"/>
  <c r="DI35" i="17"/>
  <c r="DI36" i="17"/>
  <c r="DI37" i="17"/>
  <c r="DI38" i="17"/>
  <c r="DI39" i="17"/>
  <c r="DI40" i="17"/>
  <c r="DI41" i="17"/>
  <c r="DI42" i="17"/>
  <c r="DI43" i="17"/>
  <c r="DI44" i="17"/>
  <c r="DI45" i="17"/>
  <c r="DI46" i="17"/>
  <c r="DI47" i="17"/>
  <c r="DI48" i="17"/>
  <c r="DI49" i="17"/>
  <c r="DI50" i="17"/>
  <c r="DI51" i="17"/>
  <c r="DI52" i="17"/>
  <c r="DI53" i="17"/>
  <c r="DI54" i="17"/>
  <c r="DI55" i="17"/>
  <c r="DI56" i="17"/>
  <c r="DI57" i="17"/>
  <c r="DI58" i="17"/>
  <c r="DI59" i="17"/>
  <c r="DI60" i="17"/>
  <c r="DI61" i="17"/>
  <c r="DI62" i="17"/>
  <c r="DI63" i="17"/>
  <c r="DI64" i="17"/>
  <c r="DI65" i="17"/>
  <c r="DI66" i="17"/>
  <c r="DI67" i="17"/>
  <c r="DI68" i="17"/>
  <c r="DI69" i="17"/>
  <c r="DI70" i="17"/>
  <c r="BV74" i="17"/>
  <c r="BV75" i="17"/>
  <c r="BV76" i="17"/>
  <c r="BV77" i="17"/>
  <c r="BV78" i="17"/>
  <c r="BV79" i="17"/>
  <c r="AV53" i="17"/>
  <c r="AV54" i="17"/>
  <c r="AV55" i="17"/>
  <c r="AV56" i="17"/>
  <c r="AV57" i="17"/>
  <c r="AV58" i="17"/>
  <c r="AV59" i="17"/>
  <c r="AV60" i="17"/>
  <c r="AV61" i="17"/>
  <c r="AV62" i="17"/>
  <c r="AV63" i="17"/>
  <c r="AV64" i="17"/>
  <c r="AV65" i="17"/>
  <c r="AV66" i="17"/>
  <c r="AV67" i="17"/>
  <c r="AV68" i="17"/>
  <c r="AV69" i="17"/>
  <c r="AV70" i="17"/>
  <c r="AV71" i="17"/>
  <c r="AV72" i="17"/>
  <c r="AV73" i="17"/>
  <c r="AV74" i="17"/>
  <c r="AV75" i="17"/>
  <c r="AV76" i="17"/>
  <c r="AV77" i="17"/>
  <c r="N15" i="6"/>
  <c r="M15" i="6"/>
  <c r="L15" i="6"/>
  <c r="K15" i="6"/>
  <c r="I15" i="6"/>
  <c r="H15" i="6"/>
  <c r="G15" i="6"/>
  <c r="F15" i="6"/>
  <c r="E15" i="6"/>
  <c r="D15" i="6"/>
  <c r="C15" i="6"/>
  <c r="N63" i="6"/>
  <c r="M63" i="6"/>
  <c r="L63" i="6"/>
  <c r="J63" i="6"/>
  <c r="I63" i="6"/>
  <c r="H63" i="6"/>
  <c r="G63" i="6"/>
  <c r="F63" i="6"/>
  <c r="E63" i="6"/>
  <c r="D63" i="6"/>
  <c r="C63" i="6"/>
  <c r="G62" i="6"/>
  <c r="H62" i="6"/>
  <c r="L62" i="6"/>
  <c r="M62" i="6"/>
  <c r="N62" i="6"/>
  <c r="J78" i="13"/>
  <c r="J79" i="13"/>
  <c r="J80" i="13"/>
  <c r="J81" i="13"/>
  <c r="J60" i="13"/>
  <c r="J61" i="13"/>
  <c r="J62" i="13"/>
  <c r="J63" i="13"/>
  <c r="J64" i="13"/>
  <c r="J65" i="13"/>
  <c r="J66" i="13"/>
  <c r="N45" i="6"/>
  <c r="M45" i="6"/>
  <c r="L45" i="6"/>
  <c r="K45" i="6"/>
  <c r="J45" i="6"/>
  <c r="I45" i="6"/>
  <c r="H45" i="6"/>
  <c r="G45" i="6"/>
  <c r="F45" i="6"/>
  <c r="E45" i="6"/>
  <c r="D45" i="6"/>
  <c r="C45" i="6"/>
  <c r="N44" i="6"/>
  <c r="M44" i="6"/>
  <c r="L44" i="6"/>
  <c r="K44" i="6"/>
  <c r="J44" i="6"/>
  <c r="I44" i="6"/>
  <c r="H44" i="6"/>
  <c r="G44" i="6"/>
  <c r="F44" i="6"/>
  <c r="E44" i="6"/>
  <c r="D44" i="6"/>
  <c r="C44" i="6"/>
  <c r="N43" i="6"/>
  <c r="M43" i="6"/>
  <c r="J43" i="6"/>
  <c r="H43" i="6"/>
  <c r="G43" i="6"/>
  <c r="F43" i="6"/>
  <c r="E43" i="6"/>
  <c r="C43" i="6"/>
  <c r="N42" i="6"/>
  <c r="M42" i="6"/>
  <c r="J42" i="6"/>
  <c r="G42" i="6"/>
  <c r="F42" i="6"/>
  <c r="D42" i="6"/>
  <c r="N41" i="6"/>
  <c r="M41" i="6"/>
  <c r="L41" i="6"/>
  <c r="G41" i="6"/>
  <c r="N37" i="6" l="1"/>
  <c r="M37" i="6"/>
  <c r="L37" i="6"/>
  <c r="K37" i="6"/>
  <c r="F37" i="6"/>
  <c r="E37" i="6"/>
  <c r="N36" i="6"/>
  <c r="N38" i="6"/>
  <c r="M38" i="6"/>
  <c r="L38" i="6"/>
  <c r="G38" i="6"/>
  <c r="F38" i="6"/>
  <c r="E38" i="6"/>
  <c r="D38" i="6"/>
  <c r="M36" i="6"/>
  <c r="L36" i="6"/>
  <c r="K36" i="6"/>
  <c r="J36" i="6"/>
  <c r="I36" i="6"/>
  <c r="H36" i="6"/>
  <c r="G36" i="6"/>
  <c r="F36" i="6"/>
  <c r="E36" i="6"/>
  <c r="D36" i="6"/>
  <c r="C36" i="6"/>
  <c r="N35" i="6"/>
  <c r="M35" i="6"/>
  <c r="L35" i="6"/>
  <c r="I35" i="6"/>
  <c r="F35" i="6"/>
  <c r="C35" i="6"/>
  <c r="N34" i="6"/>
  <c r="M34" i="6"/>
  <c r="L34" i="6"/>
  <c r="K34" i="6"/>
  <c r="J34" i="6"/>
  <c r="H34" i="6"/>
  <c r="F34" i="6"/>
  <c r="E34" i="6"/>
  <c r="D34" i="6"/>
  <c r="C34" i="6"/>
  <c r="N29" i="6"/>
  <c r="M29" i="6"/>
  <c r="L29" i="6"/>
  <c r="I29" i="6"/>
  <c r="G29" i="6"/>
  <c r="F29" i="6"/>
  <c r="D29" i="6"/>
  <c r="N28" i="6"/>
  <c r="M28" i="6"/>
  <c r="L28" i="6"/>
  <c r="G28" i="6"/>
  <c r="D28" i="6"/>
  <c r="C28" i="6"/>
  <c r="N25" i="6"/>
  <c r="M25" i="6"/>
  <c r="F25" i="6"/>
  <c r="N24" i="6"/>
  <c r="M24" i="6"/>
  <c r="L24" i="6"/>
  <c r="F24" i="6"/>
  <c r="DH81" i="17"/>
  <c r="DI80" i="17"/>
  <c r="DI79" i="17"/>
  <c r="DI78" i="17"/>
  <c r="DI77" i="17"/>
  <c r="DI76" i="17"/>
  <c r="DI75" i="17"/>
  <c r="DI74" i="17"/>
  <c r="DI73" i="17"/>
  <c r="DI72" i="17"/>
  <c r="DI71" i="17"/>
  <c r="DI13" i="17"/>
  <c r="DI12" i="17"/>
  <c r="DI11" i="17"/>
  <c r="DI10" i="17"/>
  <c r="DI9" i="17"/>
  <c r="DI8" i="17"/>
  <c r="DI7" i="17"/>
  <c r="V5" i="18" l="1"/>
  <c r="J2" i="19" l="1"/>
  <c r="W71" i="8" l="1"/>
  <c r="W76" i="8"/>
  <c r="W77" i="8"/>
  <c r="W79" i="8"/>
  <c r="J26" i="14" l="1"/>
  <c r="V19" i="18"/>
  <c r="V36" i="17"/>
  <c r="V37" i="17"/>
  <c r="V38" i="17"/>
  <c r="W7" i="17"/>
  <c r="BK38" i="17" l="1"/>
  <c r="BK37" i="17"/>
  <c r="BK36" i="17"/>
  <c r="W72" i="8" l="1"/>
  <c r="J31" i="17" l="1"/>
  <c r="N13" i="6" l="1"/>
  <c r="M13" i="6"/>
  <c r="L13" i="6"/>
  <c r="K13" i="6"/>
  <c r="J13" i="6"/>
  <c r="I13" i="6"/>
  <c r="H13" i="6"/>
  <c r="G13" i="6"/>
  <c r="F13" i="6"/>
  <c r="E13" i="6"/>
  <c r="D13" i="6"/>
  <c r="C13" i="6"/>
  <c r="O13" i="6" l="1"/>
  <c r="G3" i="20"/>
  <c r="J21" i="13" l="1"/>
  <c r="W52" i="8"/>
  <c r="W40" i="8"/>
  <c r="J34" i="13" l="1"/>
  <c r="J36" i="13"/>
  <c r="J37" i="13"/>
  <c r="J38" i="13"/>
  <c r="J39" i="13"/>
  <c r="J35" i="13"/>
  <c r="J40" i="13"/>
  <c r="J41" i="13"/>
  <c r="J42" i="13"/>
  <c r="J43" i="13"/>
  <c r="J46" i="13"/>
  <c r="J47" i="13"/>
  <c r="J48" i="13"/>
  <c r="J49" i="13"/>
  <c r="J50" i="13"/>
  <c r="J52" i="13"/>
  <c r="L42" i="6" s="1"/>
  <c r="J53" i="13"/>
  <c r="L43" i="6"/>
  <c r="J55" i="13"/>
  <c r="J56" i="13"/>
  <c r="J57" i="13"/>
  <c r="J58" i="13"/>
  <c r="J59" i="13"/>
  <c r="J67" i="13"/>
  <c r="J68" i="13"/>
  <c r="J69" i="13"/>
  <c r="J70" i="13"/>
  <c r="J71" i="13"/>
  <c r="J72" i="13"/>
  <c r="J73" i="13"/>
  <c r="J31" i="8"/>
  <c r="I34" i="6" s="1"/>
  <c r="J33" i="8"/>
  <c r="J35" i="6" s="1"/>
  <c r="J32" i="8"/>
  <c r="I37" i="6" s="1"/>
  <c r="J34" i="8"/>
  <c r="J38" i="6" s="1"/>
  <c r="J37" i="8"/>
  <c r="J27" i="8"/>
  <c r="J38" i="8"/>
  <c r="J35" i="8"/>
  <c r="J36" i="8"/>
  <c r="J39" i="8"/>
  <c r="J40" i="8"/>
  <c r="K38" i="6" s="1"/>
  <c r="J41" i="8"/>
  <c r="J42" i="8"/>
  <c r="J43" i="8"/>
  <c r="J44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71" i="8"/>
  <c r="J172" i="8"/>
  <c r="J173" i="8"/>
  <c r="J174" i="8"/>
  <c r="W21" i="8"/>
  <c r="W62" i="8"/>
  <c r="W63" i="8"/>
  <c r="W65" i="8"/>
  <c r="W70" i="8"/>
  <c r="W67" i="8"/>
  <c r="W64" i="8"/>
  <c r="W68" i="8"/>
  <c r="W73" i="8"/>
  <c r="W66" i="8"/>
  <c r="W75" i="8"/>
  <c r="W69" i="8"/>
  <c r="W78" i="8"/>
  <c r="W80" i="8"/>
  <c r="W81" i="8"/>
  <c r="W83" i="8"/>
  <c r="W82" i="8"/>
  <c r="W84" i="8"/>
  <c r="W85" i="8"/>
  <c r="W86" i="8"/>
  <c r="K29" i="6" s="1"/>
  <c r="W87" i="8"/>
  <c r="W74" i="8"/>
  <c r="W88" i="8"/>
  <c r="W89" i="8"/>
  <c r="K26" i="6" s="1"/>
  <c r="W90" i="8"/>
  <c r="W91" i="8"/>
  <c r="W92" i="8"/>
  <c r="K28" i="6" s="1"/>
  <c r="W93" i="8"/>
  <c r="W94" i="8"/>
  <c r="W95" i="8"/>
  <c r="W96" i="8"/>
  <c r="W97" i="8"/>
  <c r="W98" i="8"/>
  <c r="K30" i="6" s="1"/>
  <c r="W99" i="8"/>
  <c r="W100" i="8"/>
  <c r="L31" i="6" s="1"/>
  <c r="W101" i="8"/>
  <c r="L25" i="6" s="1"/>
  <c r="W102" i="8"/>
  <c r="W103" i="8"/>
  <c r="W104" i="8"/>
  <c r="W105" i="8"/>
  <c r="W106" i="8"/>
  <c r="W107" i="8"/>
  <c r="W175" i="8"/>
  <c r="W176" i="8"/>
  <c r="N27" i="6"/>
  <c r="N26" i="6"/>
  <c r="M27" i="6"/>
  <c r="M26" i="6"/>
  <c r="L27" i="6"/>
  <c r="L26" i="6"/>
  <c r="K27" i="6"/>
  <c r="J27" i="6"/>
  <c r="J26" i="6"/>
  <c r="I27" i="6"/>
  <c r="H27" i="6"/>
  <c r="G27" i="6"/>
  <c r="F27" i="6"/>
  <c r="F26" i="6"/>
  <c r="E27" i="6"/>
  <c r="D27" i="6"/>
  <c r="D26" i="6"/>
  <c r="C27" i="6"/>
  <c r="C26" i="6"/>
  <c r="J14" i="18"/>
  <c r="H9" i="6" s="1"/>
  <c r="N21" i="6"/>
  <c r="N20" i="6"/>
  <c r="N19" i="6"/>
  <c r="N18" i="6"/>
  <c r="N16" i="6"/>
  <c r="N14" i="6"/>
  <c r="N12" i="6"/>
  <c r="N11" i="6"/>
  <c r="N10" i="6"/>
  <c r="N9" i="6"/>
  <c r="N8" i="6"/>
  <c r="N7" i="6"/>
  <c r="M21" i="6"/>
  <c r="M20" i="6"/>
  <c r="M19" i="6"/>
  <c r="M18" i="6"/>
  <c r="M16" i="6"/>
  <c r="M14" i="6"/>
  <c r="M12" i="6"/>
  <c r="M11" i="6"/>
  <c r="M10" i="6"/>
  <c r="M9" i="6"/>
  <c r="M8" i="6"/>
  <c r="M7" i="6"/>
  <c r="L21" i="6"/>
  <c r="L20" i="6"/>
  <c r="L19" i="6"/>
  <c r="L18" i="6"/>
  <c r="L16" i="6"/>
  <c r="L14" i="6"/>
  <c r="L12" i="6"/>
  <c r="L11" i="6"/>
  <c r="L10" i="6"/>
  <c r="L9" i="6"/>
  <c r="L8" i="6"/>
  <c r="L7" i="6"/>
  <c r="K20" i="6"/>
  <c r="K18" i="6"/>
  <c r="K16" i="6"/>
  <c r="K14" i="6"/>
  <c r="K12" i="6"/>
  <c r="K11" i="6"/>
  <c r="K10" i="6"/>
  <c r="K9" i="6"/>
  <c r="K7" i="6"/>
  <c r="J21" i="6"/>
  <c r="J18" i="6"/>
  <c r="J16" i="6"/>
  <c r="J14" i="6"/>
  <c r="J12" i="6"/>
  <c r="J11" i="6"/>
  <c r="J10" i="6"/>
  <c r="J9" i="6"/>
  <c r="I21" i="6"/>
  <c r="I20" i="6"/>
  <c r="I18" i="6"/>
  <c r="I16" i="6"/>
  <c r="I14" i="6"/>
  <c r="I11" i="6"/>
  <c r="I10" i="6"/>
  <c r="I9" i="6"/>
  <c r="I7" i="6"/>
  <c r="H21" i="6"/>
  <c r="H20" i="6"/>
  <c r="H18" i="6"/>
  <c r="H14" i="6"/>
  <c r="H12" i="6"/>
  <c r="H11" i="6"/>
  <c r="H10" i="6"/>
  <c r="H7" i="6"/>
  <c r="G11" i="6"/>
  <c r="G9" i="6"/>
  <c r="G7" i="6"/>
  <c r="F11" i="6"/>
  <c r="E11" i="6"/>
  <c r="E9" i="6"/>
  <c r="D11" i="6"/>
  <c r="D9" i="6"/>
  <c r="C11" i="6"/>
  <c r="F7" i="6"/>
  <c r="E7" i="6"/>
  <c r="C7" i="6"/>
  <c r="V11" i="18"/>
  <c r="BK53" i="17"/>
  <c r="BK54" i="17"/>
  <c r="BK55" i="17"/>
  <c r="BK56" i="17"/>
  <c r="BK57" i="17"/>
  <c r="BK58" i="17"/>
  <c r="BK59" i="17"/>
  <c r="BK60" i="17"/>
  <c r="BK61" i="17"/>
  <c r="BK62" i="17"/>
  <c r="BK63" i="17"/>
  <c r="BK64" i="17"/>
  <c r="BK65" i="17"/>
  <c r="BK66" i="17"/>
  <c r="BK67" i="17"/>
  <c r="BK68" i="17"/>
  <c r="BK69" i="17"/>
  <c r="BK70" i="17"/>
  <c r="BK71" i="17"/>
  <c r="BK72" i="17"/>
  <c r="BK73" i="17"/>
  <c r="BK74" i="17"/>
  <c r="BK75" i="17"/>
  <c r="BK76" i="17"/>
  <c r="BK77" i="17"/>
  <c r="J17" i="14"/>
  <c r="J18" i="14"/>
  <c r="J20" i="14"/>
  <c r="J21" i="14"/>
  <c r="J22" i="14"/>
  <c r="J23" i="14"/>
  <c r="J24" i="14"/>
  <c r="J27" i="14"/>
  <c r="J29" i="14"/>
  <c r="J30" i="14"/>
  <c r="J31" i="14"/>
  <c r="J33" i="14"/>
  <c r="J32" i="14"/>
  <c r="J34" i="14"/>
  <c r="J35" i="14"/>
  <c r="J36" i="14"/>
  <c r="J38" i="14"/>
  <c r="J37" i="14"/>
  <c r="J39" i="14"/>
  <c r="J40" i="14"/>
  <c r="J41" i="14"/>
  <c r="J42" i="14"/>
  <c r="J43" i="14"/>
  <c r="J44" i="14"/>
  <c r="J45" i="14"/>
  <c r="J46" i="14"/>
  <c r="J47" i="14"/>
  <c r="J48" i="14"/>
  <c r="J49" i="14"/>
  <c r="J50" i="14"/>
  <c r="J51" i="14"/>
  <c r="J52" i="14"/>
  <c r="J53" i="14"/>
  <c r="J54" i="14"/>
  <c r="J55" i="14"/>
  <c r="J56" i="14"/>
  <c r="J57" i="14"/>
  <c r="J58" i="14"/>
  <c r="J59" i="14"/>
  <c r="J60" i="14"/>
  <c r="J61" i="14"/>
  <c r="J62" i="14"/>
  <c r="J63" i="14"/>
  <c r="J64" i="14"/>
  <c r="J65" i="14"/>
  <c r="J66" i="14"/>
  <c r="W60" i="8"/>
  <c r="W61" i="8"/>
  <c r="W56" i="8"/>
  <c r="K176" i="8"/>
  <c r="I176" i="8"/>
  <c r="H176" i="8"/>
  <c r="J175" i="8"/>
  <c r="J25" i="8"/>
  <c r="J24" i="8"/>
  <c r="J30" i="8"/>
  <c r="J29" i="8"/>
  <c r="I38" i="6" s="1"/>
  <c r="J28" i="8"/>
  <c r="H37" i="6" s="1"/>
  <c r="J9" i="8"/>
  <c r="J26" i="8"/>
  <c r="H35" i="6" s="1"/>
  <c r="J23" i="8"/>
  <c r="J6" i="8"/>
  <c r="J5" i="8"/>
  <c r="J22" i="8"/>
  <c r="H38" i="6" s="1"/>
  <c r="J11" i="8"/>
  <c r="J7" i="8"/>
  <c r="J12" i="8"/>
  <c r="J13" i="8"/>
  <c r="J8" i="8"/>
  <c r="C38" i="6" s="1"/>
  <c r="J10" i="8"/>
  <c r="D35" i="6" s="1"/>
  <c r="J20" i="8"/>
  <c r="J19" i="8"/>
  <c r="J15" i="8"/>
  <c r="J14" i="8"/>
  <c r="E35" i="6" s="1"/>
  <c r="J21" i="8"/>
  <c r="J16" i="8"/>
  <c r="J17" i="8"/>
  <c r="J18" i="8"/>
  <c r="G34" i="6" s="1"/>
  <c r="X177" i="8"/>
  <c r="V177" i="8"/>
  <c r="U177" i="8"/>
  <c r="W43" i="8"/>
  <c r="W50" i="8"/>
  <c r="W54" i="8"/>
  <c r="I26" i="6" s="1"/>
  <c r="W47" i="8"/>
  <c r="W59" i="8"/>
  <c r="I31" i="6" s="1"/>
  <c r="W58" i="8"/>
  <c r="W57" i="8"/>
  <c r="W55" i="8"/>
  <c r="W53" i="8"/>
  <c r="W51" i="8"/>
  <c r="W49" i="8"/>
  <c r="W48" i="8"/>
  <c r="H29" i="6" s="1"/>
  <c r="W46" i="8"/>
  <c r="H26" i="6" s="1"/>
  <c r="W45" i="8"/>
  <c r="H28" i="6" s="1"/>
  <c r="W44" i="8"/>
  <c r="W42" i="8"/>
  <c r="W41" i="8"/>
  <c r="W39" i="8"/>
  <c r="G26" i="6" s="1"/>
  <c r="W38" i="8"/>
  <c r="W37" i="8"/>
  <c r="W36" i="8"/>
  <c r="W35" i="8"/>
  <c r="W34" i="8"/>
  <c r="W33" i="8"/>
  <c r="W32" i="8"/>
  <c r="F28" i="6" s="1"/>
  <c r="W31" i="8"/>
  <c r="W30" i="8"/>
  <c r="W28" i="8"/>
  <c r="E28" i="6" s="1"/>
  <c r="W29" i="8"/>
  <c r="W27" i="8"/>
  <c r="W26" i="8"/>
  <c r="W24" i="8"/>
  <c r="W25" i="8"/>
  <c r="W23" i="8"/>
  <c r="W22" i="8"/>
  <c r="E26" i="6" s="1"/>
  <c r="W20" i="8"/>
  <c r="W19" i="8"/>
  <c r="D24" i="6" s="1"/>
  <c r="W18" i="8"/>
  <c r="W17" i="8"/>
  <c r="W16" i="8"/>
  <c r="W15" i="8"/>
  <c r="W14" i="8"/>
  <c r="W13" i="8"/>
  <c r="W12" i="8"/>
  <c r="W11" i="8"/>
  <c r="C24" i="6" s="1"/>
  <c r="W10" i="8"/>
  <c r="W9" i="8"/>
  <c r="C29" i="6" s="1"/>
  <c r="W8" i="8"/>
  <c r="W7" i="8"/>
  <c r="W6" i="8"/>
  <c r="W5" i="8"/>
  <c r="K43" i="6" l="1"/>
  <c r="K42" i="6"/>
  <c r="K35" i="6"/>
  <c r="J29" i="6"/>
  <c r="K41" i="6"/>
  <c r="O11" i="6"/>
  <c r="I24" i="6"/>
  <c r="J37" i="6"/>
  <c r="J28" i="6"/>
  <c r="E29" i="6"/>
  <c r="G25" i="6"/>
  <c r="H24" i="6"/>
  <c r="J24" i="6"/>
  <c r="K24" i="6"/>
  <c r="K25" i="6"/>
  <c r="J41" i="6"/>
  <c r="E24" i="6"/>
  <c r="G37" i="6"/>
  <c r="D37" i="6"/>
  <c r="E25" i="6"/>
  <c r="H25" i="6"/>
  <c r="I25" i="6"/>
  <c r="C37" i="6"/>
  <c r="D25" i="6"/>
  <c r="I28" i="6"/>
  <c r="J25" i="6"/>
  <c r="C25" i="6"/>
  <c r="G24" i="6"/>
  <c r="G35" i="6"/>
  <c r="J176" i="8"/>
  <c r="W177" i="8"/>
  <c r="N55" i="6" l="1"/>
  <c r="N52" i="6"/>
  <c r="N51" i="6"/>
  <c r="N50" i="6"/>
  <c r="N49" i="6"/>
  <c r="N48" i="6"/>
  <c r="N61" i="6"/>
  <c r="N60" i="6"/>
  <c r="N59" i="6"/>
  <c r="N58" i="6"/>
  <c r="N57" i="6"/>
  <c r="N56" i="6"/>
  <c r="M55" i="6"/>
  <c r="M52" i="6"/>
  <c r="M51" i="6"/>
  <c r="M50" i="6"/>
  <c r="M49" i="6"/>
  <c r="M48" i="6"/>
  <c r="M61" i="6"/>
  <c r="M60" i="6"/>
  <c r="M59" i="6"/>
  <c r="M58" i="6"/>
  <c r="M57" i="6"/>
  <c r="M56" i="6"/>
  <c r="L52" i="6"/>
  <c r="L51" i="6"/>
  <c r="L50" i="6"/>
  <c r="L49" i="6"/>
  <c r="L48" i="6"/>
  <c r="L60" i="6"/>
  <c r="L59" i="6"/>
  <c r="L58" i="6"/>
  <c r="L57" i="6"/>
  <c r="L56" i="6"/>
  <c r="K52" i="6"/>
  <c r="K51" i="6"/>
  <c r="K50" i="6"/>
  <c r="K49" i="6"/>
  <c r="K48" i="6"/>
  <c r="K60" i="6"/>
  <c r="K58" i="6"/>
  <c r="J52" i="6"/>
  <c r="J50" i="6"/>
  <c r="J49" i="6"/>
  <c r="J48" i="6"/>
  <c r="J60" i="6"/>
  <c r="J57" i="6"/>
  <c r="I52" i="6"/>
  <c r="I50" i="6"/>
  <c r="I49" i="6"/>
  <c r="I58" i="6"/>
  <c r="I57" i="6"/>
  <c r="H52" i="6"/>
  <c r="H50" i="6"/>
  <c r="H49" i="6"/>
  <c r="G51" i="6"/>
  <c r="G49" i="6"/>
  <c r="G57" i="6"/>
  <c r="G21" i="6"/>
  <c r="G20" i="6"/>
  <c r="G19" i="6"/>
  <c r="G18" i="6"/>
  <c r="G16" i="6"/>
  <c r="G14" i="6"/>
  <c r="G12" i="6"/>
  <c r="G10" i="6"/>
  <c r="G8" i="6"/>
  <c r="F61" i="6"/>
  <c r="F60" i="6"/>
  <c r="F58" i="6"/>
  <c r="F52" i="6"/>
  <c r="F51" i="6"/>
  <c r="F50" i="6"/>
  <c r="F49" i="6"/>
  <c r="F20" i="6"/>
  <c r="F19" i="6"/>
  <c r="F18" i="6"/>
  <c r="F16" i="6"/>
  <c r="F14" i="6"/>
  <c r="F12" i="6"/>
  <c r="F10" i="6"/>
  <c r="F8" i="6"/>
  <c r="E58" i="6"/>
  <c r="E57" i="6"/>
  <c r="E52" i="6"/>
  <c r="E51" i="6"/>
  <c r="E50" i="6"/>
  <c r="E20" i="6"/>
  <c r="E19" i="6"/>
  <c r="E18" i="6"/>
  <c r="E16" i="6"/>
  <c r="E14" i="6"/>
  <c r="E12" i="6"/>
  <c r="E10" i="6"/>
  <c r="E8" i="6"/>
  <c r="D60" i="6"/>
  <c r="D58" i="6"/>
  <c r="D52" i="6"/>
  <c r="D51" i="6"/>
  <c r="D50" i="6"/>
  <c r="D49" i="6"/>
  <c r="C58" i="6"/>
  <c r="C57" i="6"/>
  <c r="C52" i="6"/>
  <c r="C51" i="6"/>
  <c r="C50" i="6"/>
  <c r="C49" i="6"/>
  <c r="C21" i="6"/>
  <c r="C19" i="6"/>
  <c r="C18" i="6"/>
  <c r="C16" i="6"/>
  <c r="C14" i="6"/>
  <c r="C12" i="6"/>
  <c r="C8" i="6"/>
  <c r="D21" i="6"/>
  <c r="D20" i="6"/>
  <c r="D19" i="6"/>
  <c r="D16" i="6"/>
  <c r="D14" i="6"/>
  <c r="D12" i="6"/>
  <c r="D10" i="6"/>
  <c r="W63" i="18"/>
  <c r="U63" i="18"/>
  <c r="T63" i="18"/>
  <c r="J63" i="18"/>
  <c r="H63" i="18"/>
  <c r="G63" i="18"/>
  <c r="V62" i="18"/>
  <c r="I62" i="18"/>
  <c r="V61" i="18"/>
  <c r="I61" i="18"/>
  <c r="V60" i="18"/>
  <c r="I60" i="18"/>
  <c r="V59" i="18"/>
  <c r="I59" i="18"/>
  <c r="V58" i="18"/>
  <c r="I58" i="18"/>
  <c r="V57" i="18"/>
  <c r="I57" i="18"/>
  <c r="V56" i="18"/>
  <c r="I56" i="18"/>
  <c r="V55" i="18"/>
  <c r="I55" i="18"/>
  <c r="V54" i="18"/>
  <c r="I54" i="18"/>
  <c r="V53" i="18"/>
  <c r="I53" i="18"/>
  <c r="V52" i="18"/>
  <c r="I52" i="18"/>
  <c r="V51" i="18"/>
  <c r="I51" i="18"/>
  <c r="V50" i="18"/>
  <c r="I50" i="18"/>
  <c r="V49" i="18"/>
  <c r="I49" i="18"/>
  <c r="V48" i="18"/>
  <c r="I48" i="18"/>
  <c r="V47" i="18"/>
  <c r="I47" i="18"/>
  <c r="V46" i="18"/>
  <c r="I46" i="18"/>
  <c r="V45" i="18"/>
  <c r="I45" i="18"/>
  <c r="V44" i="18"/>
  <c r="I44" i="18"/>
  <c r="V43" i="18"/>
  <c r="I43" i="18"/>
  <c r="V42" i="18"/>
  <c r="I42" i="18"/>
  <c r="V41" i="18"/>
  <c r="I41" i="18"/>
  <c r="V40" i="18"/>
  <c r="I40" i="18"/>
  <c r="V39" i="18"/>
  <c r="I39" i="18"/>
  <c r="V38" i="18"/>
  <c r="I38" i="18"/>
  <c r="V37" i="18"/>
  <c r="I37" i="18"/>
  <c r="V36" i="18"/>
  <c r="I36" i="18"/>
  <c r="V35" i="18"/>
  <c r="I35" i="18"/>
  <c r="V34" i="18"/>
  <c r="I34" i="18"/>
  <c r="V33" i="18"/>
  <c r="I33" i="18"/>
  <c r="V32" i="18"/>
  <c r="I32" i="18"/>
  <c r="V31" i="18"/>
  <c r="I31" i="18"/>
  <c r="V30" i="18"/>
  <c r="I30" i="18"/>
  <c r="V29" i="18"/>
  <c r="I29" i="18"/>
  <c r="V28" i="18"/>
  <c r="I28" i="18"/>
  <c r="V27" i="18"/>
  <c r="I27" i="18"/>
  <c r="V26" i="18"/>
  <c r="I26" i="18"/>
  <c r="V25" i="18"/>
  <c r="J25" i="18"/>
  <c r="K8" i="6" s="1"/>
  <c r="V24" i="18"/>
  <c r="J24" i="18"/>
  <c r="V23" i="18"/>
  <c r="J23" i="18"/>
  <c r="J15" i="6" s="1"/>
  <c r="V22" i="18"/>
  <c r="J22" i="18"/>
  <c r="V21" i="18"/>
  <c r="J21" i="18"/>
  <c r="V6" i="18"/>
  <c r="D18" i="6" s="1"/>
  <c r="J20" i="18"/>
  <c r="V18" i="18"/>
  <c r="J20" i="6" s="1"/>
  <c r="J19" i="18"/>
  <c r="I12" i="6" s="1"/>
  <c r="V20" i="18"/>
  <c r="J7" i="18"/>
  <c r="J6" i="18"/>
  <c r="J8" i="6" s="1"/>
  <c r="J8" i="18"/>
  <c r="V15" i="18"/>
  <c r="J12" i="18"/>
  <c r="V17" i="18"/>
  <c r="V16" i="18"/>
  <c r="J13" i="18"/>
  <c r="H16" i="6" s="1"/>
  <c r="V14" i="18"/>
  <c r="F9" i="6"/>
  <c r="V12" i="18"/>
  <c r="J9" i="18"/>
  <c r="J11" i="18"/>
  <c r="C9" i="6" s="1"/>
  <c r="V9" i="18"/>
  <c r="J10" i="18"/>
  <c r="C10" i="6" s="1"/>
  <c r="V13" i="18"/>
  <c r="J18" i="18"/>
  <c r="V10" i="18"/>
  <c r="J17" i="18"/>
  <c r="C20" i="6"/>
  <c r="J16" i="18"/>
  <c r="V8" i="18"/>
  <c r="F21" i="6" s="1"/>
  <c r="J15" i="18"/>
  <c r="V7" i="18"/>
  <c r="E21" i="6" s="1"/>
  <c r="J5" i="18"/>
  <c r="D7" i="6" s="1"/>
  <c r="J80" i="17"/>
  <c r="H80" i="17"/>
  <c r="G80" i="17"/>
  <c r="I79" i="17"/>
  <c r="I78" i="17"/>
  <c r="I77" i="17"/>
  <c r="I76" i="17"/>
  <c r="I75" i="17"/>
  <c r="CY81" i="17"/>
  <c r="CU81" i="17"/>
  <c r="CT81" i="17"/>
  <c r="CL81" i="17"/>
  <c r="CJ81" i="17"/>
  <c r="CI81" i="17"/>
  <c r="BL81" i="17"/>
  <c r="BH81" i="17"/>
  <c r="BG81" i="17"/>
  <c r="AY81" i="17"/>
  <c r="AU81" i="17"/>
  <c r="AT81" i="17"/>
  <c r="AH81" i="17"/>
  <c r="AG81" i="17"/>
  <c r="Y81" i="17"/>
  <c r="U81" i="17"/>
  <c r="T81" i="17"/>
  <c r="I74" i="17"/>
  <c r="CV80" i="17"/>
  <c r="CK80" i="17"/>
  <c r="BK80" i="17"/>
  <c r="AV80" i="17"/>
  <c r="AI80" i="17"/>
  <c r="V80" i="17"/>
  <c r="I73" i="17"/>
  <c r="CV79" i="17"/>
  <c r="CK79" i="17"/>
  <c r="BU81" i="17"/>
  <c r="BT81" i="17"/>
  <c r="BK79" i="17"/>
  <c r="AV79" i="17"/>
  <c r="AI79" i="17"/>
  <c r="V79" i="17"/>
  <c r="I72" i="17"/>
  <c r="CV78" i="17"/>
  <c r="CK78" i="17"/>
  <c r="BV80" i="17"/>
  <c r="BK78" i="17"/>
  <c r="AV78" i="17"/>
  <c r="AI78" i="17"/>
  <c r="V78" i="17"/>
  <c r="I71" i="17"/>
  <c r="CV77" i="17"/>
  <c r="CK77" i="17"/>
  <c r="AI77" i="17"/>
  <c r="V77" i="17"/>
  <c r="I70" i="17"/>
  <c r="CV76" i="17"/>
  <c r="CK76" i="17"/>
  <c r="AI76" i="17"/>
  <c r="V76" i="17"/>
  <c r="I69" i="17"/>
  <c r="CV75" i="17"/>
  <c r="CK75" i="17"/>
  <c r="AI75" i="17"/>
  <c r="V75" i="17"/>
  <c r="I68" i="17"/>
  <c r="CV74" i="17"/>
  <c r="CK74" i="17"/>
  <c r="AI74" i="17"/>
  <c r="V74" i="17"/>
  <c r="I67" i="17"/>
  <c r="CV73" i="17"/>
  <c r="CK73" i="17"/>
  <c r="BV73" i="17"/>
  <c r="AI73" i="17"/>
  <c r="V73" i="17"/>
  <c r="I66" i="17"/>
  <c r="CV72" i="17"/>
  <c r="CK72" i="17"/>
  <c r="BV72" i="17"/>
  <c r="AI72" i="17"/>
  <c r="V72" i="17"/>
  <c r="I65" i="17"/>
  <c r="CV71" i="17"/>
  <c r="CK71" i="17"/>
  <c r="BV71" i="17"/>
  <c r="AI71" i="17"/>
  <c r="V71" i="17"/>
  <c r="I64" i="17"/>
  <c r="CV70" i="17"/>
  <c r="CK70" i="17"/>
  <c r="BV70" i="17"/>
  <c r="AI70" i="17"/>
  <c r="V70" i="17"/>
  <c r="I63" i="17"/>
  <c r="CV69" i="17"/>
  <c r="CK69" i="17"/>
  <c r="BV69" i="17"/>
  <c r="AI69" i="17"/>
  <c r="V69" i="17"/>
  <c r="I62" i="17"/>
  <c r="CV68" i="17"/>
  <c r="CK68" i="17"/>
  <c r="BV68" i="17"/>
  <c r="AI68" i="17"/>
  <c r="V68" i="17"/>
  <c r="I61" i="17"/>
  <c r="CV67" i="17"/>
  <c r="CK67" i="17"/>
  <c r="BV67" i="17"/>
  <c r="AI67" i="17"/>
  <c r="V67" i="17"/>
  <c r="I60" i="17"/>
  <c r="CV66" i="17"/>
  <c r="CK66" i="17"/>
  <c r="BV66" i="17"/>
  <c r="AI66" i="17"/>
  <c r="V66" i="17"/>
  <c r="I59" i="17"/>
  <c r="CV65" i="17"/>
  <c r="CK65" i="17"/>
  <c r="BV65" i="17"/>
  <c r="AI65" i="17"/>
  <c r="V65" i="17"/>
  <c r="I58" i="17"/>
  <c r="CV64" i="17"/>
  <c r="CK64" i="17"/>
  <c r="BV64" i="17"/>
  <c r="AI64" i="17"/>
  <c r="V64" i="17"/>
  <c r="I57" i="17"/>
  <c r="CV63" i="17"/>
  <c r="CK63" i="17"/>
  <c r="BV63" i="17"/>
  <c r="AI63" i="17"/>
  <c r="V63" i="17"/>
  <c r="J56" i="17"/>
  <c r="L55" i="6" s="1"/>
  <c r="CV62" i="17"/>
  <c r="CK62" i="17"/>
  <c r="BV62" i="17"/>
  <c r="AI62" i="17"/>
  <c r="V62" i="17"/>
  <c r="J55" i="17"/>
  <c r="CV61" i="17"/>
  <c r="CK61" i="17"/>
  <c r="BV61" i="17"/>
  <c r="AI61" i="17"/>
  <c r="V61" i="17"/>
  <c r="J54" i="17"/>
  <c r="CV60" i="17"/>
  <c r="CK60" i="17"/>
  <c r="BV60" i="17"/>
  <c r="AI60" i="17"/>
  <c r="V60" i="17"/>
  <c r="J7" i="17"/>
  <c r="CV59" i="17"/>
  <c r="CK59" i="17"/>
  <c r="BV59" i="17"/>
  <c r="AI59" i="17"/>
  <c r="V59" i="17"/>
  <c r="J13" i="17"/>
  <c r="CV58" i="17"/>
  <c r="CK58" i="17"/>
  <c r="BV58" i="17"/>
  <c r="AI58" i="17"/>
  <c r="V58" i="17"/>
  <c r="CV57" i="17"/>
  <c r="CK57" i="17"/>
  <c r="BV57" i="17"/>
  <c r="AI57" i="17"/>
  <c r="V57" i="17"/>
  <c r="J10" i="17"/>
  <c r="CV56" i="17"/>
  <c r="CK56" i="17"/>
  <c r="BV56" i="17"/>
  <c r="AI56" i="17"/>
  <c r="V56" i="17"/>
  <c r="J5" i="17"/>
  <c r="CV55" i="17"/>
  <c r="CK55" i="17"/>
  <c r="BV55" i="17"/>
  <c r="AI55" i="17"/>
  <c r="V55" i="17"/>
  <c r="DJ6" i="17"/>
  <c r="DJ81" i="17" s="1"/>
  <c r="CV54" i="17"/>
  <c r="CK54" i="17"/>
  <c r="BV54" i="17"/>
  <c r="AI54" i="17"/>
  <c r="V54" i="17"/>
  <c r="J6" i="17"/>
  <c r="CV53" i="17"/>
  <c r="CK53" i="17"/>
  <c r="BV53" i="17"/>
  <c r="AI53" i="17"/>
  <c r="V53" i="17"/>
  <c r="J11" i="17"/>
  <c r="CV52" i="17"/>
  <c r="CK52" i="17"/>
  <c r="BV52" i="17"/>
  <c r="BK52" i="17"/>
  <c r="AV52" i="17"/>
  <c r="AI52" i="17"/>
  <c r="V52" i="17"/>
  <c r="J8" i="17"/>
  <c r="CV51" i="17"/>
  <c r="CK51" i="17"/>
  <c r="BV51" i="17"/>
  <c r="BK51" i="17"/>
  <c r="AV51" i="17"/>
  <c r="AI51" i="17"/>
  <c r="V51" i="17"/>
  <c r="J15" i="17"/>
  <c r="CV50" i="17"/>
  <c r="CK50" i="17"/>
  <c r="BV50" i="17"/>
  <c r="BK50" i="17"/>
  <c r="AV50" i="17"/>
  <c r="AI50" i="17"/>
  <c r="V50" i="17"/>
  <c r="J14" i="17"/>
  <c r="CV49" i="17"/>
  <c r="CK49" i="17"/>
  <c r="BV49" i="17"/>
  <c r="BK49" i="17"/>
  <c r="AV49" i="17"/>
  <c r="AI49" i="17"/>
  <c r="V49" i="17"/>
  <c r="J17" i="17"/>
  <c r="CW48" i="17"/>
  <c r="CK48" i="17"/>
  <c r="BV48" i="17"/>
  <c r="BK48" i="17"/>
  <c r="AV48" i="17"/>
  <c r="AI48" i="17"/>
  <c r="V48" i="17"/>
  <c r="J9" i="17"/>
  <c r="CW31" i="17"/>
  <c r="CK47" i="17"/>
  <c r="BV47" i="17"/>
  <c r="BK47" i="17"/>
  <c r="AV47" i="17"/>
  <c r="AI47" i="17"/>
  <c r="V47" i="17"/>
  <c r="J12" i="17"/>
  <c r="CW28" i="17"/>
  <c r="CK46" i="17"/>
  <c r="BV46" i="17"/>
  <c r="BK46" i="17"/>
  <c r="AV46" i="17"/>
  <c r="AI46" i="17"/>
  <c r="V46" i="17"/>
  <c r="J16" i="17"/>
  <c r="CW5" i="17"/>
  <c r="CK45" i="17"/>
  <c r="BV45" i="17"/>
  <c r="BK45" i="17"/>
  <c r="AV45" i="17"/>
  <c r="AI45" i="17"/>
  <c r="V45" i="17"/>
  <c r="CW8" i="17"/>
  <c r="CK44" i="17"/>
  <c r="BV44" i="17"/>
  <c r="BK44" i="17"/>
  <c r="AV44" i="17"/>
  <c r="AI44" i="17"/>
  <c r="V44" i="17"/>
  <c r="CW6" i="17"/>
  <c r="CK43" i="17"/>
  <c r="BV43" i="17"/>
  <c r="BK43" i="17"/>
  <c r="AV43" i="17"/>
  <c r="AI43" i="17"/>
  <c r="V43" i="17"/>
  <c r="CW7" i="17"/>
  <c r="CK42" i="17"/>
  <c r="BV42" i="17"/>
  <c r="BK42" i="17"/>
  <c r="AV42" i="17"/>
  <c r="AI42" i="17"/>
  <c r="V42" i="17"/>
  <c r="J18" i="17"/>
  <c r="CW9" i="17"/>
  <c r="CK41" i="17"/>
  <c r="BV41" i="17"/>
  <c r="BK41" i="17"/>
  <c r="AV41" i="17"/>
  <c r="AI41" i="17"/>
  <c r="V41" i="17"/>
  <c r="J46" i="17"/>
  <c r="CW17" i="17"/>
  <c r="CK40" i="17"/>
  <c r="BV40" i="17"/>
  <c r="BK40" i="17"/>
  <c r="AV40" i="17"/>
  <c r="AI40" i="17"/>
  <c r="V40" i="17"/>
  <c r="J45" i="17"/>
  <c r="CW11" i="17"/>
  <c r="CK39" i="17"/>
  <c r="BV39" i="17"/>
  <c r="BK39" i="17"/>
  <c r="AV39" i="17"/>
  <c r="AI39" i="17"/>
  <c r="V39" i="17"/>
  <c r="I55" i="6"/>
  <c r="CW10" i="17"/>
  <c r="K61" i="6" s="1"/>
  <c r="CK38" i="17"/>
  <c r="BV38" i="17"/>
  <c r="AV38" i="17"/>
  <c r="AI38" i="17"/>
  <c r="CW13" i="17"/>
  <c r="CK37" i="17"/>
  <c r="BV37" i="17"/>
  <c r="BK14" i="17"/>
  <c r="AV37" i="17"/>
  <c r="AI37" i="17"/>
  <c r="J53" i="17"/>
  <c r="CW15" i="17"/>
  <c r="CK36" i="17"/>
  <c r="BV36" i="17"/>
  <c r="BK16" i="17"/>
  <c r="AV36" i="17"/>
  <c r="AI36" i="17"/>
  <c r="J52" i="17"/>
  <c r="CW14" i="17"/>
  <c r="CK35" i="17"/>
  <c r="BV35" i="17"/>
  <c r="BK35" i="17"/>
  <c r="AV35" i="17"/>
  <c r="AI35" i="17"/>
  <c r="V35" i="17"/>
  <c r="J51" i="17"/>
  <c r="CK34" i="17"/>
  <c r="BV34" i="17"/>
  <c r="BK34" i="17"/>
  <c r="AV34" i="17"/>
  <c r="AI34" i="17"/>
  <c r="V34" i="17"/>
  <c r="J50" i="17"/>
  <c r="CW19" i="17"/>
  <c r="CK33" i="17"/>
  <c r="BV33" i="17"/>
  <c r="BK33" i="17"/>
  <c r="AV33" i="17"/>
  <c r="AI33" i="17"/>
  <c r="V33" i="17"/>
  <c r="J49" i="17"/>
  <c r="CW12" i="17"/>
  <c r="CK32" i="17"/>
  <c r="BV32" i="17"/>
  <c r="BK32" i="17"/>
  <c r="AV32" i="17"/>
  <c r="AI32" i="17"/>
  <c r="V32" i="17"/>
  <c r="J48" i="17"/>
  <c r="CW22" i="17"/>
  <c r="CK31" i="17"/>
  <c r="BV31" i="17"/>
  <c r="BK31" i="17"/>
  <c r="AV31" i="17"/>
  <c r="AI31" i="17"/>
  <c r="V31" i="17"/>
  <c r="CW18" i="17"/>
  <c r="CK30" i="17"/>
  <c r="BV30" i="17"/>
  <c r="BK30" i="17"/>
  <c r="AV30" i="17"/>
  <c r="AI30" i="17"/>
  <c r="W10" i="17"/>
  <c r="J47" i="17"/>
  <c r="CW20" i="17"/>
  <c r="CK29" i="17"/>
  <c r="BV29" i="17"/>
  <c r="BK29" i="17"/>
  <c r="AV29" i="17"/>
  <c r="AI29" i="17"/>
  <c r="W29" i="17"/>
  <c r="J44" i="17"/>
  <c r="CW39" i="17"/>
  <c r="CK28" i="17"/>
  <c r="BV28" i="17"/>
  <c r="BK28" i="17"/>
  <c r="AV28" i="17"/>
  <c r="AI28" i="17"/>
  <c r="W6" i="17"/>
  <c r="K56" i="6" s="1"/>
  <c r="J43" i="17"/>
  <c r="CW25" i="17"/>
  <c r="CK27" i="17"/>
  <c r="BV27" i="17"/>
  <c r="BK27" i="17"/>
  <c r="AV27" i="17"/>
  <c r="AI27" i="17"/>
  <c r="W5" i="17"/>
  <c r="J42" i="17"/>
  <c r="CW21" i="17"/>
  <c r="CK26" i="17"/>
  <c r="BV26" i="17"/>
  <c r="BK26" i="17"/>
  <c r="AV26" i="17"/>
  <c r="AI26" i="17"/>
  <c r="W8" i="17"/>
  <c r="J56" i="6" s="1"/>
  <c r="J41" i="17"/>
  <c r="CW24" i="17"/>
  <c r="CK25" i="17"/>
  <c r="BV25" i="17"/>
  <c r="BK25" i="17"/>
  <c r="AV25" i="17"/>
  <c r="AI25" i="17"/>
  <c r="J40" i="17"/>
  <c r="CW32" i="17"/>
  <c r="CK24" i="17"/>
  <c r="BV24" i="17"/>
  <c r="BK24" i="17"/>
  <c r="AV24" i="17"/>
  <c r="AI24" i="17"/>
  <c r="W18" i="17"/>
  <c r="J33" i="17"/>
  <c r="CW23" i="17"/>
  <c r="CK23" i="17"/>
  <c r="BV23" i="17"/>
  <c r="BK23" i="17"/>
  <c r="AV23" i="17"/>
  <c r="AI23" i="17"/>
  <c r="W28" i="17"/>
  <c r="J20" i="17"/>
  <c r="CW27" i="17"/>
  <c r="CK22" i="17"/>
  <c r="BV22" i="17"/>
  <c r="BK22" i="17"/>
  <c r="AV22" i="17"/>
  <c r="AI22" i="17"/>
  <c r="W11" i="17"/>
  <c r="J39" i="17"/>
  <c r="CW26" i="17"/>
  <c r="CK21" i="17"/>
  <c r="BV21" i="17"/>
  <c r="BK21" i="17"/>
  <c r="AV21" i="17"/>
  <c r="AI21" i="17"/>
  <c r="W9" i="17"/>
  <c r="J38" i="17"/>
  <c r="CW29" i="17"/>
  <c r="CJ20" i="17"/>
  <c r="BV20" i="17"/>
  <c r="BK20" i="17"/>
  <c r="AV20" i="17"/>
  <c r="AI20" i="17"/>
  <c r="I56" i="6"/>
  <c r="J37" i="17"/>
  <c r="CW30" i="17"/>
  <c r="CJ19" i="17"/>
  <c r="K62" i="6" s="1"/>
  <c r="BV19" i="17"/>
  <c r="BK7" i="17"/>
  <c r="K59" i="6" s="1"/>
  <c r="AV19" i="17"/>
  <c r="AI19" i="17"/>
  <c r="W20" i="17"/>
  <c r="J36" i="17"/>
  <c r="CW33" i="17"/>
  <c r="CJ18" i="17"/>
  <c r="BV18" i="17"/>
  <c r="BK6" i="17"/>
  <c r="AV18" i="17"/>
  <c r="AI18" i="17"/>
  <c r="W21" i="17"/>
  <c r="J35" i="17"/>
  <c r="CW34" i="17"/>
  <c r="CJ17" i="17"/>
  <c r="BV17" i="17"/>
  <c r="BK8" i="17"/>
  <c r="J59" i="6" s="1"/>
  <c r="AV17" i="17"/>
  <c r="AI17" i="17"/>
  <c r="W19" i="17"/>
  <c r="J34" i="17"/>
  <c r="F55" i="6" s="1"/>
  <c r="CW35" i="17"/>
  <c r="CJ16" i="17"/>
  <c r="J62" i="6" s="1"/>
  <c r="BV16" i="17"/>
  <c r="BK13" i="17"/>
  <c r="AV16" i="17"/>
  <c r="AI16" i="17"/>
  <c r="W16" i="17"/>
  <c r="J32" i="17"/>
  <c r="CW36" i="17"/>
  <c r="CJ15" i="17"/>
  <c r="I62" i="6" s="1"/>
  <c r="BV15" i="17"/>
  <c r="BK9" i="17"/>
  <c r="I59" i="6" s="1"/>
  <c r="AV15" i="17"/>
  <c r="AI15" i="17"/>
  <c r="W13" i="17"/>
  <c r="H56" i="6" s="1"/>
  <c r="CW37" i="17"/>
  <c r="CJ14" i="17"/>
  <c r="C62" i="6" s="1"/>
  <c r="BV14" i="17"/>
  <c r="AV14" i="17"/>
  <c r="AI14" i="17"/>
  <c r="W17" i="17"/>
  <c r="J30" i="17"/>
  <c r="CW38" i="17"/>
  <c r="CJ13" i="17"/>
  <c r="BV13" i="17"/>
  <c r="AV13" i="17"/>
  <c r="AI13" i="17"/>
  <c r="W15" i="17"/>
  <c r="J29" i="17"/>
  <c r="CW41" i="17"/>
  <c r="CJ12" i="17"/>
  <c r="BW12" i="17"/>
  <c r="H60" i="6" s="1"/>
  <c r="BK10" i="17"/>
  <c r="AV12" i="17"/>
  <c r="AI12" i="17"/>
  <c r="W23" i="17"/>
  <c r="J28" i="17"/>
  <c r="CW40" i="17"/>
  <c r="CJ11" i="17"/>
  <c r="BW6" i="17"/>
  <c r="I60" i="6" s="1"/>
  <c r="BK19" i="17"/>
  <c r="AV11" i="17"/>
  <c r="AI11" i="17"/>
  <c r="W24" i="17"/>
  <c r="J27" i="17"/>
  <c r="CW42" i="17"/>
  <c r="CJ10" i="17"/>
  <c r="BW11" i="17"/>
  <c r="BK17" i="17"/>
  <c r="AV10" i="17"/>
  <c r="AJ10" i="17"/>
  <c r="W26" i="17"/>
  <c r="J26" i="17"/>
  <c r="CW43" i="17"/>
  <c r="CJ9" i="17"/>
  <c r="BW9" i="17"/>
  <c r="BK15" i="17"/>
  <c r="AW9" i="17"/>
  <c r="AJ9" i="17"/>
  <c r="W22" i="17"/>
  <c r="J25" i="17"/>
  <c r="CW44" i="17"/>
  <c r="CJ8" i="17"/>
  <c r="BW10" i="17"/>
  <c r="E60" i="6" s="1"/>
  <c r="BK12" i="17"/>
  <c r="F59" i="6" s="1"/>
  <c r="AW8" i="17"/>
  <c r="J58" i="6" s="1"/>
  <c r="AJ8" i="17"/>
  <c r="W27" i="17"/>
  <c r="D56" i="6" s="1"/>
  <c r="J24" i="17"/>
  <c r="CW45" i="17"/>
  <c r="CJ7" i="17"/>
  <c r="BW8" i="17"/>
  <c r="BK11" i="17"/>
  <c r="G59" i="6" s="1"/>
  <c r="AW7" i="17"/>
  <c r="AJ7" i="17"/>
  <c r="K57" i="6" s="1"/>
  <c r="W25" i="17"/>
  <c r="J23" i="17"/>
  <c r="CW46" i="17"/>
  <c r="CJ6" i="17"/>
  <c r="BW7" i="17"/>
  <c r="G60" i="6" s="1"/>
  <c r="BK18" i="17"/>
  <c r="AW6" i="17"/>
  <c r="G58" i="6" s="1"/>
  <c r="AJ6" i="17"/>
  <c r="H57" i="6" s="1"/>
  <c r="W12" i="17"/>
  <c r="E56" i="6" s="1"/>
  <c r="J22" i="17"/>
  <c r="E62" i="6"/>
  <c r="F57" i="6"/>
  <c r="W30" i="17"/>
  <c r="J21" i="17"/>
  <c r="CW47" i="17"/>
  <c r="CJ5" i="17"/>
  <c r="F62" i="6" s="1"/>
  <c r="BW5" i="17"/>
  <c r="C60" i="6" s="1"/>
  <c r="BK5" i="17"/>
  <c r="AW5" i="17"/>
  <c r="H58" i="6" s="1"/>
  <c r="AJ5" i="17"/>
  <c r="D57" i="6" s="1"/>
  <c r="J19" i="17"/>
  <c r="W5" i="14"/>
  <c r="E49" i="6" s="1"/>
  <c r="J16" i="14"/>
  <c r="I48" i="6" s="1"/>
  <c r="J15" i="14"/>
  <c r="H48" i="6" s="1"/>
  <c r="J14" i="14"/>
  <c r="J13" i="14"/>
  <c r="J12" i="14"/>
  <c r="J11" i="14"/>
  <c r="J10" i="14"/>
  <c r="J9" i="14"/>
  <c r="J8" i="14"/>
  <c r="J7" i="14"/>
  <c r="E48" i="6" s="1"/>
  <c r="J6" i="14"/>
  <c r="D48" i="6" s="1"/>
  <c r="J5" i="14"/>
  <c r="C48" i="6" s="1"/>
  <c r="J29" i="13"/>
  <c r="J33" i="13"/>
  <c r="J28" i="13"/>
  <c r="J26" i="13"/>
  <c r="J25" i="13"/>
  <c r="J27" i="13"/>
  <c r="J30" i="13"/>
  <c r="J32" i="13"/>
  <c r="I43" i="6" s="1"/>
  <c r="J31" i="13"/>
  <c r="I42" i="6" s="1"/>
  <c r="J24" i="13"/>
  <c r="J23" i="13"/>
  <c r="J22" i="13"/>
  <c r="J20" i="13"/>
  <c r="F41" i="6" s="1"/>
  <c r="J17" i="13"/>
  <c r="J19" i="13"/>
  <c r="J18" i="13"/>
  <c r="E42" i="6" s="1"/>
  <c r="J16" i="13"/>
  <c r="J15" i="13"/>
  <c r="J14" i="13"/>
  <c r="J13" i="13"/>
  <c r="J12" i="13"/>
  <c r="D43" i="6" s="1"/>
  <c r="J7" i="13"/>
  <c r="J11" i="13"/>
  <c r="J10" i="13"/>
  <c r="J8" i="13"/>
  <c r="J9" i="13"/>
  <c r="J6" i="13"/>
  <c r="J5" i="13"/>
  <c r="BW81" i="17" l="1"/>
  <c r="AJ81" i="17"/>
  <c r="E61" i="6"/>
  <c r="K21" i="6"/>
  <c r="G61" i="6"/>
  <c r="K63" i="6"/>
  <c r="DI81" i="17"/>
  <c r="E59" i="6"/>
  <c r="C56" i="6"/>
  <c r="L61" i="6"/>
  <c r="O15" i="6"/>
  <c r="K55" i="6"/>
  <c r="K19" i="6"/>
  <c r="H42" i="6"/>
  <c r="O10" i="6"/>
  <c r="O14" i="6"/>
  <c r="O16" i="6"/>
  <c r="O12" i="6"/>
  <c r="C41" i="6"/>
  <c r="O20" i="6"/>
  <c r="F56" i="6"/>
  <c r="D62" i="6"/>
  <c r="H41" i="6"/>
  <c r="D41" i="6"/>
  <c r="E41" i="6"/>
  <c r="C42" i="6"/>
  <c r="I41" i="6"/>
  <c r="J7" i="6"/>
  <c r="I61" i="6"/>
  <c r="J61" i="6"/>
  <c r="C55" i="6"/>
  <c r="I8" i="6"/>
  <c r="J55" i="6"/>
  <c r="J19" i="6"/>
  <c r="E55" i="6"/>
  <c r="C61" i="6"/>
  <c r="D61" i="6"/>
  <c r="H61" i="6"/>
  <c r="H19" i="6"/>
  <c r="D55" i="6"/>
  <c r="O60" i="6"/>
  <c r="I80" i="17"/>
  <c r="BK81" i="17"/>
  <c r="G55" i="6"/>
  <c r="D59" i="6"/>
  <c r="H59" i="6"/>
  <c r="G56" i="6"/>
  <c r="O34" i="6"/>
  <c r="O38" i="6"/>
  <c r="C32" i="6"/>
  <c r="C39" i="6"/>
  <c r="D39" i="6"/>
  <c r="C53" i="6"/>
  <c r="F48" i="6"/>
  <c r="I19" i="6"/>
  <c r="H8" i="6"/>
  <c r="I63" i="18"/>
  <c r="D8" i="6"/>
  <c r="V63" i="18"/>
  <c r="H55" i="6"/>
  <c r="O58" i="6"/>
  <c r="C59" i="6"/>
  <c r="G48" i="6"/>
  <c r="O49" i="6"/>
  <c r="O29" i="6"/>
  <c r="AI81" i="17"/>
  <c r="CK81" i="17"/>
  <c r="AV81" i="17"/>
  <c r="CV81" i="17"/>
  <c r="V81" i="17"/>
  <c r="BV81" i="17"/>
  <c r="O21" i="6" l="1"/>
  <c r="O62" i="6"/>
  <c r="O7" i="6"/>
  <c r="O19" i="6"/>
  <c r="O59" i="6"/>
  <c r="E46" i="6"/>
  <c r="D46" i="6"/>
  <c r="O8" i="6"/>
  <c r="D22" i="6"/>
  <c r="BH85" i="14"/>
  <c r="AU85" i="14"/>
  <c r="AL85" i="14"/>
  <c r="AI85" i="14"/>
  <c r="U85" i="14"/>
  <c r="T85" i="14"/>
  <c r="BI84" i="14"/>
  <c r="AV84" i="14"/>
  <c r="AK84" i="14"/>
  <c r="V84" i="14"/>
  <c r="BI83" i="14"/>
  <c r="AV83" i="14"/>
  <c r="BI82" i="14"/>
  <c r="AV82" i="14"/>
  <c r="AK83" i="14"/>
  <c r="V83" i="14"/>
  <c r="BI81" i="14"/>
  <c r="AV81" i="14"/>
  <c r="AK82" i="14"/>
  <c r="V82" i="14"/>
  <c r="AV80" i="14"/>
  <c r="AK81" i="14"/>
  <c r="V81" i="14"/>
  <c r="BI80" i="14"/>
  <c r="AV79" i="14"/>
  <c r="AK80" i="14"/>
  <c r="V74" i="14"/>
  <c r="BI79" i="14"/>
  <c r="AV78" i="14"/>
  <c r="AK73" i="14"/>
  <c r="V73" i="14"/>
  <c r="BI78" i="14"/>
  <c r="AV77" i="14"/>
  <c r="AK72" i="14"/>
  <c r="V72" i="14"/>
  <c r="BI71" i="14"/>
  <c r="AV71" i="14"/>
  <c r="AK71" i="14"/>
  <c r="V71" i="14"/>
  <c r="BI70" i="14"/>
  <c r="AV70" i="14"/>
  <c r="AK70" i="14"/>
  <c r="V70" i="14"/>
  <c r="BI69" i="14"/>
  <c r="AV69" i="14"/>
  <c r="AK69" i="14"/>
  <c r="V69" i="14"/>
  <c r="BI68" i="14"/>
  <c r="AV68" i="14"/>
  <c r="AK68" i="14"/>
  <c r="V68" i="14"/>
  <c r="BI67" i="14"/>
  <c r="AV67" i="14"/>
  <c r="AK67" i="14"/>
  <c r="V67" i="14"/>
  <c r="BI66" i="14"/>
  <c r="AV66" i="14"/>
  <c r="AK66" i="14"/>
  <c r="V66" i="14"/>
  <c r="BI65" i="14"/>
  <c r="AV65" i="14"/>
  <c r="AK65" i="14"/>
  <c r="V65" i="14"/>
  <c r="BI64" i="14"/>
  <c r="AV64" i="14"/>
  <c r="AK64" i="14"/>
  <c r="V64" i="14"/>
  <c r="BI63" i="14"/>
  <c r="AV63" i="14"/>
  <c r="AK63" i="14"/>
  <c r="V63" i="14"/>
  <c r="BI62" i="14"/>
  <c r="AV62" i="14"/>
  <c r="AK62" i="14"/>
  <c r="V62" i="14"/>
  <c r="BI61" i="14"/>
  <c r="AV61" i="14"/>
  <c r="AK61" i="14"/>
  <c r="V61" i="14"/>
  <c r="BI60" i="14"/>
  <c r="AV60" i="14"/>
  <c r="AK60" i="14"/>
  <c r="V60" i="14"/>
  <c r="BI59" i="14"/>
  <c r="AV59" i="14"/>
  <c r="AK59" i="14"/>
  <c r="V59" i="14"/>
  <c r="BI58" i="14"/>
  <c r="AV58" i="14"/>
  <c r="AK58" i="14"/>
  <c r="V58" i="14"/>
  <c r="BI57" i="14"/>
  <c r="AV57" i="14"/>
  <c r="AK57" i="14"/>
  <c r="V57" i="14"/>
  <c r="BI56" i="14"/>
  <c r="AV56" i="14"/>
  <c r="AK56" i="14"/>
  <c r="V56" i="14"/>
  <c r="BI55" i="14"/>
  <c r="AV55" i="14"/>
  <c r="AK55" i="14"/>
  <c r="V55" i="14"/>
  <c r="BI54" i="14"/>
  <c r="AV54" i="14"/>
  <c r="AK54" i="14"/>
  <c r="V54" i="14"/>
  <c r="BI53" i="14"/>
  <c r="AV53" i="14"/>
  <c r="AK53" i="14"/>
  <c r="V53" i="14"/>
  <c r="BI52" i="14"/>
  <c r="AV52" i="14"/>
  <c r="AK52" i="14"/>
  <c r="V52" i="14"/>
  <c r="BI51" i="14"/>
  <c r="AV51" i="14"/>
  <c r="AK51" i="14"/>
  <c r="V51" i="14"/>
  <c r="BI50" i="14"/>
  <c r="AV50" i="14"/>
  <c r="AK50" i="14"/>
  <c r="V50" i="14"/>
  <c r="BI49" i="14"/>
  <c r="AV49" i="14"/>
  <c r="AK49" i="14"/>
  <c r="V49" i="14"/>
  <c r="BI48" i="14"/>
  <c r="AV48" i="14"/>
  <c r="AK48" i="14"/>
  <c r="V48" i="14"/>
  <c r="BI47" i="14"/>
  <c r="AV47" i="14"/>
  <c r="AK47" i="14"/>
  <c r="V47" i="14"/>
  <c r="BI46" i="14"/>
  <c r="AV46" i="14"/>
  <c r="AK46" i="14"/>
  <c r="V46" i="14"/>
  <c r="BI45" i="14"/>
  <c r="AV45" i="14"/>
  <c r="AK45" i="14"/>
  <c r="V45" i="14"/>
  <c r="BI44" i="14"/>
  <c r="AV44" i="14"/>
  <c r="AK44" i="14"/>
  <c r="V44" i="14"/>
  <c r="BI43" i="14"/>
  <c r="AV43" i="14"/>
  <c r="AK43" i="14"/>
  <c r="V43" i="14"/>
  <c r="BI42" i="14"/>
  <c r="AV42" i="14"/>
  <c r="AK42" i="14"/>
  <c r="V42" i="14"/>
  <c r="BI41" i="14"/>
  <c r="AV41" i="14"/>
  <c r="AK41" i="14"/>
  <c r="V41" i="14"/>
  <c r="BI40" i="14"/>
  <c r="AV40" i="14"/>
  <c r="AK40" i="14"/>
  <c r="V40" i="14"/>
  <c r="BI39" i="14"/>
  <c r="AV39" i="14"/>
  <c r="AK39" i="14"/>
  <c r="V39" i="14"/>
  <c r="BI38" i="14"/>
  <c r="AV38" i="14"/>
  <c r="AK38" i="14"/>
  <c r="V38" i="14"/>
  <c r="BI37" i="14"/>
  <c r="AV37" i="14"/>
  <c r="AK37" i="14"/>
  <c r="V37" i="14"/>
  <c r="BI36" i="14"/>
  <c r="AV36" i="14"/>
  <c r="AK36" i="14"/>
  <c r="V36" i="14"/>
  <c r="BI35" i="14"/>
  <c r="AV35" i="14"/>
  <c r="AK35" i="14"/>
  <c r="V35" i="14"/>
  <c r="BI34" i="14"/>
  <c r="AV34" i="14"/>
  <c r="AK34" i="14"/>
  <c r="V34" i="14"/>
  <c r="BI33" i="14"/>
  <c r="AV33" i="14"/>
  <c r="AK33" i="14"/>
  <c r="V33" i="14"/>
  <c r="BI32" i="14"/>
  <c r="AV32" i="14"/>
  <c r="AK32" i="14"/>
  <c r="V32" i="14"/>
  <c r="BI31" i="14"/>
  <c r="AV31" i="14"/>
  <c r="AK31" i="14"/>
  <c r="V31" i="14"/>
  <c r="BI30" i="14"/>
  <c r="AV30" i="14"/>
  <c r="AK30" i="14"/>
  <c r="V30" i="14"/>
  <c r="BI29" i="14"/>
  <c r="AV29" i="14"/>
  <c r="AK29" i="14"/>
  <c r="V29" i="14"/>
  <c r="BI28" i="14"/>
  <c r="AV28" i="14"/>
  <c r="AK28" i="14"/>
  <c r="V28" i="14"/>
  <c r="BI27" i="14"/>
  <c r="AV27" i="14"/>
  <c r="AK27" i="14"/>
  <c r="V27" i="14"/>
  <c r="BI26" i="14"/>
  <c r="AV26" i="14"/>
  <c r="AK26" i="14"/>
  <c r="V26" i="14"/>
  <c r="BI25" i="14"/>
  <c r="AV25" i="14"/>
  <c r="AK25" i="14"/>
  <c r="V25" i="14"/>
  <c r="BI24" i="14"/>
  <c r="AV24" i="14"/>
  <c r="AK24" i="14"/>
  <c r="V24" i="14"/>
  <c r="BI23" i="14"/>
  <c r="AV23" i="14"/>
  <c r="AK23" i="14"/>
  <c r="V23" i="14"/>
  <c r="BI22" i="14"/>
  <c r="AV22" i="14"/>
  <c r="AK22" i="14"/>
  <c r="V22" i="14"/>
  <c r="BI21" i="14"/>
  <c r="AV21" i="14"/>
  <c r="AK21" i="14"/>
  <c r="V21" i="14"/>
  <c r="BI20" i="14"/>
  <c r="AV20" i="14"/>
  <c r="AK20" i="14"/>
  <c r="V20" i="14"/>
  <c r="BI19" i="14"/>
  <c r="AV19" i="14"/>
  <c r="AK19" i="14"/>
  <c r="V19" i="14"/>
  <c r="BI18" i="14"/>
  <c r="AV18" i="14"/>
  <c r="AK18" i="14"/>
  <c r="V18" i="14"/>
  <c r="BI17" i="14"/>
  <c r="AV17" i="14"/>
  <c r="AK17" i="14"/>
  <c r="V17" i="14"/>
  <c r="BI16" i="14"/>
  <c r="AV16" i="14"/>
  <c r="AK16" i="14"/>
  <c r="V16" i="14"/>
  <c r="BI15" i="14"/>
  <c r="AV15" i="14"/>
  <c r="AK15" i="14"/>
  <c r="V15" i="14"/>
  <c r="BI14" i="14"/>
  <c r="AV14" i="14"/>
  <c r="AK14" i="14"/>
  <c r="V14" i="14"/>
  <c r="BI13" i="14"/>
  <c r="AV13" i="14"/>
  <c r="AK13" i="14"/>
  <c r="V13" i="14"/>
  <c r="BJ12" i="14"/>
  <c r="AV12" i="14"/>
  <c r="AK12" i="14"/>
  <c r="V12" i="14"/>
  <c r="BJ11" i="14"/>
  <c r="AV11" i="14"/>
  <c r="AK11" i="14"/>
  <c r="V11" i="14"/>
  <c r="BJ10" i="14"/>
  <c r="AV10" i="14"/>
  <c r="AK10" i="14"/>
  <c r="V10" i="14"/>
  <c r="BJ9" i="14"/>
  <c r="J51" i="6" s="1"/>
  <c r="AV9" i="14"/>
  <c r="AK9" i="14"/>
  <c r="V9" i="14"/>
  <c r="BJ8" i="14"/>
  <c r="AV8" i="14"/>
  <c r="AK8" i="14"/>
  <c r="V8" i="14"/>
  <c r="BJ7" i="14"/>
  <c r="AV7" i="14"/>
  <c r="AK7" i="14"/>
  <c r="V7" i="14"/>
  <c r="BJ6" i="14"/>
  <c r="H51" i="6" s="1"/>
  <c r="AV6" i="14"/>
  <c r="AK6" i="14"/>
  <c r="W6" i="14"/>
  <c r="V85" i="14" s="1"/>
  <c r="BJ5" i="14"/>
  <c r="BJ85" i="14" s="1"/>
  <c r="AW5" i="14"/>
  <c r="AW85" i="14" s="1"/>
  <c r="AJ5" i="14"/>
  <c r="AJ85" i="14" s="1"/>
  <c r="W85" i="14" l="1"/>
  <c r="AK85" i="14"/>
  <c r="G52" i="6"/>
  <c r="AV85" i="14"/>
  <c r="G50" i="6"/>
  <c r="BI85" i="14"/>
  <c r="I51" i="6"/>
  <c r="C64" i="6"/>
  <c r="D64" i="6"/>
  <c r="L64" i="6"/>
  <c r="M64" i="6"/>
  <c r="E64" i="6"/>
  <c r="F64" i="6"/>
  <c r="G64" i="6"/>
  <c r="H64" i="6"/>
  <c r="I64" i="6"/>
  <c r="J64" i="6"/>
  <c r="K64" i="6"/>
  <c r="N64" i="6"/>
  <c r="O64" i="6" l="1"/>
  <c r="O31" i="6"/>
  <c r="D53" i="6" l="1"/>
  <c r="G22" i="6"/>
  <c r="K22" i="6"/>
  <c r="N22" i="6"/>
  <c r="J22" i="6"/>
  <c r="H22" i="6"/>
  <c r="L22" i="6"/>
  <c r="I22" i="6"/>
  <c r="M22" i="6"/>
  <c r="O9" i="6"/>
  <c r="E22" i="6" l="1"/>
  <c r="F22" i="6"/>
  <c r="C22" i="6"/>
  <c r="O51" i="6"/>
  <c r="F53" i="6"/>
  <c r="J67" i="14"/>
  <c r="J68" i="14"/>
  <c r="J69" i="14"/>
  <c r="J70" i="14"/>
  <c r="J71" i="14"/>
  <c r="J72" i="14"/>
  <c r="J73" i="14"/>
  <c r="J74" i="14"/>
  <c r="J75" i="14"/>
  <c r="J76" i="14"/>
  <c r="J77" i="14"/>
  <c r="J78" i="14"/>
  <c r="J79" i="14"/>
  <c r="J80" i="14"/>
  <c r="J81" i="14"/>
  <c r="J82" i="14"/>
  <c r="J83" i="14"/>
  <c r="J84" i="14"/>
  <c r="J74" i="13"/>
  <c r="J75" i="13"/>
  <c r="J76" i="13"/>
  <c r="J77" i="13"/>
  <c r="J82" i="13"/>
  <c r="J83" i="13"/>
  <c r="J84" i="13"/>
  <c r="I85" i="14"/>
  <c r="K85" i="14"/>
  <c r="H85" i="14"/>
  <c r="H85" i="13"/>
  <c r="I85" i="13"/>
  <c r="O22" i="6" l="1"/>
  <c r="M39" i="6"/>
  <c r="F39" i="6"/>
  <c r="J39" i="6"/>
  <c r="N39" i="6"/>
  <c r="K39" i="6"/>
  <c r="L39" i="6"/>
  <c r="E39" i="6"/>
  <c r="I39" i="6"/>
  <c r="H32" i="6"/>
  <c r="O50" i="6"/>
  <c r="E53" i="6"/>
  <c r="H39" i="6"/>
  <c r="K85" i="13"/>
  <c r="L32" i="6" l="1"/>
  <c r="M32" i="6"/>
  <c r="J32" i="6"/>
  <c r="I32" i="6"/>
  <c r="K32" i="6"/>
  <c r="F32" i="6"/>
  <c r="G32" i="6"/>
  <c r="D32" i="6"/>
  <c r="E32" i="6"/>
  <c r="J85" i="14"/>
  <c r="N32" i="6"/>
  <c r="G39" i="6"/>
  <c r="J85" i="13"/>
  <c r="C46" i="6"/>
  <c r="C68" i="6" s="1"/>
  <c r="D68" i="6" l="1"/>
  <c r="G53" i="6"/>
  <c r="L53" i="6"/>
  <c r="N53" i="6"/>
  <c r="O39" i="6" l="1"/>
  <c r="D67" i="6"/>
  <c r="M53" i="6"/>
  <c r="O18" i="6" l="1"/>
  <c r="K53" i="6"/>
  <c r="J53" i="6" l="1"/>
  <c r="I53" i="6" l="1"/>
  <c r="H53" i="6" l="1"/>
  <c r="O53" i="6" l="1"/>
  <c r="AM51" i="6" l="1"/>
  <c r="O37" i="6"/>
  <c r="O57" i="6"/>
  <c r="O43" i="6"/>
  <c r="O44" i="6"/>
  <c r="O45" i="6"/>
  <c r="F46" i="6"/>
  <c r="G46" i="6"/>
  <c r="H46" i="6"/>
  <c r="H68" i="6" s="1"/>
  <c r="I46" i="6"/>
  <c r="J46" i="6"/>
  <c r="K46" i="6"/>
  <c r="L46" i="6"/>
  <c r="M46" i="6"/>
  <c r="N46" i="6"/>
  <c r="O25" i="6"/>
  <c r="H67" i="6" l="1"/>
  <c r="M68" i="6"/>
  <c r="M67" i="6"/>
  <c r="I68" i="6"/>
  <c r="I67" i="6"/>
  <c r="L67" i="6"/>
  <c r="L68" i="6"/>
  <c r="K68" i="6"/>
  <c r="K67" i="6"/>
  <c r="G67" i="6"/>
  <c r="G68" i="6"/>
  <c r="N68" i="6"/>
  <c r="N67" i="6"/>
  <c r="J68" i="6"/>
  <c r="J67" i="6"/>
  <c r="F67" i="6"/>
  <c r="F68" i="6"/>
  <c r="E67" i="6"/>
  <c r="E68" i="6"/>
  <c r="O46" i="6"/>
  <c r="O61" i="6"/>
  <c r="O56" i="6"/>
  <c r="O52" i="6"/>
  <c r="O48" i="6"/>
  <c r="O55" i="6"/>
  <c r="O41" i="6"/>
  <c r="O42" i="6"/>
  <c r="O36" i="6"/>
  <c r="O24" i="6"/>
  <c r="O27" i="6"/>
  <c r="O26" i="6"/>
  <c r="O28" i="6"/>
  <c r="O35" i="6"/>
  <c r="AR51" i="6" l="1"/>
  <c r="AP51" i="6"/>
  <c r="AQ51" i="6"/>
  <c r="AN51" i="6"/>
  <c r="AO51" i="6"/>
  <c r="C67" i="6" l="1"/>
  <c r="O67" i="6" s="1"/>
  <c r="O32" i="6"/>
  <c r="O68" i="6" s="1"/>
</calcChain>
</file>

<file path=xl/sharedStrings.xml><?xml version="1.0" encoding="utf-8"?>
<sst xmlns="http://schemas.openxmlformats.org/spreadsheetml/2006/main" count="2258" uniqueCount="627">
  <si>
    <t>FOURNISSEURS</t>
  </si>
  <si>
    <t>JANVIER</t>
  </si>
  <si>
    <t>FEVRIER</t>
  </si>
  <si>
    <t>MARS</t>
  </si>
  <si>
    <t>AVRIL</t>
  </si>
  <si>
    <t xml:space="preserve">MAI </t>
  </si>
  <si>
    <t>JUIN</t>
  </si>
  <si>
    <t>JUILLET</t>
  </si>
  <si>
    <t>AOUT</t>
  </si>
  <si>
    <t>SEPTEMBRE</t>
  </si>
  <si>
    <t>OCTOBRE</t>
  </si>
  <si>
    <t>NOVEMBRE</t>
  </si>
  <si>
    <t>DECEMBRE</t>
  </si>
  <si>
    <t>MAI</t>
  </si>
  <si>
    <t>POINTAGE DEPENSES FOURNISSEURS  / CHANTIERS</t>
  </si>
  <si>
    <t>TOTAL ANNUEL</t>
  </si>
  <si>
    <t>TELECOM</t>
  </si>
  <si>
    <t>OUTICOUP</t>
  </si>
  <si>
    <t>SOPIMAT</t>
  </si>
  <si>
    <t>SASERQ</t>
  </si>
  <si>
    <t>ETS POMMEZ/Qllerie st JEAN</t>
  </si>
  <si>
    <t>SIAPOC</t>
  </si>
  <si>
    <t>CODIMA</t>
  </si>
  <si>
    <t>ZOLPAN</t>
  </si>
  <si>
    <t>Peinture GAUTHIER</t>
  </si>
  <si>
    <t>PPG  Guadeloupe</t>
  </si>
  <si>
    <t>SOGUADIME</t>
  </si>
  <si>
    <t>BLANDIN</t>
  </si>
  <si>
    <t>GMC</t>
  </si>
  <si>
    <t>RESTAURANT</t>
  </si>
  <si>
    <t>EXPORT</t>
  </si>
  <si>
    <t>DAD / DECAYEUX</t>
  </si>
  <si>
    <t xml:space="preserve"> </t>
  </si>
  <si>
    <t>FAAC</t>
  </si>
  <si>
    <t>HT</t>
  </si>
  <si>
    <t>DATES FACTURES</t>
  </si>
  <si>
    <t>MOIS</t>
  </si>
  <si>
    <t>SOLDES</t>
  </si>
  <si>
    <t>PEINTURE</t>
  </si>
  <si>
    <t xml:space="preserve">ALLAMELOU </t>
  </si>
  <si>
    <t>DIVERS</t>
  </si>
  <si>
    <t>SERRURERIE</t>
  </si>
  <si>
    <t>MOYEN DE 
PAIEMENT</t>
  </si>
  <si>
    <t>CB</t>
  </si>
  <si>
    <t>CHANTIERS AUDEBERT</t>
  </si>
  <si>
    <t>DATE DU 
PAIEMENT</t>
  </si>
  <si>
    <t>LISTES DES FOURNISSEURS REGULIERS</t>
  </si>
  <si>
    <t>ELECTRICITE</t>
  </si>
  <si>
    <t>TEVAH SYSTEMES</t>
  </si>
  <si>
    <t>MATIERE 1ère
 DIVERS</t>
  </si>
  <si>
    <t>MAJY SERVICES</t>
  </si>
  <si>
    <t>DIVERS FRAIS GNX</t>
  </si>
  <si>
    <t xml:space="preserve">CB </t>
  </si>
  <si>
    <t>ESP</t>
  </si>
  <si>
    <t>CHEQUE</t>
  </si>
  <si>
    <t>FÉVRIER</t>
  </si>
  <si>
    <t>CARAIBE TELECOM</t>
  </si>
  <si>
    <t>ORANGE</t>
  </si>
  <si>
    <t>PRELEVEMENT</t>
  </si>
  <si>
    <t>EDF</t>
  </si>
  <si>
    <t>VET INDUSTRIE</t>
  </si>
  <si>
    <t>ENTRETIEN</t>
  </si>
  <si>
    <t xml:space="preserve">GERION </t>
  </si>
  <si>
    <t>SO'CLEAN</t>
  </si>
  <si>
    <t>SNR</t>
  </si>
  <si>
    <t>BUREAUTIQUE</t>
  </si>
  <si>
    <t>ANTILLES PAPETERIE</t>
  </si>
  <si>
    <t xml:space="preserve">FEVRIER </t>
  </si>
  <si>
    <t xml:space="preserve">PRELEVEMENT </t>
  </si>
  <si>
    <t>KOS</t>
  </si>
  <si>
    <t>CARIBURO</t>
  </si>
  <si>
    <t>TANSPORTS</t>
  </si>
  <si>
    <t>FRS EXPORTS</t>
  </si>
  <si>
    <t>SCHENKER</t>
  </si>
  <si>
    <t>PAUMELLES LIEGEOISE</t>
  </si>
  <si>
    <t>DECAYEUX</t>
  </si>
  <si>
    <t>PEINTURE GAUTHIER</t>
  </si>
  <si>
    <t>ESPECES</t>
  </si>
  <si>
    <t>VIREMENT</t>
  </si>
  <si>
    <t>BILAN DEPENSES 2020</t>
  </si>
  <si>
    <t>ALAMELOU</t>
  </si>
  <si>
    <t>TRANSPORT</t>
  </si>
  <si>
    <t>MAT 1ère</t>
  </si>
  <si>
    <t xml:space="preserve">FRAIS  GNX  </t>
  </si>
  <si>
    <t>BL</t>
  </si>
  <si>
    <t>AVOI</t>
  </si>
  <si>
    <t xml:space="preserve">ESPECES </t>
  </si>
  <si>
    <t>9 MOIS (05/10/2020)</t>
  </si>
  <si>
    <t>LETTRE DE CHANGE EN 2 FOIS</t>
  </si>
  <si>
    <t>31/05/2020
30/06/2020</t>
  </si>
  <si>
    <t>TOTAL CHARGES</t>
  </si>
  <si>
    <t>utilisé</t>
  </si>
  <si>
    <t>FRAIS GENERAUX</t>
  </si>
  <si>
    <t>EXPORT / TRANSPORT</t>
  </si>
  <si>
    <t>* les dépenses non réglées</t>
  </si>
  <si>
    <t>ACHATS</t>
  </si>
  <si>
    <t>ANALYSE DEPENSES ANNUEL FOURNISSEURS  / CHANTIERS</t>
  </si>
  <si>
    <t>AVOIR</t>
  </si>
  <si>
    <t>COLISSIMO</t>
  </si>
  <si>
    <t>BILAN ANNUEL 2020</t>
  </si>
  <si>
    <t>SOLDE</t>
  </si>
  <si>
    <t>TOTAL EXPORT/TRANSPORT</t>
  </si>
  <si>
    <t>TOTAL SERRURERIE</t>
  </si>
  <si>
    <t>TOTAL PEINTURE</t>
  </si>
  <si>
    <t>TOTAL ELECTRICITE</t>
  </si>
  <si>
    <t>TOTAL FRAIS GENERAUX</t>
  </si>
  <si>
    <t>TOTAL DIVERS</t>
  </si>
  <si>
    <t>SUIVI ANNUEL DES FACTURES FRS</t>
  </si>
  <si>
    <t>Feuille</t>
  </si>
  <si>
    <t>Tableau</t>
  </si>
  <si>
    <t>FACT - FRAIS Généraux</t>
  </si>
  <si>
    <t>VIMAR/CEVAM</t>
  </si>
  <si>
    <t>EUROTECH/ DORTEL</t>
  </si>
  <si>
    <t>JOINT DUAL</t>
  </si>
  <si>
    <t>GENIUS</t>
  </si>
  <si>
    <t>KASTO</t>
  </si>
  <si>
    <t>FEDEX</t>
  </si>
  <si>
    <t>CHRONOPOST</t>
  </si>
  <si>
    <t>EQUINOX/ ZIG ZAG</t>
  </si>
  <si>
    <t>LB TECHNOLOGIES</t>
  </si>
  <si>
    <t>YESS ELECTRIC</t>
  </si>
  <si>
    <t>SOUS TRAITANT</t>
  </si>
  <si>
    <t>EQUIPEMENT</t>
  </si>
  <si>
    <t>DEPLACEMENT</t>
  </si>
  <si>
    <t>SOUSTRAITANT</t>
  </si>
  <si>
    <t>US MENUISERIE</t>
  </si>
  <si>
    <t>ROUDEN SERVICES</t>
  </si>
  <si>
    <t>VIRMENT</t>
  </si>
  <si>
    <t xml:space="preserve"> DIVERS</t>
  </si>
  <si>
    <t xml:space="preserve">JUIN </t>
  </si>
  <si>
    <t>CHEQUES</t>
  </si>
  <si>
    <t>LB TECHNOLOGIE</t>
  </si>
  <si>
    <t>BUREAU VALEE</t>
  </si>
  <si>
    <t>BURO STOCK</t>
  </si>
  <si>
    <t>HEBERGEMENTS</t>
  </si>
  <si>
    <t>BILLETS</t>
  </si>
  <si>
    <t>LOCATION VEHICULE</t>
  </si>
  <si>
    <t>FRAIS AUTRES</t>
  </si>
  <si>
    <t>PAUMELLE LIEGOISE</t>
  </si>
  <si>
    <t>SHENKER</t>
  </si>
  <si>
    <t>PPG  GUADELOUPE</t>
  </si>
  <si>
    <t>ATTENTE CONFIRMATION</t>
  </si>
  <si>
    <t>DIVERS MAT 1ère</t>
  </si>
  <si>
    <t>DIVERS MAT 1 ère</t>
  </si>
  <si>
    <t>DATE</t>
  </si>
  <si>
    <t>MONTANT</t>
  </si>
  <si>
    <t>ACOMPTE</t>
  </si>
  <si>
    <t>MOYENT DE REGLEMENT</t>
  </si>
  <si>
    <t>DATE DE REGLEMENT</t>
  </si>
  <si>
    <t>ECHEANCE</t>
  </si>
  <si>
    <t>TOTAL FACTURES NON PAYEES</t>
  </si>
  <si>
    <t>TORBEL</t>
  </si>
  <si>
    <t>TOTAL GLOBAL</t>
  </si>
  <si>
    <t xml:space="preserve">utilisé </t>
  </si>
  <si>
    <t xml:space="preserve">CHEQUE </t>
  </si>
  <si>
    <t>EUROBATT</t>
  </si>
  <si>
    <t>ACHAT DIVERS</t>
  </si>
  <si>
    <t>UTILISE</t>
  </si>
  <si>
    <t>IMMOBILISATION</t>
  </si>
  <si>
    <t>OPTIMACHINES</t>
  </si>
  <si>
    <t>FACT - ACHAT DIVERS</t>
  </si>
  <si>
    <t>AGENCY MEDIA CONSULTING</t>
  </si>
  <si>
    <t>SYNERGIE BTP</t>
  </si>
  <si>
    <t>UTILIS2</t>
  </si>
  <si>
    <t>SPECIABAT</t>
  </si>
  <si>
    <t>CB AMEX</t>
  </si>
  <si>
    <t>TROPIC PROFIL GUADELOUPE</t>
  </si>
  <si>
    <t>06/10/20,</t>
  </si>
  <si>
    <t>,,,,,,,,,,,</t>
  </si>
  <si>
    <t>DATE D'ECHEANCE</t>
  </si>
  <si>
    <t xml:space="preserve"> MONTANT TVA</t>
  </si>
  <si>
    <t>TTC</t>
  </si>
  <si>
    <t>DATE FACTURE</t>
  </si>
  <si>
    <t>N° FACTURE</t>
  </si>
  <si>
    <t>FOURNISSEUR</t>
  </si>
  <si>
    <t>DATE D ECHEANCE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</si>
  <si>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</si>
  <si>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</si>
  <si>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</si>
  <si>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</si>
  <si>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</si>
  <si>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</si>
  <si>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</si>
  <si>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</si>
  <si>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</si>
  <si>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</si>
  <si>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</si>
  <si>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</si>
  <si>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</si>
  <si>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</si>
  <si>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</si>
  <si>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</si>
  <si>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</si>
  <si>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</si>
  <si>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</si>
  <si>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</si>
  <si>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</si>
  <si>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</si>
  <si>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FOURNISSEUR 31</t>
  </si>
  <si>
    <t>FOURNISSEUR 32</t>
  </si>
  <si>
    <t>FOURNISSEUR 33</t>
  </si>
  <si>
    <t>FOURNISSEUR 34</t>
  </si>
  <si>
    <t>FOURNISSEUR 35</t>
  </si>
  <si>
    <t>FOURNISSEUR 36</t>
  </si>
  <si>
    <t>FOURNISSEUR 37</t>
  </si>
  <si>
    <t>FOURNISSEUR 38</t>
  </si>
  <si>
    <t>FOURNISSEUR 39</t>
  </si>
  <si>
    <t>FOURNISSEUR 40</t>
  </si>
  <si>
    <t>FOURNISSEUR 41</t>
  </si>
  <si>
    <t>FOURNISSEUR 42</t>
  </si>
  <si>
    <t>FOURNISSEURS 43</t>
  </si>
  <si>
    <t>FOURNISSEURS 44</t>
  </si>
  <si>
    <t>FOURNISSEURS 45</t>
  </si>
  <si>
    <t>FOURNISSEURS 46</t>
  </si>
  <si>
    <t>FOURNISSEURS 47</t>
  </si>
  <si>
    <t>FOURNISSEURS 48</t>
  </si>
  <si>
    <t>FOURNISSEURS 49</t>
  </si>
  <si>
    <t>FOURNISSEURS 50</t>
  </si>
  <si>
    <t>FOURNISSEURS 51</t>
  </si>
  <si>
    <t>FOURNISSEURS 52</t>
  </si>
  <si>
    <t>FOURNISSEURS 53</t>
  </si>
  <si>
    <t>FOURNISSEURS 54</t>
  </si>
  <si>
    <t>FOURNISSEURS 55</t>
  </si>
  <si>
    <t>FOURNISSEURS 56</t>
  </si>
  <si>
    <t>FOURNISSEURS 57</t>
  </si>
  <si>
    <t>FOURNISSEURS 58</t>
  </si>
  <si>
    <t>FOURNISSEURS 59</t>
  </si>
  <si>
    <t>FOURNISSEURS 60</t>
  </si>
  <si>
    <t>FOURNISSEURS 61</t>
  </si>
  <si>
    <t>FOURNISSEURS 62</t>
  </si>
  <si>
    <t>FOURNISSEURS 63</t>
  </si>
  <si>
    <t>FOURNISSEURS 64</t>
  </si>
  <si>
    <t>FOURNISSEURS 65</t>
  </si>
  <si>
    <t>FOURNISSEURS 66</t>
  </si>
  <si>
    <t>FOURNISSEURS 67</t>
  </si>
  <si>
    <t>FOURNISSEURS 68</t>
  </si>
  <si>
    <t>FOURNISSEURS 69</t>
  </si>
  <si>
    <t>FOURNISSEURS 70</t>
  </si>
  <si>
    <t>FOURNISSEURS 71</t>
  </si>
  <si>
    <t>FOURNISSEURS 72</t>
  </si>
  <si>
    <t>FOURNISSEURS 73</t>
  </si>
  <si>
    <t>FOURNISSEURS 74</t>
  </si>
  <si>
    <t>FOURNISSEURS 75</t>
  </si>
  <si>
    <t>FOURNISSEURS 76</t>
  </si>
  <si>
    <t>FOURNISSEURS 77</t>
  </si>
  <si>
    <t>FOURNISSEURS 78</t>
  </si>
  <si>
    <t>FOURNISSEURS 79</t>
  </si>
  <si>
    <t>FOURNISSEURS 80</t>
  </si>
  <si>
    <t>FOURNISSEURS 81</t>
  </si>
  <si>
    <t>FOURNISSEURS 82</t>
  </si>
  <si>
    <t>FOURNISSEURS 83</t>
  </si>
  <si>
    <t>FOURNISSEURS 84</t>
  </si>
  <si>
    <t>FOURNISSEURS 85</t>
  </si>
  <si>
    <t>FOURNISSEURS 86</t>
  </si>
  <si>
    <t>FOURNISSEURS 87</t>
  </si>
  <si>
    <t>FOURNISSEURS 88</t>
  </si>
  <si>
    <t>FOURNISSEURS 89</t>
  </si>
  <si>
    <t>FOURNISSEURS 90</t>
  </si>
  <si>
    <t>FOURNISSEURS 91</t>
  </si>
  <si>
    <t>FOURNISSEURS 92</t>
  </si>
  <si>
    <t>FOURNISSEURS 93</t>
  </si>
  <si>
    <t>FOURNISSEURS 94</t>
  </si>
  <si>
    <t>FOURNISSEURS 95</t>
  </si>
  <si>
    <t>FOURNISSEURS 96</t>
  </si>
  <si>
    <t>FOURNISSEURS 97</t>
  </si>
  <si>
    <t>FOURNISSEURS 98</t>
  </si>
  <si>
    <t>FOURNISSEURS 99</t>
  </si>
  <si>
    <t>FOURNISSEURS 100</t>
  </si>
  <si>
    <t>FOURNISSEURS 101</t>
  </si>
  <si>
    <t>FOURNISSEURS 102</t>
  </si>
  <si>
    <t>FOURNISSEURS 103</t>
  </si>
  <si>
    <t>FOURNISSEURS 104</t>
  </si>
  <si>
    <t>FOURNISSEURS 105</t>
  </si>
  <si>
    <t>FOURNISSEURS 106</t>
  </si>
  <si>
    <t>FOURNISSEURS 107</t>
  </si>
  <si>
    <t>FOURNISSEURS 108</t>
  </si>
  <si>
    <t>FOURNISSEURS 109</t>
  </si>
  <si>
    <t>FOURNISSEURS 110</t>
  </si>
  <si>
    <t>FOURNISSEURS 111</t>
  </si>
  <si>
    <t>FOURNISSEURS 112</t>
  </si>
  <si>
    <t>FOURNISSEURS 113</t>
  </si>
  <si>
    <t>FOURNISSEURS 114</t>
  </si>
  <si>
    <t>FOURNISSEURS 115</t>
  </si>
  <si>
    <t>FOURNISSEURS 116</t>
  </si>
  <si>
    <t>FOURNISSEURS 117</t>
  </si>
  <si>
    <t>FOURNISSEURS 118</t>
  </si>
  <si>
    <t>FOURNISSEURS 119</t>
  </si>
  <si>
    <t>FOURNISSEURS 120</t>
  </si>
  <si>
    <t>FOURNISSEURS 121</t>
  </si>
  <si>
    <t>FOURNISSEURS 122</t>
  </si>
  <si>
    <t>FOURNISSEURS 123</t>
  </si>
  <si>
    <t>FOURNISSEURS 124</t>
  </si>
  <si>
    <t>FOURNISSEURS 125</t>
  </si>
  <si>
    <t>FOURNISSEURS 126</t>
  </si>
  <si>
    <t>FOURNISSEURS 127</t>
  </si>
  <si>
    <t>FOURNISSEURS 128</t>
  </si>
  <si>
    <t>FOURNISSEURS 129</t>
  </si>
  <si>
    <t>FOURNISSEURS 130</t>
  </si>
  <si>
    <t>FOURNISSEURS 131</t>
  </si>
  <si>
    <t>FOURNISSEURS 132</t>
  </si>
  <si>
    <t>FOURNISSEURS 133</t>
  </si>
  <si>
    <t>FOURNISSEURS 134</t>
  </si>
  <si>
    <t>FOURNISSEURS 135</t>
  </si>
  <si>
    <t>FOURNISSEURS 136</t>
  </si>
  <si>
    <t>FOURNISSEURS 137</t>
  </si>
  <si>
    <t>FOURNISSEURS 138</t>
  </si>
  <si>
    <t>FOURNISSEURS 139</t>
  </si>
  <si>
    <t>FOURNISSEURS 140</t>
  </si>
  <si>
    <t>FOURNISSEURS 142</t>
  </si>
  <si>
    <t>FOURNISSEURS 143</t>
  </si>
  <si>
    <t>FOURNISSEURS 144</t>
  </si>
  <si>
    <t>FOURNISSEURS 145</t>
  </si>
  <si>
    <t>FOURNISSEURS 146</t>
  </si>
  <si>
    <t>FOURNISSEURS 147</t>
  </si>
  <si>
    <t>FOURNISSEURS 148</t>
  </si>
  <si>
    <t>FOURNISSEURS 149</t>
  </si>
  <si>
    <t>FOURNISSEURS 150</t>
  </si>
  <si>
    <t>FOURNISSEURS 151</t>
  </si>
  <si>
    <t>FOURNISSEURS 152</t>
  </si>
  <si>
    <t>FOURNISSEURS 153</t>
  </si>
  <si>
    <t>FOURNISSEURS 154</t>
  </si>
  <si>
    <t>FOURNISSEURS 155</t>
  </si>
  <si>
    <t>FOURNISSEURS 156</t>
  </si>
  <si>
    <t>FOURNISSEURS 157</t>
  </si>
  <si>
    <t>FOURNISSEURS 158</t>
  </si>
  <si>
    <t>FOURNISSEURS 159</t>
  </si>
  <si>
    <t>FOURNISSEURS 160</t>
  </si>
  <si>
    <t>FOURNISSEURS 161</t>
  </si>
  <si>
    <t>FOURNISSEURS 162</t>
  </si>
  <si>
    <t>FOURNISSEURS 163</t>
  </si>
  <si>
    <t>FOURNISSEURS 164</t>
  </si>
  <si>
    <t>FOURNISSEURS 165</t>
  </si>
  <si>
    <t>FOURNISSEURS 166</t>
  </si>
  <si>
    <t>FOURNISSEURS 167</t>
  </si>
  <si>
    <t>FOURNISSEURS 168</t>
  </si>
  <si>
    <t>FOURNISSEURS 169</t>
  </si>
  <si>
    <t>FOURNISSEURS 170</t>
  </si>
  <si>
    <t>FOURNISSEURS 171</t>
  </si>
  <si>
    <t>FOURNISSEURS 172</t>
  </si>
  <si>
    <t>FOURNISSEURS 173</t>
  </si>
  <si>
    <t>FOURNISSEURS 174</t>
  </si>
  <si>
    <t>FOURNISSEURS 175</t>
  </si>
  <si>
    <t>FOURNISSEURS 176</t>
  </si>
  <si>
    <t>FOURNISSEURS 177</t>
  </si>
  <si>
    <t>FOURNISSEURS 178</t>
  </si>
  <si>
    <t>FOURNISSEURS 179</t>
  </si>
  <si>
    <t>FOURNISSEURS 180</t>
  </si>
  <si>
    <t>FOURNISSEURS 181</t>
  </si>
  <si>
    <t>FOURNISSEURS 182</t>
  </si>
  <si>
    <t>FOURNISSEURS 183</t>
  </si>
  <si>
    <t>FOURNISSEURS 184</t>
  </si>
  <si>
    <t>FOURNISSEURS 185</t>
  </si>
  <si>
    <t>FOURNISSEURS 186</t>
  </si>
  <si>
    <t>FOURNISSEURS 187</t>
  </si>
  <si>
    <t>FOURNISSEURS 188</t>
  </si>
  <si>
    <t>FOURNISSEURS 189</t>
  </si>
  <si>
    <t>FOURNISSEURS 190</t>
  </si>
  <si>
    <t>FOURNISSEURS 191</t>
  </si>
  <si>
    <t>FOURNISSEURS 192</t>
  </si>
  <si>
    <t>FOURNISSEURS 193</t>
  </si>
  <si>
    <t>FOURNISSEURS 194</t>
  </si>
  <si>
    <t>FOURNISSEURS 195</t>
  </si>
  <si>
    <t>FOURNISSEURS 196</t>
  </si>
  <si>
    <t>FOURNISSEURS 197</t>
  </si>
  <si>
    <t>FOURNISSEURS 198</t>
  </si>
  <si>
    <t>FOURNISSEURS 199</t>
  </si>
  <si>
    <t>FOURNISSEURS 200</t>
  </si>
  <si>
    <t>FOURNISSEURS 201</t>
  </si>
  <si>
    <t>FOURNISSEURS 202</t>
  </si>
  <si>
    <t>FOURNISSEURS 203</t>
  </si>
  <si>
    <t>FOURNISSEURS 204</t>
  </si>
  <si>
    <t>FOURNISSEURS 205</t>
  </si>
  <si>
    <t>FOURNISSEURS 206</t>
  </si>
  <si>
    <t>FOURNISSEURS 207</t>
  </si>
  <si>
    <t>FOURNISSEURS 208</t>
  </si>
  <si>
    <t>FOURNISSEURS 209</t>
  </si>
  <si>
    <t>FOURNISSEURS 210</t>
  </si>
  <si>
    <t>FOURNISSEURS 211</t>
  </si>
  <si>
    <t>FOURNISSEURS 212</t>
  </si>
  <si>
    <t>FOURNISSEURS 213</t>
  </si>
  <si>
    <t>FOURNISSEURS 214</t>
  </si>
  <si>
    <t>FOURNISSEURS 215</t>
  </si>
  <si>
    <t>FOURNISSEURS 216</t>
  </si>
  <si>
    <t>FOURNISSEURS 217</t>
  </si>
  <si>
    <t>FOURNISSEURS 218</t>
  </si>
  <si>
    <t>FOURNISSEURS 219</t>
  </si>
  <si>
    <t>FOURNISSEURS 220</t>
  </si>
  <si>
    <t>FOURNISSEURS 221</t>
  </si>
  <si>
    <t>FOURNISSEURS 222</t>
  </si>
  <si>
    <t>FOURNISSEURS 223</t>
  </si>
  <si>
    <t>FOURNISSEURS 224</t>
  </si>
  <si>
    <t>FOURNISSEURS 225</t>
  </si>
  <si>
    <t>FOURNISSEURS 226</t>
  </si>
  <si>
    <t>FOURNISSEURS 227</t>
  </si>
  <si>
    <t>FOURNISSEURS 228</t>
  </si>
  <si>
    <t>FOURNISSEURS 229</t>
  </si>
  <si>
    <t>FOURNISSEURS 230</t>
  </si>
  <si>
    <t>FOURNISSEURS 231</t>
  </si>
  <si>
    <t>FOURNISSEURS 232</t>
  </si>
  <si>
    <t>FOURNISSEURS 233</t>
  </si>
  <si>
    <t>FOURNISSEURS 234</t>
  </si>
  <si>
    <t>FOURNISSEURS 235</t>
  </si>
  <si>
    <t>FOURNISSEURS 236</t>
  </si>
  <si>
    <t>FOURNISSEURS 237</t>
  </si>
  <si>
    <t>FOURNISSEURS 238</t>
  </si>
  <si>
    <t>FOURNISSEURS 239</t>
  </si>
  <si>
    <t>FOURNISSEURS 240</t>
  </si>
  <si>
    <t>FOURNISSEURS 241</t>
  </si>
  <si>
    <t>FOURNISSEURS 242</t>
  </si>
  <si>
    <t>FOURNISSEURS 243</t>
  </si>
  <si>
    <t>FOURNISSEURS 244</t>
  </si>
  <si>
    <t>FOURNISSEURS 245</t>
  </si>
  <si>
    <t>FOURNISSEURS 246</t>
  </si>
  <si>
    <t>FOURNISSEURS 247</t>
  </si>
  <si>
    <t>FOURNISSEURS 248</t>
  </si>
  <si>
    <t>FOURNISSEURS 249</t>
  </si>
  <si>
    <t>FOURNISSEURS 250</t>
  </si>
  <si>
    <t>FOURNISSEURS 251</t>
  </si>
  <si>
    <t>FOURNISSEURS 252</t>
  </si>
  <si>
    <t>FOURNISSEURS 253</t>
  </si>
  <si>
    <t>FOURNISSEURS 254</t>
  </si>
  <si>
    <t>FOURNISSEURS 255</t>
  </si>
  <si>
    <t>FOURNISSEURS 256</t>
  </si>
  <si>
    <t>FOURNISSEURS 257</t>
  </si>
  <si>
    <t>FOURNISSEURS 258</t>
  </si>
  <si>
    <t>FOURNISSEURS 259</t>
  </si>
  <si>
    <t>FOURNISSEURS 260</t>
  </si>
  <si>
    <t>FOURNISSEURS 261</t>
  </si>
  <si>
    <t>FOURNISSEURS 262</t>
  </si>
  <si>
    <t>FOURNISSEURS 263</t>
  </si>
  <si>
    <t>FOURNISSEURS 264</t>
  </si>
  <si>
    <t>FOURNISSEURS 265</t>
  </si>
  <si>
    <t>FOURNISSEURS 266</t>
  </si>
  <si>
    <t>FOURNISSEURS 267</t>
  </si>
  <si>
    <t>FOURNISSEURS 268</t>
  </si>
  <si>
    <t>FOURNISSEURS 269</t>
  </si>
  <si>
    <t>FOURNISSEURS 270</t>
  </si>
  <si>
    <t>FOURNISSEURS 271</t>
  </si>
  <si>
    <t>FOURNISSEURS 272</t>
  </si>
  <si>
    <t>FOURNISSEURS 273</t>
  </si>
  <si>
    <t>FOURNISSEURS 274</t>
  </si>
  <si>
    <t>FOURNISSEURS 275</t>
  </si>
  <si>
    <t>FOURNISSEURS 276</t>
  </si>
  <si>
    <t>FOURNISSEURS 277</t>
  </si>
  <si>
    <t>FOURNISSEURS 278</t>
  </si>
  <si>
    <t>FOURNISSEURS 279</t>
  </si>
  <si>
    <t>FOURNISSEURS 280</t>
  </si>
  <si>
    <t>FOURNISSEURS 281</t>
  </si>
  <si>
    <t>FOURNISSEURS 282</t>
  </si>
  <si>
    <t>FOURNISSEURS 283</t>
  </si>
  <si>
    <t>FOURNISSEURS 284</t>
  </si>
  <si>
    <t>FOURNISSEURS 285</t>
  </si>
  <si>
    <t>FOURNISSEURS 286</t>
  </si>
  <si>
    <t>FOURNISSEURS 287</t>
  </si>
  <si>
    <t>FOURNISSEURS 288</t>
  </si>
  <si>
    <t>FOURNISSEURS 289</t>
  </si>
  <si>
    <t>FOURNISSEURS 290</t>
  </si>
  <si>
    <t>FOURNISSEURS 291</t>
  </si>
  <si>
    <t>FOURNISSEURS 292</t>
  </si>
  <si>
    <t>FOURNISSEURS 293</t>
  </si>
  <si>
    <t>FOURNISSEURS 294</t>
  </si>
  <si>
    <t>FOURNISSEURS 295</t>
  </si>
  <si>
    <t>FOURNISSEURS 296</t>
  </si>
  <si>
    <t>FOURNISSEURS 297</t>
  </si>
  <si>
    <t>FOURNISSEURS 298</t>
  </si>
  <si>
    <t>FOURNISSEURS 299</t>
  </si>
  <si>
    <t>FOURNISSEURS 300</t>
  </si>
  <si>
    <t>FOURNISSEURS 301</t>
  </si>
  <si>
    <t>FOURNISSEURS 302</t>
  </si>
  <si>
    <t>FOURNISSEURS 303</t>
  </si>
  <si>
    <t>FOURNISSEURS 304</t>
  </si>
  <si>
    <t>FOURNISSEURS 305</t>
  </si>
  <si>
    <t>FOURNISSEURS 306</t>
  </si>
  <si>
    <t>FOURNISSEURS 307</t>
  </si>
  <si>
    <t>FOURNISSEURS 308</t>
  </si>
  <si>
    <t>FOURNISSEUR 309</t>
  </si>
  <si>
    <t>FOURNISSEUR 310</t>
  </si>
  <si>
    <t>FOURNISSEUR 311</t>
  </si>
  <si>
    <t>FOURNISSEUR 312</t>
  </si>
  <si>
    <t>FOURNISSEUR 313</t>
  </si>
  <si>
    <t>FOURNISSEUR 314</t>
  </si>
  <si>
    <t>FOURNISSEUR 315</t>
  </si>
  <si>
    <t>FOURNISSEUR 316</t>
  </si>
  <si>
    <t>FOURNISSEUR 317</t>
  </si>
  <si>
    <t>FOURNISSEUR 318</t>
  </si>
  <si>
    <t>FOURNISSSEUR 319</t>
  </si>
  <si>
    <t>FOURNISSSEUR 320</t>
  </si>
  <si>
    <t>FOURNISSSEUR 321</t>
  </si>
  <si>
    <t>FOURNISSSEUR 322</t>
  </si>
  <si>
    <t>FOURNISSSEUR 323</t>
  </si>
  <si>
    <t>FOURNISSSEUR 324</t>
  </si>
  <si>
    <t>FOURNISSSEUR 325</t>
  </si>
  <si>
    <t>FOURNISSSEUR 326</t>
  </si>
  <si>
    <t>FOURNISSSEUR 327</t>
  </si>
  <si>
    <t>FOURNISSSEUR 328</t>
  </si>
  <si>
    <t>FOURNISSSEUR 329</t>
  </si>
  <si>
    <t>FOURNISSSEUR 330</t>
  </si>
  <si>
    <t>FOURNISSSEUR 331</t>
  </si>
  <si>
    <t>FOURNISSSEUR 332</t>
  </si>
  <si>
    <t>FOURNISSSEUR 333</t>
  </si>
  <si>
    <t>FOURNISSSEUR 334</t>
  </si>
  <si>
    <t>FOURNISSEURS 335</t>
  </si>
  <si>
    <t>FOURNISSEURS 336</t>
  </si>
  <si>
    <t>FOURNISSEURS 337</t>
  </si>
  <si>
    <t>FOURNISSEURS 338</t>
  </si>
  <si>
    <t>FOURNISSEURS 339</t>
  </si>
  <si>
    <t>FOURNISSEURS 340</t>
  </si>
  <si>
    <t>FOURNISSEURS 341</t>
  </si>
  <si>
    <t>FOURNISSEURS 342</t>
  </si>
  <si>
    <t>FOURNISSEURS 343</t>
  </si>
  <si>
    <t>FOURNISSEURS 344</t>
  </si>
  <si>
    <t>FOURNISSEURS 345</t>
  </si>
  <si>
    <t>FOURNISSEURS 346</t>
  </si>
  <si>
    <t>FOURNISSEURS 347</t>
  </si>
  <si>
    <t>FOURNISSEURS 348</t>
  </si>
  <si>
    <t>FOURNISSEURS 349</t>
  </si>
  <si>
    <t>FOURNISSEURS 350</t>
  </si>
  <si>
    <t>FOURNISSEURS 351</t>
  </si>
  <si>
    <t>FOURNISSEURS 352</t>
  </si>
  <si>
    <t>FOURNISSEURS 353</t>
  </si>
  <si>
    <t>FOURNISSEURS 354</t>
  </si>
  <si>
    <t>FOURNISSEURS 355</t>
  </si>
  <si>
    <t>FOURNISSEURS 356</t>
  </si>
  <si>
    <t>FOURNISSEURS 357</t>
  </si>
  <si>
    <t>FOURNISSEUR 358</t>
  </si>
  <si>
    <t>FOURNISSEUR 359</t>
  </si>
  <si>
    <t>FOURNISSEUR 360</t>
  </si>
  <si>
    <t>FOURNISSEUR 361</t>
  </si>
  <si>
    <t>FOURNISSEUR 362</t>
  </si>
  <si>
    <t>FOURNISSEUR 363</t>
  </si>
  <si>
    <t>FOURNISSEUR 364</t>
  </si>
  <si>
    <t>FOURNISSEUR 365</t>
  </si>
  <si>
    <t>FOURNISSEUR 366</t>
  </si>
  <si>
    <t>FOURNISSEUR 367</t>
  </si>
  <si>
    <t>FOURNISSEUR 368</t>
  </si>
  <si>
    <t>FOURNISSEUR 369</t>
  </si>
  <si>
    <t>FOURNISSEUR 370</t>
  </si>
  <si>
    <t>FOURNISSEUR 371</t>
  </si>
  <si>
    <t>FOURNISSEUR 372</t>
  </si>
  <si>
    <t>FOURNISSEUR 373</t>
  </si>
  <si>
    <t>FOURNISSEUR 374</t>
  </si>
  <si>
    <t>FOURNISSEUR 375</t>
  </si>
  <si>
    <t>FOURNISSEUR 376</t>
  </si>
  <si>
    <t>FOURNISSEUR 377</t>
  </si>
  <si>
    <t>FOURNISSEUR 378</t>
  </si>
  <si>
    <t>FOURNISSEUR 379</t>
  </si>
  <si>
    <t>FOURNISSEUR 380</t>
  </si>
  <si>
    <t>FOURNISSEUR 381</t>
  </si>
  <si>
    <t>FOURNISSEUR 382</t>
  </si>
  <si>
    <t>FOURNISSEUR 383</t>
  </si>
  <si>
    <t>FOURNISSEUR 384</t>
  </si>
  <si>
    <t>FOURNISSEUR 385</t>
  </si>
  <si>
    <t>FOURNISSEUR 386</t>
  </si>
  <si>
    <t>FOURNISSEUR 387</t>
  </si>
  <si>
    <t>FOURNISSEUR 388</t>
  </si>
  <si>
    <t>FOURNISSEUR 389</t>
  </si>
  <si>
    <t>FOURNISSEUR 390</t>
  </si>
  <si>
    <t>FOURNISSEUR 391</t>
  </si>
  <si>
    <t>FOURNISSEUR 392</t>
  </si>
  <si>
    <t>FOURNISSEUR 393</t>
  </si>
  <si>
    <t>FOURNISSEUR 394</t>
  </si>
  <si>
    <t>FOURNISSEUR 395</t>
  </si>
  <si>
    <t>FOURNISSEUR 396</t>
  </si>
  <si>
    <t>FOURNISSEUR 397</t>
  </si>
  <si>
    <t>FOURNISSEUR 398</t>
  </si>
  <si>
    <t>FOURNISSEUR 399</t>
  </si>
  <si>
    <t>FOURNISSEUR 400</t>
  </si>
  <si>
    <t>FOURNISSEUR 401</t>
  </si>
  <si>
    <t>FOURNISSEUR 402</t>
  </si>
  <si>
    <t>FOURNISSEUR 403</t>
  </si>
  <si>
    <t>FOURNISSEURS 404</t>
  </si>
  <si>
    <t>FOURNISSEURS 405</t>
  </si>
  <si>
    <t>FOURNISSEURS 406</t>
  </si>
  <si>
    <t>FOURNISSEURS 407</t>
  </si>
  <si>
    <t>FOURNISSEURS 408</t>
  </si>
  <si>
    <t>FOURNISSEURS 409</t>
  </si>
  <si>
    <t>FOURNISSEURS 410</t>
  </si>
  <si>
    <t>FOURNISSEURS 411</t>
  </si>
  <si>
    <t>FOURNISSEURS 412</t>
  </si>
  <si>
    <t>FOURNISSEURS 413</t>
  </si>
  <si>
    <t>FOURNISSEURS 414</t>
  </si>
  <si>
    <t>FOURNISSEURS 415</t>
  </si>
  <si>
    <t>FOURNISSEURS 416</t>
  </si>
  <si>
    <t>FOURNISSEURS 417</t>
  </si>
  <si>
    <t>FOURNISSEURS 418</t>
  </si>
  <si>
    <t>FOURNISSEURS 419</t>
  </si>
  <si>
    <t>FOURNISSEURS 420</t>
  </si>
  <si>
    <t>FOURNISSEURS 421</t>
  </si>
  <si>
    <t>FOURNISSEURS 422</t>
  </si>
  <si>
    <t>FOURNISSEURS 423</t>
  </si>
  <si>
    <t>FOURNISSEURS 424</t>
  </si>
  <si>
    <t>FOURNISSEUR 425</t>
  </si>
  <si>
    <t>FOURNISSEUR 426</t>
  </si>
  <si>
    <t>FOURNISSEUR 427</t>
  </si>
  <si>
    <t>FOURNISSEUR 428</t>
  </si>
  <si>
    <t>FOURNISSEUR 429</t>
  </si>
  <si>
    <t>FOURNISSEUR 430</t>
  </si>
  <si>
    <t>FOURNISSEUR 431</t>
  </si>
  <si>
    <t>FOURNISSEUR 432</t>
  </si>
  <si>
    <t>FOURNISSEUR 433</t>
  </si>
  <si>
    <t>FOURNISSEUR 434</t>
  </si>
  <si>
    <t>FOURNISSEUR 435</t>
  </si>
  <si>
    <t>FOURNISSEUR 436</t>
  </si>
  <si>
    <t>FOURNISSEUR 437</t>
  </si>
  <si>
    <t>FOURNISSEUR 438</t>
  </si>
  <si>
    <t>FOURNISSEUR 439</t>
  </si>
  <si>
    <t>FOURNISSEUR 440</t>
  </si>
  <si>
    <t>FOURNISSEUR 441</t>
  </si>
  <si>
    <t>FOURNISSEUR 442</t>
  </si>
  <si>
    <t>FOURNISSEUR 443</t>
  </si>
  <si>
    <t>MAQUETTE</t>
  </si>
  <si>
    <t>N° FACTURES</t>
  </si>
  <si>
    <t>MONTANT TVA</t>
  </si>
  <si>
    <t>MONTANT MENSUEL</t>
  </si>
  <si>
    <t>DATES D'ECHEANCE</t>
  </si>
  <si>
    <t>MOYENS DE 
PAIEMENT</t>
  </si>
  <si>
    <t>DATES DE 
PAIEMENT</t>
  </si>
  <si>
    <t>FOURNISSEURS 2</t>
  </si>
  <si>
    <t>31/11/20/</t>
  </si>
  <si>
    <t>FOURNISSEURS 5</t>
  </si>
  <si>
    <t>FOURNISSEURS 6</t>
  </si>
  <si>
    <t>FOURNISSEURS 8</t>
  </si>
  <si>
    <t>FOURNISSEURS 9</t>
  </si>
  <si>
    <t>FOURNISSEURS 12</t>
  </si>
  <si>
    <t>FACT - ELECTRICITE</t>
  </si>
  <si>
    <t>FACT - FRS EXPORTS-TRANSPORTS</t>
  </si>
  <si>
    <t>FACT - PEINTURE- SERRURERIE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</si>
</sst>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FF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2"/>
      <name val="Calibri"/>
      <family val="2"/>
      <scheme val="minor"/>
    </font>
    <font>
      <b/>
      <sz val="20"/>
      <color theme="0"/>
      <name val="Mangal"/>
      <family val="1"/>
    </font>
    <font>
      <b/>
      <sz val="14"/>
      <color theme="0"/>
      <name val="Arial"/>
      <family val="2"/>
    </font>
    <font>
      <b/>
      <sz val="11"/>
      <color rgb="FFC00000"/>
      <name val="Calibri"/>
      <family val="2"/>
      <scheme val="minor"/>
    </font>
    <font>
      <b/>
      <sz val="22"/>
      <color theme="9" tint="-0.249977111117893"/>
      <name val="Calibri"/>
      <family val="2"/>
      <scheme val="minor"/>
    </font>
    <font>
      <b/>
      <i/>
      <u/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b/>
      <sz val="9"/>
      <color theme="0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4"/>
      <color theme="0"/>
      <name val="Mangal"/>
      <family val="1"/>
    </font>
    <font>
      <sz val="2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9" tint="-0.249977111117893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theme="0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indexed="64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indexed="64"/>
      </right>
      <top style="medium">
        <color theme="3"/>
      </top>
      <bottom style="medium">
        <color theme="3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8">
    <xf numFmtId="0" fontId="0" fillId="0" borderId="0" xfId="0"/>
    <xf numFmtId="4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44" fontId="1" fillId="0" borderId="1" xfId="1" applyFont="1" applyFill="1" applyBorder="1" applyAlignment="1">
      <alignment horizontal="center"/>
    </xf>
    <xf numFmtId="44" fontId="8" fillId="0" borderId="1" xfId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44" fontId="13" fillId="0" borderId="0" xfId="0" applyNumberFormat="1" applyFont="1" applyFill="1" applyBorder="1" applyAlignment="1">
      <alignment horizontal="center" vertical="center"/>
    </xf>
    <xf numFmtId="44" fontId="13" fillId="0" borderId="0" xfId="1" applyFont="1" applyFill="1" applyBorder="1" applyAlignment="1">
      <alignment horizontal="center"/>
    </xf>
    <xf numFmtId="44" fontId="12" fillId="0" borderId="0" xfId="1" applyFont="1" applyFill="1" applyBorder="1" applyAlignment="1">
      <alignment horizontal="center"/>
    </xf>
    <xf numFmtId="44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Border="1" applyAlignment="1"/>
    <xf numFmtId="0" fontId="0" fillId="0" borderId="0" xfId="0" applyBorder="1"/>
    <xf numFmtId="0" fontId="0" fillId="0" borderId="0" xfId="0" applyFill="1" applyBorder="1"/>
    <xf numFmtId="0" fontId="0" fillId="0" borderId="0" xfId="0" applyFont="1" applyFill="1" applyBorder="1" applyAlignment="1">
      <alignment horizontal="center" vertical="center"/>
    </xf>
    <xf numFmtId="44" fontId="1" fillId="0" borderId="0" xfId="1" applyFont="1" applyFill="1" applyBorder="1" applyAlignment="1">
      <alignment horizontal="center"/>
    </xf>
    <xf numFmtId="44" fontId="1" fillId="0" borderId="0" xfId="1" applyFont="1" applyFill="1" applyBorder="1" applyAlignment="1">
      <alignment horizontal="center" vertical="center"/>
    </xf>
    <xf numFmtId="44" fontId="1" fillId="0" borderId="0" xfId="1" applyFont="1" applyFill="1" applyBorder="1" applyAlignment="1"/>
    <xf numFmtId="44" fontId="0" fillId="0" borderId="0" xfId="0" applyNumberFormat="1" applyFont="1" applyFill="1" applyBorder="1" applyAlignment="1">
      <alignment horizontal="center"/>
    </xf>
    <xf numFmtId="4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164" fontId="0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44" fontId="4" fillId="0" borderId="0" xfId="1" applyFont="1" applyFill="1" applyBorder="1" applyAlignment="1">
      <alignment horizontal="center"/>
    </xf>
    <xf numFmtId="0" fontId="11" fillId="0" borderId="0" xfId="0" applyFont="1" applyFill="1" applyBorder="1" applyAlignment="1"/>
    <xf numFmtId="44" fontId="8" fillId="0" borderId="1" xfId="1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 vertical="center"/>
    </xf>
    <xf numFmtId="44" fontId="13" fillId="0" borderId="1" xfId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horizontal="center" vertical="center"/>
    </xf>
    <xf numFmtId="44" fontId="8" fillId="2" borderId="1" xfId="0" applyNumberFormat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44" fontId="13" fillId="0" borderId="1" xfId="1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7" fillId="2" borderId="0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4" fontId="12" fillId="4" borderId="1" xfId="1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44" fontId="1" fillId="0" borderId="15" xfId="1" applyNumberFormat="1" applyFont="1" applyFill="1" applyBorder="1" applyAlignment="1">
      <alignment horizontal="center"/>
    </xf>
    <xf numFmtId="44" fontId="8" fillId="0" borderId="15" xfId="0" applyNumberFormat="1" applyFont="1" applyFill="1" applyBorder="1" applyAlignment="1">
      <alignment horizontal="center" vertical="center"/>
    </xf>
    <xf numFmtId="44" fontId="0" fillId="0" borderId="19" xfId="0" applyNumberFormat="1" applyFont="1" applyFill="1" applyBorder="1" applyAlignment="1">
      <alignment horizontal="center" vertical="center"/>
    </xf>
    <xf numFmtId="0" fontId="0" fillId="0" borderId="19" xfId="0" applyBorder="1"/>
    <xf numFmtId="0" fontId="0" fillId="0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44" fontId="8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0" fillId="0" borderId="0" xfId="0" applyAlignment="1"/>
    <xf numFmtId="1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44" fontId="8" fillId="0" borderId="0" xfId="1" applyFont="1" applyFill="1" applyBorder="1" applyAlignment="1">
      <alignment horizontal="center"/>
    </xf>
    <xf numFmtId="44" fontId="8" fillId="0" borderId="0" xfId="1" applyNumberFormat="1" applyFont="1" applyFill="1" applyBorder="1" applyAlignment="1">
      <alignment horizontal="center"/>
    </xf>
    <xf numFmtId="44" fontId="8" fillId="0" borderId="0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4" fontId="1" fillId="0" borderId="0" xfId="1" applyNumberFormat="1" applyFont="1" applyFill="1" applyBorder="1" applyAlignment="1">
      <alignment horizontal="center"/>
    </xf>
    <xf numFmtId="14" fontId="8" fillId="0" borderId="1" xfId="1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1" xfId="0" applyFont="1" applyBorder="1"/>
    <xf numFmtId="14" fontId="8" fillId="0" borderId="0" xfId="1" applyNumberFormat="1" applyFont="1" applyFill="1" applyBorder="1" applyAlignment="1">
      <alignment horizontal="center"/>
    </xf>
    <xf numFmtId="0" fontId="8" fillId="0" borderId="0" xfId="0" applyFont="1" applyFill="1" applyBorder="1"/>
    <xf numFmtId="14" fontId="0" fillId="0" borderId="0" xfId="0" applyNumberFormat="1" applyFill="1" applyBorder="1"/>
    <xf numFmtId="44" fontId="23" fillId="2" borderId="1" xfId="1" applyFont="1" applyFill="1" applyBorder="1" applyAlignment="1">
      <alignment horizontal="center"/>
    </xf>
    <xf numFmtId="44" fontId="23" fillId="2" borderId="5" xfId="1" applyFont="1" applyFill="1" applyBorder="1" applyAlignment="1">
      <alignment horizontal="center"/>
    </xf>
    <xf numFmtId="44" fontId="23" fillId="2" borderId="1" xfId="1" applyFont="1" applyFill="1" applyBorder="1"/>
    <xf numFmtId="44" fontId="23" fillId="2" borderId="1" xfId="1" applyFont="1" applyFill="1" applyBorder="1" applyAlignment="1">
      <alignment horizontal="center" vertical="center"/>
    </xf>
    <xf numFmtId="44" fontId="8" fillId="7" borderId="9" xfId="0" applyNumberFormat="1" applyFont="1" applyFill="1" applyBorder="1" applyAlignment="1">
      <alignment horizontal="center" vertical="center"/>
    </xf>
    <xf numFmtId="44" fontId="0" fillId="7" borderId="9" xfId="0" applyNumberFormat="1" applyFont="1" applyFill="1" applyBorder="1" applyAlignment="1">
      <alignment horizontal="center" vertical="center"/>
    </xf>
    <xf numFmtId="44" fontId="0" fillId="7" borderId="1" xfId="1" applyFont="1" applyFill="1" applyBorder="1"/>
    <xf numFmtId="44" fontId="8" fillId="7" borderId="1" xfId="0" applyNumberFormat="1" applyFont="1" applyFill="1" applyBorder="1" applyAlignment="1">
      <alignment horizontal="center"/>
    </xf>
    <xf numFmtId="44" fontId="8" fillId="0" borderId="1" xfId="1" applyNumberFormat="1" applyFont="1" applyFill="1" applyBorder="1" applyAlignment="1">
      <alignment horizontal="center" vertical="center"/>
    </xf>
    <xf numFmtId="14" fontId="8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19" fillId="0" borderId="0" xfId="0" applyFont="1" applyBorder="1" applyAlignment="1">
      <alignment vertical="center"/>
    </xf>
    <xf numFmtId="0" fontId="7" fillId="7" borderId="8" xfId="0" applyFont="1" applyFill="1" applyBorder="1" applyAlignment="1">
      <alignment horizontal="center" vertical="center"/>
    </xf>
    <xf numFmtId="44" fontId="8" fillId="9" borderId="1" xfId="1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vertical="center" wrapText="1"/>
    </xf>
    <xf numFmtId="0" fontId="12" fillId="0" borderId="0" xfId="0" applyFont="1" applyFill="1" applyAlignment="1">
      <alignment wrapText="1"/>
    </xf>
    <xf numFmtId="0" fontId="7" fillId="10" borderId="8" xfId="0" applyFont="1" applyFill="1" applyBorder="1" applyAlignment="1">
      <alignment horizontal="center" vertical="center"/>
    </xf>
    <xf numFmtId="44" fontId="0" fillId="10" borderId="9" xfId="0" applyNumberFormat="1" applyFont="1" applyFill="1" applyBorder="1" applyAlignment="1">
      <alignment horizontal="center" vertical="center"/>
    </xf>
    <xf numFmtId="164" fontId="0" fillId="10" borderId="9" xfId="0" applyNumberFormat="1" applyFont="1" applyFill="1" applyBorder="1" applyAlignment="1">
      <alignment horizontal="center" vertical="center"/>
    </xf>
    <xf numFmtId="44" fontId="23" fillId="2" borderId="3" xfId="1" applyFont="1" applyFill="1" applyBorder="1" applyAlignment="1">
      <alignment horizontal="center"/>
    </xf>
    <xf numFmtId="44" fontId="23" fillId="2" borderId="24" xfId="1" applyFont="1" applyFill="1" applyBorder="1" applyAlignment="1">
      <alignment horizontal="center"/>
    </xf>
    <xf numFmtId="44" fontId="23" fillId="2" borderId="3" xfId="1" applyFont="1" applyFill="1" applyBorder="1"/>
    <xf numFmtId="44" fontId="10" fillId="2" borderId="17" xfId="0" applyNumberFormat="1" applyFont="1" applyFill="1" applyBorder="1" applyAlignment="1">
      <alignment horizontal="center"/>
    </xf>
    <xf numFmtId="0" fontId="13" fillId="0" borderId="0" xfId="0" applyFont="1"/>
    <xf numFmtId="0" fontId="21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13" fillId="2" borderId="0" xfId="0" applyFont="1" applyFill="1"/>
    <xf numFmtId="0" fontId="1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2" fillId="2" borderId="0" xfId="0" applyFont="1" applyFill="1" applyBorder="1" applyAlignment="1">
      <alignment vertical="center"/>
    </xf>
    <xf numFmtId="0" fontId="21" fillId="2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44" fontId="8" fillId="2" borderId="1" xfId="1" applyFont="1" applyFill="1" applyBorder="1" applyAlignment="1">
      <alignment horizontal="center" vertical="center"/>
    </xf>
    <xf numFmtId="44" fontId="8" fillId="2" borderId="1" xfId="1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16" fillId="8" borderId="26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16" fillId="8" borderId="28" xfId="0" applyFont="1" applyFill="1" applyBorder="1" applyAlignment="1">
      <alignment horizontal="center" vertical="center"/>
    </xf>
    <xf numFmtId="0" fontId="16" fillId="4" borderId="33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35" xfId="0" applyFont="1" applyFill="1" applyBorder="1" applyAlignment="1">
      <alignment horizontal="center" vertical="center"/>
    </xf>
    <xf numFmtId="44" fontId="9" fillId="0" borderId="36" xfId="0" applyNumberFormat="1" applyFont="1" applyFill="1" applyBorder="1" applyAlignment="1">
      <alignment horizontal="center" vertical="center"/>
    </xf>
    <xf numFmtId="164" fontId="0" fillId="10" borderId="10" xfId="0" applyNumberFormat="1" applyFont="1" applyFill="1" applyBorder="1" applyAlignment="1">
      <alignment horizontal="center" vertical="center"/>
    </xf>
    <xf numFmtId="44" fontId="9" fillId="0" borderId="36" xfId="0" applyNumberFormat="1" applyFont="1" applyBorder="1" applyAlignment="1">
      <alignment horizontal="center"/>
    </xf>
    <xf numFmtId="44" fontId="9" fillId="2" borderId="36" xfId="0" applyNumberFormat="1" applyFont="1" applyFill="1" applyBorder="1" applyAlignment="1">
      <alignment horizontal="center"/>
    </xf>
    <xf numFmtId="44" fontId="24" fillId="11" borderId="26" xfId="0" applyNumberFormat="1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44" fontId="8" fillId="2" borderId="1" xfId="1" applyFont="1" applyFill="1" applyBorder="1" applyAlignment="1">
      <alignment horizontal="center"/>
    </xf>
    <xf numFmtId="44" fontId="8" fillId="2" borderId="1" xfId="1" applyNumberFormat="1" applyFont="1" applyFill="1" applyBorder="1" applyAlignment="1">
      <alignment horizontal="center"/>
    </xf>
    <xf numFmtId="14" fontId="8" fillId="2" borderId="1" xfId="1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4" fontId="8" fillId="0" borderId="1" xfId="1" applyFont="1" applyFill="1" applyBorder="1" applyAlignment="1">
      <alignment horizontal="center" vertical="center" wrapText="1"/>
    </xf>
    <xf numFmtId="14" fontId="8" fillId="0" borderId="1" xfId="1" applyNumberFormat="1" applyFont="1" applyFill="1" applyBorder="1" applyAlignment="1">
      <alignment horizontal="center" wrapText="1"/>
    </xf>
    <xf numFmtId="44" fontId="3" fillId="8" borderId="36" xfId="0" applyNumberFormat="1" applyFont="1" applyFill="1" applyBorder="1" applyAlignment="1">
      <alignment horizontal="center"/>
    </xf>
    <xf numFmtId="44" fontId="9" fillId="8" borderId="17" xfId="0" applyNumberFormat="1" applyFont="1" applyFill="1" applyBorder="1" applyAlignment="1">
      <alignment horizontal="center"/>
    </xf>
    <xf numFmtId="44" fontId="6" fillId="8" borderId="36" xfId="0" applyNumberFormat="1" applyFont="1" applyFill="1" applyBorder="1" applyAlignment="1">
      <alignment horizontal="center"/>
    </xf>
    <xf numFmtId="44" fontId="1" fillId="2" borderId="15" xfId="1" applyNumberFormat="1" applyFont="1" applyFill="1" applyBorder="1" applyAlignment="1">
      <alignment horizontal="center"/>
    </xf>
    <xf numFmtId="44" fontId="8" fillId="2" borderId="0" xfId="0" applyNumberFormat="1" applyFont="1" applyFill="1" applyBorder="1" applyAlignment="1">
      <alignment horizontal="center" vertical="center"/>
    </xf>
    <xf numFmtId="14" fontId="8" fillId="2" borderId="0" xfId="1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14" fontId="8" fillId="2" borderId="0" xfId="0" applyNumberFormat="1" applyFont="1" applyFill="1" applyBorder="1" applyAlignment="1">
      <alignment horizontal="center" vertical="center"/>
    </xf>
    <xf numFmtId="44" fontId="8" fillId="2" borderId="0" xfId="1" applyFont="1" applyFill="1" applyBorder="1" applyAlignment="1">
      <alignment horizontal="center" vertical="center"/>
    </xf>
    <xf numFmtId="44" fontId="8" fillId="2" borderId="0" xfId="1" applyNumberFormat="1" applyFont="1" applyFill="1" applyBorder="1" applyAlignment="1">
      <alignment horizontal="center" vertical="center"/>
    </xf>
    <xf numFmtId="14" fontId="8" fillId="2" borderId="0" xfId="1" applyNumberFormat="1" applyFont="1" applyFill="1" applyBorder="1" applyAlignment="1">
      <alignment horizontal="center" vertical="center"/>
    </xf>
    <xf numFmtId="44" fontId="8" fillId="2" borderId="0" xfId="1" applyFont="1" applyFill="1" applyBorder="1" applyAlignment="1">
      <alignment horizontal="center"/>
    </xf>
    <xf numFmtId="44" fontId="8" fillId="2" borderId="0" xfId="1" applyNumberFormat="1" applyFont="1" applyFill="1" applyBorder="1" applyAlignment="1">
      <alignment horizontal="center"/>
    </xf>
    <xf numFmtId="44" fontId="1" fillId="2" borderId="0" xfId="1" applyNumberFormat="1" applyFont="1" applyFill="1" applyBorder="1" applyAlignment="1">
      <alignment horizontal="center"/>
    </xf>
    <xf numFmtId="44" fontId="12" fillId="2" borderId="0" xfId="1" applyFont="1" applyFill="1" applyBorder="1" applyAlignment="1">
      <alignment horizontal="center"/>
    </xf>
    <xf numFmtId="44" fontId="4" fillId="2" borderId="0" xfId="1" applyFont="1" applyFill="1" applyBorder="1" applyAlignment="1">
      <alignment horizontal="center"/>
    </xf>
    <xf numFmtId="14" fontId="8" fillId="10" borderId="1" xfId="0" applyNumberFormat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44" fontId="8" fillId="10" borderId="1" xfId="0" applyNumberFormat="1" applyFont="1" applyFill="1" applyBorder="1" applyAlignment="1">
      <alignment horizontal="center" vertical="center"/>
    </xf>
    <xf numFmtId="14" fontId="8" fillId="9" borderId="1" xfId="0" applyNumberFormat="1" applyFont="1" applyFill="1" applyBorder="1" applyAlignment="1">
      <alignment horizontal="center" vertical="center"/>
    </xf>
    <xf numFmtId="44" fontId="8" fillId="9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44" fontId="0" fillId="0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4" fontId="8" fillId="9" borderId="1" xfId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44" fontId="13" fillId="0" borderId="0" xfId="1" applyFont="1" applyFill="1" applyBorder="1" applyAlignment="1">
      <alignment horizontal="center" vertical="center"/>
    </xf>
    <xf numFmtId="0" fontId="26" fillId="0" borderId="0" xfId="0" applyFont="1"/>
    <xf numFmtId="0" fontId="0" fillId="0" borderId="0" xfId="0" applyBorder="1" applyAlignment="1">
      <alignment horizontal="center"/>
    </xf>
    <xf numFmtId="0" fontId="13" fillId="2" borderId="0" xfId="0" applyFont="1" applyFill="1" applyBorder="1"/>
    <xf numFmtId="0" fontId="0" fillId="0" borderId="0" xfId="0" applyFont="1" applyBorder="1"/>
    <xf numFmtId="44" fontId="24" fillId="0" borderId="38" xfId="0" applyNumberFormat="1" applyFont="1" applyBorder="1" applyAlignment="1">
      <alignment horizontal="center" vertical="center"/>
    </xf>
    <xf numFmtId="49" fontId="16" fillId="4" borderId="38" xfId="0" applyNumberFormat="1" applyFont="1" applyFill="1" applyBorder="1" applyAlignment="1">
      <alignment horizontal="center" vertical="center"/>
    </xf>
    <xf numFmtId="0" fontId="16" fillId="4" borderId="38" xfId="0" applyFont="1" applyFill="1" applyBorder="1" applyAlignment="1">
      <alignment horizontal="center" vertical="center"/>
    </xf>
    <xf numFmtId="14" fontId="8" fillId="2" borderId="1" xfId="1" applyNumberFormat="1" applyFont="1" applyFill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4" fontId="8" fillId="0" borderId="9" xfId="1" applyFont="1" applyFill="1" applyBorder="1" applyAlignment="1">
      <alignment horizontal="center" vertical="center"/>
    </xf>
    <xf numFmtId="44" fontId="8" fillId="0" borderId="0" xfId="1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6" fillId="0" borderId="0" xfId="0" applyFont="1"/>
    <xf numFmtId="0" fontId="14" fillId="0" borderId="0" xfId="0" applyFont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4" fontId="8" fillId="0" borderId="0" xfId="0" applyNumberFormat="1" applyFont="1" applyAlignment="1">
      <alignment horizontal="center" vertical="center"/>
    </xf>
    <xf numFmtId="44" fontId="1" fillId="0" borderId="15" xfId="1" applyFont="1" applyFill="1" applyBorder="1" applyAlignment="1">
      <alignment horizontal="center"/>
    </xf>
    <xf numFmtId="44" fontId="8" fillId="12" borderId="1" xfId="0" applyNumberFormat="1" applyFont="1" applyFill="1" applyBorder="1" applyAlignment="1">
      <alignment horizontal="center" vertical="center"/>
    </xf>
    <xf numFmtId="44" fontId="8" fillId="13" borderId="1" xfId="0" applyNumberFormat="1" applyFont="1" applyFill="1" applyBorder="1" applyAlignment="1">
      <alignment horizontal="center" vertical="center"/>
    </xf>
    <xf numFmtId="44" fontId="8" fillId="14" borderId="1" xfId="0" applyNumberFormat="1" applyFont="1" applyFill="1" applyBorder="1" applyAlignment="1">
      <alignment horizontal="center" vertical="center"/>
    </xf>
    <xf numFmtId="44" fontId="8" fillId="15" borderId="1" xfId="0" applyNumberFormat="1" applyFont="1" applyFill="1" applyBorder="1" applyAlignment="1">
      <alignment horizontal="center" vertical="center"/>
    </xf>
    <xf numFmtId="44" fontId="8" fillId="16" borderId="1" xfId="0" applyNumberFormat="1" applyFont="1" applyFill="1" applyBorder="1" applyAlignment="1">
      <alignment horizontal="center" vertical="center"/>
    </xf>
    <xf numFmtId="14" fontId="8" fillId="9" borderId="1" xfId="1" applyNumberFormat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4" fontId="27" fillId="0" borderId="1" xfId="0" applyNumberFormat="1" applyFont="1" applyBorder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4" fontId="13" fillId="0" borderId="0" xfId="0" applyNumberFormat="1" applyFont="1" applyAlignment="1">
      <alignment horizontal="center" vertical="center"/>
    </xf>
    <xf numFmtId="0" fontId="0" fillId="0" borderId="9" xfId="0" applyBorder="1"/>
    <xf numFmtId="44" fontId="1" fillId="0" borderId="1" xfId="1" applyFont="1" applyFill="1" applyBorder="1" applyAlignment="1">
      <alignment horizontal="center" vertical="center"/>
    </xf>
    <xf numFmtId="44" fontId="8" fillId="0" borderId="15" xfId="0" applyNumberFormat="1" applyFont="1" applyBorder="1" applyAlignment="1">
      <alignment horizontal="center" vertical="center"/>
    </xf>
    <xf numFmtId="44" fontId="1" fillId="0" borderId="15" xfId="1" applyFont="1" applyFill="1" applyBorder="1" applyAlignment="1">
      <alignment horizontal="center" vertical="center"/>
    </xf>
    <xf numFmtId="0" fontId="11" fillId="0" borderId="0" xfId="0" applyFont="1"/>
    <xf numFmtId="44" fontId="0" fillId="0" borderId="15" xfId="1" applyFont="1" applyFill="1" applyBorder="1" applyAlignment="1">
      <alignment horizontal="center"/>
    </xf>
    <xf numFmtId="0" fontId="0" fillId="0" borderId="0" xfId="0" applyFill="1"/>
    <xf numFmtId="44" fontId="1" fillId="0" borderId="15" xfId="1" applyNumberFormat="1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9" fillId="0" borderId="20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45" xfId="0" applyFont="1" applyBorder="1" applyAlignment="1">
      <alignment horizontal="center" vertical="center"/>
    </xf>
    <xf numFmtId="44" fontId="5" fillId="0" borderId="2" xfId="1" applyFont="1" applyFill="1" applyBorder="1" applyAlignment="1">
      <alignment horizontal="center"/>
    </xf>
    <xf numFmtId="0" fontId="5" fillId="0" borderId="2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/>
    </xf>
    <xf numFmtId="0" fontId="5" fillId="0" borderId="31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44" fontId="20" fillId="0" borderId="0" xfId="1" applyFont="1" applyFill="1" applyBorder="1" applyAlignment="1">
      <alignment horizontal="center"/>
    </xf>
    <xf numFmtId="0" fontId="19" fillId="0" borderId="0" xfId="0" applyFont="1" applyFill="1" applyBorder="1" applyAlignment="1">
      <alignment vertical="center"/>
    </xf>
    <xf numFmtId="0" fontId="5" fillId="0" borderId="27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 vertical="center"/>
    </xf>
    <xf numFmtId="0" fontId="7" fillId="7" borderId="49" xfId="0" applyFont="1" applyFill="1" applyBorder="1" applyAlignment="1">
      <alignment horizontal="center" vertical="center" wrapText="1"/>
    </xf>
    <xf numFmtId="44" fontId="0" fillId="7" borderId="1" xfId="0" applyNumberFormat="1" applyFill="1" applyBorder="1"/>
    <xf numFmtId="44" fontId="31" fillId="0" borderId="51" xfId="0" applyNumberFormat="1" applyFont="1" applyFill="1" applyBorder="1" applyAlignment="1">
      <alignment horizontal="center" vertical="center"/>
    </xf>
    <xf numFmtId="0" fontId="24" fillId="0" borderId="52" xfId="0" applyFont="1" applyFill="1" applyBorder="1" applyAlignment="1">
      <alignment horizontal="center" vertical="center"/>
    </xf>
    <xf numFmtId="0" fontId="32" fillId="4" borderId="0" xfId="0" applyFont="1" applyFill="1" applyAlignment="1">
      <alignment horizontal="center" vertical="center"/>
    </xf>
    <xf numFmtId="44" fontId="22" fillId="4" borderId="0" xfId="0" applyNumberFormat="1" applyFont="1" applyFill="1" applyBorder="1" applyAlignment="1">
      <alignment horizontal="center" vertical="center"/>
    </xf>
    <xf numFmtId="44" fontId="33" fillId="4" borderId="0" xfId="0" applyNumberFormat="1" applyFont="1" applyFill="1" applyAlignment="1">
      <alignment horizontal="center" vertical="center"/>
    </xf>
    <xf numFmtId="0" fontId="5" fillId="0" borderId="23" xfId="0" applyFont="1" applyBorder="1" applyAlignment="1">
      <alignment horizontal="center"/>
    </xf>
    <xf numFmtId="0" fontId="0" fillId="2" borderId="36" xfId="0" applyFill="1" applyBorder="1"/>
    <xf numFmtId="0" fontId="2" fillId="2" borderId="0" xfId="0" applyFont="1" applyFill="1" applyBorder="1" applyAlignment="1">
      <alignment horizontal="center"/>
    </xf>
    <xf numFmtId="0" fontId="16" fillId="4" borderId="55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0" fillId="0" borderId="34" xfId="0" applyBorder="1"/>
    <xf numFmtId="4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8" fillId="0" borderId="0" xfId="1" applyNumberFormat="1" applyFont="1" applyFill="1" applyBorder="1" applyAlignment="1">
      <alignment horizontal="center" vertical="center"/>
    </xf>
    <xf numFmtId="44" fontId="8" fillId="17" borderId="1" xfId="0" applyNumberFormat="1" applyFont="1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44" fontId="0" fillId="9" borderId="1" xfId="0" applyNumberFormat="1" applyFill="1" applyBorder="1" applyAlignment="1">
      <alignment horizontal="center" vertical="center"/>
    </xf>
    <xf numFmtId="44" fontId="8" fillId="18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7" fillId="7" borderId="49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4" fontId="0" fillId="0" borderId="1" xfId="0" applyNumberFormat="1" applyFill="1" applyBorder="1"/>
    <xf numFmtId="0" fontId="0" fillId="0" borderId="9" xfId="0" applyFill="1" applyBorder="1"/>
    <xf numFmtId="0" fontId="0" fillId="0" borderId="1" xfId="0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44" fontId="35" fillId="0" borderId="52" xfId="1" applyFont="1" applyFill="1" applyBorder="1" applyAlignment="1">
      <alignment vertical="center"/>
    </xf>
    <xf numFmtId="44" fontId="35" fillId="0" borderId="50" xfId="1" applyFont="1" applyFill="1" applyBorder="1" applyAlignment="1">
      <alignment vertical="center"/>
    </xf>
    <xf numFmtId="44" fontId="35" fillId="0" borderId="53" xfId="1" applyFont="1" applyFill="1" applyBorder="1" applyAlignment="1">
      <alignment vertical="center"/>
    </xf>
    <xf numFmtId="44" fontId="35" fillId="0" borderId="54" xfId="1" applyFont="1" applyFill="1" applyBorder="1" applyAlignment="1">
      <alignment vertical="center"/>
    </xf>
    <xf numFmtId="14" fontId="0" fillId="0" borderId="1" xfId="0" applyNumberFormat="1" applyBorder="1"/>
    <xf numFmtId="44" fontId="0" fillId="0" borderId="1" xfId="0" applyNumberFormat="1" applyBorder="1"/>
    <xf numFmtId="0" fontId="8" fillId="0" borderId="1" xfId="0" applyFont="1" applyBorder="1"/>
    <xf numFmtId="14" fontId="1" fillId="0" borderId="1" xfId="0" applyNumberFormat="1" applyFont="1" applyBorder="1" applyAlignment="1">
      <alignment horizontal="center" vertical="center"/>
    </xf>
    <xf numFmtId="44" fontId="0" fillId="0" borderId="9" xfId="0" applyNumberFormat="1" applyBorder="1"/>
    <xf numFmtId="0" fontId="0" fillId="0" borderId="1" xfId="0" applyBorder="1" applyAlignment="1">
      <alignment vertical="center"/>
    </xf>
    <xf numFmtId="44" fontId="0" fillId="0" borderId="1" xfId="0" applyNumberFormat="1" applyBorder="1" applyAlignment="1">
      <alignment vertical="center"/>
    </xf>
    <xf numFmtId="14" fontId="0" fillId="0" borderId="1" xfId="0" applyNumberFormat="1" applyBorder="1" applyAlignment="1">
      <alignment vertical="center"/>
    </xf>
    <xf numFmtId="44" fontId="8" fillId="19" borderId="1" xfId="0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44" fontId="0" fillId="0" borderId="1" xfId="0" applyNumberFormat="1" applyFill="1" applyBorder="1" applyAlignment="1">
      <alignment horizontal="center" vertical="center"/>
    </xf>
    <xf numFmtId="44" fontId="0" fillId="19" borderId="1" xfId="0" applyNumberFormat="1" applyFill="1" applyBorder="1" applyAlignment="1">
      <alignment horizontal="center" vertical="center"/>
    </xf>
    <xf numFmtId="14" fontId="8" fillId="9" borderId="1" xfId="1" applyNumberFormat="1" applyFont="1" applyFill="1" applyBorder="1" applyAlignment="1">
      <alignment horizontal="center"/>
    </xf>
    <xf numFmtId="0" fontId="16" fillId="8" borderId="36" xfId="0" applyFont="1" applyFill="1" applyBorder="1" applyAlignment="1">
      <alignment horizontal="center" vertical="center"/>
    </xf>
    <xf numFmtId="44" fontId="9" fillId="0" borderId="17" xfId="0" applyNumberFormat="1" applyFont="1" applyFill="1" applyBorder="1" applyAlignment="1">
      <alignment horizontal="center" vertical="center"/>
    </xf>
    <xf numFmtId="0" fontId="37" fillId="8" borderId="15" xfId="0" applyFont="1" applyFill="1" applyBorder="1" applyAlignment="1">
      <alignment horizontal="center" vertical="center"/>
    </xf>
    <xf numFmtId="44" fontId="8" fillId="10" borderId="1" xfId="1" applyFont="1" applyFill="1" applyBorder="1" applyAlignment="1">
      <alignment horizontal="center" vertical="center"/>
    </xf>
    <xf numFmtId="14" fontId="8" fillId="10" borderId="1" xfId="1" applyNumberFormat="1" applyFont="1" applyFill="1" applyBorder="1" applyAlignment="1">
      <alignment horizontal="center" vertical="center"/>
    </xf>
    <xf numFmtId="44" fontId="8" fillId="9" borderId="1" xfId="1" applyNumberFormat="1" applyFont="1" applyFill="1" applyBorder="1" applyAlignment="1">
      <alignment horizontal="center"/>
    </xf>
    <xf numFmtId="44" fontId="8" fillId="0" borderId="17" xfId="0" applyNumberFormat="1" applyFont="1" applyFill="1" applyBorder="1" applyAlignment="1">
      <alignment horizontal="center" vertical="center"/>
    </xf>
    <xf numFmtId="0" fontId="8" fillId="0" borderId="1" xfId="0" applyFont="1" applyFill="1" applyBorder="1"/>
    <xf numFmtId="44" fontId="0" fillId="14" borderId="1" xfId="0" applyNumberFormat="1" applyFill="1" applyBorder="1" applyAlignment="1">
      <alignment horizontal="center" vertical="center"/>
    </xf>
    <xf numFmtId="0" fontId="7" fillId="7" borderId="56" xfId="0" applyFont="1" applyFill="1" applyBorder="1" applyAlignment="1">
      <alignment horizontal="center" vertical="center"/>
    </xf>
    <xf numFmtId="44" fontId="9" fillId="2" borderId="0" xfId="0" applyNumberFormat="1" applyFont="1" applyFill="1" applyBorder="1" applyAlignment="1">
      <alignment horizontal="center"/>
    </xf>
    <xf numFmtId="44" fontId="8" fillId="20" borderId="1" xfId="0" applyNumberFormat="1" applyFont="1" applyFill="1" applyBorder="1" applyAlignment="1">
      <alignment horizontal="center" vertical="center"/>
    </xf>
    <xf numFmtId="8" fontId="3" fillId="2" borderId="1" xfId="0" applyNumberFormat="1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/>
    <xf numFmtId="0" fontId="4" fillId="4" borderId="1" xfId="0" applyFont="1" applyFill="1" applyBorder="1" applyAlignment="1">
      <alignment vertical="center"/>
    </xf>
    <xf numFmtId="0" fontId="0" fillId="0" borderId="15" xfId="0" applyBorder="1" applyAlignment="1">
      <alignment horizontal="center" vertical="center"/>
    </xf>
    <xf numFmtId="44" fontId="8" fillId="0" borderId="15" xfId="1" applyFont="1" applyFill="1" applyBorder="1" applyAlignment="1">
      <alignment horizontal="center"/>
    </xf>
    <xf numFmtId="44" fontId="8" fillId="0" borderId="15" xfId="1" applyFont="1" applyFill="1" applyBorder="1" applyAlignment="1">
      <alignment horizontal="center" vertical="center"/>
    </xf>
    <xf numFmtId="44" fontId="13" fillId="0" borderId="15" xfId="1" applyFont="1" applyFill="1" applyBorder="1" applyAlignment="1">
      <alignment horizontal="center"/>
    </xf>
    <xf numFmtId="0" fontId="4" fillId="4" borderId="57" xfId="0" applyFont="1" applyFill="1" applyBorder="1" applyAlignment="1">
      <alignment vertical="center"/>
    </xf>
    <xf numFmtId="0" fontId="0" fillId="4" borderId="57" xfId="0" applyFill="1" applyBorder="1" applyAlignment="1">
      <alignment vertical="center"/>
    </xf>
    <xf numFmtId="44" fontId="12" fillId="4" borderId="57" xfId="1" applyFont="1" applyFill="1" applyBorder="1" applyAlignment="1">
      <alignment horizontal="center"/>
    </xf>
    <xf numFmtId="14" fontId="0" fillId="0" borderId="1" xfId="0" applyNumberFormat="1" applyFill="1" applyBorder="1"/>
    <xf numFmtId="0" fontId="0" fillId="0" borderId="9" xfId="0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44" fontId="1" fillId="0" borderId="1" xfId="1" applyNumberFormat="1" applyFont="1" applyFill="1" applyBorder="1" applyAlignment="1">
      <alignment horizontal="center"/>
    </xf>
    <xf numFmtId="44" fontId="4" fillId="4" borderId="1" xfId="1" applyFont="1" applyFill="1" applyBorder="1" applyAlignment="1"/>
    <xf numFmtId="44" fontId="20" fillId="4" borderId="1" xfId="1" applyFont="1" applyFill="1" applyBorder="1" applyAlignment="1"/>
    <xf numFmtId="0" fontId="0" fillId="2" borderId="15" xfId="0" applyFill="1" applyBorder="1"/>
    <xf numFmtId="44" fontId="1" fillId="2" borderId="15" xfId="1" applyFont="1" applyFill="1" applyBorder="1" applyAlignment="1">
      <alignment horizontal="center"/>
    </xf>
    <xf numFmtId="44" fontId="8" fillId="2" borderId="15" xfId="0" applyNumberFormat="1" applyFont="1" applyFill="1" applyBorder="1" applyAlignment="1">
      <alignment horizontal="center" vertical="center"/>
    </xf>
    <xf numFmtId="44" fontId="8" fillId="2" borderId="15" xfId="1" applyFont="1" applyFill="1" applyBorder="1" applyAlignment="1">
      <alignment horizontal="center"/>
    </xf>
    <xf numFmtId="44" fontId="8" fillId="2" borderId="15" xfId="1" applyFont="1" applyFill="1" applyBorder="1" applyAlignment="1">
      <alignment horizontal="center" vertical="center"/>
    </xf>
    <xf numFmtId="44" fontId="4" fillId="4" borderId="57" xfId="1" applyFont="1" applyFill="1" applyBorder="1" applyAlignment="1"/>
    <xf numFmtId="44" fontId="20" fillId="4" borderId="57" xfId="1" applyFont="1" applyFill="1" applyBorder="1" applyAlignment="1"/>
    <xf numFmtId="0" fontId="12" fillId="4" borderId="57" xfId="0" applyFont="1" applyFill="1" applyBorder="1" applyAlignment="1">
      <alignment vertical="center"/>
    </xf>
    <xf numFmtId="0" fontId="5" fillId="0" borderId="39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15" fillId="0" borderId="0" xfId="0" applyFont="1" applyFill="1" applyBorder="1" applyAlignment="1">
      <alignment horizontal="center" vertical="center" wrapText="1"/>
    </xf>
    <xf numFmtId="0" fontId="4" fillId="4" borderId="58" xfId="0" applyFont="1" applyFill="1" applyBorder="1" applyAlignment="1">
      <alignment vertical="center"/>
    </xf>
    <xf numFmtId="44" fontId="12" fillId="4" borderId="58" xfId="1" applyFont="1" applyFill="1" applyBorder="1" applyAlignment="1">
      <alignment horizontal="center"/>
    </xf>
    <xf numFmtId="44" fontId="4" fillId="4" borderId="58" xfId="1" applyFont="1" applyFill="1" applyBorder="1" applyAlignment="1"/>
    <xf numFmtId="44" fontId="20" fillId="4" borderId="58" xfId="1" applyFont="1" applyFill="1" applyBorder="1" applyAlignment="1"/>
    <xf numFmtId="0" fontId="5" fillId="0" borderId="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14" fontId="8" fillId="10" borderId="1" xfId="0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44" fontId="23" fillId="0" borderId="1" xfId="0" applyNumberFormat="1" applyFont="1" applyBorder="1" applyAlignment="1">
      <alignment horizontal="center" vertical="center"/>
    </xf>
    <xf numFmtId="0" fontId="0" fillId="0" borderId="59" xfId="0" applyBorder="1"/>
    <xf numFmtId="0" fontId="37" fillId="4" borderId="60" xfId="0" applyFont="1" applyFill="1" applyBorder="1" applyAlignment="1">
      <alignment vertical="center" wrapText="1"/>
    </xf>
    <xf numFmtId="14" fontId="4" fillId="2" borderId="8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4" fontId="4" fillId="2" borderId="9" xfId="1" applyFont="1" applyFill="1" applyBorder="1" applyAlignment="1">
      <alignment horizontal="center" vertical="center"/>
    </xf>
    <xf numFmtId="44" fontId="4" fillId="0" borderId="9" xfId="0" applyNumberFormat="1" applyFont="1" applyBorder="1" applyAlignment="1">
      <alignment horizontal="center" vertical="center"/>
    </xf>
    <xf numFmtId="44" fontId="4" fillId="21" borderId="9" xfId="1" applyFont="1" applyFill="1" applyBorder="1" applyAlignment="1">
      <alignment horizontal="center" vertical="center"/>
    </xf>
    <xf numFmtId="14" fontId="8" fillId="0" borderId="10" xfId="1" applyNumberFormat="1" applyFont="1" applyFill="1" applyBorder="1" applyAlignment="1">
      <alignment horizontal="center"/>
    </xf>
    <xf numFmtId="14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4" fontId="4" fillId="2" borderId="1" xfId="1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44" fontId="4" fillId="21" borderId="1" xfId="1" applyFont="1" applyFill="1" applyBorder="1" applyAlignment="1">
      <alignment horizontal="center"/>
    </xf>
    <xf numFmtId="14" fontId="8" fillId="0" borderId="61" xfId="1" applyNumberFormat="1" applyFont="1" applyFill="1" applyBorder="1" applyAlignment="1">
      <alignment horizontal="center"/>
    </xf>
    <xf numFmtId="14" fontId="4" fillId="0" borderId="62" xfId="0" applyNumberFormat="1" applyFont="1" applyBorder="1" applyAlignment="1">
      <alignment horizontal="center"/>
    </xf>
    <xf numFmtId="0" fontId="4" fillId="2" borderId="63" xfId="0" applyFont="1" applyFill="1" applyBorder="1" applyAlignment="1">
      <alignment horizontal="center" vertical="center"/>
    </xf>
    <xf numFmtId="44" fontId="4" fillId="2" borderId="63" xfId="1" applyFont="1" applyFill="1" applyBorder="1" applyAlignment="1">
      <alignment horizontal="center" vertical="center"/>
    </xf>
    <xf numFmtId="44" fontId="4" fillId="0" borderId="63" xfId="0" applyNumberFormat="1" applyFont="1" applyBorder="1" applyAlignment="1">
      <alignment horizontal="center" vertical="center"/>
    </xf>
    <xf numFmtId="44" fontId="4" fillId="21" borderId="63" xfId="1" applyFont="1" applyFill="1" applyBorder="1" applyAlignment="1">
      <alignment horizontal="center" vertical="center"/>
    </xf>
    <xf numFmtId="14" fontId="8" fillId="0" borderId="65" xfId="1" applyNumberFormat="1" applyFont="1" applyFill="1" applyBorder="1" applyAlignment="1">
      <alignment horizontal="center"/>
    </xf>
    <xf numFmtId="14" fontId="4" fillId="0" borderId="66" xfId="0" applyNumberFormat="1" applyFont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/>
    </xf>
    <xf numFmtId="0" fontId="4" fillId="0" borderId="67" xfId="0" applyFont="1" applyBorder="1"/>
    <xf numFmtId="44" fontId="4" fillId="0" borderId="67" xfId="0" applyNumberFormat="1" applyFont="1" applyBorder="1" applyAlignment="1">
      <alignment horizontal="center" vertical="center"/>
    </xf>
    <xf numFmtId="0" fontId="4" fillId="21" borderId="67" xfId="0" applyFont="1" applyFill="1" applyBorder="1"/>
    <xf numFmtId="0" fontId="4" fillId="0" borderId="67" xfId="0" applyFont="1" applyBorder="1" applyAlignment="1">
      <alignment vertical="center"/>
    </xf>
    <xf numFmtId="44" fontId="4" fillId="0" borderId="67" xfId="1" applyFont="1" applyFill="1" applyBorder="1" applyAlignment="1">
      <alignment horizontal="center" vertical="center"/>
    </xf>
    <xf numFmtId="44" fontId="8" fillId="0" borderId="67" xfId="1" applyFont="1" applyFill="1" applyBorder="1" applyAlignment="1">
      <alignment horizontal="center" vertical="center"/>
    </xf>
    <xf numFmtId="14" fontId="8" fillId="0" borderId="68" xfId="1" applyNumberFormat="1" applyFont="1" applyFill="1" applyBorder="1" applyAlignment="1">
      <alignment horizontal="center"/>
    </xf>
    <xf numFmtId="14" fontId="4" fillId="2" borderId="25" xfId="0" applyNumberFormat="1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44" fontId="4" fillId="2" borderId="17" xfId="1" applyFont="1" applyFill="1" applyBorder="1" applyAlignment="1">
      <alignment horizontal="center" vertical="center"/>
    </xf>
    <xf numFmtId="44" fontId="4" fillId="0" borderId="17" xfId="0" applyNumberFormat="1" applyFont="1" applyBorder="1" applyAlignment="1">
      <alignment horizontal="center" vertical="center"/>
    </xf>
    <xf numFmtId="44" fontId="4" fillId="21" borderId="17" xfId="1" applyFont="1" applyFill="1" applyBorder="1" applyAlignment="1">
      <alignment horizontal="center" vertical="center"/>
    </xf>
    <xf numFmtId="44" fontId="4" fillId="0" borderId="17" xfId="1" applyFont="1" applyFill="1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4" fontId="8" fillId="0" borderId="17" xfId="1" applyFont="1" applyFill="1" applyBorder="1" applyAlignment="1">
      <alignment horizontal="center" vertical="center"/>
    </xf>
    <xf numFmtId="14" fontId="4" fillId="2" borderId="70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4" fontId="4" fillId="2" borderId="15" xfId="1" applyFont="1" applyFill="1" applyBorder="1" applyAlignment="1">
      <alignment horizontal="center" vertical="center"/>
    </xf>
    <xf numFmtId="44" fontId="4" fillId="0" borderId="15" xfId="0" applyNumberFormat="1" applyFont="1" applyBorder="1" applyAlignment="1">
      <alignment horizontal="center" vertical="center"/>
    </xf>
    <xf numFmtId="44" fontId="4" fillId="21" borderId="15" xfId="1" applyFont="1" applyFill="1" applyBorder="1" applyAlignment="1">
      <alignment horizontal="center" vertical="center"/>
    </xf>
    <xf numFmtId="44" fontId="4" fillId="2" borderId="15" xfId="1" applyFont="1" applyFill="1" applyBorder="1" applyAlignment="1">
      <alignment vertical="center"/>
    </xf>
    <xf numFmtId="44" fontId="4" fillId="0" borderId="15" xfId="1" applyFont="1" applyFill="1" applyBorder="1" applyAlignment="1">
      <alignment horizontal="center" vertical="center"/>
    </xf>
    <xf numFmtId="14" fontId="4" fillId="0" borderId="15" xfId="1" applyNumberFormat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4" fontId="8" fillId="0" borderId="15" xfId="1" applyNumberFormat="1" applyFont="1" applyFill="1" applyBorder="1" applyAlignment="1">
      <alignment horizontal="center" vertical="center"/>
    </xf>
    <xf numFmtId="14" fontId="4" fillId="0" borderId="71" xfId="0" applyNumberFormat="1" applyFont="1" applyBorder="1" applyAlignment="1">
      <alignment horizontal="center" vertical="center"/>
    </xf>
    <xf numFmtId="0" fontId="4" fillId="2" borderId="71" xfId="0" applyFont="1" applyFill="1" applyBorder="1" applyAlignment="1">
      <alignment horizontal="center" vertical="center"/>
    </xf>
    <xf numFmtId="0" fontId="4" fillId="0" borderId="73" xfId="0" applyFont="1" applyBorder="1"/>
    <xf numFmtId="44" fontId="4" fillId="0" borderId="74" xfId="0" applyNumberFormat="1" applyFont="1" applyBorder="1" applyAlignment="1">
      <alignment horizontal="center" vertical="center"/>
    </xf>
    <xf numFmtId="44" fontId="4" fillId="21" borderId="74" xfId="0" applyNumberFormat="1" applyFont="1" applyFill="1" applyBorder="1" applyAlignment="1">
      <alignment horizontal="center" vertical="center"/>
    </xf>
    <xf numFmtId="44" fontId="4" fillId="2" borderId="74" xfId="1" applyFont="1" applyFill="1" applyBorder="1" applyAlignment="1">
      <alignment vertical="center"/>
    </xf>
    <xf numFmtId="44" fontId="4" fillId="0" borderId="74" xfId="1" applyFont="1" applyFill="1" applyBorder="1" applyAlignment="1">
      <alignment vertical="center"/>
    </xf>
    <xf numFmtId="14" fontId="4" fillId="0" borderId="74" xfId="1" applyNumberFormat="1" applyFont="1" applyFill="1" applyBorder="1" applyAlignment="1">
      <alignment horizontal="center" vertical="center"/>
    </xf>
    <xf numFmtId="44" fontId="8" fillId="0" borderId="74" xfId="1" applyFont="1" applyFill="1" applyBorder="1" applyAlignment="1">
      <alignment vertical="center"/>
    </xf>
    <xf numFmtId="44" fontId="8" fillId="0" borderId="75" xfId="1" applyFont="1" applyFill="1" applyBorder="1" applyAlignment="1"/>
    <xf numFmtId="14" fontId="4" fillId="0" borderId="76" xfId="0" applyNumberFormat="1" applyFont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44" fontId="4" fillId="0" borderId="17" xfId="1" applyFont="1" applyFill="1" applyBorder="1" applyAlignment="1">
      <alignment horizontal="center"/>
    </xf>
    <xf numFmtId="44" fontId="4" fillId="21" borderId="17" xfId="0" applyNumberFormat="1" applyFont="1" applyFill="1" applyBorder="1" applyAlignment="1">
      <alignment horizontal="center" vertical="center"/>
    </xf>
    <xf numFmtId="44" fontId="4" fillId="2" borderId="17" xfId="1" applyFont="1" applyFill="1" applyBorder="1" applyAlignment="1">
      <alignment vertical="center"/>
    </xf>
    <xf numFmtId="8" fontId="4" fillId="0" borderId="17" xfId="1" applyNumberFormat="1" applyFont="1" applyFill="1" applyBorder="1" applyAlignment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44" fontId="8" fillId="0" borderId="17" xfId="1" applyFont="1" applyFill="1" applyBorder="1" applyAlignment="1">
      <alignment vertical="center"/>
    </xf>
    <xf numFmtId="44" fontId="8" fillId="0" borderId="77" xfId="1" applyFont="1" applyFill="1" applyBorder="1" applyAlignment="1"/>
    <xf numFmtId="14" fontId="4" fillId="0" borderId="78" xfId="0" applyNumberFormat="1" applyFont="1" applyBorder="1" applyAlignment="1">
      <alignment horizontal="center" vertical="center"/>
    </xf>
    <xf numFmtId="44" fontId="4" fillId="0" borderId="74" xfId="1" applyFont="1" applyFill="1" applyBorder="1" applyAlignment="1">
      <alignment horizontal="center"/>
    </xf>
    <xf numFmtId="44" fontId="4" fillId="21" borderId="74" xfId="1" applyFont="1" applyFill="1" applyBorder="1" applyAlignment="1">
      <alignment horizontal="center"/>
    </xf>
    <xf numFmtId="44" fontId="4" fillId="0" borderId="74" xfId="1" applyFont="1" applyFill="1" applyBorder="1" applyAlignment="1">
      <alignment horizontal="center" vertical="center"/>
    </xf>
    <xf numFmtId="44" fontId="8" fillId="0" borderId="74" xfId="1" applyFont="1" applyFill="1" applyBorder="1" applyAlignment="1">
      <alignment horizontal="center" vertical="center"/>
    </xf>
    <xf numFmtId="14" fontId="8" fillId="0" borderId="75" xfId="1" applyNumberFormat="1" applyFont="1" applyFill="1" applyBorder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44" fontId="4" fillId="0" borderId="80" xfId="1" applyFont="1" applyFill="1" applyBorder="1" applyAlignment="1">
      <alignment horizontal="center"/>
    </xf>
    <xf numFmtId="44" fontId="4" fillId="0" borderId="80" xfId="0" applyNumberFormat="1" applyFont="1" applyBorder="1" applyAlignment="1">
      <alignment horizontal="center" vertical="center"/>
    </xf>
    <xf numFmtId="44" fontId="4" fillId="21" borderId="80" xfId="1" applyFont="1" applyFill="1" applyBorder="1" applyAlignment="1">
      <alignment horizontal="center"/>
    </xf>
    <xf numFmtId="14" fontId="4" fillId="0" borderId="80" xfId="1" applyNumberFormat="1" applyFont="1" applyFill="1" applyBorder="1" applyAlignment="1">
      <alignment horizontal="center" vertical="center"/>
    </xf>
    <xf numFmtId="14" fontId="8" fillId="0" borderId="82" xfId="1" applyNumberFormat="1" applyFont="1" applyFill="1" applyBorder="1" applyAlignment="1">
      <alignment horizontal="center"/>
    </xf>
    <xf numFmtId="44" fontId="4" fillId="0" borderId="63" xfId="1" applyFont="1" applyFill="1" applyBorder="1" applyAlignment="1">
      <alignment horizontal="center"/>
    </xf>
    <xf numFmtId="44" fontId="4" fillId="21" borderId="63" xfId="1" applyFont="1" applyFill="1" applyBorder="1" applyAlignment="1">
      <alignment horizontal="center"/>
    </xf>
    <xf numFmtId="14" fontId="4" fillId="0" borderId="63" xfId="1" applyNumberFormat="1" applyFont="1" applyFill="1" applyBorder="1" applyAlignment="1">
      <alignment horizontal="center" vertical="center"/>
    </xf>
    <xf numFmtId="14" fontId="8" fillId="0" borderId="83" xfId="1" applyNumberFormat="1" applyFont="1" applyFill="1" applyBorder="1" applyAlignment="1">
      <alignment horizontal="center"/>
    </xf>
    <xf numFmtId="14" fontId="4" fillId="0" borderId="84" xfId="0" applyNumberFormat="1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44" fontId="4" fillId="9" borderId="17" xfId="1" applyFont="1" applyFill="1" applyBorder="1" applyAlignment="1">
      <alignment horizontal="center"/>
    </xf>
    <xf numFmtId="44" fontId="4" fillId="9" borderId="17" xfId="0" applyNumberFormat="1" applyFont="1" applyFill="1" applyBorder="1" applyAlignment="1">
      <alignment horizontal="center" vertical="center"/>
    </xf>
    <xf numFmtId="44" fontId="4" fillId="21" borderId="17" xfId="1" applyFont="1" applyFill="1" applyBorder="1" applyAlignment="1">
      <alignment horizontal="center"/>
    </xf>
    <xf numFmtId="44" fontId="4" fillId="9" borderId="17" xfId="1" applyFont="1" applyFill="1" applyBorder="1" applyAlignment="1">
      <alignment horizontal="center" vertical="center"/>
    </xf>
    <xf numFmtId="44" fontId="8" fillId="9" borderId="17" xfId="1" applyFont="1" applyFill="1" applyBorder="1" applyAlignment="1">
      <alignment horizontal="center" vertical="center"/>
    </xf>
    <xf numFmtId="14" fontId="8" fillId="9" borderId="77" xfId="1" applyNumberFormat="1" applyFont="1" applyFill="1" applyBorder="1" applyAlignment="1">
      <alignment horizontal="center"/>
    </xf>
    <xf numFmtId="14" fontId="4" fillId="0" borderId="28" xfId="0" applyNumberFormat="1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44" fontId="4" fillId="0" borderId="85" xfId="1" applyFont="1" applyFill="1" applyBorder="1" applyAlignment="1">
      <alignment horizontal="center" vertical="center" wrapText="1"/>
    </xf>
    <xf numFmtId="44" fontId="4" fillId="0" borderId="85" xfId="1" applyFont="1" applyFill="1" applyBorder="1" applyAlignment="1">
      <alignment horizontal="center"/>
    </xf>
    <xf numFmtId="44" fontId="4" fillId="0" borderId="85" xfId="0" applyNumberFormat="1" applyFont="1" applyBorder="1" applyAlignment="1">
      <alignment horizontal="center" vertical="center"/>
    </xf>
    <xf numFmtId="44" fontId="4" fillId="21" borderId="85" xfId="1" applyFont="1" applyFill="1" applyBorder="1" applyAlignment="1">
      <alignment horizontal="center"/>
    </xf>
    <xf numFmtId="44" fontId="4" fillId="0" borderId="85" xfId="1" applyFont="1" applyFill="1" applyBorder="1" applyAlignment="1">
      <alignment horizontal="center" vertical="center"/>
    </xf>
    <xf numFmtId="14" fontId="4" fillId="0" borderId="85" xfId="1" applyNumberFormat="1" applyFont="1" applyFill="1" applyBorder="1" applyAlignment="1">
      <alignment horizontal="center" vertical="center"/>
    </xf>
    <xf numFmtId="44" fontId="8" fillId="0" borderId="85" xfId="1" applyFont="1" applyFill="1" applyBorder="1" applyAlignment="1">
      <alignment horizontal="center" vertical="center"/>
    </xf>
    <xf numFmtId="14" fontId="8" fillId="0" borderId="85" xfId="0" applyNumberFormat="1" applyFont="1" applyBorder="1" applyAlignment="1">
      <alignment horizontal="center" vertical="center"/>
    </xf>
    <xf numFmtId="44" fontId="42" fillId="0" borderId="1" xfId="0" applyNumberFormat="1" applyFont="1" applyBorder="1" applyAlignment="1">
      <alignment horizontal="center" vertical="center"/>
    </xf>
    <xf numFmtId="0" fontId="22" fillId="6" borderId="25" xfId="0" applyFont="1" applyFill="1" applyBorder="1" applyAlignment="1">
      <alignment horizontal="center" vertical="center"/>
    </xf>
    <xf numFmtId="0" fontId="22" fillId="6" borderId="0" xfId="0" applyFont="1" applyFill="1" applyBorder="1" applyAlignment="1">
      <alignment horizontal="center" vertical="center"/>
    </xf>
    <xf numFmtId="0" fontId="16" fillId="4" borderId="44" xfId="0" applyFont="1" applyFill="1" applyBorder="1" applyAlignment="1">
      <alignment horizontal="center" vertical="center"/>
    </xf>
    <xf numFmtId="0" fontId="16" fillId="4" borderId="37" xfId="0" applyFont="1" applyFill="1" applyBorder="1" applyAlignment="1">
      <alignment horizontal="center" vertical="center"/>
    </xf>
    <xf numFmtId="0" fontId="22" fillId="6" borderId="3" xfId="0" applyFont="1" applyFill="1" applyBorder="1" applyAlignment="1">
      <alignment horizontal="center" vertical="center"/>
    </xf>
    <xf numFmtId="0" fontId="22" fillId="6" borderId="7" xfId="0" applyFont="1" applyFill="1" applyBorder="1" applyAlignment="1">
      <alignment horizontal="center" vertical="center"/>
    </xf>
    <xf numFmtId="0" fontId="25" fillId="4" borderId="25" xfId="0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3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7" xfId="0" applyFont="1" applyFill="1" applyBorder="1" applyAlignment="1"/>
    <xf numFmtId="0" fontId="16" fillId="4" borderId="4" xfId="0" applyFont="1" applyFill="1" applyBorder="1" applyAlignment="1"/>
    <xf numFmtId="0" fontId="16" fillId="5" borderId="11" xfId="0" applyFont="1" applyFill="1" applyBorder="1" applyAlignment="1">
      <alignment horizontal="center"/>
    </xf>
    <xf numFmtId="0" fontId="16" fillId="5" borderId="14" xfId="0" applyFont="1" applyFill="1" applyBorder="1" applyAlignment="1">
      <alignment horizontal="center"/>
    </xf>
    <xf numFmtId="0" fontId="18" fillId="0" borderId="40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6" fillId="5" borderId="27" xfId="0" applyFont="1" applyFill="1" applyBorder="1" applyAlignment="1">
      <alignment horizontal="center"/>
    </xf>
    <xf numFmtId="0" fontId="16" fillId="5" borderId="30" xfId="0" applyFont="1" applyFill="1" applyBorder="1" applyAlignment="1">
      <alignment horizontal="center"/>
    </xf>
    <xf numFmtId="0" fontId="16" fillId="5" borderId="43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9" fillId="0" borderId="46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6" fillId="5" borderId="1" xfId="0" applyFont="1" applyFill="1" applyBorder="1" applyAlignment="1">
      <alignment horizontal="center"/>
    </xf>
    <xf numFmtId="0" fontId="19" fillId="0" borderId="28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6" fillId="5" borderId="28" xfId="0" applyFont="1" applyFill="1" applyBorder="1" applyAlignment="1">
      <alignment horizontal="center"/>
    </xf>
    <xf numFmtId="0" fontId="16" fillId="5" borderId="47" xfId="0" applyFont="1" applyFill="1" applyBorder="1" applyAlignment="1">
      <alignment horizontal="center"/>
    </xf>
    <xf numFmtId="49" fontId="28" fillId="4" borderId="0" xfId="0" applyNumberFormat="1" applyFont="1" applyFill="1" applyAlignment="1">
      <alignment horizontal="center" vertical="center"/>
    </xf>
    <xf numFmtId="0" fontId="29" fillId="6" borderId="0" xfId="0" applyFont="1" applyFill="1" applyAlignment="1">
      <alignment horizontal="center" vertical="center"/>
    </xf>
    <xf numFmtId="0" fontId="36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4" fillId="0" borderId="7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4" fontId="4" fillId="0" borderId="79" xfId="1" applyFont="1" applyFill="1" applyBorder="1" applyAlignment="1">
      <alignment horizontal="center" vertical="center" wrapText="1"/>
    </xf>
    <xf numFmtId="44" fontId="4" fillId="0" borderId="36" xfId="1" applyFont="1" applyFill="1" applyBorder="1" applyAlignment="1">
      <alignment horizontal="center" vertical="center" wrapText="1"/>
    </xf>
    <xf numFmtId="44" fontId="4" fillId="0" borderId="81" xfId="1" applyFont="1" applyFill="1" applyBorder="1" applyAlignment="1">
      <alignment horizontal="center" vertical="center"/>
    </xf>
    <xf numFmtId="44" fontId="4" fillId="0" borderId="64" xfId="1" applyFont="1" applyFill="1" applyBorder="1" applyAlignment="1">
      <alignment horizontal="center" vertical="center"/>
    </xf>
    <xf numFmtId="44" fontId="8" fillId="0" borderId="81" xfId="1" applyFont="1" applyFill="1" applyBorder="1" applyAlignment="1">
      <alignment horizontal="center" vertical="center"/>
    </xf>
    <xf numFmtId="44" fontId="8" fillId="0" borderId="64" xfId="1" applyFont="1" applyFill="1" applyBorder="1" applyAlignment="1">
      <alignment horizontal="center" vertical="center"/>
    </xf>
    <xf numFmtId="49" fontId="39" fillId="4" borderId="0" xfId="0" applyNumberFormat="1" applyFont="1" applyFill="1" applyAlignment="1">
      <alignment horizontal="center" vertical="center"/>
    </xf>
    <xf numFmtId="0" fontId="37" fillId="6" borderId="0" xfId="0" applyFont="1" applyFill="1" applyAlignment="1">
      <alignment horizontal="center" vertical="center"/>
    </xf>
    <xf numFmtId="0" fontId="41" fillId="4" borderId="3" xfId="0" applyFont="1" applyFill="1" applyBorder="1" applyAlignment="1">
      <alignment horizontal="center" vertical="center"/>
    </xf>
    <xf numFmtId="0" fontId="41" fillId="4" borderId="7" xfId="0" applyFont="1" applyFill="1" applyBorder="1" applyAlignment="1">
      <alignment horizontal="center" vertical="center"/>
    </xf>
    <xf numFmtId="0" fontId="41" fillId="4" borderId="16" xfId="0" applyFont="1" applyFill="1" applyBorder="1" applyAlignment="1">
      <alignment horizontal="center" vertical="center"/>
    </xf>
    <xf numFmtId="0" fontId="36" fillId="4" borderId="3" xfId="0" applyFont="1" applyFill="1" applyBorder="1" applyAlignment="1">
      <alignment horizontal="center" vertical="center" wrapText="1"/>
    </xf>
    <xf numFmtId="0" fontId="36" fillId="4" borderId="7" xfId="0" applyFont="1" applyFill="1" applyBorder="1" applyAlignment="1">
      <alignment horizontal="center" vertical="center" wrapText="1"/>
    </xf>
    <xf numFmtId="0" fontId="36" fillId="4" borderId="16" xfId="0" applyFont="1" applyFill="1" applyBorder="1" applyAlignment="1">
      <alignment horizontal="center" vertical="center" wrapText="1"/>
    </xf>
    <xf numFmtId="44" fontId="4" fillId="2" borderId="17" xfId="1" applyFont="1" applyFill="1" applyBorder="1" applyAlignment="1">
      <alignment horizontal="center" vertical="center" wrapText="1"/>
    </xf>
    <xf numFmtId="44" fontId="4" fillId="2" borderId="67" xfId="1" applyFont="1" applyFill="1" applyBorder="1" applyAlignment="1">
      <alignment horizontal="center" vertical="center" wrapText="1"/>
    </xf>
    <xf numFmtId="44" fontId="4" fillId="2" borderId="17" xfId="1" applyFont="1" applyFill="1" applyBorder="1" applyAlignment="1">
      <alignment horizontal="center" vertical="center"/>
    </xf>
    <xf numFmtId="44" fontId="4" fillId="2" borderId="64" xfId="1" applyFont="1" applyFill="1" applyBorder="1" applyAlignment="1">
      <alignment horizontal="center" vertical="center"/>
    </xf>
    <xf numFmtId="44" fontId="4" fillId="0" borderId="17" xfId="1" applyFont="1" applyFill="1" applyBorder="1" applyAlignment="1">
      <alignment horizontal="center" vertical="center"/>
    </xf>
    <xf numFmtId="14" fontId="4" fillId="0" borderId="17" xfId="1" applyNumberFormat="1" applyFont="1" applyFill="1" applyBorder="1" applyAlignment="1">
      <alignment horizontal="center" vertical="center"/>
    </xf>
    <xf numFmtId="14" fontId="4" fillId="0" borderId="64" xfId="1" applyNumberFormat="1" applyFont="1" applyFill="1" applyBorder="1" applyAlignment="1">
      <alignment horizontal="center" vertical="center"/>
    </xf>
    <xf numFmtId="44" fontId="8" fillId="0" borderId="17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43"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colors>
    <mruColors>
      <color rgb="FF0066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FOURNISSEURS SERRURERIE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solidFill>
            <a:schemeClr val="bg1"/>
          </a:solidFill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en-US" sz="105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'ACHATS FRS 20'!$B$24:$B$31</c:f>
              <c:strCache>
                <c:ptCount val="8"/>
                <c:pt idx="0">
                  <c:v>SOPIMAT</c:v>
                </c:pt>
                <c:pt idx="1">
                  <c:v>SASERQ</c:v>
                </c:pt>
                <c:pt idx="2">
                  <c:v>EQUINOX/ ZIG ZAG</c:v>
                </c:pt>
                <c:pt idx="3">
                  <c:v>ETS POMMEZ/Qllerie st JEAN</c:v>
                </c:pt>
                <c:pt idx="4">
                  <c:v>CHANTIERS AUDEBERT</c:v>
                </c:pt>
                <c:pt idx="5">
                  <c:v>OUTICOUP</c:v>
                </c:pt>
                <c:pt idx="6">
                  <c:v>TROPIC PROFIL GUADELOUPE</c:v>
                </c:pt>
                <c:pt idx="7">
                  <c:v>LB TECHNOLOGIES</c:v>
                </c:pt>
              </c:strCache>
            </c:strRef>
          </c:cat>
          <c:val>
            <c:numRef>
              <c:f>'ACHATS FRS 20'!$O$24:$O$31</c:f>
              <c:numCache>
                <c:formatCode>_("€"* #,##0.00_);_("€"* \(#,##0.00\);_("€"* "-"??_);_(@_)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19-4366-AB28-76E4B113E7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5497856"/>
        <c:axId val="35499392"/>
      </c:barChart>
      <c:catAx>
        <c:axId val="35497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99392"/>
        <c:crosses val="autoZero"/>
        <c:auto val="1"/>
        <c:lblAlgn val="ctr"/>
        <c:lblOffset val="100"/>
        <c:noMultiLvlLbl val="0"/>
      </c:catAx>
      <c:valAx>
        <c:axId val="35499392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35497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 lang="en-US" sz="10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FOURNISSEURS PEINTURE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1718768386241197E-2"/>
          <c:y val="0.17844212598425196"/>
          <c:w val="0.91704647753007307"/>
          <c:h val="0.6963862866151000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  <a:prstDash val="lgDashDotDot"/>
            </a:ln>
            <a:effectLst/>
          </c:spPr>
          <c:invertIfNegative val="0"/>
          <c:dLbls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DC4-4BAB-AA24-86DBA422242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'ACHATS FRS 20'!$B$34:$B$38</c:f>
              <c:strCache>
                <c:ptCount val="5"/>
                <c:pt idx="0">
                  <c:v>SIAPOC</c:v>
                </c:pt>
                <c:pt idx="1">
                  <c:v>CODIMA</c:v>
                </c:pt>
                <c:pt idx="2">
                  <c:v>Peinture GAUTHIER</c:v>
                </c:pt>
                <c:pt idx="3">
                  <c:v>PPG  Guadeloupe</c:v>
                </c:pt>
                <c:pt idx="4">
                  <c:v>ALLAMELOU </c:v>
                </c:pt>
              </c:strCache>
            </c:strRef>
          </c:cat>
          <c:val>
            <c:numRef>
              <c:f>'ACHATS FRS 20'!$O$34:$O$38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4-4BAB-AA24-86DBA42224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5723520"/>
        <c:axId val="75725056"/>
      </c:barChart>
      <c:catAx>
        <c:axId val="75723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725056"/>
        <c:crosses val="autoZero"/>
        <c:auto val="1"/>
        <c:lblAlgn val="ctr"/>
        <c:lblOffset val="100"/>
        <c:noMultiLvlLbl val="0"/>
      </c:catAx>
      <c:valAx>
        <c:axId val="75725056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75723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>
                <a:solidFill>
                  <a:schemeClr val="bg1"/>
                </a:solidFill>
              </a:rPr>
              <a:t>FOURNISSEURS ELECTRICITE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'ACHATS FRS 20'!$B$41:$B$45</c:f>
              <c:strCache>
                <c:ptCount val="5"/>
                <c:pt idx="0">
                  <c:v>SOGUADIME</c:v>
                </c:pt>
                <c:pt idx="1">
                  <c:v>BLANDIN</c:v>
                </c:pt>
                <c:pt idx="2">
                  <c:v>TEVAH SYSTEMES</c:v>
                </c:pt>
                <c:pt idx="3">
                  <c:v>GMC</c:v>
                </c:pt>
                <c:pt idx="4">
                  <c:v>YESS ELECTRIC</c:v>
                </c:pt>
              </c:strCache>
            </c:strRef>
          </c:cat>
          <c:val>
            <c:numRef>
              <c:f>'ACHATS FRS 20'!$O$41:$O$45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16-4A68-86A1-B6B3AC1994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5733632"/>
        <c:axId val="78123392"/>
      </c:barChart>
      <c:catAx>
        <c:axId val="7573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123392"/>
        <c:crosses val="autoZero"/>
        <c:auto val="1"/>
        <c:lblAlgn val="ctr"/>
        <c:lblOffset val="100"/>
        <c:noMultiLvlLbl val="0"/>
      </c:catAx>
      <c:valAx>
        <c:axId val="78123392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75733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ACHATS DIVERS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'ACHATS FRS 20'!$B$48:$B$52</c:f>
              <c:strCache>
                <c:ptCount val="5"/>
                <c:pt idx="0">
                  <c:v>DIVERS MAT 1ère</c:v>
                </c:pt>
                <c:pt idx="1">
                  <c:v>MAJY SERVICES</c:v>
                </c:pt>
                <c:pt idx="2">
                  <c:v>ZOLPAN</c:v>
                </c:pt>
                <c:pt idx="3">
                  <c:v>SOUS TRAITANT</c:v>
                </c:pt>
                <c:pt idx="4">
                  <c:v>KOS</c:v>
                </c:pt>
              </c:strCache>
            </c:strRef>
          </c:cat>
          <c:val>
            <c:numRef>
              <c:f>'ACHATS FRS 20'!$O$48:$O$52</c:f>
              <c:numCache>
                <c:formatCode>_("€"* #,##0.00_);_("€"* \(#,##0.00\);_("€"* "-"??_);_(@_)</c:formatCode>
                <c:ptCount val="5"/>
                <c:pt idx="0">
                  <c:v>3568.74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7F-4D14-AB07-62AE4E74E8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144640"/>
        <c:axId val="78146176"/>
      </c:barChart>
      <c:catAx>
        <c:axId val="78144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146176"/>
        <c:crosses val="autoZero"/>
        <c:auto val="1"/>
        <c:lblAlgn val="ctr"/>
        <c:lblOffset val="100"/>
        <c:noMultiLvlLbl val="0"/>
      </c:catAx>
      <c:valAx>
        <c:axId val="78146176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7814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FRAIS GENERAUX</a:t>
            </a: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6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'ACHATS FRS 20'!$B$55:$B$62</c:f>
              <c:strCache>
                <c:ptCount val="8"/>
                <c:pt idx="0">
                  <c:v>DIVERS FRAIS GNX</c:v>
                </c:pt>
                <c:pt idx="1">
                  <c:v>TELECOM</c:v>
                </c:pt>
                <c:pt idx="2">
                  <c:v>EDF</c:v>
                </c:pt>
                <c:pt idx="3">
                  <c:v>EQUIPEMENT</c:v>
                </c:pt>
                <c:pt idx="4">
                  <c:v>ENTRETIEN</c:v>
                </c:pt>
                <c:pt idx="5">
                  <c:v>BUREAUTIQUE</c:v>
                </c:pt>
                <c:pt idx="6">
                  <c:v>RESTAURANT</c:v>
                </c:pt>
                <c:pt idx="7">
                  <c:v>DEPLACEMENT</c:v>
                </c:pt>
              </c:strCache>
            </c:strRef>
          </c:cat>
          <c:val>
            <c:numRef>
              <c:f>'ACHATS FRS 20'!$O$55:$O$62</c:f>
              <c:numCache>
                <c:formatCode>_("€"* #,##0.00_);_("€"* \(#,##0.00\);_("€"* "-"??_);_(@_)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84-4F52-B436-2D6E4D0E2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1268096"/>
        <c:axId val="81269888"/>
      </c:barChart>
      <c:catAx>
        <c:axId val="81268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269888"/>
        <c:crosses val="autoZero"/>
        <c:auto val="1"/>
        <c:lblAlgn val="ctr"/>
        <c:lblOffset val="100"/>
        <c:noMultiLvlLbl val="0"/>
      </c:catAx>
      <c:valAx>
        <c:axId val="81269888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1268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dbl" algn="ctr">
      <a:noFill/>
      <a:prstDash val="lgDashDotDot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32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3200">
                <a:solidFill>
                  <a:schemeClr val="bg1"/>
                </a:solidFill>
              </a:rPr>
              <a:t>DEPENSES</a:t>
            </a:r>
            <a:r>
              <a:rPr lang="fr-FR" sz="3200" baseline="0">
                <a:solidFill>
                  <a:schemeClr val="bg1"/>
                </a:solidFill>
              </a:rPr>
              <a:t> FOURNISSEURS ANNUELLES</a:t>
            </a:r>
            <a:endParaRPr lang="fr-FR" sz="3200">
              <a:solidFill>
                <a:schemeClr val="bg1"/>
              </a:solidFill>
            </a:endParaRP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200" b="1" i="0" u="none" strike="noStrike" kern="1200" cap="all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9289666489096069"/>
          <c:y val="0.20114597747533711"/>
          <c:w val="0.59617520879690056"/>
          <c:h val="0.7469023637579020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6F3-420B-837A-502B49B311F3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76F3-420B-837A-502B49B311F3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6F3-420B-837A-502B49B311F3}"/>
              </c:ext>
            </c:extLst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76F3-420B-837A-502B49B311F3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76F3-420B-837A-502B49B311F3}"/>
              </c:ext>
            </c:extLst>
          </c:dPt>
          <c:dPt>
            <c:idx val="5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6F3-420B-837A-502B49B311F3}"/>
              </c:ext>
            </c:extLst>
          </c:dPt>
          <c:dLbls>
            <c:dLbl>
              <c:idx val="0"/>
              <c:layout>
                <c:manualLayout>
                  <c:x val="7.2126224300063102E-3"/>
                  <c:y val="3.205127800685469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571897351320589"/>
                      <c:h val="0.1125721642726423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6F3-420B-837A-502B49B311F3}"/>
                </c:ext>
              </c:extLst>
            </c:dLbl>
            <c:dLbl>
              <c:idx val="1"/>
              <c:layout>
                <c:manualLayout>
                  <c:x val="2.1637867290018979E-2"/>
                  <c:y val="-1.6025639003427929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6F3-420B-837A-502B49B311F3}"/>
                </c:ext>
              </c:extLst>
            </c:dLbl>
            <c:dLbl>
              <c:idx val="2"/>
              <c:layout>
                <c:manualLayout>
                  <c:x val="2.0435763551684593E-2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6F3-420B-837A-502B49B311F3}"/>
                </c:ext>
              </c:extLst>
            </c:dLbl>
            <c:dLbl>
              <c:idx val="3"/>
              <c:layout>
                <c:manualLayout>
                  <c:x val="-1.081893364500949E-2"/>
                  <c:y val="-1.923076680411281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6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6F3-420B-837A-502B49B311F3}"/>
                </c:ext>
              </c:extLst>
            </c:dLbl>
            <c:dLbl>
              <c:idx val="4"/>
              <c:layout>
                <c:manualLayout>
                  <c:x val="-2.644628224335652E-2"/>
                  <c:y val="-1.121794730239919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5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6F3-420B-837A-502B49B311F3}"/>
                </c:ext>
              </c:extLst>
            </c:dLbl>
            <c:dLbl>
              <c:idx val="5"/>
              <c:layout>
                <c:manualLayout>
                  <c:x val="-2.4042074766687754E-3"/>
                  <c:y val="2.88461502061691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2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6F3-420B-837A-502B49B311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spc="0" baseline="0">
                    <a:solidFill>
                      <a:schemeClr val="accent6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'ACHATS FRS 20'!$AM$50:$AR$50</c:f>
              <c:strCache>
                <c:ptCount val="6"/>
                <c:pt idx="0">
                  <c:v>EXPORT / TRANSPORT</c:v>
                </c:pt>
                <c:pt idx="1">
                  <c:v>SERRURERIE</c:v>
                </c:pt>
                <c:pt idx="2">
                  <c:v>PEINTURE</c:v>
                </c:pt>
                <c:pt idx="3">
                  <c:v>ELECTRICITE</c:v>
                </c:pt>
                <c:pt idx="4">
                  <c:v>DIVERS MAT 1 ère</c:v>
                </c:pt>
                <c:pt idx="5">
                  <c:v>FRAIS GENERAUX</c:v>
                </c:pt>
              </c:strCache>
            </c:strRef>
          </c:cat>
          <c:val>
            <c:numRef>
              <c:f>'ACHATS FRS 20'!$AM$51:$AR$51</c:f>
              <c:numCache>
                <c:formatCode>_("€"* #,##0.00_);_("€"* \(#,##0.00\);_("€"* "-"??_);_(@_)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3568.74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F3-420B-837A-502B49B311F3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>
                <a:solidFill>
                  <a:schemeClr val="bg1"/>
                </a:solidFill>
              </a:defRPr>
            </a:pPr>
            <a:r>
              <a:rPr lang="en-US" sz="1600">
                <a:solidFill>
                  <a:schemeClr val="bg1"/>
                </a:solidFill>
              </a:rPr>
              <a:t>FGOURNISSEURS</a:t>
            </a:r>
            <a:r>
              <a:rPr lang="en-US" sz="1600" baseline="0">
                <a:solidFill>
                  <a:schemeClr val="bg1"/>
                </a:solidFill>
              </a:rPr>
              <a:t> TRANSPORT</a:t>
            </a:r>
            <a:endParaRPr lang="en-US" sz="1600">
              <a:solidFill>
                <a:schemeClr val="bg1"/>
              </a:solidFill>
            </a:endParaRPr>
          </a:p>
        </c:rich>
      </c:tx>
      <c:overlay val="0"/>
      <c:spPr>
        <a:solidFill>
          <a:schemeClr val="accent6">
            <a:lumMod val="75000"/>
          </a:schemeClr>
        </a:solidFill>
        <a:ln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'ACHATS FRS 20'!$B$7:$B$16</c:f>
              <c:strCache>
                <c:ptCount val="10"/>
                <c:pt idx="0">
                  <c:v>VIMAR/CEVAM</c:v>
                </c:pt>
                <c:pt idx="1">
                  <c:v>FAAC</c:v>
                </c:pt>
                <c:pt idx="2">
                  <c:v>DAD / DECAYEUX</c:v>
                </c:pt>
                <c:pt idx="3">
                  <c:v>PAUMELLES LIEGEOISE</c:v>
                </c:pt>
                <c:pt idx="4">
                  <c:v>EUROTECH/ DORTEL</c:v>
                </c:pt>
                <c:pt idx="5">
                  <c:v>JOINT DUAL</c:v>
                </c:pt>
                <c:pt idx="6">
                  <c:v>TORBEL</c:v>
                </c:pt>
                <c:pt idx="7">
                  <c:v>GENIUS</c:v>
                </c:pt>
                <c:pt idx="8">
                  <c:v>OPTIMACHINES</c:v>
                </c:pt>
                <c:pt idx="9">
                  <c:v>KASTO</c:v>
                </c:pt>
              </c:strCache>
            </c:strRef>
          </c:cat>
          <c:val>
            <c:numRef>
              <c:f>'ACHATS FRS 20'!$O$7:$O$16</c:f>
              <c:numCache>
                <c:formatCode>_("€"* #,##0.00_);_("€"* \(#,##0.00\);_("€"*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3C-4381-B6BE-1F4ABEF9181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40"/>
        <c:axId val="81684736"/>
        <c:axId val="81707008"/>
      </c:barChart>
      <c:catAx>
        <c:axId val="816847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1000" b="1"/>
            </a:pPr>
            <a:endParaRPr lang="fr-FR"/>
          </a:p>
        </c:txPr>
        <c:crossAx val="81707008"/>
        <c:crosses val="autoZero"/>
        <c:auto val="1"/>
        <c:lblAlgn val="ctr"/>
        <c:lblOffset val="100"/>
        <c:noMultiLvlLbl val="0"/>
      </c:catAx>
      <c:valAx>
        <c:axId val="81707008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1684736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fr-FR" sz="1600">
                <a:solidFill>
                  <a:schemeClr val="bg1"/>
                </a:solidFill>
              </a:rPr>
              <a:t>FOURNISSEURS EXPORTS</a:t>
            </a:r>
          </a:p>
        </c:rich>
      </c:tx>
      <c:overlay val="0"/>
      <c:spPr>
        <a:solidFill>
          <a:schemeClr val="accent6">
            <a:lumMod val="75000"/>
          </a:schemeClr>
        </a:solidFill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'ACHATS FRS 20'!$B$18:$B$21</c:f>
              <c:strCache>
                <c:ptCount val="4"/>
                <c:pt idx="0">
                  <c:v>FEDEX</c:v>
                </c:pt>
                <c:pt idx="1">
                  <c:v>CHRONOPOST</c:v>
                </c:pt>
                <c:pt idx="2">
                  <c:v>COLISSIMO</c:v>
                </c:pt>
                <c:pt idx="3">
                  <c:v>SCHENKER</c:v>
                </c:pt>
              </c:strCache>
            </c:strRef>
          </c:cat>
          <c:val>
            <c:numRef>
              <c:f>'ACHATS FRS 20'!$O$18:$O$21</c:f>
              <c:numCache>
                <c:formatCode>_("€"* #,##0.00_);_("€"* \(#,##0.00\);_("€"* "-"??_);_(@_)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75-4B66-A286-7A7B92BDE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82063360"/>
        <c:axId val="82064896"/>
      </c:barChart>
      <c:catAx>
        <c:axId val="8206336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82064896"/>
        <c:crosses val="autoZero"/>
        <c:auto val="1"/>
        <c:lblAlgn val="ctr"/>
        <c:lblOffset val="100"/>
        <c:noMultiLvlLbl val="0"/>
      </c:catAx>
      <c:valAx>
        <c:axId val="82064896"/>
        <c:scaling>
          <c:orientation val="minMax"/>
        </c:scaling>
        <c:delete val="1"/>
        <c:axPos val="l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206336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4536</xdr:colOff>
      <xdr:row>22</xdr:row>
      <xdr:rowOff>0</xdr:rowOff>
    </xdr:from>
    <xdr:to>
      <xdr:col>31</xdr:col>
      <xdr:colOff>209550</xdr:colOff>
      <xdr:row>35</xdr:row>
      <xdr:rowOff>114300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151040</xdr:colOff>
      <xdr:row>35</xdr:row>
      <xdr:rowOff>190500</xdr:rowOff>
    </xdr:from>
    <xdr:to>
      <xdr:col>28</xdr:col>
      <xdr:colOff>304800</xdr:colOff>
      <xdr:row>48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21316</xdr:colOff>
      <xdr:row>49</xdr:row>
      <xdr:rowOff>95250</xdr:rowOff>
    </xdr:from>
    <xdr:to>
      <xdr:col>28</xdr:col>
      <xdr:colOff>15874</xdr:colOff>
      <xdr:row>59</xdr:row>
      <xdr:rowOff>158749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23813</xdr:colOff>
      <xdr:row>61</xdr:row>
      <xdr:rowOff>171450</xdr:rowOff>
    </xdr:from>
    <xdr:to>
      <xdr:col>28</xdr:col>
      <xdr:colOff>3175</xdr:colOff>
      <xdr:row>77</xdr:row>
      <xdr:rowOff>136525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595312</xdr:colOff>
      <xdr:row>79</xdr:row>
      <xdr:rowOff>25400</xdr:rowOff>
    </xdr:from>
    <xdr:to>
      <xdr:col>28</xdr:col>
      <xdr:colOff>333375</xdr:colOff>
      <xdr:row>96</xdr:row>
      <xdr:rowOff>158750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36</xdr:col>
      <xdr:colOff>345168</xdr:colOff>
      <xdr:row>13</xdr:row>
      <xdr:rowOff>97064</xdr:rowOff>
    </xdr:from>
    <xdr:to>
      <xdr:col>47</xdr:col>
      <xdr:colOff>448582</xdr:colOff>
      <xdr:row>46</xdr:row>
      <xdr:rowOff>160565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95250</xdr:colOff>
      <xdr:row>3</xdr:row>
      <xdr:rowOff>50345</xdr:rowOff>
    </xdr:from>
    <xdr:to>
      <xdr:col>30</xdr:col>
      <xdr:colOff>269875</xdr:colOff>
      <xdr:row>20</xdr:row>
      <xdr:rowOff>176893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30</xdr:col>
      <xdr:colOff>473980</xdr:colOff>
      <xdr:row>4</xdr:row>
      <xdr:rowOff>136071</xdr:rowOff>
    </xdr:from>
    <xdr:to>
      <xdr:col>34</xdr:col>
      <xdr:colOff>535213</xdr:colOff>
      <xdr:row>20</xdr:row>
      <xdr:rowOff>29480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AR88"/>
  <sheetViews>
    <sheetView showGridLines="0" zoomScale="70" zoomScaleNormal="70" workbookViewId="0">
      <selection activeCell="M31" sqref="M31"/>
    </sheetView>
  </sheetViews>
  <sheetFormatPr baseColWidth="10" defaultColWidth="10.81640625" defaultRowHeight="14.5" x14ac:dyDescent="0.35"/>
  <cols>
    <col min="1" max="1" width="22.453125" style="22" bestFit="1" customWidth="1"/>
    <col min="2" max="2" width="43" style="22" bestFit="1" customWidth="1"/>
    <col min="3" max="3" width="19.453125" style="22" bestFit="1" customWidth="1"/>
    <col min="4" max="4" width="17.81640625" style="22" customWidth="1"/>
    <col min="5" max="5" width="17.7265625" style="171" customWidth="1"/>
    <col min="6" max="6" width="17.26953125" style="22" bestFit="1" customWidth="1"/>
    <col min="7" max="7" width="18.1796875" style="22" bestFit="1" customWidth="1"/>
    <col min="8" max="8" width="21.1796875" style="113" bestFit="1" customWidth="1"/>
    <col min="9" max="9" width="19" style="22" bestFit="1" customWidth="1"/>
    <col min="10" max="10" width="20.54296875" style="22" customWidth="1"/>
    <col min="11" max="11" width="21.54296875" style="22" customWidth="1"/>
    <col min="12" max="12" width="19.453125" style="22" customWidth="1"/>
    <col min="13" max="13" width="21.54296875" style="22" customWidth="1"/>
    <col min="14" max="14" width="20.81640625" style="22" customWidth="1"/>
    <col min="15" max="15" width="30.1796875" style="171" customWidth="1"/>
    <col min="16" max="16" width="26" style="22" customWidth="1"/>
    <col min="17" max="32" width="10.81640625" style="22"/>
    <col min="33" max="33" width="21.81640625" style="22" bestFit="1" customWidth="1"/>
    <col min="34" max="34" width="41.453125" style="22" bestFit="1" customWidth="1"/>
    <col min="35" max="35" width="24.54296875" style="22" bestFit="1" customWidth="1"/>
    <col min="36" max="36" width="39" style="22" bestFit="1" customWidth="1"/>
    <col min="37" max="37" width="22.7265625" style="22" bestFit="1" customWidth="1"/>
    <col min="38" max="38" width="19.54296875" style="22" bestFit="1" customWidth="1"/>
    <col min="39" max="39" width="23" style="22" bestFit="1" customWidth="1"/>
    <col min="40" max="40" width="29.54296875" style="22" bestFit="1" customWidth="1"/>
    <col min="41" max="41" width="30.453125" style="22" bestFit="1" customWidth="1"/>
    <col min="42" max="42" width="25.1796875" style="22" bestFit="1" customWidth="1"/>
    <col min="43" max="43" width="23.26953125" style="22" customWidth="1"/>
    <col min="44" max="44" width="16.7265625" style="22" customWidth="1"/>
    <col min="45" max="16384" width="10.81640625" style="22"/>
  </cols>
  <sheetData>
    <row r="1" spans="1:43" ht="28.5" x14ac:dyDescent="0.35">
      <c r="A1" s="445" t="s">
        <v>79</v>
      </c>
      <c r="B1" s="446"/>
      <c r="C1" s="446"/>
      <c r="D1" s="446"/>
      <c r="E1" s="446"/>
      <c r="F1" s="112"/>
      <c r="G1"/>
      <c r="H1" s="8"/>
      <c r="I1"/>
      <c r="J1"/>
      <c r="K1"/>
      <c r="L1"/>
      <c r="M1"/>
      <c r="N1"/>
      <c r="O1" s="3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spans="1:43" s="44" customFormat="1" ht="23.5" x14ac:dyDescent="0.35">
      <c r="A2" s="443" t="s">
        <v>14</v>
      </c>
      <c r="B2" s="444"/>
      <c r="C2" s="444"/>
      <c r="D2" s="444"/>
      <c r="E2" s="111"/>
      <c r="F2" s="107"/>
      <c r="G2" s="107"/>
      <c r="H2" s="107"/>
      <c r="I2" s="7"/>
      <c r="J2" s="107"/>
      <c r="K2" s="7"/>
      <c r="L2" s="7"/>
      <c r="M2" s="7"/>
      <c r="N2" s="7"/>
      <c r="O2" s="110"/>
      <c r="P2" s="7"/>
      <c r="Q2" s="7"/>
      <c r="R2" s="7"/>
      <c r="S2" s="439" t="s">
        <v>96</v>
      </c>
      <c r="T2" s="440"/>
      <c r="U2" s="440"/>
      <c r="V2" s="440"/>
      <c r="W2" s="440"/>
      <c r="X2" s="440"/>
      <c r="Y2" s="440"/>
      <c r="Z2" s="440"/>
      <c r="AA2" s="440"/>
      <c r="AB2" s="440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172" customFormat="1" ht="26" x14ac:dyDescent="0.35">
      <c r="A3" s="106"/>
      <c r="B3" s="106"/>
      <c r="C3" s="107"/>
      <c r="D3" s="107"/>
      <c r="E3" s="107"/>
      <c r="F3" s="107"/>
      <c r="G3" s="107"/>
      <c r="H3" s="107"/>
      <c r="I3" s="107"/>
      <c r="J3" s="107"/>
      <c r="K3" s="108"/>
      <c r="L3" s="108"/>
      <c r="M3" s="108"/>
      <c r="N3" s="108"/>
      <c r="O3" s="109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</row>
    <row r="4" spans="1:43" ht="15" thickBot="1" x14ac:dyDescent="0.4">
      <c r="A4"/>
      <c r="B4"/>
      <c r="C4"/>
      <c r="D4"/>
      <c r="E4" s="3"/>
      <c r="F4"/>
      <c r="G4"/>
      <c r="H4" s="8"/>
      <c r="I4"/>
      <c r="J4"/>
      <c r="K4"/>
      <c r="L4"/>
      <c r="M4"/>
      <c r="N4"/>
      <c r="O4" s="3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 ht="30" customHeight="1" thickBot="1" x14ac:dyDescent="0.4">
      <c r="A5"/>
      <c r="B5" s="245" t="s">
        <v>0</v>
      </c>
      <c r="C5" s="245" t="s">
        <v>1</v>
      </c>
      <c r="D5" s="124" t="s">
        <v>2</v>
      </c>
      <c r="E5" s="124" t="s">
        <v>3</v>
      </c>
      <c r="F5" s="124" t="s">
        <v>4</v>
      </c>
      <c r="G5" s="124" t="s">
        <v>5</v>
      </c>
      <c r="H5" s="124" t="s">
        <v>6</v>
      </c>
      <c r="I5" s="124" t="s">
        <v>7</v>
      </c>
      <c r="J5" s="124" t="s">
        <v>8</v>
      </c>
      <c r="K5" s="124" t="s">
        <v>9</v>
      </c>
      <c r="L5" s="124" t="s">
        <v>10</v>
      </c>
      <c r="M5" s="124" t="s">
        <v>11</v>
      </c>
      <c r="N5" s="124" t="s">
        <v>12</v>
      </c>
      <c r="O5" s="131" t="s">
        <v>15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30" customHeight="1" thickBot="1" x14ac:dyDescent="0.4">
      <c r="A6" s="123" t="s">
        <v>30</v>
      </c>
      <c r="B6" s="441" t="s">
        <v>93</v>
      </c>
      <c r="C6" s="442"/>
      <c r="D6" s="442"/>
      <c r="E6" s="442"/>
      <c r="F6" s="442"/>
      <c r="G6" s="442"/>
      <c r="H6" s="442"/>
      <c r="I6" s="442"/>
      <c r="J6" s="442"/>
      <c r="K6" s="442"/>
      <c r="L6" s="442"/>
      <c r="M6" s="442"/>
      <c r="N6" s="442"/>
      <c r="O6" s="283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ht="15.5" x14ac:dyDescent="0.35">
      <c r="A7" s="96"/>
      <c r="B7" s="93" t="s">
        <v>111</v>
      </c>
      <c r="C7" s="85">
        <f>SUMIFS('FACT - FRS EXPORTS-TRANSPORTS'!$I$5:$I$62,'FACT - FRS EXPORTS-TRANSPORTS'!$F$5:$F$62,"vimar",'FACT - FRS EXPORTS-TRANSPORTS'!$K$5:$K$62,"janvier")+SUMIFS('FACT - FRS EXPORTS-TRANSPORTS'!$I$5:$I$62,'FACT - FRS EXPORTS-TRANSPORTS'!$F$5:$F$62,"cevam",'FACT - FRS EXPORTS-TRANSPORTS'!$K$5:$K$62,"fevrier")</f>
        <v>0</v>
      </c>
      <c r="D7" s="85">
        <f>SUMIFS('FACT - FRS EXPORTS-TRANSPORTS'!$I$5:$I$62,'FACT - FRS EXPORTS-TRANSPORTS'!$F$5:$F$62,"vimar",'FACT - FRS EXPORTS-TRANSPORTS'!$K$5:$K$62,"fevrier")+SUMIFS('FACT - FRS EXPORTS-TRANSPORTS'!$I$5:$I$62,'FACT - FRS EXPORTS-TRANSPORTS'!$F$5:$F$62,"cevam",'FACT - FRS EXPORTS-TRANSPORTS'!$K$5:$K$62,"fevrier")</f>
        <v>0</v>
      </c>
      <c r="E7" s="85">
        <f>SUMIFS('FACT - FRS EXPORTS-TRANSPORTS'!$I$5:$I$62,'FACT - FRS EXPORTS-TRANSPORTS'!$F$5:$F$62,"vimar",'FACT - FRS EXPORTS-TRANSPORTS'!$K$5:$K$62,"mars")+SUMIFS('FACT - FRS EXPORTS-TRANSPORTS'!$I$5:$I$62,'FACT - FRS EXPORTS-TRANSPORTS'!$F$5:$F$62,"cevam",'FACT - FRS EXPORTS-TRANSPORTS'!$K$5:$K$62,"mars")</f>
        <v>0</v>
      </c>
      <c r="F7" s="85">
        <f>SUMIFS('FACT - FRS EXPORTS-TRANSPORTS'!$I$5:$I$62,'FACT - FRS EXPORTS-TRANSPORTS'!$F$5:$F$62,"vimar",'FACT - FRS EXPORTS-TRANSPORTS'!$K$5:$K$62,"avril")+SUMIFS('FACT - FRS EXPORTS-TRANSPORTS'!$I$5:$I$62,'FACT - FRS EXPORTS-TRANSPORTS'!$F$5:$F$62,"cevam",'FACT - FRS EXPORTS-TRANSPORTS'!$K$5:$K$62,"avril")</f>
        <v>0</v>
      </c>
      <c r="G7" s="85">
        <f>SUMIFS('FACT - FRS EXPORTS-TRANSPORTS'!$I$5:$I$62,'FACT - FRS EXPORTS-TRANSPORTS'!$F$5:$F$62,"vimar",'FACT - FRS EXPORTS-TRANSPORTS'!$K$5:$K$62,"mai")+SUMIFS('FACT - FRS EXPORTS-TRANSPORTS'!$I$5:$I$62,'FACT - FRS EXPORTS-TRANSPORTS'!$F$5:$F$62,"cevam",'FACT - FRS EXPORTS-TRANSPORTS'!$K$5:$K$62,"mai")</f>
        <v>0</v>
      </c>
      <c r="H7" s="85">
        <f>SUMIFS('FACT - FRS EXPORTS-TRANSPORTS'!$I$5:$I$62,'FACT - FRS EXPORTS-TRANSPORTS'!$F$5:$F$62,"vimar",'FACT - FRS EXPORTS-TRANSPORTS'!$K$5:$K$62,"juin")+SUMIFS('FACT - FRS EXPORTS-TRANSPORTS'!$I$5:$I$62,'FACT - FRS EXPORTS-TRANSPORTS'!$F$5:$F$62,"cevam",'FACT - FRS EXPORTS-TRANSPORTS'!$K$5:$K$62,"juin")</f>
        <v>0</v>
      </c>
      <c r="I7" s="85">
        <f>SUMIFS('FACT - FRS EXPORTS-TRANSPORTS'!$I$5:$I$62,'FACT - FRS EXPORTS-TRANSPORTS'!$F$5:$F$62,"vimar",'FACT - FRS EXPORTS-TRANSPORTS'!$K$5:$K$62,"juillet")+SUMIFS('FACT - FRS EXPORTS-TRANSPORTS'!$I$5:$I$62,'FACT - FRS EXPORTS-TRANSPORTS'!$F$5:$F$62,"cevam",'FACT - FRS EXPORTS-TRANSPORTS'!$K$5:$K$62,"juillet")</f>
        <v>0</v>
      </c>
      <c r="J7" s="85">
        <f>SUMIFS('FACT - FRS EXPORTS-TRANSPORTS'!$I$5:$I$62,'FACT - FRS EXPORTS-TRANSPORTS'!$F$5:$F$62,"vimar",'FACT - FRS EXPORTS-TRANSPORTS'!$K$5:$K$62,"aout")+SUMIFS('FACT - FRS EXPORTS-TRANSPORTS'!$I$5:$I$62,'FACT - FRS EXPORTS-TRANSPORTS'!$F$5:$F$62,"cevam",'FACT - FRS EXPORTS-TRANSPORTS'!$K$5:$K$62,"aout")</f>
        <v>0</v>
      </c>
      <c r="K7" s="85">
        <f>SUMIFS('FACT - FRS EXPORTS-TRANSPORTS'!$I$5:$I$62,'FACT - FRS EXPORTS-TRANSPORTS'!$F$5:$F$62,"vimar",'FACT - FRS EXPORTS-TRANSPORTS'!$K$5:$K$62,"septembre")+SUMIFS('FACT - FRS EXPORTS-TRANSPORTS'!$I$5:$I$62,'FACT - FRS EXPORTS-TRANSPORTS'!$F$5:$F$62,"cevam",'FACT - FRS EXPORTS-TRANSPORTS'!$K$5:$K$62,"septembre")</f>
        <v>0</v>
      </c>
      <c r="L7" s="85">
        <f>SUMIFS('FACT - FRS EXPORTS-TRANSPORTS'!$I$5:$I$62,'FACT - FRS EXPORTS-TRANSPORTS'!$F$5:$F$62,"vimar",'FACT - FRS EXPORTS-TRANSPORTS'!$K$5:$K$62,"octobre")+SUMIFS('FACT - FRS EXPORTS-TRANSPORTS'!$I$5:$I$62,'FACT - FRS EXPORTS-TRANSPORTS'!$F$5:$F$62,"cevam",'FACT - FRS EXPORTS-TRANSPORTS'!$K$5:$K$62,"octobre")</f>
        <v>0</v>
      </c>
      <c r="M7" s="85">
        <f>SUMIFS('FACT - FRS EXPORTS-TRANSPORTS'!$I$5:$I$62,'FACT - FRS EXPORTS-TRANSPORTS'!$F$5:$F$62,"vimar",'FACT - FRS EXPORTS-TRANSPORTS'!$K$5:$K$62,"novembre")+SUMIFS('FACT - FRS EXPORTS-TRANSPORTS'!$I$5:$I$62,'FACT - FRS EXPORTS-TRANSPORTS'!$F$5:$F$62,"cevam",'FACT - FRS EXPORTS-TRANSPORTS'!$K$5:$K$62,"novembre")</f>
        <v>0</v>
      </c>
      <c r="N7" s="85">
        <f>SUMIFS('FACT - FRS EXPORTS-TRANSPORTS'!$I$5:$I$62,'FACT - FRS EXPORTS-TRANSPORTS'!$F$5:$F$62,"vimar",'FACT - FRS EXPORTS-TRANSPORTS'!$K$5:$K$62,"decembre")+SUMIFS('FACT - FRS EXPORTS-TRANSPORTS'!$I$5:$I$62,'FACT - FRS EXPORTS-TRANSPORTS'!$F$5:$F$62,"cevam",'FACT - FRS EXPORTS-TRANSPORTS'!$K$5:$K$62,"decembre")</f>
        <v>0</v>
      </c>
      <c r="O7" s="284">
        <f>SUM(C7:N7)</f>
        <v>0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ht="15.5" x14ac:dyDescent="0.35">
      <c r="A8" s="6"/>
      <c r="B8" s="93" t="s">
        <v>33</v>
      </c>
      <c r="C8" s="85">
        <f>SUMIFS('FACT - FRS EXPORTS-TRANSPORTS'!$I$5:$I$62,'FACT - FRS EXPORTS-TRANSPORTS'!$F$5:$F$62,"FAAC",'FACT - FRS EXPORTS-TRANSPORTS'!$K$5:$K$62,"janvier")</f>
        <v>0</v>
      </c>
      <c r="D8" s="85">
        <f>SUMIFS('FACT - FRS EXPORTS-TRANSPORTS'!$I$5:$I$62,'FACT - FRS EXPORTS-TRANSPORTS'!$F$5:$F$62,"FAAC",'FACT - FRS EXPORTS-TRANSPORTS'!$K$5:$K$62,"fevrier")</f>
        <v>0</v>
      </c>
      <c r="E8" s="85">
        <f>SUMIFS('FACT - FRS EXPORTS-TRANSPORTS'!$I$5:$I$62,'FACT - FRS EXPORTS-TRANSPORTS'!$F$5:$F$62,"FAAC",'FACT - FRS EXPORTS-TRANSPORTS'!$K$5:$K$62,"mars")</f>
        <v>0</v>
      </c>
      <c r="F8" s="85">
        <f>SUMIFS('FACT - FRS EXPORTS-TRANSPORTS'!$I$5:$I$62,'FACT - FRS EXPORTS-TRANSPORTS'!$F$5:$F$62,"FAAC",'FACT - FRS EXPORTS-TRANSPORTS'!$K$5:$K$62,"avril")</f>
        <v>0</v>
      </c>
      <c r="G8" s="85">
        <f>SUMIFS('FACT - FRS EXPORTS-TRANSPORTS'!$I$5:$I$62,'FACT - FRS EXPORTS-TRANSPORTS'!$F$5:$F$62,"FAAC",'FACT - FRS EXPORTS-TRANSPORTS'!$K$5:$K$62,"mai")</f>
        <v>0</v>
      </c>
      <c r="H8" s="85">
        <f>SUMIFS('FACT - FRS EXPORTS-TRANSPORTS'!$I$5:$I$62,'FACT - FRS EXPORTS-TRANSPORTS'!$F$5:$F$62,"FAAC",'FACT - FRS EXPORTS-TRANSPORTS'!$K$5:$K$62,"juin")</f>
        <v>0</v>
      </c>
      <c r="I8" s="85">
        <f>SUMIFS('FACT - FRS EXPORTS-TRANSPORTS'!$I$5:$I$62,'FACT - FRS EXPORTS-TRANSPORTS'!$F$5:$F$62,"FAAC",'FACT - FRS EXPORTS-TRANSPORTS'!$K$5:$K$62,"juillet")</f>
        <v>0</v>
      </c>
      <c r="J8" s="85">
        <f>SUMIFS('FACT - FRS EXPORTS-TRANSPORTS'!$I$5:$I$62,'FACT - FRS EXPORTS-TRANSPORTS'!$F$5:$F$62,"FAAC",'FACT - FRS EXPORTS-TRANSPORTS'!$K$5:$K$62,"aout")</f>
        <v>0</v>
      </c>
      <c r="K8" s="85">
        <f>SUMIFS('FACT - FRS EXPORTS-TRANSPORTS'!$I$5:$I$62,'FACT - FRS EXPORTS-TRANSPORTS'!$F$5:$F$62,"FAAC",'FACT - FRS EXPORTS-TRANSPORTS'!$K$5:$K$62,"septembre")</f>
        <v>0</v>
      </c>
      <c r="L8" s="85">
        <f>SUMIFS('FACT - FRS EXPORTS-TRANSPORTS'!$I$5:$I$62,'FACT - FRS EXPORTS-TRANSPORTS'!$F$5:$F$62,"FAAC",'FACT - FRS EXPORTS-TRANSPORTS'!$K$5:$K$62,"octobre")</f>
        <v>0</v>
      </c>
      <c r="M8" s="85">
        <f>SUMIFS('FACT - FRS EXPORTS-TRANSPORTS'!$I$5:$I$62,'FACT - FRS EXPORTS-TRANSPORTS'!$F$5:$F$62,"FAAC",'FACT - FRS EXPORTS-TRANSPORTS'!$K$5:$K$62,"novembre")</f>
        <v>0</v>
      </c>
      <c r="N8" s="85">
        <f>SUMIFS('FACT - FRS EXPORTS-TRANSPORTS'!$I$5:$I$62,'FACT - FRS EXPORTS-TRANSPORTS'!$F$5:$F$62,"FAAC",'FACT - FRS EXPORTS-TRANSPORTS'!$K$5:$K$62,"decembre")</f>
        <v>0</v>
      </c>
      <c r="O8" s="127">
        <f>SUM(C8:N8)</f>
        <v>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 s="1"/>
      <c r="AH8" s="1"/>
      <c r="AI8" s="1"/>
      <c r="AJ8" s="1"/>
      <c r="AK8" s="1"/>
      <c r="AL8" s="1"/>
      <c r="AM8"/>
      <c r="AN8"/>
      <c r="AO8"/>
      <c r="AP8"/>
      <c r="AQ8"/>
    </row>
    <row r="9" spans="1:43" ht="15.5" x14ac:dyDescent="0.35">
      <c r="A9" s="6"/>
      <c r="B9" s="93" t="s">
        <v>31</v>
      </c>
      <c r="C9" s="85">
        <f>SUMIFS('FACT - FRS EXPORTS-TRANSPORTS'!$I$5:$I$62,'FACT - FRS EXPORTS-TRANSPORTS'!$F$5:$F$62,"decayeux",'FACT - FRS EXPORTS-TRANSPORTS'!$K$5:$K$62,"janvier")+SUMIFS('FACT - FRS EXPORTS-TRANSPORTS'!$I$5:$I$62,'FACT - FRS EXPORTS-TRANSPORTS'!$F$5:$F$62,"dad",'FACT - FRS EXPORTS-TRANSPORTS'!$K$5:$K$62,"fevrier")</f>
        <v>0</v>
      </c>
      <c r="D9" s="85">
        <f>SUMIFS('FACT - FRS EXPORTS-TRANSPORTS'!$I$5:$I$62,'FACT - FRS EXPORTS-TRANSPORTS'!$F$5:$F$62,"decayeux",'FACT - FRS EXPORTS-TRANSPORTS'!$K$5:$K$62,"fevrier")+SUMIFS('FACT - FRS EXPORTS-TRANSPORTS'!$I$5:$I$62,'FACT - FRS EXPORTS-TRANSPORTS'!$F$5:$F$62,"dad",'FACT - FRS EXPORTS-TRANSPORTS'!$K$5:$K$62,"fevrier")</f>
        <v>0</v>
      </c>
      <c r="E9" s="85">
        <f>SUMIFS('FACT - FRS EXPORTS-TRANSPORTS'!$I$5:$I$62,'FACT - FRS EXPORTS-TRANSPORTS'!$F$5:$F$62,"decayeux",'FACT - FRS EXPORTS-TRANSPORTS'!$K$5:$K$62,"mars")+SUMIFS('FACT - FRS EXPORTS-TRANSPORTS'!$I$5:$I$62,'FACT - FRS EXPORTS-TRANSPORTS'!$F$5:$F$62,"dad",'FACT - FRS EXPORTS-TRANSPORTS'!$K$5:$K$62,"fevrier")</f>
        <v>0</v>
      </c>
      <c r="F9" s="85">
        <f>SUMIFS('FACT - FRS EXPORTS-TRANSPORTS'!$I$5:$I$62,'FACT - FRS EXPORTS-TRANSPORTS'!$F$5:$F$62,"decayeux",'FACT - FRS EXPORTS-TRANSPORTS'!$K$5:$K$62,"avril")+SUMIFS('FACT - FRS EXPORTS-TRANSPORTS'!$I$5:$I$62,'FACT - FRS EXPORTS-TRANSPORTS'!$F$5:$F$62,"dad",'FACT - FRS EXPORTS-TRANSPORTS'!$K$5:$K$62,"fevrier")</f>
        <v>0</v>
      </c>
      <c r="G9" s="85">
        <f>SUMIFS('FACT - FRS EXPORTS-TRANSPORTS'!$I$5:$I$62,'FACT - FRS EXPORTS-TRANSPORTS'!$F$5:$F$62,"decayeux",'FACT - FRS EXPORTS-TRANSPORTS'!$K$5:$K$62,"mai")+SUMIFS('FACT - FRS EXPORTS-TRANSPORTS'!$I$5:$I$62,'FACT - FRS EXPORTS-TRANSPORTS'!$F$5:$F$62,"dad",'FACT - FRS EXPORTS-TRANSPORTS'!$K$5:$K$62,"fevrier")</f>
        <v>0</v>
      </c>
      <c r="H9" s="85">
        <f>SUMIFS('FACT - FRS EXPORTS-TRANSPORTS'!$I$5:$I$62,'FACT - FRS EXPORTS-TRANSPORTS'!$F$5:$F$62,"decayeux",'FACT - FRS EXPORTS-TRANSPORTS'!$K$5:$K$62,"juin")+SUMIFS('FACT - FRS EXPORTS-TRANSPORTS'!$I$5:$I$62,'FACT - FRS EXPORTS-TRANSPORTS'!$F$5:$F$62,"dad",'FACT - FRS EXPORTS-TRANSPORTS'!$K$5:$K$62,"fevrier")</f>
        <v>0</v>
      </c>
      <c r="I9" s="85">
        <f>SUMIFS('FACT - FRS EXPORTS-TRANSPORTS'!$I$5:$I$62,'FACT - FRS EXPORTS-TRANSPORTS'!$F$5:$F$62,"decayeux",'FACT - FRS EXPORTS-TRANSPORTS'!$K$5:$K$62,"juillet")+SUMIFS('FACT - FRS EXPORTS-TRANSPORTS'!$I$5:$I$62,'FACT - FRS EXPORTS-TRANSPORTS'!$F$5:$F$62,"dad",'FACT - FRS EXPORTS-TRANSPORTS'!$K$5:$K$62,"fevrier")</f>
        <v>0</v>
      </c>
      <c r="J9" s="85">
        <f>SUMIFS('FACT - FRS EXPORTS-TRANSPORTS'!$I$5:$I$62,'FACT - FRS EXPORTS-TRANSPORTS'!$F$5:$F$62,"decayeux",'FACT - FRS EXPORTS-TRANSPORTS'!$K$5:$K$62,"aout")+SUMIFS('FACT - FRS EXPORTS-TRANSPORTS'!$I$5:$I$62,'FACT - FRS EXPORTS-TRANSPORTS'!$F$5:$F$62,"dad",'FACT - FRS EXPORTS-TRANSPORTS'!$K$5:$K$62,"fevrier")</f>
        <v>0</v>
      </c>
      <c r="K9" s="85">
        <f>SUMIFS('FACT - FRS EXPORTS-TRANSPORTS'!$I$5:$I$62,'FACT - FRS EXPORTS-TRANSPORTS'!$F$5:$F$62,"decayeux",'FACT - FRS EXPORTS-TRANSPORTS'!$K$5:$K$62,"septembre")+SUMIFS('FACT - FRS EXPORTS-TRANSPORTS'!$I$5:$I$62,'FACT - FRS EXPORTS-TRANSPORTS'!$F$5:$F$62,"dad",'FACT - FRS EXPORTS-TRANSPORTS'!$K$5:$K$62,"fevrier")</f>
        <v>0</v>
      </c>
      <c r="L9" s="85">
        <f>SUMIFS('FACT - FRS EXPORTS-TRANSPORTS'!$I$5:$I$62,'FACT - FRS EXPORTS-TRANSPORTS'!$F$5:$F$62,"decayeux",'FACT - FRS EXPORTS-TRANSPORTS'!$K$5:$K$62,"octobre")+SUMIFS('FACT - FRS EXPORTS-TRANSPORTS'!$I$5:$I$62,'FACT - FRS EXPORTS-TRANSPORTS'!$F$5:$F$62,"dad",'FACT - FRS EXPORTS-TRANSPORTS'!$K$5:$K$62,"fevrier")</f>
        <v>0</v>
      </c>
      <c r="M9" s="85">
        <f>SUMIFS('FACT - FRS EXPORTS-TRANSPORTS'!$I$5:$I$62,'FACT - FRS EXPORTS-TRANSPORTS'!$F$5:$F$62,"decayeux",'FACT - FRS EXPORTS-TRANSPORTS'!$K$5:$K$62,"novembre")+SUMIFS('FACT - FRS EXPORTS-TRANSPORTS'!$I$5:$I$62,'FACT - FRS EXPORTS-TRANSPORTS'!$F$5:$F$62,"dad",'FACT - FRS EXPORTS-TRANSPORTS'!$K$5:$K$62,"fevrier")</f>
        <v>0</v>
      </c>
      <c r="N9" s="85">
        <f>SUMIFS('FACT - FRS EXPORTS-TRANSPORTS'!$I$5:$I$62,'FACT - FRS EXPORTS-TRANSPORTS'!$F$5:$F$62,"decayeux",'FACT - FRS EXPORTS-TRANSPORTS'!$K$5:$K$62,"decembre")+SUMIFS('FACT - FRS EXPORTS-TRANSPORTS'!$I$5:$I$62,'FACT - FRS EXPORTS-TRANSPORTS'!$F$5:$F$62,"dad",'FACT - FRS EXPORTS-TRANSPORTS'!$K$5:$K$62,"fevrier")</f>
        <v>0</v>
      </c>
      <c r="O9" s="127">
        <f>SUM(C9:N9)</f>
        <v>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ht="15.5" x14ac:dyDescent="0.35">
      <c r="A10" s="6"/>
      <c r="B10" s="93" t="s">
        <v>74</v>
      </c>
      <c r="C10" s="85">
        <f>SUMIFS('FACT - FRS EXPORTS-TRANSPORTS'!$I$5:$I$62,'FACT - FRS EXPORTS-TRANSPORTS'!$F$5:$F$62,"PAUMELLES LIEGEOISE",'FACT - FRS EXPORTS-TRANSPORTS'!$K$5:$K$62,"janvier")</f>
        <v>0</v>
      </c>
      <c r="D10" s="85">
        <f>SUMIFS('FACT - FRS EXPORTS-TRANSPORTS'!$I$5:$I$62,'FACT - FRS EXPORTS-TRANSPORTS'!$F$5:$F$62,"PAUMELLES LIEGEOISE",'FACT - FRS EXPORTS-TRANSPORTS'!$K$5:$K$62,"fevrier")</f>
        <v>0</v>
      </c>
      <c r="E10" s="85">
        <f>SUMIFS('FACT - FRS EXPORTS-TRANSPORTS'!$I$5:$I$62,'FACT - FRS EXPORTS-TRANSPORTS'!$F$5:$F$62,"PAUMELLES LIEGEOISE",'FACT - FRS EXPORTS-TRANSPORTS'!$K$5:$K$62,"mars")</f>
        <v>0</v>
      </c>
      <c r="F10" s="85">
        <f>SUMIFS('FACT - FRS EXPORTS-TRANSPORTS'!$I$5:$I$62,'FACT - FRS EXPORTS-TRANSPORTS'!$F$5:$F$62,"PAUMELLES LIEGEOISE",'FACT - FRS EXPORTS-TRANSPORTS'!$K$5:$K$62,"avril")</f>
        <v>0</v>
      </c>
      <c r="G10" s="85">
        <f>SUMIFS('FACT - FRS EXPORTS-TRANSPORTS'!$I$5:$I$62,'FACT - FRS EXPORTS-TRANSPORTS'!$F$5:$F$62,"PAUMELLES LIEGEOISE",'FACT - FRS EXPORTS-TRANSPORTS'!$K$5:$K$62,"mai")</f>
        <v>0</v>
      </c>
      <c r="H10" s="85">
        <f>SUMIFS('FACT - FRS EXPORTS-TRANSPORTS'!$I$5:$I$62,'FACT - FRS EXPORTS-TRANSPORTS'!$F$5:$F$62,"PAUMELLES LIEGEOISE",'FACT - FRS EXPORTS-TRANSPORTS'!$K$5:$K$62,"juin")</f>
        <v>0</v>
      </c>
      <c r="I10" s="85">
        <f>SUMIFS('FACT - FRS EXPORTS-TRANSPORTS'!$I$5:$I$62,'FACT - FRS EXPORTS-TRANSPORTS'!$F$5:$F$62,"PAUMELLES LIEGEOISE",'FACT - FRS EXPORTS-TRANSPORTS'!$K$5:$K$62,"juillet")</f>
        <v>0</v>
      </c>
      <c r="J10" s="85">
        <f>SUMIFS('FACT - FRS EXPORTS-TRANSPORTS'!$I$5:$I$62,'FACT - FRS EXPORTS-TRANSPORTS'!$F$5:$F$62,"PAUMELLES LIEGEOISE",'FACT - FRS EXPORTS-TRANSPORTS'!$K$5:$K$62,"aout")</f>
        <v>0</v>
      </c>
      <c r="K10" s="85">
        <f>SUMIFS('FACT - FRS EXPORTS-TRANSPORTS'!$I$5:$I$62,'FACT - FRS EXPORTS-TRANSPORTS'!$F$5:$F$62,"PAUMELLES LIEGEOISE",'FACT - FRS EXPORTS-TRANSPORTS'!$K$5:$K$62,"septembre")</f>
        <v>0</v>
      </c>
      <c r="L10" s="85">
        <f>SUMIFS('FACT - FRS EXPORTS-TRANSPORTS'!$I$5:$I$62,'FACT - FRS EXPORTS-TRANSPORTS'!$F$5:$F$62,"PAUMELLES LIEGEOISE",'FACT - FRS EXPORTS-TRANSPORTS'!$K$5:$K$62,"octobre")</f>
        <v>0</v>
      </c>
      <c r="M10" s="85">
        <f>SUMIFS('FACT - FRS EXPORTS-TRANSPORTS'!$I$5:$I$62,'FACT - FRS EXPORTS-TRANSPORTS'!$F$5:$F$62,"PAUMELLES LIEGEOISE",'FACT - FRS EXPORTS-TRANSPORTS'!$K$5:$K$62,"novembre")</f>
        <v>0</v>
      </c>
      <c r="N10" s="85">
        <f>SUMIFS('FACT - FRS EXPORTS-TRANSPORTS'!$I$5:$I$62,'FACT - FRS EXPORTS-TRANSPORTS'!$F$5:$F$62,"PAUMELLES LIEGEOISE",'FACT - FRS EXPORTS-TRANSPORTS'!$K$5:$K$62,"decembre")</f>
        <v>0</v>
      </c>
      <c r="O10" s="127">
        <f t="shared" ref="O10:O16" si="0">SUM(C10:N10)</f>
        <v>0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ht="15.5" x14ac:dyDescent="0.35">
      <c r="A11" s="6"/>
      <c r="B11" s="93" t="s">
        <v>112</v>
      </c>
      <c r="C11" s="85">
        <f>SUMIFS('FACT - FRS EXPORTS-TRANSPORTS'!$I$5:$I$62,'FACT - FRS EXPORTS-TRANSPORTS'!$F$5:$F$62,"eurotech",'FACT - FRS EXPORTS-TRANSPORTS'!$K$5:$K$62,"janvier")+SUMIFS('FACT - FRS EXPORTS-TRANSPORTS'!$I$5:$I$62,'FACT - FRS EXPORTS-TRANSPORTS'!$F$5:$F$62,"dortel",'FACT - FRS EXPORTS-TRANSPORTS'!$K$5:$K$62,"fevrier")</f>
        <v>0</v>
      </c>
      <c r="D11" s="85">
        <f>SUMIFS('FACT - FRS EXPORTS-TRANSPORTS'!$I$5:$I$62,'FACT - FRS EXPORTS-TRANSPORTS'!$F$5:$F$62,"eurotech",'FACT - FRS EXPORTS-TRANSPORTS'!$K$5:$K$62,"fevrier")+SUMIFS('FACT - FRS EXPORTS-TRANSPORTS'!$I$5:$I$62,'FACT - FRS EXPORTS-TRANSPORTS'!$F$5:$F$62,"dortel",'FACT - FRS EXPORTS-TRANSPORTS'!$K$5:$K$62,"fevrier")</f>
        <v>0</v>
      </c>
      <c r="E11" s="85">
        <f>SUMIFS('FACT - FRS EXPORTS-TRANSPORTS'!$I$5:$I$62,'FACT - FRS EXPORTS-TRANSPORTS'!$F$5:$F$62,"eurotech",'FACT - FRS EXPORTS-TRANSPORTS'!$K$5:$K$62,"mars")+SUMIFS('FACT - FRS EXPORTS-TRANSPORTS'!$I$5:$I$62,'FACT - FRS EXPORTS-TRANSPORTS'!$F$5:$F$62,"dortel",'FACT - FRS EXPORTS-TRANSPORTS'!$K$5:$K$62,"fevrier")</f>
        <v>0</v>
      </c>
      <c r="F11" s="85">
        <f>SUMIFS('FACT - FRS EXPORTS-TRANSPORTS'!$I$5:$I$62,'FACT - FRS EXPORTS-TRANSPORTS'!$F$5:$F$62,"eurotech",'FACT - FRS EXPORTS-TRANSPORTS'!$K$5:$K$62,"avril")+SUMIFS('FACT - FRS EXPORTS-TRANSPORTS'!$I$5:$I$62,'FACT - FRS EXPORTS-TRANSPORTS'!$F$5:$F$62,"dortel",'FACT - FRS EXPORTS-TRANSPORTS'!$K$5:$K$62,"fevrier")</f>
        <v>0</v>
      </c>
      <c r="G11" s="85">
        <f>SUMIFS('FACT - FRS EXPORTS-TRANSPORTS'!$I$5:$I$62,'FACT - FRS EXPORTS-TRANSPORTS'!$F$5:$F$62,"eurotech",'FACT - FRS EXPORTS-TRANSPORTS'!$K$5:$K$62,"mai")+SUMIFS('FACT - FRS EXPORTS-TRANSPORTS'!$I$5:$I$62,'FACT - FRS EXPORTS-TRANSPORTS'!$F$5:$F$62,"dortel",'FACT - FRS EXPORTS-TRANSPORTS'!$K$5:$K$62,"fevrier")</f>
        <v>0</v>
      </c>
      <c r="H11" s="85">
        <f>SUMIFS('FACT - FRS EXPORTS-TRANSPORTS'!$I$5:$I$62,'FACT - FRS EXPORTS-TRANSPORTS'!$F$5:$F$62,"eurotech",'FACT - FRS EXPORTS-TRANSPORTS'!$K$5:$K$62,"juin")+SUMIFS('FACT - FRS EXPORTS-TRANSPORTS'!$I$5:$I$62,'FACT - FRS EXPORTS-TRANSPORTS'!$F$5:$F$62,"dortel",'FACT - FRS EXPORTS-TRANSPORTS'!$K$5:$K$62,"fevrier")</f>
        <v>0</v>
      </c>
      <c r="I11" s="85">
        <f>SUMIFS('FACT - FRS EXPORTS-TRANSPORTS'!$I$5:$I$62,'FACT - FRS EXPORTS-TRANSPORTS'!$F$5:$F$62,"eurotech",'FACT - FRS EXPORTS-TRANSPORTS'!$K$5:$K$62,"juillet")+SUMIFS('FACT - FRS EXPORTS-TRANSPORTS'!$I$5:$I$62,'FACT - FRS EXPORTS-TRANSPORTS'!$F$5:$F$62,"dortel",'FACT - FRS EXPORTS-TRANSPORTS'!$K$5:$K$62,"fevrier")</f>
        <v>0</v>
      </c>
      <c r="J11" s="85">
        <f>SUMIFS('FACT - FRS EXPORTS-TRANSPORTS'!$I$5:$I$62,'FACT - FRS EXPORTS-TRANSPORTS'!$F$5:$F$62,"eurotech",'FACT - FRS EXPORTS-TRANSPORTS'!$K$5:$K$62,"aout")+SUMIFS('FACT - FRS EXPORTS-TRANSPORTS'!$I$5:$I$62,'FACT - FRS EXPORTS-TRANSPORTS'!$F$5:$F$62,"dortel",'FACT - FRS EXPORTS-TRANSPORTS'!$K$5:$K$62,"fevrier")</f>
        <v>0</v>
      </c>
      <c r="K11" s="85">
        <f>SUMIFS('FACT - FRS EXPORTS-TRANSPORTS'!$I$5:$I$62,'FACT - FRS EXPORTS-TRANSPORTS'!$F$5:$F$62,"eurotech",'FACT - FRS EXPORTS-TRANSPORTS'!$K$5:$K$62,"septembre")+SUMIFS('FACT - FRS EXPORTS-TRANSPORTS'!$I$5:$I$62,'FACT - FRS EXPORTS-TRANSPORTS'!$F$5:$F$62,"dortel",'FACT - FRS EXPORTS-TRANSPORTS'!$K$5:$K$62,"fevrier")</f>
        <v>0</v>
      </c>
      <c r="L11" s="85">
        <f>SUMIFS('FACT - FRS EXPORTS-TRANSPORTS'!$I$5:$I$62,'FACT - FRS EXPORTS-TRANSPORTS'!$F$5:$F$62,"eurotech",'FACT - FRS EXPORTS-TRANSPORTS'!$K$5:$K$62,"octobre")+SUMIFS('FACT - FRS EXPORTS-TRANSPORTS'!$I$5:$I$62,'FACT - FRS EXPORTS-TRANSPORTS'!$F$5:$F$62,"dortel",'FACT - FRS EXPORTS-TRANSPORTS'!$K$5:$K$62,"fevrier")</f>
        <v>0</v>
      </c>
      <c r="M11" s="85">
        <f>SUMIFS('FACT - FRS EXPORTS-TRANSPORTS'!$I$5:$I$62,'FACT - FRS EXPORTS-TRANSPORTS'!$F$5:$F$62,"eurotech",'FACT - FRS EXPORTS-TRANSPORTS'!$K$5:$K$62,"novembre")+SUMIFS('FACT - FRS EXPORTS-TRANSPORTS'!$I$5:$I$62,'FACT - FRS EXPORTS-TRANSPORTS'!$F$5:$F$62,"dortel",'FACT - FRS EXPORTS-TRANSPORTS'!$K$5:$K$62,"fevrier")</f>
        <v>0</v>
      </c>
      <c r="N11" s="85">
        <f>SUMIFS('FACT - FRS EXPORTS-TRANSPORTS'!$I$5:$I$62,'FACT - FRS EXPORTS-TRANSPORTS'!$F$5:$F$62,"eurotech",'FACT - FRS EXPORTS-TRANSPORTS'!$K$5:$K$62,"decembre")+SUMIFS('FACT - FRS EXPORTS-TRANSPORTS'!$I$5:$I$62,'FACT - FRS EXPORTS-TRANSPORTS'!$F$5:$F$62,"dortel",'FACT - FRS EXPORTS-TRANSPORTS'!$K$5:$K$62,"fevrier")</f>
        <v>0</v>
      </c>
      <c r="O11" s="127">
        <f t="shared" si="0"/>
        <v>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ht="15.5" x14ac:dyDescent="0.35">
      <c r="A12" s="6"/>
      <c r="B12" s="93" t="s">
        <v>113</v>
      </c>
      <c r="C12" s="85">
        <f>SUMIFS('FACT - FRS EXPORTS-TRANSPORTS'!$I$5:$I$62,'FACT - FRS EXPORTS-TRANSPORTS'!$F$5:$F$62,"JOINT DUAL",'FACT - FRS EXPORTS-TRANSPORTS'!$K$5:$K$62,"janvier")</f>
        <v>0</v>
      </c>
      <c r="D12" s="85">
        <f>SUMIFS('FACT - FRS EXPORTS-TRANSPORTS'!$I$5:$I$62,'FACT - FRS EXPORTS-TRANSPORTS'!$F$5:$F$62,"JOINT DUAL",'FACT - FRS EXPORTS-TRANSPORTS'!$K$5:$K$62,"fevrier")</f>
        <v>0</v>
      </c>
      <c r="E12" s="85">
        <f>SUMIFS('FACT - FRS EXPORTS-TRANSPORTS'!$I$5:$I$62,'FACT - FRS EXPORTS-TRANSPORTS'!$F$5:$F$62,"JOINT DUAL",'FACT - FRS EXPORTS-TRANSPORTS'!$K$5:$K$62,"mars")</f>
        <v>0</v>
      </c>
      <c r="F12" s="85">
        <f>SUMIFS('FACT - FRS EXPORTS-TRANSPORTS'!$I$5:$I$62,'FACT - FRS EXPORTS-TRANSPORTS'!$F$5:$F$62,"JOINT DUAL",'FACT - FRS EXPORTS-TRANSPORTS'!$K$5:$K$62,"avril")</f>
        <v>0</v>
      </c>
      <c r="G12" s="85">
        <f>SUMIFS('FACT - FRS EXPORTS-TRANSPORTS'!$I$5:$I$62,'FACT - FRS EXPORTS-TRANSPORTS'!$F$5:$F$62,"JOINT DUAL",'FACT - FRS EXPORTS-TRANSPORTS'!$K$5:$K$62,"mai")</f>
        <v>0</v>
      </c>
      <c r="H12" s="85">
        <f>SUMIFS('FACT - FRS EXPORTS-TRANSPORTS'!$I$5:$I$62,'FACT - FRS EXPORTS-TRANSPORTS'!$F$5:$F$62,"JOINT DUAL",'FACT - FRS EXPORTS-TRANSPORTS'!$K$5:$K$62,"juin")</f>
        <v>0</v>
      </c>
      <c r="I12" s="85">
        <f>SUMIFS('FACT - FRS EXPORTS-TRANSPORTS'!$I$5:$I$62,'FACT - FRS EXPORTS-TRANSPORTS'!$F$5:$F$62,"JOINT DUAL",'FACT - FRS EXPORTS-TRANSPORTS'!$K$5:$K$62,"juillet")</f>
        <v>0</v>
      </c>
      <c r="J12" s="85">
        <f>SUMIFS('FACT - FRS EXPORTS-TRANSPORTS'!$I$5:$I$62,'FACT - FRS EXPORTS-TRANSPORTS'!$F$5:$F$62,"JOINT DUAL",'FACT - FRS EXPORTS-TRANSPORTS'!$K$5:$K$62,"aout")</f>
        <v>0</v>
      </c>
      <c r="K12" s="85">
        <f>SUMIFS('FACT - FRS EXPORTS-TRANSPORTS'!$I$5:$I$62,'FACT - FRS EXPORTS-TRANSPORTS'!$F$5:$F$62,"JOINT DUAL",'FACT - FRS EXPORTS-TRANSPORTS'!$K$5:$K$62,"septembre")</f>
        <v>0</v>
      </c>
      <c r="L12" s="85">
        <f>SUMIFS('FACT - FRS EXPORTS-TRANSPORTS'!$I$5:$I$62,'FACT - FRS EXPORTS-TRANSPORTS'!$F$5:$F$62,"JOINT DUAL",'FACT - FRS EXPORTS-TRANSPORTS'!$K$5:$K$62,"octobre")</f>
        <v>0</v>
      </c>
      <c r="M12" s="85">
        <f>SUMIFS('FACT - FRS EXPORTS-TRANSPORTS'!$I$5:$I$62,'FACT - FRS EXPORTS-TRANSPORTS'!$F$5:$F$62,"JOINT DUAL",'FACT - FRS EXPORTS-TRANSPORTS'!$K$5:$K$62,"novembre")</f>
        <v>0</v>
      </c>
      <c r="N12" s="85">
        <f>SUMIFS('FACT - FRS EXPORTS-TRANSPORTS'!$I$5:$I$62,'FACT - FRS EXPORTS-TRANSPORTS'!$F$5:$F$62,"JOINT DUAL",'FACT - FRS EXPORTS-TRANSPORTS'!$K$5:$K$62,"decembre")</f>
        <v>0</v>
      </c>
      <c r="O12" s="127">
        <f t="shared" si="0"/>
        <v>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ht="15.5" x14ac:dyDescent="0.35">
      <c r="A13" s="6"/>
      <c r="B13" s="93" t="s">
        <v>151</v>
      </c>
      <c r="C13" s="85">
        <f>SUMIFS('FACT - FRS EXPORTS-TRANSPORTS'!$I$5:$I$62,'FACT - FRS EXPORTS-TRANSPORTS'!$F$5:$F$62,"TORBEL",'FACT - FRS EXPORTS-TRANSPORTS'!$K$5:$K$62,"janvier")</f>
        <v>0</v>
      </c>
      <c r="D13" s="85">
        <f>SUMIFS('FACT - FRS EXPORTS-TRANSPORTS'!$I$5:$I$62,'FACT - FRS EXPORTS-TRANSPORTS'!$F$5:$F$62,"TORBEL",'FACT - FRS EXPORTS-TRANSPORTS'!$K$5:$K$62,"fevrier")</f>
        <v>0</v>
      </c>
      <c r="E13" s="85">
        <f>SUMIFS('FACT - FRS EXPORTS-TRANSPORTS'!$I$5:$I$62,'FACT - FRS EXPORTS-TRANSPORTS'!$F$5:$F$62,"TORBEL",'FACT - FRS EXPORTS-TRANSPORTS'!$K$5:$K$62,"mars")</f>
        <v>0</v>
      </c>
      <c r="F13" s="85">
        <f>SUMIFS('FACT - FRS EXPORTS-TRANSPORTS'!$I$5:$I$62,'FACT - FRS EXPORTS-TRANSPORTS'!$F$5:$F$62,"TORBEL",'FACT - FRS EXPORTS-TRANSPORTS'!$K$5:$K$62,"avril")</f>
        <v>0</v>
      </c>
      <c r="G13" s="85">
        <f>SUMIFS('FACT - FRS EXPORTS-TRANSPORTS'!$I$5:$I$62,'FACT - FRS EXPORTS-TRANSPORTS'!$F$5:$F$62,"TORBEL",'FACT - FRS EXPORTS-TRANSPORTS'!$K$5:$K$62,"mai")</f>
        <v>0</v>
      </c>
      <c r="H13" s="85">
        <f>SUMIFS('FACT - FRS EXPORTS-TRANSPORTS'!$I$5:$I$62,'FACT - FRS EXPORTS-TRANSPORTS'!$F$5:$F$62,"TORBEL",'FACT - FRS EXPORTS-TRANSPORTS'!$K$5:$K$62,"juin")</f>
        <v>0</v>
      </c>
      <c r="I13" s="85">
        <f>SUMIFS('FACT - FRS EXPORTS-TRANSPORTS'!$I$5:$I$62,'FACT - FRS EXPORTS-TRANSPORTS'!$F$5:$F$62,"TORBEL",'FACT - FRS EXPORTS-TRANSPORTS'!$K$5:$K$62,"juillet")</f>
        <v>0</v>
      </c>
      <c r="J13" s="85">
        <f>SUMIFS('FACT - FRS EXPORTS-TRANSPORTS'!$I$5:$I$62,'FACT - FRS EXPORTS-TRANSPORTS'!$F$5:$F$62,"TORBEL",'FACT - FRS EXPORTS-TRANSPORTS'!$K$5:$K$62,"aout")</f>
        <v>0</v>
      </c>
      <c r="K13" s="85">
        <f>SUMIFS('FACT - FRS EXPORTS-TRANSPORTS'!$I$5:$I$62,'FACT - FRS EXPORTS-TRANSPORTS'!$F$5:$F$62,"TORBEL",'FACT - FRS EXPORTS-TRANSPORTS'!$K$5:$K$62,"septembre")</f>
        <v>0</v>
      </c>
      <c r="L13" s="85">
        <f>SUMIFS('FACT - FRS EXPORTS-TRANSPORTS'!$I$5:$I$62,'FACT - FRS EXPORTS-TRANSPORTS'!$F$5:$F$62,"TORBEL",'FACT - FRS EXPORTS-TRANSPORTS'!$K$5:$K$62,"octobre")</f>
        <v>0</v>
      </c>
      <c r="M13" s="85">
        <f>SUMIFS('FACT - FRS EXPORTS-TRANSPORTS'!$I$5:$I$62,'FACT - FRS EXPORTS-TRANSPORTS'!$F$5:$F$62,"TORBEL",'FACT - FRS EXPORTS-TRANSPORTS'!$K$5:$K$62,"novembre")</f>
        <v>0</v>
      </c>
      <c r="N13" s="85">
        <f>SUMIFS('FACT - FRS EXPORTS-TRANSPORTS'!$I$5:$I$62,'FACT - FRS EXPORTS-TRANSPORTS'!$F$5:$F$62,"TORBEL",'FACT - FRS EXPORTS-TRANSPORTS'!$K$5:$K$62,"decembre")</f>
        <v>0</v>
      </c>
      <c r="O13" s="127">
        <f t="shared" si="0"/>
        <v>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ht="15.5" x14ac:dyDescent="0.35">
      <c r="A14" s="6"/>
      <c r="B14" s="93" t="s">
        <v>114</v>
      </c>
      <c r="C14" s="85">
        <f>SUMIFS('FACT - FRS EXPORTS-TRANSPORTS'!$I$5:$I$62,'FACT - FRS EXPORTS-TRANSPORTS'!$F$5:$F$62,"GENIUS",'FACT - FRS EXPORTS-TRANSPORTS'!$K$5:$K$62,"janvier")</f>
        <v>0</v>
      </c>
      <c r="D14" s="85">
        <f>SUMIFS('FACT - FRS EXPORTS-TRANSPORTS'!$I$5:$I$62,'FACT - FRS EXPORTS-TRANSPORTS'!$F$5:$F$62,"GENIUS",'FACT - FRS EXPORTS-TRANSPORTS'!$K$5:$K$62,"fevrier")</f>
        <v>0</v>
      </c>
      <c r="E14" s="85">
        <f>SUMIFS('FACT - FRS EXPORTS-TRANSPORTS'!$I$5:$I$62,'FACT - FRS EXPORTS-TRANSPORTS'!$F$5:$F$62,"GENIUS",'FACT - FRS EXPORTS-TRANSPORTS'!$K$5:$K$62,"mars")</f>
        <v>0</v>
      </c>
      <c r="F14" s="85">
        <f>SUMIFS('FACT - FRS EXPORTS-TRANSPORTS'!$I$5:$I$62,'FACT - FRS EXPORTS-TRANSPORTS'!$F$5:$F$62,"GENIUS",'FACT - FRS EXPORTS-TRANSPORTS'!$K$5:$K$62,"avril")</f>
        <v>0</v>
      </c>
      <c r="G14" s="85">
        <f>SUMIFS('FACT - FRS EXPORTS-TRANSPORTS'!$I$5:$I$62,'FACT - FRS EXPORTS-TRANSPORTS'!$F$5:$F$62,"GENIUS",'FACT - FRS EXPORTS-TRANSPORTS'!$K$5:$K$62,"mai")</f>
        <v>0</v>
      </c>
      <c r="H14" s="85">
        <f>SUMIFS('FACT - FRS EXPORTS-TRANSPORTS'!$I$5:$I$62,'FACT - FRS EXPORTS-TRANSPORTS'!$F$5:$F$62,"GENIUS",'FACT - FRS EXPORTS-TRANSPORTS'!$K$5:$K$62,"juin")</f>
        <v>0</v>
      </c>
      <c r="I14" s="85">
        <f>SUMIFS('FACT - FRS EXPORTS-TRANSPORTS'!$I$5:$I$62,'FACT - FRS EXPORTS-TRANSPORTS'!$F$5:$F$62,"GENIUS",'FACT - FRS EXPORTS-TRANSPORTS'!$K$5:$K$62,"juillet")</f>
        <v>0</v>
      </c>
      <c r="J14" s="85">
        <f>SUMIFS('FACT - FRS EXPORTS-TRANSPORTS'!$I$5:$I$62,'FACT - FRS EXPORTS-TRANSPORTS'!$F$5:$F$62,"GENIUS",'FACT - FRS EXPORTS-TRANSPORTS'!$K$5:$K$62,"aout")</f>
        <v>0</v>
      </c>
      <c r="K14" s="85">
        <f>SUMIFS('FACT - FRS EXPORTS-TRANSPORTS'!$I$5:$I$62,'FACT - FRS EXPORTS-TRANSPORTS'!$F$5:$F$62,"GENIUS",'FACT - FRS EXPORTS-TRANSPORTS'!$K$5:$K$62,"septembre")</f>
        <v>0</v>
      </c>
      <c r="L14" s="85">
        <f>SUMIFS('FACT - FRS EXPORTS-TRANSPORTS'!$I$5:$I$62,'FACT - FRS EXPORTS-TRANSPORTS'!$F$5:$F$62,"GENIUS",'FACT - FRS EXPORTS-TRANSPORTS'!$K$5:$K$62,"octobre")</f>
        <v>0</v>
      </c>
      <c r="M14" s="85">
        <f>SUMIFS('FACT - FRS EXPORTS-TRANSPORTS'!$I$5:$I$62,'FACT - FRS EXPORTS-TRANSPORTS'!$F$5:$F$62,"GENIUS",'FACT - FRS EXPORTS-TRANSPORTS'!$K$5:$K$62,"novembre")</f>
        <v>0</v>
      </c>
      <c r="N14" s="85">
        <f>SUMIFS('FACT - FRS EXPORTS-TRANSPORTS'!$I$5:$I$62,'FACT - FRS EXPORTS-TRANSPORTS'!$F$5:$F$62,"GENIUS",'FACT - FRS EXPORTS-TRANSPORTS'!$K$5:$K$62,"decembre")</f>
        <v>0</v>
      </c>
      <c r="O14" s="127">
        <f t="shared" si="0"/>
        <v>0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ht="15.5" x14ac:dyDescent="0.35">
      <c r="A15" s="6"/>
      <c r="B15" s="93" t="s">
        <v>159</v>
      </c>
      <c r="C15" s="85">
        <f>SUMIFS('FACT - FRS EXPORTS-TRANSPORTS'!$I$5:$I$62,'FACT - FRS EXPORTS-TRANSPORTS'!$F$5:$F$62,"OPTIMACHINES",'FACT - FRS EXPORTS-TRANSPORTS'!$K$5:$K$62,"janvier")</f>
        <v>0</v>
      </c>
      <c r="D15" s="85">
        <f>SUMIFS('FACT - FRS EXPORTS-TRANSPORTS'!$I$5:$I$62,'FACT - FRS EXPORTS-TRANSPORTS'!$F$5:$F$62,"OPTIMACHINES",'FACT - FRS EXPORTS-TRANSPORTS'!$K$5:$K$62,"fevrier")</f>
        <v>0</v>
      </c>
      <c r="E15" s="85">
        <f>SUMIFS('FACT - FRS EXPORTS-TRANSPORTS'!$I$5:$I$62,'FACT - FRS EXPORTS-TRANSPORTS'!$F$5:$F$62,"OPTIMACHINES",'FACT - FRS EXPORTS-TRANSPORTS'!$K$5:$K$62,"mars")</f>
        <v>0</v>
      </c>
      <c r="F15" s="85">
        <f>SUMIFS('FACT - FRS EXPORTS-TRANSPORTS'!$I$5:$I$62,'FACT - FRS EXPORTS-TRANSPORTS'!$F$5:$F$62,"OPTIMACHINES",'FACT - FRS EXPORTS-TRANSPORTS'!$K$5:$K$62,"avril")</f>
        <v>0</v>
      </c>
      <c r="G15" s="85">
        <f>SUMIFS('FACT - FRS EXPORTS-TRANSPORTS'!$I$5:$I$62,'FACT - FRS EXPORTS-TRANSPORTS'!$F$5:$F$62,"OPTIMACHINES",'FACT - FRS EXPORTS-TRANSPORTS'!$K$5:$K$62,"mai")</f>
        <v>0</v>
      </c>
      <c r="H15" s="85">
        <f>SUMIFS('FACT - FRS EXPORTS-TRANSPORTS'!$I$5:$I$62,'FACT - FRS EXPORTS-TRANSPORTS'!$F$5:$F$62,"OPTIMACHINES",'FACT - FRS EXPORTS-TRANSPORTS'!$K$5:$K$62,"juin")</f>
        <v>0</v>
      </c>
      <c r="I15" s="85">
        <f>SUMIFS('FACT - FRS EXPORTS-TRANSPORTS'!$I$5:$I$62,'FACT - FRS EXPORTS-TRANSPORTS'!$F$5:$F$62,"OPTIMACHINES",'FACT - FRS EXPORTS-TRANSPORTS'!$K$5:$K$62,"juillet")</f>
        <v>0</v>
      </c>
      <c r="J15" s="85">
        <f>SUMIFS('FACT - FRS EXPORTS-TRANSPORTS'!$I$5:$I$62,'FACT - FRS EXPORTS-TRANSPORTS'!$F$5:$F$62,"OPTIMACHINES",'FACT - FRS EXPORTS-TRANSPORTS'!$K$5:$K$62,"aout")</f>
        <v>0</v>
      </c>
      <c r="K15" s="85">
        <f>SUMIFS('FACT - FRS EXPORTS-TRANSPORTS'!$I$5:$I$62,'FACT - FRS EXPORTS-TRANSPORTS'!$F$5:$F$62,"OPTIMACHINES",'FACT - FRS EXPORTS-TRANSPORTS'!$K$5:$K$62,"septembre")</f>
        <v>0</v>
      </c>
      <c r="L15" s="85">
        <f>SUMIFS('FACT - FRS EXPORTS-TRANSPORTS'!$I$5:$I$62,'FACT - FRS EXPORTS-TRANSPORTS'!$F$5:$F$62,"OPTIMACHINES",'FACT - FRS EXPORTS-TRANSPORTS'!$K$5:$K$62,"octobre")</f>
        <v>0</v>
      </c>
      <c r="M15" s="85">
        <f>SUMIFS('FACT - FRS EXPORTS-TRANSPORTS'!$I$5:$I$62,'FACT - FRS EXPORTS-TRANSPORTS'!$F$5:$F$62,"OPTIMACHINES",'FACT - FRS EXPORTS-TRANSPORTS'!$K$5:$K$62,"novembre")</f>
        <v>0</v>
      </c>
      <c r="N15" s="85">
        <f>SUMIFS('FACT - FRS EXPORTS-TRANSPORTS'!$I$5:$I$62,'FACT - FRS EXPORTS-TRANSPORTS'!$F$5:$F$62,"OPTIMACHINES",'FACT - FRS EXPORTS-TRANSPORTS'!$K$5:$K$62,"decembre")</f>
        <v>0</v>
      </c>
      <c r="O15" s="127">
        <f t="shared" si="0"/>
        <v>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ht="16" thickBot="1" x14ac:dyDescent="0.4">
      <c r="A16" s="6"/>
      <c r="B16" s="93" t="s">
        <v>115</v>
      </c>
      <c r="C16" s="85">
        <f>SUMIFS('FACT - FRS EXPORTS-TRANSPORTS'!$I$5:$I$62,'FACT - FRS EXPORTS-TRANSPORTS'!$F$5:$F$62,"KASTO",'FACT - FRS EXPORTS-TRANSPORTS'!$K$5:$K$62,"janvier")</f>
        <v>0</v>
      </c>
      <c r="D16" s="85">
        <f>SUMIFS('FACT - FRS EXPORTS-TRANSPORTS'!$I$5:$I$62,'FACT - FRS EXPORTS-TRANSPORTS'!$F$5:$F$62,"KASTO",'FACT - FRS EXPORTS-TRANSPORTS'!$K$5:$K$62,"fevrier")</f>
        <v>0</v>
      </c>
      <c r="E16" s="85">
        <f>SUMIFS('FACT - FRS EXPORTS-TRANSPORTS'!$I$5:$I$62,'FACT - FRS EXPORTS-TRANSPORTS'!$F$5:$F$62,"KASTO",'FACT - FRS EXPORTS-TRANSPORTS'!$K$5:$K$62,"mars")</f>
        <v>0</v>
      </c>
      <c r="F16" s="85">
        <f>SUMIFS('FACT - FRS EXPORTS-TRANSPORTS'!$I$5:$I$62,'FACT - FRS EXPORTS-TRANSPORTS'!$F$5:$F$62,"KASTO",'FACT - FRS EXPORTS-TRANSPORTS'!$K$5:$K$62,"avril")</f>
        <v>0</v>
      </c>
      <c r="G16" s="85">
        <f>SUMIFS('FACT - FRS EXPORTS-TRANSPORTS'!$I$5:$I$62,'FACT - FRS EXPORTS-TRANSPORTS'!$F$5:$F$62,"KASTO",'FACT - FRS EXPORTS-TRANSPORTS'!$K$5:$K$62,"mai")</f>
        <v>0</v>
      </c>
      <c r="H16" s="85">
        <f>SUMIFS('FACT - FRS EXPORTS-TRANSPORTS'!$I$5:$I$62,'FACT - FRS EXPORTS-TRANSPORTS'!$F$5:$F$62,"KASTO",'FACT - FRS EXPORTS-TRANSPORTS'!$K$5:$K$62,"juin")</f>
        <v>0</v>
      </c>
      <c r="I16" s="85">
        <f>SUMIFS('FACT - FRS EXPORTS-TRANSPORTS'!$I$5:$I$62,'FACT - FRS EXPORTS-TRANSPORTS'!$F$5:$F$62,"KASTO",'FACT - FRS EXPORTS-TRANSPORTS'!$K$5:$K$62,"juillet")</f>
        <v>0</v>
      </c>
      <c r="J16" s="85">
        <f>SUMIFS('FACT - FRS EXPORTS-TRANSPORTS'!$I$5:$I$62,'FACT - FRS EXPORTS-TRANSPORTS'!$F$5:$F$62,"KASTO",'FACT - FRS EXPORTS-TRANSPORTS'!$K$5:$K$62,"aout")</f>
        <v>0</v>
      </c>
      <c r="K16" s="85">
        <f>SUMIFS('FACT - FRS EXPORTS-TRANSPORTS'!$I$5:$I$62,'FACT - FRS EXPORTS-TRANSPORTS'!$F$5:$F$62,"KASTO",'FACT - FRS EXPORTS-TRANSPORTS'!$K$5:$K$62,"septembre")</f>
        <v>0</v>
      </c>
      <c r="L16" s="85">
        <f>SUMIFS('FACT - FRS EXPORTS-TRANSPORTS'!$I$5:$I$62,'FACT - FRS EXPORTS-TRANSPORTS'!$F$5:$F$62,"KASTO",'FACT - FRS EXPORTS-TRANSPORTS'!$K$5:$K$62,"octobre")</f>
        <v>0</v>
      </c>
      <c r="M16" s="85">
        <f>SUMIFS('FACT - FRS EXPORTS-TRANSPORTS'!$I$5:$I$62,'FACT - FRS EXPORTS-TRANSPORTS'!$F$5:$F$62,"KASTO",'FACT - FRS EXPORTS-TRANSPORTS'!$K$5:$K$62,"novembre")</f>
        <v>0</v>
      </c>
      <c r="N16" s="85">
        <f>SUMIFS('FACT - FRS EXPORTS-TRANSPORTS'!$I$5:$I$62,'FACT - FRS EXPORTS-TRANSPORTS'!$F$5:$F$62,"KASTO",'FACT - FRS EXPORTS-TRANSPORTS'!$K$5:$K$62,"decembre")</f>
        <v>0</v>
      </c>
      <c r="O16" s="127">
        <f t="shared" si="0"/>
        <v>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ht="19" thickBot="1" x14ac:dyDescent="0.4">
      <c r="A17" s="121" t="s">
        <v>81</v>
      </c>
      <c r="B17" s="98"/>
      <c r="C17" s="99"/>
      <c r="D17" s="99"/>
      <c r="E17" s="99"/>
      <c r="F17" s="99"/>
      <c r="G17" s="99"/>
      <c r="H17" s="99"/>
      <c r="I17" s="99"/>
      <c r="J17" s="100"/>
      <c r="K17" s="100"/>
      <c r="L17" s="100"/>
      <c r="M17" s="100"/>
      <c r="N17" s="128"/>
      <c r="O17" s="12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ht="15.5" x14ac:dyDescent="0.35">
      <c r="A18" s="6"/>
      <c r="B18" s="93" t="s">
        <v>116</v>
      </c>
      <c r="C18" s="85">
        <f>SUMIFS('FACT - FRS EXPORTS-TRANSPORTS'!$V$5:$V$62,'FACT - FRS EXPORTS-TRANSPORTS'!$S$5:$S$62,"fedex",'FACT - FRS EXPORTS-TRANSPORTS'!$AA$5:$AA$62,"janvier")</f>
        <v>0</v>
      </c>
      <c r="D18" s="85">
        <f>SUMIFS('FACT - FRS EXPORTS-TRANSPORTS'!$V$5:$V$62,'FACT - FRS EXPORTS-TRANSPORTS'!$S$5:$S$62,"fedex",'FACT - FRS EXPORTS-TRANSPORTS'!$AA$5:$AA$62,"fevrier")</f>
        <v>0</v>
      </c>
      <c r="E18" s="85">
        <f>SUMIFS('FACT - FRS EXPORTS-TRANSPORTS'!$V$5:$V$62,'FACT - FRS EXPORTS-TRANSPORTS'!$S$5:$S$62,"fedex",'FACT - FRS EXPORTS-TRANSPORTS'!$AA$5:$AA$62,"mars")</f>
        <v>0</v>
      </c>
      <c r="F18" s="85">
        <f>SUMIFS('FACT - FRS EXPORTS-TRANSPORTS'!$V$5:$V$62,'FACT - FRS EXPORTS-TRANSPORTS'!$S$5:$S$62,"fedex",'FACT - FRS EXPORTS-TRANSPORTS'!$AA$5:$AA$62,"avril")</f>
        <v>0</v>
      </c>
      <c r="G18" s="85">
        <f>SUMIFS('FACT - FRS EXPORTS-TRANSPORTS'!$V$5:$V$62,'FACT - FRS EXPORTS-TRANSPORTS'!$S$5:$S$62,"fedex",'FACT - FRS EXPORTS-TRANSPORTS'!$AA$5:$AA$62,"mai")</f>
        <v>0</v>
      </c>
      <c r="H18" s="85">
        <f>SUMIFS('FACT - FRS EXPORTS-TRANSPORTS'!$V$5:$V$62,'FACT - FRS EXPORTS-TRANSPORTS'!$S$5:$S$62,"fedex",'FACT - FRS EXPORTS-TRANSPORTS'!$AA$5:$AA$62,"juin")</f>
        <v>0</v>
      </c>
      <c r="I18" s="85">
        <f>SUMIFS('FACT - FRS EXPORTS-TRANSPORTS'!$V$5:$V$62,'FACT - FRS EXPORTS-TRANSPORTS'!$S$5:$S$62,"fedex",'FACT - FRS EXPORTS-TRANSPORTS'!$AA$5:$AA$62,"juillet")</f>
        <v>0</v>
      </c>
      <c r="J18" s="85">
        <f>SUMIFS('FACT - FRS EXPORTS-TRANSPORTS'!$V$5:$V$62,'FACT - FRS EXPORTS-TRANSPORTS'!$S$5:$S$62,"fedex",'FACT - FRS EXPORTS-TRANSPORTS'!$AA$5:$AA$62,"aout")</f>
        <v>0</v>
      </c>
      <c r="K18" s="85">
        <f>SUMIFS('FACT - FRS EXPORTS-TRANSPORTS'!$V$5:$V$62,'FACT - FRS EXPORTS-TRANSPORTS'!$S$5:$S$62,"fedex",'FACT - FRS EXPORTS-TRANSPORTS'!$AA$5:$AA$62,"septembre")</f>
        <v>0</v>
      </c>
      <c r="L18" s="85">
        <f>SUMIFS('FACT - FRS EXPORTS-TRANSPORTS'!$V$5:$V$62,'FACT - FRS EXPORTS-TRANSPORTS'!$S$5:$S$62,"fedex",'FACT - FRS EXPORTS-TRANSPORTS'!$AA$5:$AA$62,"octobre")</f>
        <v>0</v>
      </c>
      <c r="M18" s="85">
        <f>SUMIFS('FACT - FRS EXPORTS-TRANSPORTS'!$V$5:$V$62,'FACT - FRS EXPORTS-TRANSPORTS'!$S$5:$S$62,"fedex",'FACT - FRS EXPORTS-TRANSPORTS'!$AA$5:$AA$62,"novembre")</f>
        <v>0</v>
      </c>
      <c r="N18" s="85">
        <f>SUMIFS('FACT - FRS EXPORTS-TRANSPORTS'!$V$5:$V$62,'FACT - FRS EXPORTS-TRANSPORTS'!$S$5:$S$62,"fedex",'FACT - FRS EXPORTS-TRANSPORTS'!$AA$5:$AA$62,"decembre")</f>
        <v>0</v>
      </c>
      <c r="O18" s="127">
        <f t="shared" ref="O18:O21" si="1">SUM(C18:N18)</f>
        <v>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ht="15.5" x14ac:dyDescent="0.35">
      <c r="A19" s="6"/>
      <c r="B19" s="93" t="s">
        <v>117</v>
      </c>
      <c r="C19" s="85">
        <f>SUMIFS('FACT - FRS EXPORTS-TRANSPORTS'!$V$5:$V$62,'FACT - FRS EXPORTS-TRANSPORTS'!$S$5:$S$62,"CHRONOPOST",'FACT - FRS EXPORTS-TRANSPORTS'!$AA$5:$AA$62,"janvier")</f>
        <v>0</v>
      </c>
      <c r="D19" s="85">
        <f>SUMIFS('FACT - FRS EXPORTS-TRANSPORTS'!$V$5:$V$62,'FACT - FRS EXPORTS-TRANSPORTS'!$S$5:$S$62,"CHRONOPOST",'FACT - FRS EXPORTS-TRANSPORTS'!$AA$5:$AA$62,"fevrier")</f>
        <v>0</v>
      </c>
      <c r="E19" s="85">
        <f>SUMIFS('FACT - FRS EXPORTS-TRANSPORTS'!$V$5:$V$62,'FACT - FRS EXPORTS-TRANSPORTS'!$S$5:$S$62,"CHRONOPOST",'FACT - FRS EXPORTS-TRANSPORTS'!$AA$5:$AA$62,"mars")</f>
        <v>0</v>
      </c>
      <c r="F19" s="85">
        <f>SUMIFS('FACT - FRS EXPORTS-TRANSPORTS'!$V$5:$V$62,'FACT - FRS EXPORTS-TRANSPORTS'!$S$5:$S$62,"CHRONOPOST",'FACT - FRS EXPORTS-TRANSPORTS'!$AA$5:$AA$62,"avril")</f>
        <v>0</v>
      </c>
      <c r="G19" s="85">
        <f>SUMIFS('FACT - FRS EXPORTS-TRANSPORTS'!$V$5:$V$62,'FACT - FRS EXPORTS-TRANSPORTS'!$S$5:$S$62,"CHRONOPOST",'FACT - FRS EXPORTS-TRANSPORTS'!$AA$5:$AA$62,"mai")</f>
        <v>0</v>
      </c>
      <c r="H19" s="85">
        <f>SUMIFS('FACT - FRS EXPORTS-TRANSPORTS'!$V$5:$V$62,'FACT - FRS EXPORTS-TRANSPORTS'!$S$5:$S$62,"CHRONOPOST",'FACT - FRS EXPORTS-TRANSPORTS'!$AA$5:$AA$62,"juin")</f>
        <v>0</v>
      </c>
      <c r="I19" s="85">
        <f>SUMIFS('FACT - FRS EXPORTS-TRANSPORTS'!$V$5:$V$62,'FACT - FRS EXPORTS-TRANSPORTS'!$S$5:$S$62,"CHRONOPOST",'FACT - FRS EXPORTS-TRANSPORTS'!$AA$5:$AA$62,"juillet")</f>
        <v>0</v>
      </c>
      <c r="J19" s="85">
        <f>SUMIFS('FACT - FRS EXPORTS-TRANSPORTS'!$V$5:$V$62,'FACT - FRS EXPORTS-TRANSPORTS'!$S$5:$S$62,"CHRONOPOST",'FACT - FRS EXPORTS-TRANSPORTS'!$AA$5:$AA$62,"aout")</f>
        <v>0</v>
      </c>
      <c r="K19" s="85">
        <f>SUMIFS('FACT - FRS EXPORTS-TRANSPORTS'!$V$5:$V$62,'FACT - FRS EXPORTS-TRANSPORTS'!$S$5:$S$62,"CHRONOPOST",'FACT - FRS EXPORTS-TRANSPORTS'!$AA$5:$AA$62,"septembre")</f>
        <v>0</v>
      </c>
      <c r="L19" s="85">
        <f>SUMIFS('FACT - FRS EXPORTS-TRANSPORTS'!$V$5:$V$62,'FACT - FRS EXPORTS-TRANSPORTS'!$S$5:$S$62,"CHRONOPOST",'FACT - FRS EXPORTS-TRANSPORTS'!$AA$5:$AA$62,"octobre")</f>
        <v>0</v>
      </c>
      <c r="M19" s="85">
        <f>SUMIFS('FACT - FRS EXPORTS-TRANSPORTS'!$V$5:$V$62,'FACT - FRS EXPORTS-TRANSPORTS'!$S$5:$S$62,"CHRONOPOST",'FACT - FRS EXPORTS-TRANSPORTS'!$AA$5:$AA$62,"novembre")</f>
        <v>0</v>
      </c>
      <c r="N19" s="85">
        <f>SUMIFS('FACT - FRS EXPORTS-TRANSPORTS'!$V$5:$V$62,'FACT - FRS EXPORTS-TRANSPORTS'!$S$5:$S$62,"CHRONOPOST",'FACT - FRS EXPORTS-TRANSPORTS'!$AA$5:$AA$62,"decembre")</f>
        <v>0</v>
      </c>
      <c r="O19" s="127">
        <f t="shared" si="1"/>
        <v>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ht="15.5" x14ac:dyDescent="0.35">
      <c r="A20" s="6"/>
      <c r="B20" s="93" t="s">
        <v>98</v>
      </c>
      <c r="C20" s="85">
        <f>SUMIFS('FACT - FRS EXPORTS-TRANSPORTS'!$V$5:$V$62,'FACT - FRS EXPORTS-TRANSPORTS'!$S$5:$S$62,"COLISSIMO",'FACT - FRS EXPORTS-TRANSPORTS'!$AA$5:$AA$62,"janvier")</f>
        <v>0</v>
      </c>
      <c r="D20" s="85">
        <f>SUMIFS('FACT - FRS EXPORTS-TRANSPORTS'!$V$5:$V$62,'FACT - FRS EXPORTS-TRANSPORTS'!$S$5:$S$62,"COLISSIMO",'FACT - FRS EXPORTS-TRANSPORTS'!$AA$5:$AA$62,"fevrier")</f>
        <v>0</v>
      </c>
      <c r="E20" s="85">
        <f>SUMIFS('FACT - FRS EXPORTS-TRANSPORTS'!$V$5:$V$62,'FACT - FRS EXPORTS-TRANSPORTS'!$S$5:$S$62,"COLISSIMO",'FACT - FRS EXPORTS-TRANSPORTS'!$AA$5:$AA$62,"mars")</f>
        <v>0</v>
      </c>
      <c r="F20" s="85">
        <f>SUMIFS('FACT - FRS EXPORTS-TRANSPORTS'!$V$5:$V$62,'FACT - FRS EXPORTS-TRANSPORTS'!$S$5:$S$62,"COLISSIMO",'FACT - FRS EXPORTS-TRANSPORTS'!$AA$5:$AA$62,"avril")</f>
        <v>0</v>
      </c>
      <c r="G20" s="85">
        <f>SUMIFS('FACT - FRS EXPORTS-TRANSPORTS'!$V$5:$V$62,'FACT - FRS EXPORTS-TRANSPORTS'!$S$5:$S$62,"COLISSIMO",'FACT - FRS EXPORTS-TRANSPORTS'!$AA$5:$AA$62,"mai")</f>
        <v>0</v>
      </c>
      <c r="H20" s="85">
        <f>SUMIFS('FACT - FRS EXPORTS-TRANSPORTS'!$V$5:$V$62,'FACT - FRS EXPORTS-TRANSPORTS'!$S$5:$S$62,"COLISSIMO",'FACT - FRS EXPORTS-TRANSPORTS'!$AA$5:$AA$62,"juin")</f>
        <v>0</v>
      </c>
      <c r="I20" s="85">
        <f>SUMIFS('FACT - FRS EXPORTS-TRANSPORTS'!$V$5:$V$62,'FACT - FRS EXPORTS-TRANSPORTS'!$S$5:$S$62,"COLISSIMO",'FACT - FRS EXPORTS-TRANSPORTS'!$AA$5:$AA$62,"juillet")</f>
        <v>0</v>
      </c>
      <c r="J20" s="85">
        <f>SUMIFS('FACT - FRS EXPORTS-TRANSPORTS'!$V$5:$V$62,'FACT - FRS EXPORTS-TRANSPORTS'!$S$5:$S$62,"COLISSIMO",'FACT - FRS EXPORTS-TRANSPORTS'!$AA$5:$AA$62,"aout")</f>
        <v>0</v>
      </c>
      <c r="K20" s="85">
        <f>SUMIFS('FACT - FRS EXPORTS-TRANSPORTS'!$V$5:$V$62,'FACT - FRS EXPORTS-TRANSPORTS'!$S$5:$S$62,"COLISSIMO",'FACT - FRS EXPORTS-TRANSPORTS'!$AA$5:$AA$62,"septembre")</f>
        <v>0</v>
      </c>
      <c r="L20" s="85">
        <f>SUMIFS('FACT - FRS EXPORTS-TRANSPORTS'!$V$5:$V$62,'FACT - FRS EXPORTS-TRANSPORTS'!$S$5:$S$62,"COLISSIMO",'FACT - FRS EXPORTS-TRANSPORTS'!$AA$5:$AA$62,"octobre")</f>
        <v>0</v>
      </c>
      <c r="M20" s="85">
        <f>SUMIFS('FACT - FRS EXPORTS-TRANSPORTS'!$V$5:$V$62,'FACT - FRS EXPORTS-TRANSPORTS'!$S$5:$S$62,"COLISSIMO",'FACT - FRS EXPORTS-TRANSPORTS'!$AA$5:$AA$62,"novembre")</f>
        <v>0</v>
      </c>
      <c r="N20" s="85">
        <f>SUMIFS('FACT - FRS EXPORTS-TRANSPORTS'!$V$5:$V$62,'FACT - FRS EXPORTS-TRANSPORTS'!$S$5:$S$62,"COLISSIMO",'FACT - FRS EXPORTS-TRANSPORTS'!$AA$5:$AA$62,"decembre")</f>
        <v>0</v>
      </c>
      <c r="O20" s="127">
        <f t="shared" si="1"/>
        <v>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6" thickBot="1" x14ac:dyDescent="0.4">
      <c r="A21" s="6"/>
      <c r="B21" s="93" t="s">
        <v>73</v>
      </c>
      <c r="C21" s="85">
        <f>SUMIFS('FACT - FRS EXPORTS-TRANSPORTS'!$V$5:$V$62,'FACT - FRS EXPORTS-TRANSPORTS'!$S$5:$S$62,"SCHENKER",'FACT - FRS EXPORTS-TRANSPORTS'!$AA$5:$AA$62,"janvier")</f>
        <v>0</v>
      </c>
      <c r="D21" s="85">
        <f>SUMIFS('FACT - FRS EXPORTS-TRANSPORTS'!$V$5:$V$62,'FACT - FRS EXPORTS-TRANSPORTS'!$S$5:$S$62,"SCHENKER",'FACT - FRS EXPORTS-TRANSPORTS'!$AA$5:$AA$62,"fevrier")</f>
        <v>0</v>
      </c>
      <c r="E21" s="85">
        <f>SUMIFS('FACT - FRS EXPORTS-TRANSPORTS'!$V$5:$V$62,'FACT - FRS EXPORTS-TRANSPORTS'!$S$5:$S$62,"SCHENKER",'FACT - FRS EXPORTS-TRANSPORTS'!$AA$5:$AA$62,"mars")</f>
        <v>0</v>
      </c>
      <c r="F21" s="85">
        <f>SUMIFS('FACT - FRS EXPORTS-TRANSPORTS'!$V$5:$V$62,'FACT - FRS EXPORTS-TRANSPORTS'!$S$5:$S$62,"SCHENKER",'FACT - FRS EXPORTS-TRANSPORTS'!$AA$5:$AA$62,"avril")</f>
        <v>0</v>
      </c>
      <c r="G21" s="85">
        <f>SUMIFS('FACT - FRS EXPORTS-TRANSPORTS'!$V$5:$V$62,'FACT - FRS EXPORTS-TRANSPORTS'!$S$5:$S$62,"SCHENKER",'FACT - FRS EXPORTS-TRANSPORTS'!$AA$5:$AA$62,"mai")</f>
        <v>0</v>
      </c>
      <c r="H21" s="85">
        <f>SUMIFS('FACT - FRS EXPORTS-TRANSPORTS'!$V$5:$V$62,'FACT - FRS EXPORTS-TRANSPORTS'!$S$5:$S$62,"SCHENKER",'FACT - FRS EXPORTS-TRANSPORTS'!$AA$5:$AA$62,"juin")</f>
        <v>0</v>
      </c>
      <c r="I21" s="85">
        <f>SUMIFS('FACT - FRS EXPORTS-TRANSPORTS'!$V$5:$V$62,'FACT - FRS EXPORTS-TRANSPORTS'!$S$5:$S$62,"SCHENKER",'FACT - FRS EXPORTS-TRANSPORTS'!$AA$5:$AA$62,"juillet")</f>
        <v>0</v>
      </c>
      <c r="J21" s="85">
        <f>SUMIFS('FACT - FRS EXPORTS-TRANSPORTS'!$V$5:$V$62,'FACT - FRS EXPORTS-TRANSPORTS'!$S$5:$S$62,"SCHENKER",'FACT - FRS EXPORTS-TRANSPORTS'!$AA$5:$AA$62,"aout")</f>
        <v>0</v>
      </c>
      <c r="K21" s="85">
        <f>SUMIFS('FACT - FRS EXPORTS-TRANSPORTS'!$V$5:$V$62,'FACT - FRS EXPORTS-TRANSPORTS'!$S$5:$S$62,"SCHENKER",'FACT - FRS EXPORTS-TRANSPORTS'!$AA$5:$AA$62,"septembre")</f>
        <v>0</v>
      </c>
      <c r="L21" s="85">
        <f>SUMIFS('FACT - FRS EXPORTS-TRANSPORTS'!$V$5:$V$62,'FACT - FRS EXPORTS-TRANSPORTS'!$S$5:$S$62,"SCHENKER",'FACT - FRS EXPORTS-TRANSPORTS'!$AA$5:$AA$62,"octobre")</f>
        <v>0</v>
      </c>
      <c r="M21" s="85">
        <f>SUMIFS('FACT - FRS EXPORTS-TRANSPORTS'!$V$5:$V$62,'FACT - FRS EXPORTS-TRANSPORTS'!$S$5:$S$62,"SCHENKER",'FACT - FRS EXPORTS-TRANSPORTS'!$AA$5:$AA$62,"novembre")</f>
        <v>0</v>
      </c>
      <c r="N21" s="85">
        <f>SUMIFS('FACT - FRS EXPORTS-TRANSPORTS'!$V$5:$V$62,'FACT - FRS EXPORTS-TRANSPORTS'!$S$5:$S$62,"SCHENKER",'FACT - FRS EXPORTS-TRANSPORTS'!$AA$5:$AA$62,"decembre")</f>
        <v>0</v>
      </c>
      <c r="O21" s="127">
        <f t="shared" si="1"/>
        <v>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9" thickBot="1" x14ac:dyDescent="0.4">
      <c r="A22" s="6"/>
      <c r="B22" s="80" t="s">
        <v>101</v>
      </c>
      <c r="C22" s="80">
        <f t="shared" ref="C22:N22" si="2">SUM(C7:C21)</f>
        <v>0</v>
      </c>
      <c r="D22" s="80">
        <f>SUM(D7:D21)</f>
        <v>0</v>
      </c>
      <c r="E22" s="80">
        <f t="shared" si="2"/>
        <v>0</v>
      </c>
      <c r="F22" s="80">
        <f t="shared" si="2"/>
        <v>0</v>
      </c>
      <c r="G22" s="80">
        <f t="shared" si="2"/>
        <v>0</v>
      </c>
      <c r="H22" s="80">
        <f t="shared" si="2"/>
        <v>0</v>
      </c>
      <c r="I22" s="80">
        <f t="shared" si="2"/>
        <v>0</v>
      </c>
      <c r="J22" s="80">
        <f t="shared" si="2"/>
        <v>0</v>
      </c>
      <c r="K22" s="80">
        <f t="shared" si="2"/>
        <v>0</v>
      </c>
      <c r="L22" s="80">
        <f t="shared" si="2"/>
        <v>0</v>
      </c>
      <c r="M22" s="80">
        <f t="shared" si="2"/>
        <v>0</v>
      </c>
      <c r="N22" s="101">
        <f t="shared" si="2"/>
        <v>0</v>
      </c>
      <c r="O22" s="131">
        <f>SUM(C22:N22)</f>
        <v>0</v>
      </c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ht="19" thickBot="1" x14ac:dyDescent="0.4">
      <c r="A23" s="121" t="s">
        <v>82</v>
      </c>
      <c r="B23" s="449" t="s">
        <v>41</v>
      </c>
      <c r="C23" s="450"/>
      <c r="D23" s="450"/>
      <c r="E23" s="450"/>
      <c r="F23" s="450"/>
      <c r="G23" s="450"/>
      <c r="H23" s="450"/>
      <c r="I23" s="450"/>
      <c r="J23" s="450"/>
      <c r="K23" s="450"/>
      <c r="L23" s="450"/>
      <c r="M23" s="450"/>
      <c r="N23" s="451"/>
      <c r="O23" s="142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ht="15.5" x14ac:dyDescent="0.35">
      <c r="B24" s="235" t="s">
        <v>18</v>
      </c>
      <c r="C24" s="236">
        <f>SUMIFS('FACT - PEINTURE- SERRURERIE'!$W$5:$W$176,'FACT - PEINTURE- SERRURERIE'!$T$5:$T$176,"sopimat",'FACT - PEINTURE- SERRURERIE'!$Y$5:$Y$176,"janvier")</f>
        <v>0</v>
      </c>
      <c r="D24" s="236">
        <f>SUMIFS('FACT - PEINTURE- SERRURERIE'!$W$5:$W$176,'FACT - PEINTURE- SERRURERIE'!$T$5:$T$176,"sopimat",'FACT - PEINTURE- SERRURERIE'!$Y$5:$Y$176,"fevrier")</f>
        <v>0</v>
      </c>
      <c r="E24" s="236">
        <f>SUMIFS('FACT - PEINTURE- SERRURERIE'!$W$5:$W$176,'FACT - PEINTURE- SERRURERIE'!$T$5:$T$176,"sopimat",'FACT - PEINTURE- SERRURERIE'!$Y$5:$Y$176,"mars")</f>
        <v>0</v>
      </c>
      <c r="F24" s="236">
        <f>SUMIFS('FACT - PEINTURE- SERRURERIE'!$W$5:$W$176,'FACT - PEINTURE- SERRURERIE'!$T$5:$T$176,"sopimat",'FACT - PEINTURE- SERRURERIE'!$Y$5:$Y$176,"avril")</f>
        <v>0</v>
      </c>
      <c r="G24" s="236">
        <f>SUMIFS('FACT - PEINTURE- SERRURERIE'!$W$5:$W$176,'FACT - PEINTURE- SERRURERIE'!$T$5:$T$176,"sopimat",'FACT - PEINTURE- SERRURERIE'!$Y$5:$Y$176,"mai")</f>
        <v>0</v>
      </c>
      <c r="H24" s="236">
        <f>SUMIFS('FACT - PEINTURE- SERRURERIE'!$W$5:$W$176,'FACT - PEINTURE- SERRURERIE'!$T$5:$T$176,"sopimat",'FACT - PEINTURE- SERRURERIE'!$Y$5:$Y$176,"juin")</f>
        <v>0</v>
      </c>
      <c r="I24" s="236">
        <f>SUMIFS('FACT - PEINTURE- SERRURERIE'!$W$5:$W$176,'FACT - PEINTURE- SERRURERIE'!$T$5:$T$176,"sopimat",'FACT - PEINTURE- SERRURERIE'!$Y$5:$Y$176,"JUILLET")</f>
        <v>0</v>
      </c>
      <c r="J24" s="236">
        <f>SUMIFS('FACT - PEINTURE- SERRURERIE'!$W$5:$W$176,'FACT - PEINTURE- SERRURERIE'!$T$5:$T$176,"sopimat",'FACT - PEINTURE- SERRURERIE'!$Y$5:$Y$176,"aout")</f>
        <v>0</v>
      </c>
      <c r="K24" s="236">
        <f>SUMIFS('FACT - PEINTURE- SERRURERIE'!$W$5:$W$176,'FACT - PEINTURE- SERRURERIE'!$T$5:$T$176,"sopimat",'FACT - PEINTURE- SERRURERIE'!$Y$5:$Y$176,"septembre")</f>
        <v>0</v>
      </c>
      <c r="L24" s="236">
        <f>SUMIFS('FACT - PEINTURE- SERRURERIE'!$W$5:$W$176,'FACT - PEINTURE- SERRURERIE'!$T$5:$T$176,"sopimat",'FACT - PEINTURE- SERRURERIE'!$Y$5:$Y$176,"octobre")</f>
        <v>0</v>
      </c>
      <c r="M24" s="236">
        <f>SUMIFS('FACT - PEINTURE- SERRURERIE'!$W$5:$W$176,'FACT - PEINTURE- SERRURERIE'!$T$5:$T$176,"sopimat",'FACT - PEINTURE- SERRURERIE'!$Y$5:$Y$176,"novembre")</f>
        <v>0</v>
      </c>
      <c r="N24" s="236">
        <f>SUMIFS('FACT - PEINTURE- SERRURERIE'!$W$5:$W$176,'FACT - PEINTURE- SERRURERIE'!$T$5:$T$176,"sopimat",'FACT - PEINTURE- SERRURERIE'!$Y$5:$Y$176,"decembre")</f>
        <v>0</v>
      </c>
      <c r="O24" s="127">
        <f>SUM(C24:N24)</f>
        <v>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s="44" customFormat="1" ht="30" customHeight="1" x14ac:dyDescent="0.35">
      <c r="A25" s="6"/>
      <c r="B25" s="133" t="s">
        <v>19</v>
      </c>
      <c r="C25" s="236">
        <f>SUMIFS('FACT - PEINTURE- SERRURERIE'!$W$5:$W$176,'FACT - PEINTURE- SERRURERIE'!$T$5:$T$176,"saserq",'FACT - PEINTURE- SERRURERIE'!$Y$5:$Y$176,"janvier")</f>
        <v>0</v>
      </c>
      <c r="D25" s="236">
        <f>SUMIFS('FACT - PEINTURE- SERRURERIE'!$W$5:$W$176,'FACT - PEINTURE- SERRURERIE'!$T$5:$T$176,"saserq",'FACT - PEINTURE- SERRURERIE'!$Y$5:$Y$176,"fevrier")</f>
        <v>0</v>
      </c>
      <c r="E25" s="236">
        <f>SUMIFS('FACT - PEINTURE- SERRURERIE'!$W$5:$W$176,'FACT - PEINTURE- SERRURERIE'!$T$5:$T$176,"saserq",'FACT - PEINTURE- SERRURERIE'!$Y$5:$Y$176,"mars")</f>
        <v>0</v>
      </c>
      <c r="F25" s="236">
        <f>SUMIFS('FACT - PEINTURE- SERRURERIE'!$W$5:$W$176,'FACT - PEINTURE- SERRURERIE'!$T$5:$T$176,"saserq",'FACT - PEINTURE- SERRURERIE'!$Y$5:$Y$176,"avril")</f>
        <v>0</v>
      </c>
      <c r="G25" s="236">
        <f>SUMIFS('FACT - PEINTURE- SERRURERIE'!$W$5:$W$176,'FACT - PEINTURE- SERRURERIE'!$T$5:$T$176,"saserq",'FACT - PEINTURE- SERRURERIE'!$Y$5:$Y$176,"mai")</f>
        <v>0</v>
      </c>
      <c r="H25" s="236">
        <f>SUMIFS('FACT - PEINTURE- SERRURERIE'!$W$5:$W$176,'FACT - PEINTURE- SERRURERIE'!$T$5:$T$176,"saserq",'FACT - PEINTURE- SERRURERIE'!$Y$5:$Y$176,"juin")</f>
        <v>0</v>
      </c>
      <c r="I25" s="236">
        <f>SUMIFS('FACT - PEINTURE- SERRURERIE'!$W$5:$W$176,'FACT - PEINTURE- SERRURERIE'!$T$5:$T$176,"saserq",'FACT - PEINTURE- SERRURERIE'!$Y$5:$Y$176,"juillet")</f>
        <v>0</v>
      </c>
      <c r="J25" s="236">
        <f>SUMIFS('FACT - PEINTURE- SERRURERIE'!$W$5:$W$176,'FACT - PEINTURE- SERRURERIE'!$T$5:$T$176,"saserq",'FACT - PEINTURE- SERRURERIE'!$Y$5:$Y$176,"aout")</f>
        <v>0</v>
      </c>
      <c r="K25" s="236">
        <f>SUMIFS('FACT - PEINTURE- SERRURERIE'!$W$5:$W$176,'FACT - PEINTURE- SERRURERIE'!$T$5:$T$176,"saserq",'FACT - PEINTURE- SERRURERIE'!$Y$5:$Y$176,"septembre")</f>
        <v>0</v>
      </c>
      <c r="L25" s="236">
        <f>SUMIFS('FACT - PEINTURE- SERRURERIE'!$W$5:$W$176,'FACT - PEINTURE- SERRURERIE'!$T$5:$T$176,"saserq",'FACT - PEINTURE- SERRURERIE'!$Y$5:$Y$176,"octobre")</f>
        <v>0</v>
      </c>
      <c r="M25" s="236">
        <f>SUMIFS('FACT - PEINTURE- SERRURERIE'!$W$5:$W$176,'FACT - PEINTURE- SERRURERIE'!$T$5:$T$176,"saserq",'FACT - PEINTURE- SERRURERIE'!$Y$5:$Y$176,"novembre")</f>
        <v>0</v>
      </c>
      <c r="N25" s="236">
        <f>SUMIFS('FACT - PEINTURE- SERRURERIE'!$W$5:$W$176,'FACT - PEINTURE- SERRURERIE'!$T$5:$T$176,"sopimat",'FACT - PEINTURE- SERRURERIE'!$Y$5:$Y$176,"decembre")</f>
        <v>0</v>
      </c>
      <c r="O25" s="127">
        <f t="shared" ref="O25:O31" si="3">SUM(C25:N25)</f>
        <v>0</v>
      </c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</row>
    <row r="26" spans="1:43" ht="30.65" customHeight="1" x14ac:dyDescent="0.35">
      <c r="B26" s="133" t="s">
        <v>118</v>
      </c>
      <c r="C26" s="236">
        <f>SUMIFS('FACT - PEINTURE- SERRURERIE'!$W$5:$W$176,'FACT - PEINTURE- SERRURERIE'!$T$5:$T$176,"equinox",'FACT - PEINTURE- SERRURERIE'!$Y$5:$Y$176,"janvier")+SUMIFS('FACT - PEINTURE- SERRURERIE'!$W$5:$W$176,'FACT - PEINTURE- SERRURERIE'!$T$5:$T$176,"zig zag",'FACT - PEINTURE- SERRURERIE'!$Y$5:$Y$176,"janvier")</f>
        <v>0</v>
      </c>
      <c r="D26" s="236">
        <f>SUMIFS('FACT - PEINTURE- SERRURERIE'!$W$5:$W$176,'FACT - PEINTURE- SERRURERIE'!$T$5:$T$176,"equinox",'FACT - PEINTURE- SERRURERIE'!$Y$5:$Y$176,"fevirer")+SUMIFS('FACT - PEINTURE- SERRURERIE'!$W$5:$W$176,'FACT - PEINTURE- SERRURERIE'!$T$5:$T$176,"zig zag",'FACT - PEINTURE- SERRURERIE'!$Y$5:$Y$176,"fevirer")</f>
        <v>0</v>
      </c>
      <c r="E26" s="236">
        <f>SUMIFS('FACT - PEINTURE- SERRURERIE'!$W$5:$W$176,'FACT - PEINTURE- SERRURERIE'!$T$5:$T$176,"equinox",'FACT - PEINTURE- SERRURERIE'!$Y$5:$Y$176,"mars")+SUMIFS('FACT - PEINTURE- SERRURERIE'!$W$5:$W$176,'FACT - PEINTURE- SERRURERIE'!$T$5:$T$176,"zig zag",'FACT - PEINTURE- SERRURERIE'!$Y$5:$Y$176,"mars")</f>
        <v>0</v>
      </c>
      <c r="F26" s="236">
        <f>SUMIFS('FACT - PEINTURE- SERRURERIE'!$W$5:$W$176,'FACT - PEINTURE- SERRURERIE'!$T$5:$T$176,"equinox",'FACT - PEINTURE- SERRURERIE'!$Y$5:$Y$176,"avril")+SUMIFS('FACT - PEINTURE- SERRURERIE'!$W$5:$W$176,'FACT - PEINTURE- SERRURERIE'!$T$5:$T$176,"zig zag",'FACT - PEINTURE- SERRURERIE'!$Y$5:$Y$176,"avril")</f>
        <v>0</v>
      </c>
      <c r="G26" s="236">
        <f>SUMIFS('FACT - PEINTURE- SERRURERIE'!$W$5:$W$176,'FACT - PEINTURE- SERRURERIE'!$T$5:$T$176,"equinox",'FACT - PEINTURE- SERRURERIE'!$Y$5:$Y$176,"mai")+SUMIFS('FACT - PEINTURE- SERRURERIE'!$W$5:$W$176,'FACT - PEINTURE- SERRURERIE'!$T$5:$T$176,"zig zag",'FACT - PEINTURE- SERRURERIE'!$Y$5:$Y$176,"mai")</f>
        <v>0</v>
      </c>
      <c r="H26" s="236">
        <f>SUMIFS('FACT - PEINTURE- SERRURERIE'!$W$5:$W$176,'FACT - PEINTURE- SERRURERIE'!$T$5:$T$176,"equinox",'FACT - PEINTURE- SERRURERIE'!$Y$5:$Y$176,"juin")+SUMIFS('FACT - PEINTURE- SERRURERIE'!$W$5:$W$176,'FACT - PEINTURE- SERRURERIE'!$T$5:$T$176,"zig zag",'FACT - PEINTURE- SERRURERIE'!$Y$5:$Y$176,"juin")</f>
        <v>0</v>
      </c>
      <c r="I26" s="236">
        <f>SUMIFS('FACT - PEINTURE- SERRURERIE'!$W$5:$W$176,'FACT - PEINTURE- SERRURERIE'!$T$5:$T$176,"equinox",'FACT - PEINTURE- SERRURERIE'!$Y$5:$Y$176,"juillet")+SUMIFS('FACT - PEINTURE- SERRURERIE'!$W$5:$W$176,'FACT - PEINTURE- SERRURERIE'!$T$5:$T$176,"zig zag",'FACT - PEINTURE- SERRURERIE'!$Y$5:$Y$176,"juillet")</f>
        <v>0</v>
      </c>
      <c r="J26" s="236">
        <f>SUMIFS('FACT - PEINTURE- SERRURERIE'!$W$5:$W$176,'FACT - PEINTURE- SERRURERIE'!$T$5:$T$176,"equinox",'FACT - PEINTURE- SERRURERIE'!$Y$5:$Y$176,"aout")+SUMIFS('FACT - PEINTURE- SERRURERIE'!$W$5:$W$176,'FACT - PEINTURE- SERRURERIE'!$T$5:$T$176,"zig zag",'FACT - PEINTURE- SERRURERIE'!$Y$5:$Y$176,"aout")</f>
        <v>0</v>
      </c>
      <c r="K26" s="236">
        <f>SUMIFS('FACT - PEINTURE- SERRURERIE'!$W$5:$W$176,'FACT - PEINTURE- SERRURERIE'!$T$5:$T$176,"equinox",'FACT - PEINTURE- SERRURERIE'!$Y$5:$Y$176,"septembre")+SUMIFS('FACT - PEINTURE- SERRURERIE'!$W$5:$W$176,'FACT - PEINTURE- SERRURERIE'!$T$5:$T$176,"zig zag",'FACT - PEINTURE- SERRURERIE'!$Y$5:$Y$176,"septembre")</f>
        <v>0</v>
      </c>
      <c r="L26" s="236">
        <f>SUMIFS('FACT - PEINTURE- SERRURERIE'!$W$5:$W$176,'FACT - PEINTURE- SERRURERIE'!$T$5:$T$176,"equinox",'FACT - PEINTURE- SERRURERIE'!$Y$5:$Y$176,"octobre")+SUMIFS('FACT - PEINTURE- SERRURERIE'!$W$5:$W$176,'FACT - PEINTURE- SERRURERIE'!$T$5:$T$176,"zig zag",'FACT - PEINTURE- SERRURERIE'!$Y$5:$Y$176,"octobre")</f>
        <v>0</v>
      </c>
      <c r="M26" s="236">
        <f>SUMIFS('FACT - PEINTURE- SERRURERIE'!$W$5:$W$176,'FACT - PEINTURE- SERRURERIE'!$T$5:$T$176,"equinox",'FACT - PEINTURE- SERRURERIE'!$Y$5:$Y$176,"novembre")+SUMIFS('FACT - PEINTURE- SERRURERIE'!$W$5:$W$176,'FACT - PEINTURE- SERRURERIE'!$T$5:$T$176,"zig zag",'FACT - PEINTURE- SERRURERIE'!$Y$5:$Y$176,"novembre")</f>
        <v>0</v>
      </c>
      <c r="N26" s="236">
        <f>SUMIFS('FACT - PEINTURE- SERRURERIE'!$W$5:$W$176,'FACT - PEINTURE- SERRURERIE'!$T$5:$T$176,"equinox",'FACT - PEINTURE- SERRURERIE'!$Y$5:$Y$176,"decembre")+SUMIFS('FACT - PEINTURE- SERRURERIE'!$W$5:$W$176,'FACT - PEINTURE- SERRURERIE'!$T$5:$T$176,"zig zag",'FACT - PEINTURE- SERRURERIE'!$Y$5:$Y$176,"decembre")</f>
        <v>0</v>
      </c>
      <c r="O26" s="127">
        <f t="shared" si="3"/>
        <v>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ht="15.5" x14ac:dyDescent="0.35">
      <c r="A27"/>
      <c r="B27" s="133" t="s">
        <v>20</v>
      </c>
      <c r="C27" s="236">
        <f>SUMIFS('FACT - PEINTURE- SERRURERIE'!$W$5:$W$176,'FACT - PEINTURE- SERRURERIE'!$T$5:$T$176,"ets pommez",'FACT - PEINTURE- SERRURERIE'!$Y$5:$Y$176,"janvier")+SUMIFS('FACT - PEINTURE- SERRURERIE'!$W$5:$W$176,'FACT - PEINTURE- SERRURERIE'!$T$5:$T$176,"quincaillerie saint jean",'FACT - PEINTURE- SERRURERIE'!$Y$5:$Y$176,"janvier")</f>
        <v>0</v>
      </c>
      <c r="D27" s="236">
        <f>SUMIFS('FACT - PEINTURE- SERRURERIE'!$W$5:$W$176,'FACT - PEINTURE- SERRURERIE'!$T$5:$T$176,"ets pommez",'FACT - PEINTURE- SERRURERIE'!$Y$5:$Y$176,"fevirer")+SUMIFS('FACT - PEINTURE- SERRURERIE'!$W$5:$W$176,'FACT - PEINTURE- SERRURERIE'!$T$5:$T$176,"quincaillerie saint jean",'FACT - PEINTURE- SERRURERIE'!$Y$5:$Y$176,"fevirer")</f>
        <v>0</v>
      </c>
      <c r="E27" s="236">
        <f>SUMIFS('FACT - PEINTURE- SERRURERIE'!$W$5:$W$176,'FACT - PEINTURE- SERRURERIE'!$T$5:$T$176,"ets pommez",'FACT - PEINTURE- SERRURERIE'!$Y$5:$Y$176,"mars")+SUMIFS('FACT - PEINTURE- SERRURERIE'!$W$5:$W$176,'FACT - PEINTURE- SERRURERIE'!$T$5:$T$176,"quincaillerie saint jean",'FACT - PEINTURE- SERRURERIE'!$Y$5:$Y$176,"mars")</f>
        <v>0</v>
      </c>
      <c r="F27" s="236">
        <f>SUMIFS('FACT - PEINTURE- SERRURERIE'!$W$5:$W$176,'FACT - PEINTURE- SERRURERIE'!$T$5:$T$176,"ets pommez",'FACT - PEINTURE- SERRURERIE'!$Y$5:$Y$176,"avril")+SUMIFS('FACT - PEINTURE- SERRURERIE'!$W$5:$W$176,'FACT - PEINTURE- SERRURERIE'!$T$5:$T$176,"quincaillerie saint jean",'FACT - PEINTURE- SERRURERIE'!$Y$5:$Y$176,"avril")</f>
        <v>0</v>
      </c>
      <c r="G27" s="236">
        <f>SUMIFS('FACT - PEINTURE- SERRURERIE'!$W$5:$W$176,'FACT - PEINTURE- SERRURERIE'!$T$5:$T$176,"ets pommez",'FACT - PEINTURE- SERRURERIE'!$Y$5:$Y$176,"mai")+SUMIFS('FACT - PEINTURE- SERRURERIE'!$W$5:$W$176,'FACT - PEINTURE- SERRURERIE'!$T$5:$T$176,"quincaillerie saint jean",'FACT - PEINTURE- SERRURERIE'!$Y$5:$Y$176,"mai")</f>
        <v>0</v>
      </c>
      <c r="H27" s="236">
        <f>SUMIFS('FACT - PEINTURE- SERRURERIE'!$W$5:$W$176,'FACT - PEINTURE- SERRURERIE'!$T$5:$T$176,"ets pommez",'FACT - PEINTURE- SERRURERIE'!$Y$5:$Y$176,"juin")+SUMIFS('FACT - PEINTURE- SERRURERIE'!$W$5:$W$176,'FACT - PEINTURE- SERRURERIE'!$T$5:$T$176,"quincaillerie saint jean",'FACT - PEINTURE- SERRURERIE'!$Y$5:$Y$176,"juin")</f>
        <v>0</v>
      </c>
      <c r="I27" s="236">
        <f>SUMIFS('FACT - PEINTURE- SERRURERIE'!$W$5:$W$176,'FACT - PEINTURE- SERRURERIE'!$T$5:$T$176,"ets pommez",'FACT - PEINTURE- SERRURERIE'!$Y$5:$Y$176,"juillet")+SUMIFS('FACT - PEINTURE- SERRURERIE'!$W$5:$W$176,'FACT - PEINTURE- SERRURERIE'!$T$5:$T$176,"quincaillerie saint jean",'FACT - PEINTURE- SERRURERIE'!$Y$5:$Y$176,"juillet")</f>
        <v>0</v>
      </c>
      <c r="J27" s="236">
        <f>SUMIFS('FACT - PEINTURE- SERRURERIE'!$W$5:$W$176,'FACT - PEINTURE- SERRURERIE'!$T$5:$T$176,"ets pommez",'FACT - PEINTURE- SERRURERIE'!$Y$5:$Y$176,"aout")+SUMIFS('FACT - PEINTURE- SERRURERIE'!$W$5:$W$176,'FACT - PEINTURE- SERRURERIE'!$T$5:$T$176,"quincaillerie saint jean",'FACT - PEINTURE- SERRURERIE'!$Y$5:$Y$176,"aout")</f>
        <v>0</v>
      </c>
      <c r="K27" s="236">
        <f>SUMIFS('FACT - PEINTURE- SERRURERIE'!$W$5:$W$176,'FACT - PEINTURE- SERRURERIE'!$T$5:$T$176,"ets pommez",'FACT - PEINTURE- SERRURERIE'!$Y$5:$Y$176,"septembre")+SUMIFS('FACT - PEINTURE- SERRURERIE'!$W$5:$W$176,'FACT - PEINTURE- SERRURERIE'!$T$5:$T$176,"quincaillerie saint jean",'FACT - PEINTURE- SERRURERIE'!$Y$5:$Y$176,"septembre")</f>
        <v>0</v>
      </c>
      <c r="L27" s="236">
        <f>SUMIFS('FACT - PEINTURE- SERRURERIE'!$W$5:$W$176,'FACT - PEINTURE- SERRURERIE'!$T$5:$T$176,"ets pommez",'FACT - PEINTURE- SERRURERIE'!$Y$5:$Y$176,"octobre")+SUMIFS('FACT - PEINTURE- SERRURERIE'!$W$5:$W$176,'FACT - PEINTURE- SERRURERIE'!$T$5:$T$176,"quincaillerie saint jean",'FACT - PEINTURE- SERRURERIE'!$Y$5:$Y$176,"octobre")</f>
        <v>0</v>
      </c>
      <c r="M27" s="236">
        <f>SUMIFS('FACT - PEINTURE- SERRURERIE'!$W$5:$W$176,'FACT - PEINTURE- SERRURERIE'!$T$5:$T$176,"ets pommez",'FACT - PEINTURE- SERRURERIE'!$Y$5:$Y$176,"novembre")+SUMIFS('FACT - PEINTURE- SERRURERIE'!$W$5:$W$176,'FACT - PEINTURE- SERRURERIE'!$T$5:$T$176,"quincaillerie saint jean",'FACT - PEINTURE- SERRURERIE'!$Y$5:$Y$176,"novembre")</f>
        <v>0</v>
      </c>
      <c r="N27" s="236">
        <f>SUMIFS('FACT - PEINTURE- SERRURERIE'!$W$5:$W$176,'FACT - PEINTURE- SERRURERIE'!$T$5:$T$176,"ets pommez",'FACT - PEINTURE- SERRURERIE'!$Y$5:$Y$176,"decembre")+SUMIFS('FACT - PEINTURE- SERRURERIE'!$W$5:$W$176,'FACT - PEINTURE- SERRURERIE'!$T$5:$T$176,"quincaillerie saint jean",'FACT - PEINTURE- SERRURERIE'!$Y$5:$Y$176,"decembre")</f>
        <v>0</v>
      </c>
      <c r="O27" s="127">
        <f t="shared" si="3"/>
        <v>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ht="15.5" x14ac:dyDescent="0.35">
      <c r="A28"/>
      <c r="B28" s="133" t="s">
        <v>44</v>
      </c>
      <c r="C28" s="236">
        <f>SUMIFS('FACT - PEINTURE- SERRURERIE'!$W$5:$W$176,'FACT - PEINTURE- SERRURERIE'!$T$5:$T$176,"chantiers audebert",'FACT - PEINTURE- SERRURERIE'!$Y$5:$Y$176,"janvier")</f>
        <v>0</v>
      </c>
      <c r="D28" s="236">
        <f>SUMIFS('FACT - PEINTURE- SERRURERIE'!$W$5:$W$176,'FACT - PEINTURE- SERRURERIE'!$T$5:$T$176,"chantiers audebert",'FACT - PEINTURE- SERRURERIE'!$Y$5:$Y$176,"fevrier")</f>
        <v>0</v>
      </c>
      <c r="E28" s="236">
        <f>SUMIFS('FACT - PEINTURE- SERRURERIE'!$W$5:$W$176,'FACT - PEINTURE- SERRURERIE'!$T$5:$T$176,"chantiers audebert",'FACT - PEINTURE- SERRURERIE'!$Y$5:$Y$176,"mars")</f>
        <v>0</v>
      </c>
      <c r="F28" s="236">
        <f>SUMIFS('FACT - PEINTURE- SERRURERIE'!$W$5:$W$176,'FACT - PEINTURE- SERRURERIE'!$T$5:$T$176,"chantiers audebert",'FACT - PEINTURE- SERRURERIE'!$Y$5:$Y$176,"avril")</f>
        <v>0</v>
      </c>
      <c r="G28" s="236">
        <f>SUMIFS('FACT - PEINTURE- SERRURERIE'!$W$5:$W$176,'FACT - PEINTURE- SERRURERIE'!$T$5:$T$176,"chantiers audebert",'FACT - PEINTURE- SERRURERIE'!$Y$5:$Y$176,"mai")</f>
        <v>0</v>
      </c>
      <c r="H28" s="236">
        <f>SUMIFS('FACT - PEINTURE- SERRURERIE'!$W$5:$W$176,'FACT - PEINTURE- SERRURERIE'!$T$5:$T$176,"chantiers audebert",'FACT - PEINTURE- SERRURERIE'!$Y$5:$Y$176,"juin")</f>
        <v>0</v>
      </c>
      <c r="I28" s="236">
        <f>SUMIFS('FACT - PEINTURE- SERRURERIE'!$W$5:$W$176,'FACT - PEINTURE- SERRURERIE'!$T$5:$T$176,"chantiers audebert",'FACT - PEINTURE- SERRURERIE'!$Y$5:$Y$176,"juillet")</f>
        <v>0</v>
      </c>
      <c r="J28" s="236">
        <f>SUMIFS('FACT - PEINTURE- SERRURERIE'!$W$5:$W$176,'FACT - PEINTURE- SERRURERIE'!$T$5:$T$176,"chantiers audebert",'FACT - PEINTURE- SERRURERIE'!$Y$5:$Y$176,"aout")</f>
        <v>0</v>
      </c>
      <c r="K28" s="236">
        <f>SUMIFS('FACT - PEINTURE- SERRURERIE'!$W$5:$W$176,'FACT - PEINTURE- SERRURERIE'!$T$5:$T$176,"chantiers audebert",'FACT - PEINTURE- SERRURERIE'!$Y$5:$Y$176,"septembre")</f>
        <v>0</v>
      </c>
      <c r="L28" s="236">
        <f>SUMIFS('FACT - PEINTURE- SERRURERIE'!$W$5:$W$176,'FACT - PEINTURE- SERRURERIE'!$T$5:$T$176,"chantiers audebert",'FACT - PEINTURE- SERRURERIE'!$Y$5:$Y$176,"octobre")</f>
        <v>0</v>
      </c>
      <c r="M28" s="236">
        <f>SUMIFS('FACT - PEINTURE- SERRURERIE'!$W$5:$W$176,'FACT - PEINTURE- SERRURERIE'!$T$5:$T$176,"chantiers audebert",'FACT - PEINTURE- SERRURERIE'!$Y$5:$Y$176,"novembre")</f>
        <v>0</v>
      </c>
      <c r="N28" s="236">
        <f>SUMIFS('FACT - PEINTURE- SERRURERIE'!$W$5:$W$176,'FACT - PEINTURE- SERRURERIE'!$T$5:$T$176,"chantiers audebert",'FACT - PEINTURE- SERRURERIE'!$Y$5:$Y$176,"decembre")</f>
        <v>0</v>
      </c>
      <c r="O28" s="127">
        <f t="shared" si="3"/>
        <v>0</v>
      </c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ht="15.5" x14ac:dyDescent="0.35">
      <c r="A29" s="5"/>
      <c r="B29" s="133" t="s">
        <v>17</v>
      </c>
      <c r="C29" s="236">
        <f>SUMIFS('FACT - PEINTURE- SERRURERIE'!$W$5:$W$176,'FACT - PEINTURE- SERRURERIE'!$T$5:$T$176,"outicoup",'FACT - PEINTURE- SERRURERIE'!$Y$5:$Y$176,"janvier")</f>
        <v>0</v>
      </c>
      <c r="D29" s="236">
        <f>SUMIFS('FACT - PEINTURE- SERRURERIE'!$W$5:$W$176,'FACT - PEINTURE- SERRURERIE'!$T$5:$T$176,"outicoup",'FACT - PEINTURE- SERRURERIE'!$Y$5:$Y$176,"fevrier")</f>
        <v>0</v>
      </c>
      <c r="E29" s="236">
        <f>SUMIFS('FACT - PEINTURE- SERRURERIE'!$W$5:$W$176,'FACT - PEINTURE- SERRURERIE'!$T$5:$T$176,"outicoup",'FACT - PEINTURE- SERRURERIE'!$Y$5:$Y$176,"mars")</f>
        <v>0</v>
      </c>
      <c r="F29" s="236">
        <f>SUMIFS('FACT - PEINTURE- SERRURERIE'!$W$5:$W$176,'FACT - PEINTURE- SERRURERIE'!$T$5:$T$176,"outicoup",'FACT - PEINTURE- SERRURERIE'!$Y$5:$Y$176,"avril")</f>
        <v>0</v>
      </c>
      <c r="G29" s="236">
        <f>SUMIFS('FACT - PEINTURE- SERRURERIE'!$W$5:$W$176,'FACT - PEINTURE- SERRURERIE'!$T$5:$T$176,"outicoup",'FACT - PEINTURE- SERRURERIE'!$Y$5:$Y$176,"mai")</f>
        <v>0</v>
      </c>
      <c r="H29" s="236">
        <f>SUMIFS('FACT - PEINTURE- SERRURERIE'!$W$5:$W$176,'FACT - PEINTURE- SERRURERIE'!$T$5:$T$176,"outicoup",'FACT - PEINTURE- SERRURERIE'!$Y$5:$Y$176,"juin")</f>
        <v>0</v>
      </c>
      <c r="I29" s="236">
        <f>SUMIFS('FACT - PEINTURE- SERRURERIE'!$W$5:$W$176,'FACT - PEINTURE- SERRURERIE'!$T$5:$T$176,"outicoup",'FACT - PEINTURE- SERRURERIE'!$Y$5:$Y$176,"juillet")</f>
        <v>0</v>
      </c>
      <c r="J29" s="236">
        <f>SUMIFS('FACT - PEINTURE- SERRURERIE'!$W$5:$W$176,'FACT - PEINTURE- SERRURERIE'!$T$5:$T$176,"outicoup",'FACT - PEINTURE- SERRURERIE'!$Y$5:$Y$176,"aout")</f>
        <v>0</v>
      </c>
      <c r="K29" s="236">
        <f>SUMIFS('FACT - PEINTURE- SERRURERIE'!$W$5:$W$176,'FACT - PEINTURE- SERRURERIE'!$T$5:$T$176,"outicoup",'FACT - PEINTURE- SERRURERIE'!$Y$5:$Y$176,"septembre")</f>
        <v>0</v>
      </c>
      <c r="L29" s="236">
        <f>SUMIFS('FACT - PEINTURE- SERRURERIE'!$W$5:$W$176,'FACT - PEINTURE- SERRURERIE'!$T$5:$T$176,"outicoup",'FACT - PEINTURE- SERRURERIE'!$Y$5:$Y$176,"octobre")</f>
        <v>0</v>
      </c>
      <c r="M29" s="236">
        <f>SUMIFS('FACT - PEINTURE- SERRURERIE'!$W$5:$W$176,'FACT - PEINTURE- SERRURERIE'!$T$5:$T$176,"outicoup",'FACT - PEINTURE- SERRURERIE'!$Y$5:$Y$176,"novembre")</f>
        <v>0</v>
      </c>
      <c r="N29" s="236">
        <f>SUMIFS('FACT - PEINTURE- SERRURERIE'!$W$5:$W$176,'FACT - PEINTURE- SERRURERIE'!$T$5:$T$176,"outicoup",'FACT - PEINTURE- SERRURERIE'!$Y$5:$Y$176,"decembre")</f>
        <v>0</v>
      </c>
      <c r="O29" s="127">
        <f t="shared" si="3"/>
        <v>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ht="15.5" x14ac:dyDescent="0.35">
      <c r="A30" s="5"/>
      <c r="B30" s="133" t="s">
        <v>166</v>
      </c>
      <c r="C30" s="236">
        <f>SUMIFS('FACT - PEINTURE- SERRURERIE'!$W$5:$W$176,'FACT - PEINTURE- SERRURERIE'!$T$5:$T$176,"TROPIC PROFIL GUADELOUPE",'FACT - PEINTURE- SERRURERIE'!$Y$5:$Y$176,"janvier")</f>
        <v>0</v>
      </c>
      <c r="D30" s="236">
        <f>SUMIFS('FACT - PEINTURE- SERRURERIE'!$W$5:$W$176,'FACT - PEINTURE- SERRURERIE'!$T$5:$T$176,"TROPIC PROFIL GUADELOUPE",'FACT - PEINTURE- SERRURERIE'!$Y$5:$Y$176,"fevrier")</f>
        <v>0</v>
      </c>
      <c r="E30" s="236">
        <f>SUMIFS('FACT - PEINTURE- SERRURERIE'!$W$5:$W$176,'FACT - PEINTURE- SERRURERIE'!$T$5:$T$176,"TROPIC PROFIL GUADELOUPE",'FACT - PEINTURE- SERRURERIE'!$Y$5:$Y$176,"mars")</f>
        <v>0</v>
      </c>
      <c r="F30" s="236">
        <f>SUMIFS('FACT - PEINTURE- SERRURERIE'!$W$5:$W$176,'FACT - PEINTURE- SERRURERIE'!$T$5:$T$176,"TROPIC PROFIL GUADELOUPE",'FACT - PEINTURE- SERRURERIE'!$Y$5:$Y$176,"avril")</f>
        <v>0</v>
      </c>
      <c r="G30" s="236">
        <f>SUMIFS('FACT - PEINTURE- SERRURERIE'!$W$5:$W$176,'FACT - PEINTURE- SERRURERIE'!$T$5:$T$176,"TROPIC PROFIL GUADELOUPE",'FACT - PEINTURE- SERRURERIE'!$Y$5:$Y$176,"mai")</f>
        <v>0</v>
      </c>
      <c r="H30" s="236">
        <f>SUMIFS('FACT - PEINTURE- SERRURERIE'!$W$5:$W$176,'FACT - PEINTURE- SERRURERIE'!$T$5:$T$176,"TROPIC PROFIL GUADELOUPE",'FACT - PEINTURE- SERRURERIE'!$Y$5:$Y$176,"juin")</f>
        <v>0</v>
      </c>
      <c r="I30" s="236">
        <f>SUMIFS('FACT - PEINTURE- SERRURERIE'!$W$5:$W$176,'FACT - PEINTURE- SERRURERIE'!$T$5:$T$176,"TROPIC PROFIL GUADELOUPE",'FACT - PEINTURE- SERRURERIE'!$Y$5:$Y$176,"juillet")</f>
        <v>0</v>
      </c>
      <c r="J30" s="236">
        <f>SUMIFS('FACT - PEINTURE- SERRURERIE'!$W$5:$W$176,'FACT - PEINTURE- SERRURERIE'!$T$5:$T$176,"TROPIC PROFIL GUADELOUPE",'FACT - PEINTURE- SERRURERIE'!$Y$5:$Y$176,"aout")</f>
        <v>0</v>
      </c>
      <c r="K30" s="236">
        <f>SUMIFS('FACT - PEINTURE- SERRURERIE'!$W$5:$W$176,'FACT - PEINTURE- SERRURERIE'!$T$5:$T$176,"TROPIC PROFIL GUADELOUPE",'FACT - PEINTURE- SERRURERIE'!$Y$5:$Y$176,"septembre")</f>
        <v>0</v>
      </c>
      <c r="L30" s="236">
        <f>SUMIFS('FACT - PEINTURE- SERRURERIE'!$W$5:$W$176,'FACT - PEINTURE- SERRURERIE'!$T$5:$T$176,"TROPIC PROFIL GUADELOUPE",'FACT - PEINTURE- SERRURERIE'!$Y$5:$Y$176,"octobre")</f>
        <v>0</v>
      </c>
      <c r="M30" s="236">
        <f>SUMIFS('FACT - PEINTURE- SERRURERIE'!$W$5:$W$176,'FACT - PEINTURE- SERRURERIE'!$T$5:$T$176,"TROPIC PROFIL GUADELOUPE",'FACT - PEINTURE- SERRURERIE'!$Y$5:$Y$176,"novembre")</f>
        <v>0</v>
      </c>
      <c r="N30" s="236">
        <f>SUMIFS('FACT - PEINTURE- SERRURERIE'!$W$5:$W$176,'FACT - PEINTURE- SERRURERIE'!$T$5:$T$176,"TROPIC PROFIL GUADELOUPE",'FACT - PEINTURE- SERRURERIE'!$Y$5:$Y$176,"decembre")</f>
        <v>0</v>
      </c>
      <c r="O30" s="127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ht="16" thickBot="1" x14ac:dyDescent="0.4">
      <c r="A31" s="4"/>
      <c r="B31" s="133" t="s">
        <v>119</v>
      </c>
      <c r="C31" s="236">
        <f>SUMIFS('FACT - PEINTURE- SERRURERIE'!$W$5:$W$176,'FACT - PEINTURE- SERRURERIE'!$T$5:$T$176,"lb technologies",'FACT - PEINTURE- SERRURERIE'!$Y$5:$Y$176,"janvier")</f>
        <v>0</v>
      </c>
      <c r="D31" s="236">
        <f>SUMIFS('FACT - PEINTURE- SERRURERIE'!$W$5:$W$176,'FACT - PEINTURE- SERRURERIE'!$T$5:$T$176,"lb technologies",'FACT - PEINTURE- SERRURERIE'!$Y$5:$Y$176,"fevrier")</f>
        <v>0</v>
      </c>
      <c r="E31" s="236">
        <f>SUMIFS('FACT - PEINTURE- SERRURERIE'!$W$5:$W$176,'FACT - PEINTURE- SERRURERIE'!$T$5:$T$176,"lb technologies",'FACT - PEINTURE- SERRURERIE'!$Y$5:$Y$176,"mars")</f>
        <v>0</v>
      </c>
      <c r="F31" s="236">
        <f>SUMIFS('FACT - PEINTURE- SERRURERIE'!$W$5:$W$176,'FACT - PEINTURE- SERRURERIE'!$T$5:$T$176,"lb technologies",'FACT - PEINTURE- SERRURERIE'!$Y$5:$Y$176,"avril")</f>
        <v>0</v>
      </c>
      <c r="G31" s="236">
        <f>SUMIFS('FACT - PEINTURE- SERRURERIE'!$W$5:$W$176,'FACT - PEINTURE- SERRURERIE'!$T$5:$T$176,"lb technologies",'FACT - PEINTURE- SERRURERIE'!$Y$5:$Y$176,"mai")</f>
        <v>0</v>
      </c>
      <c r="H31" s="236">
        <f>SUMIFS('FACT - PEINTURE- SERRURERIE'!$W$5:$W$176,'FACT - PEINTURE- SERRURERIE'!$T$5:$T$176,"lb technologies",'FACT - PEINTURE- SERRURERIE'!$Y$5:$Y$176,"juin")</f>
        <v>0</v>
      </c>
      <c r="I31" s="236">
        <f>SUMIFS('FACT - PEINTURE- SERRURERIE'!$W$5:$W$176,'FACT - PEINTURE- SERRURERIE'!$T$5:$T$176,"lb technologies",'FACT - PEINTURE- SERRURERIE'!$Y$5:$Y$176,"juillet")</f>
        <v>0</v>
      </c>
      <c r="J31" s="236">
        <f>SUMIFS('FACT - PEINTURE- SERRURERIE'!$W$5:$W$176,'FACT - PEINTURE- SERRURERIE'!$T$5:$T$176,"lb technologies",'FACT - PEINTURE- SERRURERIE'!$Y$5:$Y$176,"aout")</f>
        <v>0</v>
      </c>
      <c r="K31" s="236">
        <f>SUMIFS('FACT - PEINTURE- SERRURERIE'!$W$5:$W$176,'FACT - PEINTURE- SERRURERIE'!$T$5:$T$176,"lb technologies",'FACT - PEINTURE- SERRURERIE'!$Y$5:$Y$176,"septembre")</f>
        <v>0</v>
      </c>
      <c r="L31" s="236">
        <f>SUMIFS('FACT - PEINTURE- SERRURERIE'!$W$5:$W$176,'FACT - PEINTURE- SERRURERIE'!$T$5:$T$176,"lb technologies",'FACT - PEINTURE- SERRURERIE'!$Y$5:$Y$176,"octobre")</f>
        <v>0</v>
      </c>
      <c r="M31" s="236">
        <f>SUMIFS('FACT - PEINTURE- SERRURERIE'!$W$5:$W$176,'FACT - PEINTURE- SERRURERIE'!$T$5:$T$176,"lb technologies",'FACT - PEINTURE- SERRURERIE'!$Y$5:$Y$176,"novembre")</f>
        <v>0</v>
      </c>
      <c r="N31" s="236">
        <f>SUMIFS('FACT - PEINTURE- SERRURERIE'!$W$5:$W$176,'FACT - PEINTURE- SERRURERIE'!$T$5:$T$176,"lb technologies",'FACT - PEINTURE- SERRURERIE'!$Y$5:$Y$176,"decembre")</f>
        <v>0</v>
      </c>
      <c r="O31" s="127">
        <f t="shared" si="3"/>
        <v>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ht="19" thickBot="1" x14ac:dyDescent="0.4">
      <c r="A32" s="4"/>
      <c r="B32" s="125" t="s">
        <v>102</v>
      </c>
      <c r="C32" s="80">
        <f>SUM(C24:C31)</f>
        <v>0</v>
      </c>
      <c r="D32" s="80">
        <f t="shared" ref="D32:N32" si="4">SUM(D24:D31)</f>
        <v>0</v>
      </c>
      <c r="E32" s="80">
        <f t="shared" si="4"/>
        <v>0</v>
      </c>
      <c r="F32" s="80">
        <f t="shared" si="4"/>
        <v>0</v>
      </c>
      <c r="G32" s="80">
        <f t="shared" si="4"/>
        <v>0</v>
      </c>
      <c r="H32" s="80">
        <f t="shared" si="4"/>
        <v>0</v>
      </c>
      <c r="I32" s="80">
        <f t="shared" si="4"/>
        <v>0</v>
      </c>
      <c r="J32" s="80">
        <f t="shared" si="4"/>
        <v>0</v>
      </c>
      <c r="K32" s="80">
        <f t="shared" si="4"/>
        <v>0</v>
      </c>
      <c r="L32" s="80">
        <f t="shared" si="4"/>
        <v>0</v>
      </c>
      <c r="M32" s="80">
        <f t="shared" si="4"/>
        <v>0</v>
      </c>
      <c r="N32" s="101">
        <f t="shared" si="4"/>
        <v>0</v>
      </c>
      <c r="O32" s="131">
        <f>SUM(C32:N32)</f>
        <v>0</v>
      </c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ht="18.5" x14ac:dyDescent="0.45">
      <c r="A33" s="4"/>
      <c r="B33" s="452" t="s">
        <v>38</v>
      </c>
      <c r="C33" s="453"/>
      <c r="D33" s="453"/>
      <c r="E33" s="453"/>
      <c r="F33" s="453"/>
      <c r="G33" s="453"/>
      <c r="H33" s="453"/>
      <c r="I33" s="453"/>
      <c r="J33" s="453"/>
      <c r="K33" s="453"/>
      <c r="L33" s="453"/>
      <c r="M33" s="453"/>
      <c r="N33" s="454"/>
      <c r="O33" s="144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ht="15.5" x14ac:dyDescent="0.35">
      <c r="A34" s="4"/>
      <c r="B34" s="132" t="s">
        <v>21</v>
      </c>
      <c r="C34" s="84">
        <f>SUMIFS('FACT - PEINTURE- SERRURERIE'!$J$5:$J$176,'FACT - PEINTURE- SERRURERIE'!$G$5:$G$176,"sIAPOC",'FACT - PEINTURE- SERRURERIE'!$L$5:$L$176,"janvier")</f>
        <v>0</v>
      </c>
      <c r="D34" s="84">
        <f>SUMIFS('FACT - PEINTURE- SERRURERIE'!$J$5:$J$176,'FACT - PEINTURE- SERRURERIE'!$G$5:$G$176,"sIAPOC",'FACT - PEINTURE- SERRURERIE'!$L$5:$L$176,"fevrier")</f>
        <v>0</v>
      </c>
      <c r="E34" s="84">
        <f>SUMIFS('FACT - PEINTURE- SERRURERIE'!$J$5:$J$176,'FACT - PEINTURE- SERRURERIE'!$G$5:$G$176,"sIAPOC",'FACT - PEINTURE- SERRURERIE'!$L$5:$L$176,"mars")</f>
        <v>0</v>
      </c>
      <c r="F34" s="84">
        <f>SUMIFS('FACT - PEINTURE- SERRURERIE'!$J$5:$J$176,'FACT - PEINTURE- SERRURERIE'!$G$5:$G$176,"sIAPOC",'FACT - PEINTURE- SERRURERIE'!$L$5:$L$176,"avril")</f>
        <v>0</v>
      </c>
      <c r="G34" s="84">
        <f>SUMIFS('FACT - PEINTURE- SERRURERIE'!$J$5:$J$176,'FACT - PEINTURE- SERRURERIE'!$G$5:$G$176,"sIAPOC",'FACT - PEINTURE- SERRURERIE'!$L$5:$L$176,"mai")</f>
        <v>0</v>
      </c>
      <c r="H34" s="84">
        <f>SUMIFS('FACT - PEINTURE- SERRURERIE'!$J$5:$J$176,'FACT - PEINTURE- SERRURERIE'!$G$5:$G$176,"sIAPOC",'FACT - PEINTURE- SERRURERIE'!$L$5:$L$176,"juin")</f>
        <v>0</v>
      </c>
      <c r="I34" s="84">
        <f>SUMIFS('FACT - PEINTURE- SERRURERIE'!$J$5:$J$176,'FACT - PEINTURE- SERRURERIE'!$G$5:$G$176,"sIAPOC",'FACT - PEINTURE- SERRURERIE'!$L$5:$L$176,"juillet")</f>
        <v>0</v>
      </c>
      <c r="J34" s="84">
        <f>SUMIFS('FACT - PEINTURE- SERRURERIE'!$J$5:$J$176,'FACT - PEINTURE- SERRURERIE'!$G$5:$G$176,"sIAPOC",'FACT - PEINTURE- SERRURERIE'!$L$5:$L$176,"AOUT")</f>
        <v>0</v>
      </c>
      <c r="K34" s="84">
        <f>SUMIFS('FACT - PEINTURE- SERRURERIE'!$J$5:$J$176,'FACT - PEINTURE- SERRURERIE'!$G$5:$G$176,"sIAPOC",'FACT - PEINTURE- SERRURERIE'!$L$5:$L$176,"septembre")</f>
        <v>0</v>
      </c>
      <c r="L34" s="84">
        <f>SUMIFS('FACT - PEINTURE- SERRURERIE'!$J$5:$J$176,'FACT - PEINTURE- SERRURERIE'!$G$5:$G$176,"sIAPOC",'FACT - PEINTURE- SERRURERIE'!$L$5:$L$176,"octobre")</f>
        <v>0</v>
      </c>
      <c r="M34" s="84">
        <f>SUMIFS('FACT - PEINTURE- SERRURERIE'!$J$5:$J$176,'FACT - PEINTURE- SERRURERIE'!$G$5:$G$176,"sIAPOC",'FACT - PEINTURE- SERRURERIE'!$L$5:$L$176,"novembre")</f>
        <v>0</v>
      </c>
      <c r="N34" s="84">
        <f>SUMIFS('FACT - PEINTURE- SERRURERIE'!$J$5:$J$176,'FACT - PEINTURE- SERRURERIE'!$G$5:$G$176,"sIAPOC",'FACT - PEINTURE- SERRURERIE'!$L$5:$L$176,"decembre")</f>
        <v>0</v>
      </c>
      <c r="O34" s="129">
        <f>SUM(C34:N34)</f>
        <v>0</v>
      </c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ht="30" customHeight="1" x14ac:dyDescent="0.35">
      <c r="A35" s="4"/>
      <c r="B35" s="132" t="s">
        <v>22</v>
      </c>
      <c r="C35" s="84">
        <f>SUMIFS('FACT - PEINTURE- SERRURERIE'!$J$5:$J$176,'FACT - PEINTURE- SERRURERIE'!$G$5:$G$176,"CODIMA",'FACT - PEINTURE- SERRURERIE'!$L$5:$L$176,"janvier")</f>
        <v>0</v>
      </c>
      <c r="D35" s="84">
        <f>SUMIFS('FACT - PEINTURE- SERRURERIE'!$J$5:$J$176,'FACT - PEINTURE- SERRURERIE'!$G$5:$G$176,"CODIMA",'FACT - PEINTURE- SERRURERIE'!$L$5:$L$176,"fevrier")</f>
        <v>0</v>
      </c>
      <c r="E35" s="84">
        <f>SUMIFS('FACT - PEINTURE- SERRURERIE'!$J$5:$J$176,'FACT - PEINTURE- SERRURERIE'!$G$5:$G$176,"CODIMA",'FACT - PEINTURE- SERRURERIE'!$L$5:$L$176,"mars")</f>
        <v>0</v>
      </c>
      <c r="F35" s="84">
        <f>SUMIFS('FACT - PEINTURE- SERRURERIE'!$J$5:$J$176,'FACT - PEINTURE- SERRURERIE'!$G$5:$G$176,"CODIMA",'FACT - PEINTURE- SERRURERIE'!$L$5:$L$176,"avril")</f>
        <v>0</v>
      </c>
      <c r="G35" s="84">
        <f>SUMIFS('FACT - PEINTURE- SERRURERIE'!$J$5:$J$176,'FACT - PEINTURE- SERRURERIE'!$G$5:$G$176,"CODIMA",'FACT - PEINTURE- SERRURERIE'!$L$5:$L$176,"mai")</f>
        <v>0</v>
      </c>
      <c r="H35" s="84">
        <f>SUMIFS('FACT - PEINTURE- SERRURERIE'!$J$5:$J$176,'FACT - PEINTURE- SERRURERIE'!$G$5:$G$176,"CODIMA",'FACT - PEINTURE- SERRURERIE'!$L$5:$L$176,"juin")</f>
        <v>0</v>
      </c>
      <c r="I35" s="84">
        <f>SUMIFS('FACT - PEINTURE- SERRURERIE'!$J$5:$J$176,'FACT - PEINTURE- SERRURERIE'!$G$5:$G$176,"CODIMA",'FACT - PEINTURE- SERRURERIE'!$L$5:$L$176,"juillet")</f>
        <v>0</v>
      </c>
      <c r="J35" s="84">
        <f>SUMIFS('FACT - PEINTURE- SERRURERIE'!$J$5:$J$176,'FACT - PEINTURE- SERRURERIE'!$G$5:$G$176,"CODIMA",'FACT - PEINTURE- SERRURERIE'!$L$5:$L$176,"aout")</f>
        <v>0</v>
      </c>
      <c r="K35" s="84">
        <f>SUMIFS('FACT - PEINTURE- SERRURERIE'!$J$5:$J$176,'FACT - PEINTURE- SERRURERIE'!$G$5:$G$176,"CODIMA",'FACT - PEINTURE- SERRURERIE'!$L$5:$L$176,"septembre")</f>
        <v>0</v>
      </c>
      <c r="L35" s="84">
        <f>SUMIFS('FACT - PEINTURE- SERRURERIE'!$J$5:$J$176,'FACT - PEINTURE- SERRURERIE'!$G$5:$G$176,"CODIMA",'FACT - PEINTURE- SERRURERIE'!$L$5:$L$176,"octobre")</f>
        <v>0</v>
      </c>
      <c r="M35" s="84">
        <f>SUMIFS('FACT - PEINTURE- SERRURERIE'!$J$5:$J$176,'FACT - PEINTURE- SERRURERIE'!$G$5:$G$176,"CODIMA",'FACT - PEINTURE- SERRURERIE'!$L$5:$L$176,"novembre")</f>
        <v>0</v>
      </c>
      <c r="N35" s="84">
        <f>SUMIFS('FACT - PEINTURE- SERRURERIE'!$J$5:$J$176,'FACT - PEINTURE- SERRURERIE'!$G$5:$G$176,"CODIMA",'FACT - PEINTURE- SERRURERIE'!$L$5:$L$176,"decembre")</f>
        <v>0</v>
      </c>
      <c r="O35" s="129">
        <f t="shared" ref="O35:O39" si="5">SUM(C35:N35)</f>
        <v>0</v>
      </c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ht="24.65" customHeight="1" x14ac:dyDescent="0.35">
      <c r="A36" s="4"/>
      <c r="B36" s="132" t="s">
        <v>24</v>
      </c>
      <c r="C36" s="84">
        <f>SUMIFS('FACT - PEINTURE- SERRURERIE'!$J$5:$J$176,'FACT - PEINTURE- SERRURERIE'!$G$5:$G$176,"PEINTURE GAUTHIER",'FACT - PEINTURE- SERRURERIE'!$L$5:$L$176,"janvier")</f>
        <v>0</v>
      </c>
      <c r="D36" s="84">
        <f>SUMIFS('FACT - PEINTURE- SERRURERIE'!$J$5:$J$176,'FACT - PEINTURE- SERRURERIE'!$G$5:$G$176,"PEINTURE GAUTHIER",'FACT - PEINTURE- SERRURERIE'!$L$5:$L$176,"fevrier")</f>
        <v>0</v>
      </c>
      <c r="E36" s="84">
        <f>SUMIFS('FACT - PEINTURE- SERRURERIE'!$J$5:$J$176,'FACT - PEINTURE- SERRURERIE'!$G$5:$G$176,"PEINTURE GAUTHIER",'FACT - PEINTURE- SERRURERIE'!$L$5:$L$176,"mars")</f>
        <v>0</v>
      </c>
      <c r="F36" s="84">
        <f>SUMIFS('FACT - PEINTURE- SERRURERIE'!$J$5:$J$176,'FACT - PEINTURE- SERRURERIE'!$G$5:$G$176,"PEINTURE GAUTHIER",'FACT - PEINTURE- SERRURERIE'!$L$5:$L$176,"avril")</f>
        <v>0</v>
      </c>
      <c r="G36" s="84">
        <f>SUMIFS('FACT - PEINTURE- SERRURERIE'!$J$5:$J$176,'FACT - PEINTURE- SERRURERIE'!$G$5:$G$176,"PEINTURE GAUTHIER",'FACT - PEINTURE- SERRURERIE'!$L$5:$L$176,"mai")</f>
        <v>0</v>
      </c>
      <c r="H36" s="84">
        <f>SUMIFS('FACT - PEINTURE- SERRURERIE'!$J$5:$J$176,'FACT - PEINTURE- SERRURERIE'!$G$5:$G$176,"PEINTURE GAUTHIER",'FACT - PEINTURE- SERRURERIE'!$L$5:$L$176,"juin")</f>
        <v>0</v>
      </c>
      <c r="I36" s="84">
        <f>SUMIFS('FACT - PEINTURE- SERRURERIE'!$J$5:$J$176,'FACT - PEINTURE- SERRURERIE'!$G$5:$G$176,"PEINTURE GAUTHIER",'FACT - PEINTURE- SERRURERIE'!$L$5:$L$176,"juillet")</f>
        <v>0</v>
      </c>
      <c r="J36" s="84">
        <f>SUMIFS('FACT - PEINTURE- SERRURERIE'!$J$5:$J$176,'FACT - PEINTURE- SERRURERIE'!$G$5:$G$176,"PEINTURE GAUTHIER",'FACT - PEINTURE- SERRURERIE'!$L$5:$L$176,"aout")</f>
        <v>0</v>
      </c>
      <c r="K36" s="84">
        <f>SUMIFS('FACT - PEINTURE- SERRURERIE'!$J$5:$J$176,'FACT - PEINTURE- SERRURERIE'!$G$5:$G$176,"PEINTURE GAUTHIER",'FACT - PEINTURE- SERRURERIE'!$L$5:$L$176,"septembre")</f>
        <v>0</v>
      </c>
      <c r="L36" s="84">
        <f>SUMIFS('FACT - PEINTURE- SERRURERIE'!$J$5:$J$176,'FACT - PEINTURE- SERRURERIE'!$G$5:$G$176,"PEINTURE GAUTHIER",'FACT - PEINTURE- SERRURERIE'!$L$5:$L$176,"octobre")</f>
        <v>0</v>
      </c>
      <c r="M36" s="84">
        <f>SUMIFS('FACT - PEINTURE- SERRURERIE'!$J$5:$J$176,'FACT - PEINTURE- SERRURERIE'!$G$5:$G$176,"PEINTURE GAUTHIER",'FACT - PEINTURE- SERRURERIE'!$L$5:$L$176,"novembre")</f>
        <v>0</v>
      </c>
      <c r="N36" s="84">
        <f>SUMIFS('FACT - PEINTURE- SERRURERIE'!$J$5:$J$176,'FACT - PEINTURE- SERRURERIE'!$G$5:$G$176,"PEINTURE GAUTHIER",'FACT - PEINTURE- SERRURERIE'!$L$5:$L$176,"decembre")</f>
        <v>0</v>
      </c>
      <c r="O36" s="129">
        <f t="shared" si="5"/>
        <v>0</v>
      </c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ht="15.65" customHeight="1" x14ac:dyDescent="0.35">
      <c r="A37" s="5"/>
      <c r="B37" s="132" t="s">
        <v>25</v>
      </c>
      <c r="C37" s="84">
        <f>SUMIFS('FACT - PEINTURE- SERRURERIE'!$J$5:$J$176,'FACT - PEINTURE- SERRURERIE'!$G$5:$G$176,"PPG GUADELOUPE",'FACT - PEINTURE- SERRURERIE'!$L$5:$L$176,"janvier")</f>
        <v>0</v>
      </c>
      <c r="D37" s="84">
        <f>SUMIFS('FACT - PEINTURE- SERRURERIE'!$J$5:$J$176,'FACT - PEINTURE- SERRURERIE'!$G$5:$G$176,"PPG GUADELOUPE",'FACT - PEINTURE- SERRURERIE'!$L$5:$L$176,"fevrier")</f>
        <v>0</v>
      </c>
      <c r="E37" s="84">
        <f>SUMIFS('FACT - PEINTURE- SERRURERIE'!$J$5:$J$176,'FACT - PEINTURE- SERRURERIE'!$G$5:$G$176,"PPG GUADELOUPE",'FACT - PEINTURE- SERRURERIE'!$L$5:$L$176,"mars")</f>
        <v>0</v>
      </c>
      <c r="F37" s="84">
        <f>SUMIFS('FACT - PEINTURE- SERRURERIE'!$J$5:$J$176,'FACT - PEINTURE- SERRURERIE'!$G$5:$G$176,"PPG GUADELOUPE",'FACT - PEINTURE- SERRURERIE'!$L$5:$L$176,"avril")</f>
        <v>0</v>
      </c>
      <c r="G37" s="84">
        <f>SUMIFS('FACT - PEINTURE- SERRURERIE'!$J$5:$J$176,'FACT - PEINTURE- SERRURERIE'!$G$5:$G$176,"PPG GUADELOUPE",'FACT - PEINTURE- SERRURERIE'!$L$5:$L$176,"mai")</f>
        <v>0</v>
      </c>
      <c r="H37" s="84">
        <f>SUMIFS('FACT - PEINTURE- SERRURERIE'!$J$5:$J$176,'FACT - PEINTURE- SERRURERIE'!$G$5:$G$176,"PPG GUADELOUPE",'FACT - PEINTURE- SERRURERIE'!$L$5:$L$176,"juin")</f>
        <v>0</v>
      </c>
      <c r="I37" s="84">
        <f>SUMIFS('FACT - PEINTURE- SERRURERIE'!$J$5:$J$176,'FACT - PEINTURE- SERRURERIE'!$G$5:$G$176,"PPG GUADELOUPE",'FACT - PEINTURE- SERRURERIE'!$L$5:$L$176,"juillet")</f>
        <v>0</v>
      </c>
      <c r="J37" s="84">
        <f>SUMIFS('FACT - PEINTURE- SERRURERIE'!$J$5:$J$176,'FACT - PEINTURE- SERRURERIE'!$G$5:$G$176,"PPG GUADELOUPE",'FACT - PEINTURE- SERRURERIE'!$L$5:$L$176,"aout")</f>
        <v>0</v>
      </c>
      <c r="K37" s="84">
        <f>SUMIFS('FACT - PEINTURE- SERRURERIE'!$J$5:$J$176,'FACT - PEINTURE- SERRURERIE'!$G$5:$G$176,"PPG GUADELOUPE",'FACT - PEINTURE- SERRURERIE'!$L$5:$L$176,"septembre")</f>
        <v>0</v>
      </c>
      <c r="L37" s="84">
        <f>SUMIFS('FACT - PEINTURE- SERRURERIE'!$J$5:$J$176,'FACT - PEINTURE- SERRURERIE'!$G$5:$G$176,"PPG GUADELOUPE",'FACT - PEINTURE- SERRURERIE'!$L$5:$L$176,"octobre")</f>
        <v>0</v>
      </c>
      <c r="M37" s="84">
        <f>SUMIFS('FACT - PEINTURE- SERRURERIE'!$J$5:$J$176,'FACT - PEINTURE- SERRURERIE'!$G$5:$G$176,"PPG GUADELOUPE",'FACT - PEINTURE- SERRURERIE'!$L$5:$L$176,"novembre")</f>
        <v>0</v>
      </c>
      <c r="N37" s="84">
        <f>SUMIFS('FACT - PEINTURE- SERRURERIE'!$J$5:$J$176,'FACT - PEINTURE- SERRURERIE'!$G$5:$G$176,"PPG GUADELOUPE",'FACT - PEINTURE- SERRURERIE'!$L$5:$L$176,"decembre")</f>
        <v>0</v>
      </c>
      <c r="O37" s="129">
        <f t="shared" si="5"/>
        <v>0</v>
      </c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ht="15.65" customHeight="1" thickBot="1" x14ac:dyDescent="0.4">
      <c r="A38"/>
      <c r="B38" s="132" t="s">
        <v>39</v>
      </c>
      <c r="C38" s="84">
        <f>SUMIFS('FACT - PEINTURE- SERRURERIE'!$J$5:$J$176,'FACT - PEINTURE- SERRURERIE'!$G$5:$G$176,"ALLAMELOU",'FACT - PEINTURE- SERRURERIE'!$L$5:$L$176,"janvier")</f>
        <v>0</v>
      </c>
      <c r="D38" s="84">
        <f>SUMIFS('FACT - PEINTURE- SERRURERIE'!$J$5:$J$176,'FACT - PEINTURE- SERRURERIE'!$G$5:$G$176,"ALLAMELOU",'FACT - PEINTURE- SERRURERIE'!$L$5:$L$176,"fevrier")</f>
        <v>0</v>
      </c>
      <c r="E38" s="84">
        <f>SUMIFS('FACT - PEINTURE- SERRURERIE'!$J$5:$J$176,'FACT - PEINTURE- SERRURERIE'!$G$5:$G$176,"ALLAMELOU",'FACT - PEINTURE- SERRURERIE'!$L$5:$L$176,"mars")</f>
        <v>0</v>
      </c>
      <c r="F38" s="84">
        <f>SUMIFS('FACT - PEINTURE- SERRURERIE'!$J$5:$J$176,'FACT - PEINTURE- SERRURERIE'!$G$5:$G$176,"ALLAMELOU",'FACT - PEINTURE- SERRURERIE'!$L$5:$L$176,"avril")</f>
        <v>0</v>
      </c>
      <c r="G38" s="84">
        <f>SUMIFS('FACT - PEINTURE- SERRURERIE'!$J$5:$J$176,'FACT - PEINTURE- SERRURERIE'!$G$5:$G$176,"ALLAMELOU",'FACT - PEINTURE- SERRURERIE'!$L$5:$L$176,"mai")</f>
        <v>0</v>
      </c>
      <c r="H38" s="84">
        <f>SUMIFS('FACT - PEINTURE- SERRURERIE'!$J$5:$J$176,'FACT - PEINTURE- SERRURERIE'!$G$5:$G$176,"ALLAMELOU",'FACT - PEINTURE- SERRURERIE'!$L$5:$L$176,"juin")</f>
        <v>0</v>
      </c>
      <c r="I38" s="84">
        <f>SUMIFS('FACT - PEINTURE- SERRURERIE'!$J$5:$J$176,'FACT - PEINTURE- SERRURERIE'!$G$5:$G$176,"ALLAMELOU",'FACT - PEINTURE- SERRURERIE'!$L$5:$L$176,"juillet")</f>
        <v>0</v>
      </c>
      <c r="J38" s="84">
        <f>SUMIFS('FACT - PEINTURE- SERRURERIE'!$J$5:$J$176,'FACT - PEINTURE- SERRURERIE'!$G$5:$G$176,"ALLAMELOU",'FACT - PEINTURE- SERRURERIE'!$L$5:$L$176,"aout")</f>
        <v>0</v>
      </c>
      <c r="K38" s="84">
        <f>SUMIFS('FACT - PEINTURE- SERRURERIE'!$J$5:$J$176,'FACT - PEINTURE- SERRURERIE'!$G$5:$G$176,"ALLAMELOU",'FACT - PEINTURE- SERRURERIE'!$L$5:$L$176,"septembre")</f>
        <v>0</v>
      </c>
      <c r="L38" s="84">
        <f>SUMIFS('FACT - PEINTURE- SERRURERIE'!$J$5:$J$176,'FACT - PEINTURE- SERRURERIE'!$G$5:$G$176,"ALLAMELOU",'FACT - PEINTURE- SERRURERIE'!$L$5:$L$176,"octobre")</f>
        <v>0</v>
      </c>
      <c r="M38" s="84">
        <f>SUMIFS('FACT - PEINTURE- SERRURERIE'!$J$5:$J$176,'FACT - PEINTURE- SERRURERIE'!$G$5:$G$176,"ALLAMELOU",'FACT - PEINTURE- SERRURERIE'!$L$5:$L$176,"novembre")</f>
        <v>0</v>
      </c>
      <c r="N38" s="84">
        <f>SUMIFS('FACT - PEINTURE- SERRURERIE'!$J$5:$J$176,'FACT - PEINTURE- SERRURERIE'!$G$5:$G$176,"ALLAMELOU",'FACT - PEINTURE- SERRURERIE'!$L$5:$L$176,"decembre")</f>
        <v>0</v>
      </c>
      <c r="O38" s="129">
        <f>SUM(C38:N38)</f>
        <v>0</v>
      </c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 ht="20.25" customHeight="1" thickBot="1" x14ac:dyDescent="0.4">
      <c r="A39" s="247"/>
      <c r="B39" s="126" t="s">
        <v>103</v>
      </c>
      <c r="C39" s="81">
        <f>SUM(C34:C38)</f>
        <v>0</v>
      </c>
      <c r="D39" s="81">
        <f>SUM(D34:D38)</f>
        <v>0</v>
      </c>
      <c r="E39" s="81">
        <f t="shared" ref="E39:N39" si="6">SUM(E34:E38)</f>
        <v>0</v>
      </c>
      <c r="F39" s="81">
        <f t="shared" si="6"/>
        <v>0</v>
      </c>
      <c r="G39" s="81">
        <f t="shared" si="6"/>
        <v>0</v>
      </c>
      <c r="H39" s="81">
        <f t="shared" si="6"/>
        <v>0</v>
      </c>
      <c r="I39" s="81">
        <f t="shared" si="6"/>
        <v>0</v>
      </c>
      <c r="J39" s="81">
        <f t="shared" si="6"/>
        <v>0</v>
      </c>
      <c r="K39" s="81">
        <f t="shared" si="6"/>
        <v>0</v>
      </c>
      <c r="L39" s="81">
        <f t="shared" si="6"/>
        <v>0</v>
      </c>
      <c r="M39" s="81">
        <f t="shared" si="6"/>
        <v>0</v>
      </c>
      <c r="N39" s="102">
        <f t="shared" si="6"/>
        <v>0</v>
      </c>
      <c r="O39" s="131">
        <f t="shared" si="5"/>
        <v>0</v>
      </c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 ht="16" customHeight="1" thickBot="1" x14ac:dyDescent="0.4">
      <c r="A40" s="121" t="s">
        <v>82</v>
      </c>
      <c r="B40" s="449" t="s">
        <v>47</v>
      </c>
      <c r="C40" s="450"/>
      <c r="D40" s="450"/>
      <c r="E40" s="450"/>
      <c r="F40" s="450"/>
      <c r="G40" s="450"/>
      <c r="H40" s="450"/>
      <c r="I40" s="450"/>
      <c r="J40" s="450"/>
      <c r="K40" s="450"/>
      <c r="L40" s="450"/>
      <c r="M40" s="450"/>
      <c r="N40" s="451"/>
      <c r="O40" s="142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spans="1:43" ht="15.5" x14ac:dyDescent="0.35">
      <c r="A41"/>
      <c r="B41" s="93" t="s">
        <v>26</v>
      </c>
      <c r="C41" s="86">
        <f>SUMIFS('FACT - ELECTRICITE'!$I$5:$I$92,'FACT - ELECTRICITE'!$F$5:$F$92,"soguadime",'FACT - ELECTRICITE'!$K$5:$K$92,"janvier")</f>
        <v>0</v>
      </c>
      <c r="D41" s="86">
        <f>SUMIFS('FACT - ELECTRICITE'!$I$5:$I$92,'FACT - ELECTRICITE'!$F$5:$F$92,"soguadime",'FACT - ELECTRICITE'!$K$5:$K$92,"fevrier")</f>
        <v>0</v>
      </c>
      <c r="E41" s="86">
        <f>SUMIFS('FACT - ELECTRICITE'!$I$5:$I$92,'FACT - ELECTRICITE'!$F$5:$F$92,"soguadime",'FACT - ELECTRICITE'!$K$5:$K$92,"mars")</f>
        <v>0</v>
      </c>
      <c r="F41" s="86">
        <f>SUMIFS('FACT - ELECTRICITE'!$I$5:$I$92,'FACT - ELECTRICITE'!$F$5:$F$92,"soguadime",'FACT - ELECTRICITE'!$K$5:$K$92,"avril")</f>
        <v>0</v>
      </c>
      <c r="G41" s="86">
        <f>SUMIFS('FACT - ELECTRICITE'!$I$5:$I$92,'FACT - ELECTRICITE'!$F$5:$F$92,"soguadime",'FACT - ELECTRICITE'!$K$5:$K$92,"mai")</f>
        <v>0</v>
      </c>
      <c r="H41" s="86">
        <f>SUMIFS('FACT - ELECTRICITE'!$I$5:$I$92,'FACT - ELECTRICITE'!$F$5:$F$92,"soguadime",'FACT - ELECTRICITE'!$K$5:$K$92,"juin")</f>
        <v>0</v>
      </c>
      <c r="I41" s="86">
        <f>SUMIFS('FACT - ELECTRICITE'!$I$5:$I$92,'FACT - ELECTRICITE'!$F$5:$F$92,"soguadime",'FACT - ELECTRICITE'!$K$5:$K$92,"juillet")</f>
        <v>0</v>
      </c>
      <c r="J41" s="86">
        <f>SUMIFS('FACT - ELECTRICITE'!$I$5:$I$92,'FACT - ELECTRICITE'!$F$5:$F$92,"soguadime",'FACT - ELECTRICITE'!$K$5:$K$92,"aout")</f>
        <v>0</v>
      </c>
      <c r="K41" s="86">
        <f>SUMIFS('FACT - ELECTRICITE'!$I$5:$I$92,'FACT - ELECTRICITE'!$F$5:$F$92,"soguadime",'FACT - ELECTRICITE'!$K$5:$K$92,"septembre")</f>
        <v>0</v>
      </c>
      <c r="L41" s="86">
        <f>SUMIFS('FACT - ELECTRICITE'!$I$5:$I$92,'FACT - ELECTRICITE'!$F$5:$F$92,"soguadime",'FACT - ELECTRICITE'!$K$5:$K$92,"octobre")</f>
        <v>0</v>
      </c>
      <c r="M41" s="86">
        <f>SUMIFS('FACT - ELECTRICITE'!$I$5:$I$92,'FACT - ELECTRICITE'!$F$5:$F$92,"soguadime",'FACT - ELECTRICITE'!$K$5:$K$92,"novembre")</f>
        <v>0</v>
      </c>
      <c r="N41" s="86">
        <f>SUMIFS('FACT - ELECTRICITE'!$I$5:$I$92,'FACT - ELECTRICITE'!$F$5:$F$92,"soguadime",'FACT - ELECTRICITE'!$K$5:$K$92,"decembre")</f>
        <v>0</v>
      </c>
      <c r="O41" s="129">
        <f>SUM(C41:N41)</f>
        <v>0</v>
      </c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 s="44" customFormat="1" ht="30" customHeight="1" x14ac:dyDescent="0.35">
      <c r="A42" s="244"/>
      <c r="B42" s="132" t="s">
        <v>27</v>
      </c>
      <c r="C42" s="86">
        <f>SUMIFS('FACT - ELECTRICITE'!$I$5:$I$92,'FACT - ELECTRICITE'!$F$5:$F$92,"blandin",'FACT - ELECTRICITE'!$K$5:$K$92,"janvier")</f>
        <v>0</v>
      </c>
      <c r="D42" s="86">
        <f>SUMIFS('FACT - ELECTRICITE'!$I$5:$I$92,'FACT - ELECTRICITE'!$F$5:$F$92,"blandin",'FACT - ELECTRICITE'!$K$5:$K$92,"fevrier")</f>
        <v>0</v>
      </c>
      <c r="E42" s="86">
        <f>SUMIFS('FACT - ELECTRICITE'!$I$5:$I$92,'FACT - ELECTRICITE'!$F$5:$F$92,"blandin",'FACT - ELECTRICITE'!$K$5:$K$92,"mars")</f>
        <v>0</v>
      </c>
      <c r="F42" s="86">
        <f>SUMIFS('FACT - ELECTRICITE'!$I$5:$I$92,'FACT - ELECTRICITE'!$F$5:$F$92,"blandin",'FACT - ELECTRICITE'!$K$5:$K$92,"avril")</f>
        <v>0</v>
      </c>
      <c r="G42" s="86">
        <f>SUMIFS('FACT - ELECTRICITE'!$I$5:$I$92,'FACT - ELECTRICITE'!$F$5:$F$92,"blandin",'FACT - ELECTRICITE'!$K$5:$K$92,"mai")</f>
        <v>0</v>
      </c>
      <c r="H42" s="86">
        <f>SUMIFS('FACT - ELECTRICITE'!$I$5:$I$92,'FACT - ELECTRICITE'!$F$5:$F$92,"blandin",'FACT - ELECTRICITE'!$K$5:$K$92,"juin")</f>
        <v>0</v>
      </c>
      <c r="I42" s="86">
        <f>SUMIFS('FACT - ELECTRICITE'!$I$5:$I$92,'FACT - ELECTRICITE'!$F$5:$F$92,"blandin",'FACT - ELECTRICITE'!$K$5:$K$92,"juillet")</f>
        <v>0</v>
      </c>
      <c r="J42" s="86">
        <f>SUMIFS('FACT - ELECTRICITE'!$I$5:$I$92,'FACT - ELECTRICITE'!$F$5:$F$92,"blandin",'FACT - ELECTRICITE'!$K$5:$K$92,"aout")</f>
        <v>0</v>
      </c>
      <c r="K42" s="86">
        <f>SUMIFS('FACT - ELECTRICITE'!$I$5:$I$92,'FACT - ELECTRICITE'!$F$5:$F$92,"blandin",'FACT - ELECTRICITE'!$K$5:$K$92,"septembre")</f>
        <v>0</v>
      </c>
      <c r="L42" s="86">
        <f>SUMIFS('FACT - ELECTRICITE'!$I$5:$I$92,'FACT - ELECTRICITE'!$F$5:$F$92,"blandin",'FACT - ELECTRICITE'!$K$5:$K$92,"octobre")</f>
        <v>0</v>
      </c>
      <c r="M42" s="86">
        <f>SUMIFS('FACT - ELECTRICITE'!$I$5:$I$92,'FACT - ELECTRICITE'!$F$5:$F$92,"blandin",'FACT - ELECTRICITE'!$K$5:$K$92,"novembre")</f>
        <v>0</v>
      </c>
      <c r="N42" s="86">
        <f>SUMIFS('FACT - ELECTRICITE'!$I$5:$I$92,'FACT - ELECTRICITE'!$F$5:$F$92,"blandin",'FACT - ELECTRICITE'!$K$5:$K$92,"decembre")</f>
        <v>0</v>
      </c>
      <c r="O42" s="129">
        <f t="shared" ref="O42:O45" si="7">SUM(C42:N42)</f>
        <v>0</v>
      </c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</row>
    <row r="43" spans="1:43" ht="15.65" customHeight="1" x14ac:dyDescent="0.35">
      <c r="B43" s="93" t="s">
        <v>48</v>
      </c>
      <c r="C43" s="86">
        <f>SUMIFS('FACT - ELECTRICITE'!$I$5:$I$92,'FACT - ELECTRICITE'!$F$5:$F$92,"TEVAH SYSTEMES",'FACT - ELECTRICITE'!$K$5:$K$92,"janvier")</f>
        <v>0</v>
      </c>
      <c r="D43" s="86">
        <f>SUMIFS('FACT - ELECTRICITE'!$I$5:$I$92,'FACT - ELECTRICITE'!$F$5:$F$92,"TEVAH SYSTEMES",'FACT - ELECTRICITE'!$K$5:$K$92,"fevrier")</f>
        <v>0</v>
      </c>
      <c r="E43" s="86">
        <f>SUMIFS('FACT - ELECTRICITE'!$I$5:$I$92,'FACT - ELECTRICITE'!$F$5:$F$92,"TEVAH SYSTEMES",'FACT - ELECTRICITE'!$K$5:$K$92,"mars")</f>
        <v>0</v>
      </c>
      <c r="F43" s="86">
        <f>SUMIFS('FACT - ELECTRICITE'!$I$5:$I$92,'FACT - ELECTRICITE'!$F$5:$F$92,"TEVAH SYSTEMES",'FACT - ELECTRICITE'!$K$5:$K$92,"avril")</f>
        <v>0</v>
      </c>
      <c r="G43" s="86">
        <f>SUMIFS('FACT - ELECTRICITE'!$I$5:$I$92,'FACT - ELECTRICITE'!$F$5:$F$92,"TEVAH SYSTEMES",'FACT - ELECTRICITE'!$K$5:$K$92,"mai")</f>
        <v>0</v>
      </c>
      <c r="H43" s="86">
        <f>SUMIFS('FACT - ELECTRICITE'!$I$5:$I$92,'FACT - ELECTRICITE'!$F$5:$F$92,"TEVAH SYSTEMES",'FACT - ELECTRICITE'!$K$5:$K$92,"juin")</f>
        <v>0</v>
      </c>
      <c r="I43" s="86">
        <f>SUMIFS('FACT - ELECTRICITE'!$I$5:$I$92,'FACT - ELECTRICITE'!$F$5:$F$92,"TEVAH SYSTEMES",'FACT - ELECTRICITE'!$K$5:$K$92,"juillet")</f>
        <v>0</v>
      </c>
      <c r="J43" s="86">
        <f>SUMIFS('FACT - ELECTRICITE'!$I$5:$I$92,'FACT - ELECTRICITE'!$F$5:$F$92,"TEVAH SYSTEMES",'FACT - ELECTRICITE'!$K$5:$K$92,"aout")</f>
        <v>0</v>
      </c>
      <c r="K43" s="86">
        <f>SUMIFS('FACT - ELECTRICITE'!$I$5:$I$92,'FACT - ELECTRICITE'!$F$5:$F$92,"TEVAH SYSTEMES",'FACT - ELECTRICITE'!$K$5:$K$92,"septembre")</f>
        <v>0</v>
      </c>
      <c r="L43" s="86">
        <f>SUMIFS('FACT - ELECTRICITE'!$I$5:$I$92,'FACT - ELECTRICITE'!$F$5:$F$92,"TEVAH SYSTEMES",'FACT - ELECTRICITE'!$K$5:$K$92,"octobre")</f>
        <v>0</v>
      </c>
      <c r="M43" s="86">
        <f>SUMIFS('FACT - ELECTRICITE'!$I$5:$I$92,'FACT - ELECTRICITE'!$F$5:$F$92,"TEVAH SYSTEMES",'FACT - ELECTRICITE'!$K$5:$K$92,"novembre")</f>
        <v>0</v>
      </c>
      <c r="N43" s="86">
        <f>SUMIFS('FACT - ELECTRICITE'!$I$5:$I$92,'FACT - ELECTRICITE'!$F$5:$F$92,"TEVAH SYSTEMES",'FACT - ELECTRICITE'!$K$5:$K$92,"decembre")</f>
        <v>0</v>
      </c>
      <c r="O43" s="129">
        <f t="shared" si="7"/>
        <v>0</v>
      </c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 ht="15.65" customHeight="1" x14ac:dyDescent="0.35">
      <c r="A44" s="97"/>
      <c r="B44" s="93" t="s">
        <v>28</v>
      </c>
      <c r="C44" s="86">
        <f>SUMIFS('FACT - ELECTRICITE'!$I$5:$I$92,'FACT - ELECTRICITE'!$F$5:$F$92,"GMC",'FACT - ELECTRICITE'!$K$5:$K$92,"janvier")</f>
        <v>0</v>
      </c>
      <c r="D44" s="86">
        <f>SUMIFS('FACT - ELECTRICITE'!$I$5:$I$92,'FACT - ELECTRICITE'!$F$5:$F$92,"GMC",'FACT - ELECTRICITE'!$K$5:$K$92,"fevrier")</f>
        <v>0</v>
      </c>
      <c r="E44" s="86">
        <f>SUMIFS('FACT - ELECTRICITE'!$I$5:$I$92,'FACT - ELECTRICITE'!$F$5:$F$92,"GMC",'FACT - ELECTRICITE'!$K$5:$K$92,"mars")</f>
        <v>0</v>
      </c>
      <c r="F44" s="86">
        <f>SUMIFS('FACT - ELECTRICITE'!$I$5:$I$92,'FACT - ELECTRICITE'!$F$5:$F$92,"GMC",'FACT - ELECTRICITE'!$K$5:$K$92,"avril")</f>
        <v>0</v>
      </c>
      <c r="G44" s="86">
        <f>SUMIFS('FACT - ELECTRICITE'!$I$5:$I$92,'FACT - ELECTRICITE'!$F$5:$F$92,"GMC",'FACT - ELECTRICITE'!$K$5:$K$92,"mai")</f>
        <v>0</v>
      </c>
      <c r="H44" s="86">
        <f>SUMIFS('FACT - ELECTRICITE'!$I$5:$I$92,'FACT - ELECTRICITE'!$F$5:$F$92,"GMC",'FACT - ELECTRICITE'!$K$5:$K$92,"juin")</f>
        <v>0</v>
      </c>
      <c r="I44" s="86">
        <f>SUMIFS('FACT - ELECTRICITE'!$I$5:$I$92,'FACT - ELECTRICITE'!$F$5:$F$92,"GMC",'FACT - ELECTRICITE'!$K$5:$K$92,"juillet")</f>
        <v>0</v>
      </c>
      <c r="J44" s="86">
        <f>SUMIFS('FACT - ELECTRICITE'!$I$5:$I$92,'FACT - ELECTRICITE'!$F$5:$F$92,"GMC",'FACT - ELECTRICITE'!$K$5:$K$92,"aout")</f>
        <v>0</v>
      </c>
      <c r="K44" s="86">
        <f>SUMIFS('FACT - ELECTRICITE'!$I$5:$I$92,'FACT - ELECTRICITE'!$F$5:$F$92,"GMC",'FACT - ELECTRICITE'!$K$5:$K$92,"septembre")</f>
        <v>0</v>
      </c>
      <c r="L44" s="86">
        <f>SUMIFS('FACT - ELECTRICITE'!$I$5:$I$92,'FACT - ELECTRICITE'!$F$5:$F$92,"GMC",'FACT - ELECTRICITE'!$K$5:$K$92,"octobre")</f>
        <v>0</v>
      </c>
      <c r="M44" s="86">
        <f>SUMIFS('FACT - ELECTRICITE'!$I$5:$I$92,'FACT - ELECTRICITE'!$F$5:$F$92,"GMC",'FACT - ELECTRICITE'!$K$5:$K$92,"novembre")</f>
        <v>0</v>
      </c>
      <c r="N44" s="86">
        <f>SUMIFS('FACT - ELECTRICITE'!$I$5:$I$92,'FACT - ELECTRICITE'!$F$5:$F$92,"GMC",'FACT - ELECTRICITE'!$K$5:$K$92,"decembre")</f>
        <v>0</v>
      </c>
      <c r="O44" s="129">
        <f t="shared" si="7"/>
        <v>0</v>
      </c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 ht="15.65" customHeight="1" thickBot="1" x14ac:dyDescent="0.4">
      <c r="A45" s="5"/>
      <c r="B45" s="93" t="s">
        <v>120</v>
      </c>
      <c r="C45" s="86">
        <f>SUMIFS('FACT - ELECTRICITE'!$I$5:$I$92,'FACT - ELECTRICITE'!$F$5:$F$92,"YESS ELECTRIC",'FACT - ELECTRICITE'!$K$5:$K$92,"janvier")</f>
        <v>0</v>
      </c>
      <c r="D45" s="86">
        <f>SUMIFS('FACT - ELECTRICITE'!$I$5:$I$92,'FACT - ELECTRICITE'!$F$5:$F$92,"YESS ELECTRIC",'FACT - ELECTRICITE'!$K$5:$K$92,"fevrier")</f>
        <v>0</v>
      </c>
      <c r="E45" s="86">
        <f>SUMIFS('FACT - ELECTRICITE'!$I$5:$I$92,'FACT - ELECTRICITE'!$F$5:$F$92,"YESS ELECTRIC",'FACT - ELECTRICITE'!$K$5:$K$92,"mars")</f>
        <v>0</v>
      </c>
      <c r="F45" s="86">
        <f>SUMIFS('FACT - ELECTRICITE'!$I$5:$I$92,'FACT - ELECTRICITE'!$F$5:$F$92,"YESS ELECTRIC",'FACT - ELECTRICITE'!$K$5:$K$92,"avril")</f>
        <v>0</v>
      </c>
      <c r="G45" s="86">
        <f>SUMIFS('FACT - ELECTRICITE'!$I$5:$I$92,'FACT - ELECTRICITE'!$F$5:$F$92,"YESS ELECTRIC",'FACT - ELECTRICITE'!$K$5:$K$92,"mai")</f>
        <v>0</v>
      </c>
      <c r="H45" s="86">
        <f>SUMIFS('FACT - ELECTRICITE'!$I$5:$I$92,'FACT - ELECTRICITE'!$F$5:$F$92,"YESS ELECTRIC",'FACT - ELECTRICITE'!$K$5:$K$92,"juin")</f>
        <v>0</v>
      </c>
      <c r="I45" s="86">
        <f>SUMIFS('FACT - ELECTRICITE'!$I$5:$I$92,'FACT - ELECTRICITE'!$F$5:$F$92,"YESS ELECTRIC",'FACT - ELECTRICITE'!$K$5:$K$92,"juillet")</f>
        <v>0</v>
      </c>
      <c r="J45" s="86">
        <f>SUMIFS('FACT - ELECTRICITE'!$I$5:$I$92,'FACT - ELECTRICITE'!$F$5:$F$92,"YESS ELECTRIC",'FACT - ELECTRICITE'!$K$5:$K$92,"aout")</f>
        <v>0</v>
      </c>
      <c r="K45" s="86">
        <f>SUMIFS('FACT - ELECTRICITE'!$I$5:$I$92,'FACT - ELECTRICITE'!$F$5:$F$92,"YESS ELECTRIC",'FACT - ELECTRICITE'!$K$5:$K$92,"septembre")</f>
        <v>0</v>
      </c>
      <c r="L45" s="86">
        <f>SUMIFS('FACT - ELECTRICITE'!$I$5:$I$92,'FACT - ELECTRICITE'!$F$5:$F$92,"YESS ELECTRIC",'FACT - ELECTRICITE'!$K$5:$K$92,"octobre")</f>
        <v>0</v>
      </c>
      <c r="M45" s="86">
        <f>SUMIFS('FACT - ELECTRICITE'!$I$5:$I$92,'FACT - ELECTRICITE'!$F$5:$F$92,"YESS ELECTRIC",'FACT - ELECTRICITE'!$K$5:$K$92,"novembre")</f>
        <v>0</v>
      </c>
      <c r="N45" s="86">
        <f>SUMIFS('FACT - ELECTRICITE'!$I$5:$I$92,'FACT - ELECTRICITE'!$F$5:$F$92,"YESS ELECTRIC",'FACT - ELECTRICITE'!$K$5:$K$92,"decembre")</f>
        <v>0</v>
      </c>
      <c r="O45" s="129">
        <f t="shared" si="7"/>
        <v>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 ht="19" thickBot="1" x14ac:dyDescent="0.4">
      <c r="A46" s="4"/>
      <c r="B46" s="125" t="s">
        <v>104</v>
      </c>
      <c r="C46" s="82">
        <f t="shared" ref="C46:N46" si="8">SUM(C41:C45)</f>
        <v>0</v>
      </c>
      <c r="D46" s="82">
        <f>SUM(D41:D45)</f>
        <v>0</v>
      </c>
      <c r="E46" s="80">
        <f>SUM(E41:E45)</f>
        <v>0</v>
      </c>
      <c r="F46" s="82">
        <f t="shared" si="8"/>
        <v>0</v>
      </c>
      <c r="G46" s="82">
        <f t="shared" si="8"/>
        <v>0</v>
      </c>
      <c r="H46" s="83">
        <f t="shared" si="8"/>
        <v>0</v>
      </c>
      <c r="I46" s="82">
        <f t="shared" si="8"/>
        <v>0</v>
      </c>
      <c r="J46" s="82">
        <f t="shared" si="8"/>
        <v>0</v>
      </c>
      <c r="K46" s="82">
        <f t="shared" si="8"/>
        <v>0</v>
      </c>
      <c r="L46" s="82">
        <f t="shared" si="8"/>
        <v>0</v>
      </c>
      <c r="M46" s="82">
        <f t="shared" si="8"/>
        <v>0</v>
      </c>
      <c r="N46" s="103">
        <f t="shared" si="8"/>
        <v>0</v>
      </c>
      <c r="O46" s="131">
        <f>SUM(C46:N46)</f>
        <v>0</v>
      </c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spans="1:43" ht="19" thickBot="1" x14ac:dyDescent="0.4">
      <c r="A47" s="121" t="s">
        <v>95</v>
      </c>
      <c r="B47" s="447" t="s">
        <v>156</v>
      </c>
      <c r="C47" s="447"/>
      <c r="D47" s="447"/>
      <c r="E47" s="447"/>
      <c r="F47" s="447"/>
      <c r="G47" s="447"/>
      <c r="H47" s="447"/>
      <c r="I47" s="447"/>
      <c r="J47" s="447"/>
      <c r="K47" s="447"/>
      <c r="L47" s="447"/>
      <c r="M47" s="447"/>
      <c r="N47" s="448"/>
      <c r="O47" s="143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 ht="15.5" x14ac:dyDescent="0.35">
      <c r="A48" s="4"/>
      <c r="B48" s="246" t="s">
        <v>142</v>
      </c>
      <c r="C48" s="86">
        <f>SUMIF('FACT - ACHAT DIVERS'!$L$5:$L$84,"janvier",'FACT - ACHAT DIVERS'!$J$5:$J$84)</f>
        <v>56</v>
      </c>
      <c r="D48" s="86">
        <f>SUMIF('FACT - ACHAT DIVERS'!$L$5:$L$84,"fevrier",'FACT - ACHAT DIVERS'!$J$5:$J$84)</f>
        <v>39.269999999999996</v>
      </c>
      <c r="E48" s="86">
        <f>SUMIF('FACT - ACHAT DIVERS'!$L$5:$L$84,"mars",'FACT - ACHAT DIVERS'!$J$5:$J$84)</f>
        <v>65.56</v>
      </c>
      <c r="F48" s="86">
        <f>SUMIF('FACT - ACHAT DIVERS'!$L$5:$L$84,"avril",'FACT - ACHAT DIVERS'!$J$5:$J$84)</f>
        <v>162.26</v>
      </c>
      <c r="G48" s="86">
        <f>SUMIF('FACT - ACHAT DIVERS'!$L$5:$L$84,"mai",'FACT - ACHAT DIVERS'!$J$5:$J$84)</f>
        <v>1793.4499999999998</v>
      </c>
      <c r="H48" s="86">
        <f>SUMIF('FACT - ACHAT DIVERS'!$L$5:$L$84,"juin",'FACT - ACHAT DIVERS'!$J$5:$J$84)</f>
        <v>34.950000000000003</v>
      </c>
      <c r="I48" s="86">
        <f>SUMIF('FACT - ACHAT DIVERS'!$L$5:$L$84,"juillet",'FACT - ACHAT DIVERS'!$J$5:$J$84)</f>
        <v>203.36</v>
      </c>
      <c r="J48" s="86">
        <f>SUMIF('FACT - ACHAT DIVERS'!$L$5:$L$84,"aout",'FACT - ACHAT DIVERS'!$J$5:$J$84)</f>
        <v>1070.98</v>
      </c>
      <c r="K48" s="86">
        <f>SUMIF('FACT - ACHAT DIVERS'!$L$5:$L$84,"septembre",'FACT - ACHAT DIVERS'!$J$5:$J$84)</f>
        <v>142.91</v>
      </c>
      <c r="L48" s="86">
        <f>SUMIF('FACT - ACHAT DIVERS'!$L$5:$L$84,"octobre",'FACT - ACHAT DIVERS'!$J$5:$J$84)</f>
        <v>0</v>
      </c>
      <c r="M48" s="86">
        <f>SUMIF('FACT - ACHAT DIVERS'!$L$5:$L$84,"novembre",'FACT - ACHAT DIVERS'!$J$5:$J$84)</f>
        <v>0</v>
      </c>
      <c r="N48" s="86">
        <f>SUMIF('FACT - ACHAT DIVERS'!$L$5:$L$84,"decembre",'FACT - ACHAT DIVERS'!$J$5:$J$84)</f>
        <v>0</v>
      </c>
      <c r="O48" s="104">
        <f>SUM(C48:N48)</f>
        <v>3568.74</v>
      </c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spans="1:44" ht="16" thickBot="1" x14ac:dyDescent="0.4">
      <c r="A49"/>
      <c r="B49" s="132" t="s">
        <v>50</v>
      </c>
      <c r="C49" s="86">
        <f>SUMIF('FACT - ACHAT DIVERS'!$X$5:$X$84,"janvier",'FACT - ACHAT DIVERS'!$V$5:$V$84)</f>
        <v>0</v>
      </c>
      <c r="D49" s="86">
        <f>SUMIF('FACT - ACHAT DIVERS'!$X$5:$X$84,"fevrier",'FACT - ACHAT DIVERS'!$V$5:$V$84)</f>
        <v>0</v>
      </c>
      <c r="E49" s="86">
        <f>SUMIF('FACT - ACHAT DIVERS'!$X$5:$X$84,"mars",'FACT - ACHAT DIVERS'!$V$5:$V$84)</f>
        <v>0</v>
      </c>
      <c r="F49" s="86">
        <f>SUMIF('FACT - ACHAT DIVERS'!$X$5:$X$84,"avril",'FACT - ACHAT DIVERS'!$V$5:$V$84)</f>
        <v>0</v>
      </c>
      <c r="G49" s="86">
        <f>SUMIF('FACT - ACHAT DIVERS'!$X$5:$X$84,"mai",'FACT - ACHAT DIVERS'!$V$5:$V$84)</f>
        <v>0</v>
      </c>
      <c r="H49" s="86">
        <f>SUMIF('FACT - ACHAT DIVERS'!$X$5:$X$84,"juin",'FACT - ACHAT DIVERS'!$V$5:$V$84)</f>
        <v>0</v>
      </c>
      <c r="I49" s="86">
        <f>SUMIF('FACT - ACHAT DIVERS'!$X$5:$X$84,"juillet",'FACT - ACHAT DIVERS'!$V$5:$V$84)</f>
        <v>0</v>
      </c>
      <c r="J49" s="86">
        <f>SUMIF('FACT - ACHAT DIVERS'!$X$5:$X$84,"aout",'FACT - ACHAT DIVERS'!$V$5:$V$84)</f>
        <v>0</v>
      </c>
      <c r="K49" s="86">
        <f>SUMIF('FACT - ACHAT DIVERS'!$X$5:$X$84,"septembre",'FACT - ACHAT DIVERS'!$V$5:$V$84)</f>
        <v>0</v>
      </c>
      <c r="L49" s="86">
        <f>SUMIF('FACT - ACHAT DIVERS'!$X$5:$X$84,"octobre",'FACT - ACHAT DIVERS'!$V$5:$V$84)</f>
        <v>0</v>
      </c>
      <c r="M49" s="86">
        <f>SUMIF('FACT - ACHAT DIVERS'!$X$5:$X$84,"novembre",'FACT - ACHAT DIVERS'!$V$5:$V$84)</f>
        <v>0</v>
      </c>
      <c r="N49" s="86">
        <f>SUMIF('FACT - ACHAT DIVERS'!$X$5:$X$84,"decembre",'FACT - ACHAT DIVERS'!$V$5:$V$84)</f>
        <v>0</v>
      </c>
      <c r="O49" s="104">
        <f>SUM(C49:N49)</f>
        <v>0</v>
      </c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4" ht="19.5" thickTop="1" thickBot="1" x14ac:dyDescent="0.4">
      <c r="B50" s="132" t="s">
        <v>23</v>
      </c>
      <c r="C50" s="86">
        <f>SUMIF('FACT - ACHAT DIVERS'!$AX$5:$AX$84,"janvier",'FACT - ACHAT DIVERS'!$AV$5:$AV$84)</f>
        <v>0</v>
      </c>
      <c r="D50" s="86">
        <f>SUMIF('FACT - ACHAT DIVERS'!$AX$5:$AX$84,"fevrier",'FACT - ACHAT DIVERS'!$AV$5:$AV$84)</f>
        <v>0</v>
      </c>
      <c r="E50" s="86">
        <f>SUMIF('FACT - ACHAT DIVERS'!$AX$5:$AX$84,"mars",'FACT - ACHAT DIVERS'!$AV$5:$AV$84)</f>
        <v>0</v>
      </c>
      <c r="F50" s="86">
        <f>SUMIF('FACT - ACHAT DIVERS'!$AX$5:$AX$84,"avril",'FACT - ACHAT DIVERS'!$AV$5:$AV$84)</f>
        <v>0</v>
      </c>
      <c r="G50" s="86">
        <f>SUMIF('FACT - ACHAT DIVERS'!$AX$5:$AX$84,"mai",'FACT - ACHAT DIVERS'!$AV$5:$AV$84)</f>
        <v>0</v>
      </c>
      <c r="H50" s="86">
        <f>SUMIF('FACT - ACHAT DIVERS'!$AX$5:$AX$84,"juin",'FACT - ACHAT DIVERS'!$AV$5:$AV$84)</f>
        <v>0</v>
      </c>
      <c r="I50" s="86">
        <f>SUMIF('FACT - ACHAT DIVERS'!$AX$5:$AX$84,"juillet",'FACT - ACHAT DIVERS'!$AV$5:$AV$84)</f>
        <v>0</v>
      </c>
      <c r="J50" s="86">
        <f>SUMIF('FACT - ACHAT DIVERS'!$AX$5:$AX$84,"aout",'FACT - ACHAT DIVERS'!$AV$5:$AV$84)</f>
        <v>0</v>
      </c>
      <c r="K50" s="86">
        <f>SUMIF('FACT - ACHAT DIVERS'!$AX$5:$AX$84,"septembre",'FACT - ACHAT DIVERS'!$AV$5:$AV$84)</f>
        <v>0</v>
      </c>
      <c r="L50" s="86">
        <f>SUMIF('FACT - ACHAT DIVERS'!$AX$5:$AX$84,"octobre",'FACT - ACHAT DIVERS'!$AV$5:$AV$84)</f>
        <v>0</v>
      </c>
      <c r="M50" s="86">
        <f>SUMIF('FACT - ACHAT DIVERS'!$AX$5:$AX$84,"novembre",'FACT - ACHAT DIVERS'!$AV$5:$AV$84)</f>
        <v>0</v>
      </c>
      <c r="N50" s="86">
        <f>SUMIF('FACT - ACHAT DIVERS'!$AX$5:$AX$84,"decembre",'FACT - ACHAT DIVERS'!$AV$5:$AV$84)</f>
        <v>0</v>
      </c>
      <c r="O50" s="104">
        <f t="shared" ref="O50:O51" si="9">SUM(C50:N50)</f>
        <v>0</v>
      </c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M50" s="175" t="s">
        <v>93</v>
      </c>
      <c r="AN50" s="175" t="s">
        <v>41</v>
      </c>
      <c r="AO50" s="176" t="s">
        <v>38</v>
      </c>
      <c r="AP50" s="176" t="s">
        <v>47</v>
      </c>
      <c r="AQ50" s="176" t="s">
        <v>143</v>
      </c>
      <c r="AR50" s="176" t="s">
        <v>92</v>
      </c>
    </row>
    <row r="51" spans="1:44" ht="19.5" thickTop="1" thickBot="1" x14ac:dyDescent="0.4">
      <c r="A51" s="242"/>
      <c r="B51" s="132" t="s">
        <v>121</v>
      </c>
      <c r="C51" s="86">
        <f>SUMIF('FACT - ACHAT DIVERS'!$BK$5:$BK$84,"janvier",'FACT - ACHAT DIVERS'!$BI$5:$BI$84)</f>
        <v>0</v>
      </c>
      <c r="D51" s="86">
        <f>SUMIF('FACT - ACHAT DIVERS'!$BK$5:$BK$84,"fevrier",'FACT - ACHAT DIVERS'!$BI$5:$BI$84)</f>
        <v>0</v>
      </c>
      <c r="E51" s="86">
        <f>SUMIF('FACT - ACHAT DIVERS'!$BK$5:$BK$84,"mars",'FACT - ACHAT DIVERS'!$BI$5:$BI$84)</f>
        <v>0</v>
      </c>
      <c r="F51" s="86">
        <f>SUMIF('FACT - ACHAT DIVERS'!$BK$5:$BK$84,"avril",'FACT - ACHAT DIVERS'!$BI$5:$BI$84)</f>
        <v>0</v>
      </c>
      <c r="G51" s="86">
        <f>SUMIF('FACT - ACHAT DIVERS'!$BK$5:$BK$84,"mai",'FACT - ACHAT DIVERS'!$BI$5:$BI$84)</f>
        <v>0</v>
      </c>
      <c r="H51" s="86">
        <f>SUMIF('FACT - ACHAT DIVERS'!$BK$5:$BK$84,"juin",'FACT - ACHAT DIVERS'!$BI$5:$BI$84)</f>
        <v>0</v>
      </c>
      <c r="I51" s="86">
        <f>SUMIF('FACT - ACHAT DIVERS'!$BK$5:$BK$84,"juillet",'FACT - ACHAT DIVERS'!$BI$5:$BI$84)</f>
        <v>0</v>
      </c>
      <c r="J51" s="86">
        <f>SUMIF('FACT - ACHAT DIVERS'!$BK$5:$BK$84,"aout",'FACT - ACHAT DIVERS'!$BI$5:$BI$84)</f>
        <v>0</v>
      </c>
      <c r="K51" s="86">
        <f>SUMIF('FACT - ACHAT DIVERS'!$BK$5:$BK$84,"septembre",'FACT - ACHAT DIVERS'!$BI$5:$BI$84)</f>
        <v>0</v>
      </c>
      <c r="L51" s="86">
        <f>SUMIF('FACT - ACHAT DIVERS'!$BK$5:$BK$84,"octobre",'FACT - ACHAT DIVERS'!$BI$5:$BI$84)</f>
        <v>0</v>
      </c>
      <c r="M51" s="86">
        <f>SUMIF('FACT - ACHAT DIVERS'!$BK$5:$BK$84,"novembre",'FACT - ACHAT DIVERS'!$BI$5:$BI$84)</f>
        <v>0</v>
      </c>
      <c r="N51" s="86">
        <f>SUMIF('FACT - ACHAT DIVERS'!$BK$5:$BK$84,"decembre",'FACT - ACHAT DIVERS'!$BI$5:$BI$84)</f>
        <v>0</v>
      </c>
      <c r="O51" s="104">
        <f t="shared" si="9"/>
        <v>0</v>
      </c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M51" s="174">
        <f>SUM(O7:O21)</f>
        <v>0</v>
      </c>
      <c r="AN51" s="174">
        <f>SUM(O23:O31)</f>
        <v>0</v>
      </c>
      <c r="AO51" s="174">
        <f>SUM(O33:O38)</f>
        <v>0</v>
      </c>
      <c r="AP51" s="174">
        <f>SUM(O40:O45)</f>
        <v>0</v>
      </c>
      <c r="AQ51" s="174">
        <f ca="1">SUM(O47:O52)</f>
        <v>3568.74</v>
      </c>
      <c r="AR51" s="174">
        <f>SUM(O55:O62)</f>
        <v>0</v>
      </c>
    </row>
    <row r="52" spans="1:44" ht="16.5" thickTop="1" thickBot="1" x14ac:dyDescent="0.4">
      <c r="A52" s="4"/>
      <c r="B52" s="132" t="s">
        <v>69</v>
      </c>
      <c r="C52" s="86">
        <f ca="1">SUMIF('FACT - ACHAT DIVERS'!$AN$5:$AN$84,"janvier",'FACT - ACHAT DIVERS'!$AK$5:$AK$83)</f>
        <v>0</v>
      </c>
      <c r="D52" s="86">
        <f ca="1">SUMIF('FACT - ACHAT DIVERS'!$AN$5:$AN$84,"fevrier",'FACT - ACHAT DIVERS'!$AK$5:$AK$83)</f>
        <v>0</v>
      </c>
      <c r="E52" s="86">
        <f ca="1">SUMIF('FACT - ACHAT DIVERS'!$AN$5:$AN$84,"mars",'FACT - ACHAT DIVERS'!$AK$5:$AK$83)</f>
        <v>0</v>
      </c>
      <c r="F52" s="86">
        <f ca="1">SUMIF('FACT - ACHAT DIVERS'!$AN$5:$AN$84,"avril",'FACT - ACHAT DIVERS'!$AK$5:$AK$83)</f>
        <v>0</v>
      </c>
      <c r="G52" s="86">
        <f ca="1">SUMIF('FACT - ACHAT DIVERS'!$AN$5:$AN$84,"mai",'FACT - ACHAT DIVERS'!$AK$5:$AK$83)</f>
        <v>0</v>
      </c>
      <c r="H52" s="86">
        <f ca="1">SUMIF('FACT - ACHAT DIVERS'!$AN$5:$AN$84,"juin",'FACT - ACHAT DIVERS'!$AK$5:$AK$83)</f>
        <v>0</v>
      </c>
      <c r="I52" s="86">
        <f ca="1">SUMIF('FACT - ACHAT DIVERS'!$AN$5:$AN$84,"juillet",'FACT - ACHAT DIVERS'!$AK$5:$AK$83)</f>
        <v>0</v>
      </c>
      <c r="J52" s="86">
        <f ca="1">SUMIF('FACT - ACHAT DIVERS'!$AN$5:$AN$84,"aout",'FACT - ACHAT DIVERS'!$AK$5:$AK$83)</f>
        <v>0</v>
      </c>
      <c r="K52" s="86">
        <f ca="1">SUMIF('FACT - ACHAT DIVERS'!$AN$5:$AN$84,"septembre",'FACT - ACHAT DIVERS'!$AK$5:$AK$83)</f>
        <v>0</v>
      </c>
      <c r="L52" s="86">
        <f ca="1">SUMIF('FACT - ACHAT DIVERS'!$AN$5:$AN$84,"octobre",'FACT - ACHAT DIVERS'!$AK$5:$AK$83)</f>
        <v>0</v>
      </c>
      <c r="M52" s="86">
        <f ca="1">SUMIF('FACT - ACHAT DIVERS'!$AN$5:$AN$84,"novembre",'FACT - ACHAT DIVERS'!$AK$5:$AK$83)</f>
        <v>0</v>
      </c>
      <c r="N52" s="86">
        <f ca="1">SUMIF('FACT - ACHAT DIVERS'!$AN$5:$AN$84,"decembre",'FACT - ACHAT DIVERS'!$AK$5:$AK$83)</f>
        <v>0</v>
      </c>
      <c r="O52" s="130">
        <f ca="1">SUM(C52:N52)</f>
        <v>0</v>
      </c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R52"/>
    </row>
    <row r="53" spans="1:44" ht="19" thickBot="1" x14ac:dyDescent="0.4">
      <c r="A53" s="4"/>
      <c r="B53" s="125" t="s">
        <v>106</v>
      </c>
      <c r="C53" s="82">
        <f ca="1">SUM(C48:C52)</f>
        <v>56</v>
      </c>
      <c r="D53" s="82">
        <f t="shared" ref="D53:N53" ca="1" si="10">SUM(D48:D52)</f>
        <v>39.269999999999996</v>
      </c>
      <c r="E53" s="80">
        <f t="shared" ca="1" si="10"/>
        <v>65.56</v>
      </c>
      <c r="F53" s="82">
        <f t="shared" ca="1" si="10"/>
        <v>162.26</v>
      </c>
      <c r="G53" s="82">
        <f t="shared" ca="1" si="10"/>
        <v>1793.4499999999998</v>
      </c>
      <c r="H53" s="83">
        <f t="shared" ca="1" si="10"/>
        <v>34.950000000000003</v>
      </c>
      <c r="I53" s="82">
        <f t="shared" ca="1" si="10"/>
        <v>203.36</v>
      </c>
      <c r="J53" s="82">
        <f t="shared" ca="1" si="10"/>
        <v>1070.98</v>
      </c>
      <c r="K53" s="82">
        <f t="shared" ca="1" si="10"/>
        <v>142.91</v>
      </c>
      <c r="L53" s="82">
        <f t="shared" ca="1" si="10"/>
        <v>0</v>
      </c>
      <c r="M53" s="82">
        <f t="shared" ca="1" si="10"/>
        <v>0</v>
      </c>
      <c r="N53" s="103">
        <f t="shared" ca="1" si="10"/>
        <v>0</v>
      </c>
      <c r="O53" s="131">
        <f ca="1">SUM(C53:N53)</f>
        <v>3568.74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N53"/>
      <c r="AO53"/>
      <c r="AP53"/>
      <c r="AQ53"/>
    </row>
    <row r="54" spans="1:44" ht="19" thickBot="1" x14ac:dyDescent="0.4">
      <c r="A54" s="121" t="s">
        <v>83</v>
      </c>
      <c r="B54" s="449" t="s">
        <v>92</v>
      </c>
      <c r="C54" s="450"/>
      <c r="D54" s="450"/>
      <c r="E54" s="450"/>
      <c r="F54" s="450"/>
      <c r="G54" s="450"/>
      <c r="H54" s="450"/>
      <c r="I54" s="450"/>
      <c r="J54" s="450"/>
      <c r="K54" s="450"/>
      <c r="L54" s="450"/>
      <c r="M54" s="450"/>
      <c r="N54" s="451"/>
      <c r="O54" s="142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N54"/>
      <c r="AO54"/>
      <c r="AP54"/>
      <c r="AQ54"/>
    </row>
    <row r="55" spans="1:44" s="44" customFormat="1" ht="15.5" x14ac:dyDescent="0.35">
      <c r="B55" s="93" t="s">
        <v>51</v>
      </c>
      <c r="C55" s="87">
        <f>SUMIF('FACT - FRAIS Généraux'!$N$5:$N$79,"janvier",'FACT - FRAIS Généraux'!$I$5:$I$79)</f>
        <v>0</v>
      </c>
      <c r="D55" s="87">
        <f>SUMIF('FACT - FRAIS Généraux'!$N$5:$N$79,"fevrier",'FACT - FRAIS Généraux'!$I$5:$I$79)</f>
        <v>0</v>
      </c>
      <c r="E55" s="87">
        <f>SUMIF('FACT - FRAIS Généraux'!$N$5:$N$79,"mars",'FACT - FRAIS Généraux'!$I$5:$I$79)</f>
        <v>0</v>
      </c>
      <c r="F55" s="87">
        <f>SUMIF('FACT - FRAIS Généraux'!$N$5:$N$79,"avril",'FACT - FRAIS Généraux'!$I$5:$I$79)</f>
        <v>0</v>
      </c>
      <c r="G55" s="87">
        <f>SUMIF('FACT - FRAIS Généraux'!$N$5:$N$79,"mai",'FACT - FRAIS Généraux'!$I$5:$I$79)</f>
        <v>0</v>
      </c>
      <c r="H55" s="87">
        <f>SUMIF('FACT - FRAIS Généraux'!$N$5:$N$79,"juin",'FACT - FRAIS Généraux'!$I$5:$I$79)</f>
        <v>0</v>
      </c>
      <c r="I55" s="87">
        <f>SUMIF('FACT - FRAIS Généraux'!$N$5:$N$79,"juillet",'FACT - FRAIS Généraux'!$I$5:$I$79)</f>
        <v>0</v>
      </c>
      <c r="J55" s="87">
        <f>SUMIF('FACT - FRAIS Généraux'!$N$5:$N$79,"aout",'FACT - FRAIS Généraux'!$I$5:$I$79)</f>
        <v>0</v>
      </c>
      <c r="K55" s="87">
        <f>SUMIF('FACT - FRAIS Généraux'!$N$5:$N$79,"septembre",'FACT - FRAIS Généraux'!$I$5:$I$79)</f>
        <v>0</v>
      </c>
      <c r="L55" s="87">
        <f>SUMIF('FACT - FRAIS Généraux'!$N$5:$N$79,"octobre",'FACT - FRAIS Généraux'!$I$5:$I$79)</f>
        <v>0</v>
      </c>
      <c r="M55" s="87">
        <f>SUMIF('FACT - FRAIS Généraux'!$N$5:$N$79,"novembre",'FACT - FRAIS Généraux'!$I$5:$I$79)</f>
        <v>0</v>
      </c>
      <c r="N55" s="87">
        <f>SUMIF('FACT - FRAIS Généraux'!$N$5:$N$79,"decembre",'FACT - FRAIS Généraux'!$I$5:$I$79)</f>
        <v>0</v>
      </c>
      <c r="O55" s="130">
        <f>SUM(C55:N55)</f>
        <v>0</v>
      </c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1:44" s="44" customFormat="1" ht="30" customHeight="1" x14ac:dyDescent="0.35">
      <c r="A56" s="243"/>
      <c r="B56" s="132" t="s">
        <v>16</v>
      </c>
      <c r="C56" s="86">
        <f>SUMIF('FACT - FRAIS Généraux'!$AA$5:$AA$80,"janvier",'FACT - FRAIS Généraux'!$V$5:$V$80)</f>
        <v>0</v>
      </c>
      <c r="D56" s="86">
        <f>SUMIF('FACT - FRAIS Généraux'!$AA$5:$AA$80,"fevrier",'FACT - FRAIS Généraux'!$V$5:$V$80)</f>
        <v>0</v>
      </c>
      <c r="E56" s="86">
        <f>SUMIF('FACT - FRAIS Généraux'!$AA$5:$AA$80,"mars",'FACT - FRAIS Généraux'!$V$5:$V$80)</f>
        <v>0</v>
      </c>
      <c r="F56" s="86">
        <f>SUMIF('FACT - FRAIS Généraux'!$AA$5:$AA$80,"avril",'FACT - FRAIS Généraux'!$V$5:$V$80)</f>
        <v>0</v>
      </c>
      <c r="G56" s="86">
        <f>SUMIF('FACT - FRAIS Généraux'!$AA$5:$AA$80,"mai",'FACT - FRAIS Généraux'!$V$5:$V$80)</f>
        <v>0</v>
      </c>
      <c r="H56" s="86">
        <f>SUMIF('FACT - FRAIS Généraux'!$AA$5:$AA$80,"juin",'FACT - FRAIS Généraux'!$V$5:$V$80)</f>
        <v>0</v>
      </c>
      <c r="I56" s="86">
        <f>SUMIF('FACT - FRAIS Généraux'!$AA$5:$AA$80,"juillet",'FACT - FRAIS Généraux'!$V$5:$V$80)</f>
        <v>0</v>
      </c>
      <c r="J56" s="86">
        <f>SUMIF('FACT - FRAIS Généraux'!$AA$5:$AA$80,"aout",'FACT - FRAIS Généraux'!$V$5:$V$80)</f>
        <v>0</v>
      </c>
      <c r="K56" s="86">
        <f>SUMIF('FACT - FRAIS Généraux'!$AA$5:$AA$80,"septembre",'FACT - FRAIS Généraux'!$V$5:$V$80)</f>
        <v>0</v>
      </c>
      <c r="L56" s="86">
        <f>SUMIF('FACT - FRAIS Généraux'!$AA$5:$AA$80,"octobre",'FACT - FRAIS Généraux'!$V$5:$V$80)</f>
        <v>0</v>
      </c>
      <c r="M56" s="86">
        <f>SUMIF('FACT - FRAIS Généraux'!$AA$5:$AA$80,"novembre",'FACT - FRAIS Généraux'!$V$5:$V$80)</f>
        <v>0</v>
      </c>
      <c r="N56" s="86">
        <f>SUMIF('FACT - FRAIS Généraux'!$AA$5:$AA$80,"decembre",'FACT - FRAIS Généraux'!$V$5:$V$80)</f>
        <v>0</v>
      </c>
      <c r="O56" s="130">
        <f t="shared" ref="O56:O60" si="11">SUM(C56:N56)</f>
        <v>0</v>
      </c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:44" s="44" customFormat="1" ht="16.5" customHeight="1" x14ac:dyDescent="0.35">
      <c r="B57" s="93" t="s">
        <v>59</v>
      </c>
      <c r="C57" s="86">
        <f>SUMIF('FACT - FRAIS Généraux'!$AN$5:$AN$80,"janvier",'FACT - FRAIS Généraux'!$AI$5:$AI$80)</f>
        <v>0</v>
      </c>
      <c r="D57" s="86">
        <f>SUMIF('FACT - FRAIS Généraux'!$AN$5:$AN$80,"fevrier",'FACT - FRAIS Généraux'!$AI$5:$AI$80)</f>
        <v>0</v>
      </c>
      <c r="E57" s="86">
        <f>SUMIF('FACT - FRAIS Généraux'!$AN$5:$AN$80,"mars",'FACT - FRAIS Généraux'!$AI$5:$AI$80)</f>
        <v>0</v>
      </c>
      <c r="F57" s="86">
        <f>SUMIF('FACT - FRAIS Généraux'!$AN$5:$AN$80,"avril",'FACT - FRAIS Généraux'!$AI$5:$AI$80)</f>
        <v>0</v>
      </c>
      <c r="G57" s="86">
        <f>SUMIF('FACT - FRAIS Généraux'!$AN$5:$AN$80,"mai",'FACT - FRAIS Généraux'!$AI$5:$AI$80)</f>
        <v>0</v>
      </c>
      <c r="H57" s="86">
        <f>SUMIF('FACT - FRAIS Généraux'!$AN$5:$AN$80,"juin",'FACT - FRAIS Généraux'!$AI$5:$AI$80)</f>
        <v>0</v>
      </c>
      <c r="I57" s="86">
        <f>SUMIF('FACT - FRAIS Généraux'!$AN$5:$AN$80,"juillet",'FACT - FRAIS Généraux'!$AI$5:$AI$80)</f>
        <v>0</v>
      </c>
      <c r="J57" s="86">
        <f>SUMIF('FACT - FRAIS Généraux'!$AN$5:$AN$80,"aout",'FACT - FRAIS Généraux'!$AI$5:$AI$80)</f>
        <v>0</v>
      </c>
      <c r="K57" s="86">
        <f>SUMIF('FACT - FRAIS Généraux'!$AN$5:$AN$80,"septembre",'FACT - FRAIS Généraux'!$AI$5:$AI$80)</f>
        <v>0</v>
      </c>
      <c r="L57" s="86">
        <f>SUMIF('FACT - FRAIS Généraux'!$AN$5:$AN$80,"octobre",'FACT - FRAIS Généraux'!$AI$5:$AI$80)</f>
        <v>0</v>
      </c>
      <c r="M57" s="86">
        <f>SUMIF('FACT - FRAIS Généraux'!$AN$5:$AN$80,"novembre",'FACT - FRAIS Généraux'!$AI$5:$AI$80)</f>
        <v>0</v>
      </c>
      <c r="N57" s="86">
        <f>SUMIF('FACT - FRAIS Généraux'!$AN$5:$AN$80,"decembre",'FACT - FRAIS Généraux'!$AI$5:$AI$80)</f>
        <v>0</v>
      </c>
      <c r="O57" s="130">
        <f t="shared" si="11"/>
        <v>0</v>
      </c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1:44" ht="15.5" x14ac:dyDescent="0.35">
      <c r="A58" s="6"/>
      <c r="B58" s="93" t="s">
        <v>122</v>
      </c>
      <c r="C58" s="86">
        <f>SUMIF('FACT - FRAIS Généraux'!$BA$5:$BA$80,"janvier",'FACT - FRAIS Généraux'!$AV$5:$AV$80)</f>
        <v>0</v>
      </c>
      <c r="D58" s="86">
        <f>SUMIF('FACT - FRAIS Généraux'!$BA$5:$BA$80,"fevrier",'FACT - FRAIS Généraux'!$AV$5:$AV$80)</f>
        <v>0</v>
      </c>
      <c r="E58" s="86">
        <f>SUMIF('FACT - FRAIS Généraux'!$BA$5:$BA$80,"mars",'FACT - FRAIS Généraux'!$AV$5:$AV$80)</f>
        <v>0</v>
      </c>
      <c r="F58" s="86">
        <f>SUMIF('FACT - FRAIS Généraux'!$BA$5:$BA$80,"avril",'FACT - FRAIS Généraux'!$AV$5:$AV$80)</f>
        <v>0</v>
      </c>
      <c r="G58" s="86">
        <f>SUMIF('FACT - FRAIS Généraux'!$BA$5:$BA$80,"mai",'FACT - FRAIS Généraux'!$AV$5:$AV$80)</f>
        <v>0</v>
      </c>
      <c r="H58" s="86">
        <f>SUMIF('FACT - FRAIS Généraux'!$BA$5:$BA$80,"juin",'FACT - FRAIS Généraux'!$AV$5:$AV$80)</f>
        <v>0</v>
      </c>
      <c r="I58" s="86">
        <f>SUMIF('FACT - FRAIS Généraux'!$BA$5:$BA$80,"juillet",'FACT - FRAIS Généraux'!$AV$5:$AV$80)</f>
        <v>0</v>
      </c>
      <c r="J58" s="86">
        <f>SUMIF('FACT - FRAIS Généraux'!$BA$5:$BA$80,"aout",'FACT - FRAIS Généraux'!$AV$5:$AV$80)</f>
        <v>0</v>
      </c>
      <c r="K58" s="86">
        <f>SUMIF('FACT - FRAIS Généraux'!$BA$5:$BA$80,"septembre",'FACT - FRAIS Généraux'!$AV$5:$AV$80)</f>
        <v>0</v>
      </c>
      <c r="L58" s="86">
        <f>SUMIF('FACT - FRAIS Généraux'!$BA$5:$BA$80,"octobre",'FACT - FRAIS Généraux'!$AV$5:$AV$80)</f>
        <v>0</v>
      </c>
      <c r="M58" s="86">
        <f>SUMIF('FACT - FRAIS Généraux'!$BA$5:$BA$80,"novembre",'FACT - FRAIS Généraux'!$AV$5:$AV$80)</f>
        <v>0</v>
      </c>
      <c r="N58" s="86">
        <f>SUMIF('FACT - FRAIS Généraux'!$BA$5:$BA$80,"decembre",'FACT - FRAIS Généraux'!$AV$5:$AV$80)</f>
        <v>0</v>
      </c>
      <c r="O58" s="130">
        <f t="shared" si="11"/>
        <v>0</v>
      </c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</row>
    <row r="59" spans="1:44" ht="15.5" x14ac:dyDescent="0.35">
      <c r="A59" s="6"/>
      <c r="B59" s="93" t="s">
        <v>61</v>
      </c>
      <c r="C59" s="86">
        <f>SUMIF('FACT - FRAIS Généraux'!$BN$5:$BN$80,"janvier",'FACT - FRAIS Généraux'!$BK$5:$BK$80)</f>
        <v>0</v>
      </c>
      <c r="D59" s="86">
        <f>SUMIF('FACT - FRAIS Généraux'!$BN$5:$BN$80,"fevrier",'FACT - FRAIS Généraux'!$BK$5:$BK$80)</f>
        <v>0</v>
      </c>
      <c r="E59" s="86">
        <f>SUMIF('FACT - FRAIS Généraux'!$BN$5:$BN$80,"mars",'FACT - FRAIS Généraux'!$BK$5:$BK$80)</f>
        <v>0</v>
      </c>
      <c r="F59" s="86">
        <f>SUMIF('FACT - FRAIS Généraux'!$BN$5:$BN$80,"avril",'FACT - FRAIS Généraux'!$BK$5:$BK$80)</f>
        <v>0</v>
      </c>
      <c r="G59" s="86">
        <f>SUMIF('FACT - FRAIS Généraux'!$BN$5:$BN$80,"mai",'FACT - FRAIS Généraux'!$BK$5:$BK$80)</f>
        <v>0</v>
      </c>
      <c r="H59" s="86">
        <f>SUMIF('FACT - FRAIS Généraux'!$BN$5:$BN$80,"juin",'FACT - FRAIS Généraux'!$BK$5:$BK$80)</f>
        <v>0</v>
      </c>
      <c r="I59" s="86">
        <f>SUMIF('FACT - FRAIS Généraux'!$BN$5:$BN$80,"juillet",'FACT - FRAIS Généraux'!$BK$5:$BK$80)</f>
        <v>0</v>
      </c>
      <c r="J59" s="86">
        <f>SUMIF('FACT - FRAIS Généraux'!$BN$5:$BN$80,"aout",'FACT - FRAIS Généraux'!$BK$5:$BK$80)</f>
        <v>0</v>
      </c>
      <c r="K59" s="86">
        <f>SUMIF('FACT - FRAIS Généraux'!$BN$5:$BN$80,"septembre",'FACT - FRAIS Généraux'!$BK$5:$BK$80)</f>
        <v>0</v>
      </c>
      <c r="L59" s="86">
        <f>SUMIF('FACT - FRAIS Généraux'!$BN$5:$BN$80,"octobre",'FACT - FRAIS Généraux'!$BK$5:$BK$80)</f>
        <v>0</v>
      </c>
      <c r="M59" s="86">
        <f>SUMIF('FACT - FRAIS Généraux'!$BN$5:$BN$80,"novembre",'FACT - FRAIS Généraux'!$BK$5:$BK$80)</f>
        <v>0</v>
      </c>
      <c r="N59" s="86">
        <f>SUMIF('FACT - FRAIS Généraux'!$BN$5:$BN$80,"decembre",'FACT - FRAIS Généraux'!$BK$5:$BK$80)</f>
        <v>0</v>
      </c>
      <c r="O59" s="130">
        <f t="shared" si="11"/>
        <v>0</v>
      </c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4" ht="15.5" x14ac:dyDescent="0.35">
      <c r="A60" s="6"/>
      <c r="B60" s="93" t="s">
        <v>65</v>
      </c>
      <c r="C60" s="86">
        <f>SUMIF('FACT - FRAIS Généraux'!$CA$5:$CA$80,"janvier",'FACT - FRAIS Généraux'!$BV$5:$BV$80)</f>
        <v>0</v>
      </c>
      <c r="D60" s="86">
        <f>SUMIF('FACT - FRAIS Généraux'!$CA$5:$CA$80,"fevrier",'FACT - FRAIS Généraux'!$BV$5:$BV$80)</f>
        <v>0</v>
      </c>
      <c r="E60" s="86">
        <f>SUMIF('FACT - FRAIS Généraux'!$CA$5:$CA$80,"mars",'FACT - FRAIS Généraux'!$BV$5:$BV$80)</f>
        <v>0</v>
      </c>
      <c r="F60" s="86">
        <f>SUMIF('FACT - FRAIS Généraux'!$CA$5:$CA$80,"avril",'FACT - FRAIS Généraux'!$BV$5:$BV$80)</f>
        <v>0</v>
      </c>
      <c r="G60" s="86">
        <f>SUMIF('FACT - FRAIS Généraux'!$CA$5:$CA$80,"mai",'FACT - FRAIS Généraux'!$BV$5:$BV$80)</f>
        <v>0</v>
      </c>
      <c r="H60" s="86">
        <f>SUMIF('FACT - FRAIS Généraux'!$CA$5:$CA$80,"juin",'FACT - FRAIS Généraux'!$BV$5:$BV$80)</f>
        <v>0</v>
      </c>
      <c r="I60" s="86">
        <f>SUMIF('FACT - FRAIS Généraux'!$CA$5:$CA$80,"juillet",'FACT - FRAIS Généraux'!$BV$5:$BV$80)</f>
        <v>0</v>
      </c>
      <c r="J60" s="86">
        <f>SUMIF('FACT - FRAIS Généraux'!$CA$5:$CA$80,"aout",'FACT - FRAIS Généraux'!$BV$5:$BV$80)</f>
        <v>0</v>
      </c>
      <c r="K60" s="86">
        <f>SUMIF('FACT - FRAIS Généraux'!$CA$5:$CA$80,"septembre",'FACT - FRAIS Généraux'!$BV$5:$BV$80)</f>
        <v>0</v>
      </c>
      <c r="L60" s="86">
        <f>SUMIF('FACT - FRAIS Généraux'!$CA$5:$CA$80,"octobre",'FACT - FRAIS Généraux'!$BV$5:$BV$80)</f>
        <v>0</v>
      </c>
      <c r="M60" s="86">
        <f>SUMIF('FACT - FRAIS Généraux'!$CA$5:$CA$80,"novembre",'FACT - FRAIS Généraux'!$BV$5:$BV$80)</f>
        <v>0</v>
      </c>
      <c r="N60" s="86">
        <f>SUMIF('FACT - FRAIS Généraux'!$CA$5:$CA$80,"decembre",'FACT - FRAIS Généraux'!$BV$5:$BV$80)</f>
        <v>0</v>
      </c>
      <c r="O60" s="130">
        <f t="shared" si="11"/>
        <v>0</v>
      </c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 spans="1:44" ht="15.5" x14ac:dyDescent="0.35">
      <c r="A61"/>
      <c r="B61" s="93" t="s">
        <v>29</v>
      </c>
      <c r="C61" s="86">
        <f>SUMIF('FACT - FRAIS Généraux'!$DA$5:$DA$80,"janvier",'FACT - FRAIS Généraux'!$CV$5:$CV$80)</f>
        <v>0</v>
      </c>
      <c r="D61" s="86">
        <f>SUMIF('FACT - FRAIS Généraux'!$DA$5:$DA$80,"fevrier",'FACT - FRAIS Généraux'!$CV$5:$CV$80)</f>
        <v>0</v>
      </c>
      <c r="E61" s="86">
        <f>SUMIF('FACT - FRAIS Généraux'!$DA$5:$DA$80,"mars",'FACT - FRAIS Généraux'!$CV$5:$CV$80)</f>
        <v>0</v>
      </c>
      <c r="F61" s="86">
        <f>SUMIF('FACT - FRAIS Généraux'!$DA$5:$DA$80,"avril",'FACT - FRAIS Généraux'!$CV$5:$CV$80)</f>
        <v>0</v>
      </c>
      <c r="G61" s="86">
        <f>SUMIF('FACT - FRAIS Généraux'!$DA$5:$DA$80,"mai",'FACT - FRAIS Généraux'!$CV$5:$CV$80)</f>
        <v>0</v>
      </c>
      <c r="H61" s="86">
        <f>SUMIF('FACT - FRAIS Généraux'!$DA$5:$DA$80,"juin",'FACT - FRAIS Généraux'!$CV$5:$CV$80)</f>
        <v>0</v>
      </c>
      <c r="I61" s="86">
        <f>SUMIF('FACT - FRAIS Généraux'!$DA$5:$DA$80,"juillet",'FACT - FRAIS Généraux'!$CV$5:$CV$80)</f>
        <v>0</v>
      </c>
      <c r="J61" s="86">
        <f>SUMIF('FACT - FRAIS Généraux'!$DA$5:$DA$80,"aout",'FACT - FRAIS Généraux'!$CV$5:$CV$80)</f>
        <v>0</v>
      </c>
      <c r="K61" s="86">
        <f>SUMIF('FACT - FRAIS Généraux'!$DA$5:$DA$80,"septembre",'FACT - FRAIS Généraux'!$CV$5:$CV$80)</f>
        <v>0</v>
      </c>
      <c r="L61" s="86">
        <f>SUMIF('FACT - FRAIS Généraux'!$DA$5:$DA$80,"octobre",'FACT - FRAIS Généraux'!$CV$5:$CV$80)</f>
        <v>0</v>
      </c>
      <c r="M61" s="86">
        <f>SUMIF('FACT - FRAIS Généraux'!$DA$5:$DA$80,"novembre",'FACT - FRAIS Généraux'!$CV$5:$CV$80)</f>
        <v>0</v>
      </c>
      <c r="N61" s="86">
        <f>SUMIF('FACT - FRAIS Généraux'!$DA$5:$DA$80,"decembre",'FACT - FRAIS Généraux'!$CV$5:$CV$80)</f>
        <v>0</v>
      </c>
      <c r="O61" s="130">
        <f>SUM(C61:N61)</f>
        <v>0</v>
      </c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4" ht="15.5" x14ac:dyDescent="0.35">
      <c r="A62"/>
      <c r="B62" s="93" t="s">
        <v>123</v>
      </c>
      <c r="C62" s="86">
        <f>SUMIF('FACT - FRAIS Généraux'!$CN$5:$CN$80,"janvier",'FACT - FRAIS Généraux'!$CK$5:$CK$80)</f>
        <v>0</v>
      </c>
      <c r="D62" s="86">
        <f>SUMIF('FACT - FRAIS Généraux'!$CN$5:$CN$80,"fevrier",'FACT - FRAIS Généraux'!$CK$5:$CK$80)</f>
        <v>0</v>
      </c>
      <c r="E62" s="86">
        <f>SUMIF('FACT - FRAIS Généraux'!$CN$5:$CN$80,"mars",'FACT - FRAIS Généraux'!$CK$5:$CK$80)</f>
        <v>0</v>
      </c>
      <c r="F62" s="86">
        <f>SUMIF('FACT - FRAIS Généraux'!$CN$5:$CN$80,"avril",'FACT - FRAIS Généraux'!$CK$5:$CK$80)</f>
        <v>0</v>
      </c>
      <c r="G62" s="86">
        <f>SUMIF('FACT - FRAIS Généraux'!$CN$5:$CN$80,"mai",'FACT - FRAIS Généraux'!$CK$5:$CK$80)</f>
        <v>0</v>
      </c>
      <c r="H62" s="86">
        <f>SUMIF('FACT - FRAIS Généraux'!$CN$5:$CN$80,"juin",'FACT - FRAIS Généraux'!$CK$5:$CK$80)</f>
        <v>0</v>
      </c>
      <c r="I62" s="86">
        <f>SUMIF('FACT - FRAIS Généraux'!$CN$5:$CN$80,"juillet",'FACT - FRAIS Généraux'!$CK$5:$CK$80)</f>
        <v>0</v>
      </c>
      <c r="J62" s="86">
        <f>SUMIF('FACT - FRAIS Généraux'!$CN$5:$CN$80,"aout",'FACT - FRAIS Généraux'!$CK$5:$CK$80)</f>
        <v>0</v>
      </c>
      <c r="K62" s="86">
        <f>SUMIF('FACT - FRAIS Généraux'!$CN$5:$CN$80,"septembre",'FACT - FRAIS Généraux'!$CK$5:$CK$80)</f>
        <v>0</v>
      </c>
      <c r="L62" s="86">
        <f>SUMIF('FACT - FRAIS Généraux'!$CN$5:$CN$80,"octobre",'FACT - FRAIS Généraux'!$CK$5:$CK$80)</f>
        <v>0</v>
      </c>
      <c r="M62" s="86">
        <f>SUMIF('FACT - FRAIS Généraux'!$CN$5:$CN$80,"novembre",'FACT - FRAIS Généraux'!$CK$5:$CK$80)</f>
        <v>0</v>
      </c>
      <c r="N62" s="86">
        <f>SUMIF('FACT - FRAIS Généraux'!$CN$5:$CN$80,"decembre",'FACT - FRAIS Généraux'!$CK$5:$CK$80)</f>
        <v>0</v>
      </c>
      <c r="O62" s="130">
        <f>SUM(C62:N62)</f>
        <v>0</v>
      </c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spans="1:44" ht="16" thickBot="1" x14ac:dyDescent="0.4">
      <c r="A63"/>
      <c r="B63" s="292" t="s">
        <v>158</v>
      </c>
      <c r="C63" s="86">
        <f>SUMIF('FACT - FRAIS Généraux'!$DK$5:$DK$133,"janvier",'FACT - FRAIS Généraux'!$DI$5:$DI$133)</f>
        <v>0</v>
      </c>
      <c r="D63" s="86">
        <f>SUMIF('FACT - FRAIS Généraux'!$DK$5:$DK$133,"fevrier",'FACT - FRAIS Généraux'!$DI$5:$DI$133)</f>
        <v>0</v>
      </c>
      <c r="E63" s="86">
        <f>SUMIF('FACT - FRAIS Généraux'!$DK$5:$DK$133,"mars",'FACT - FRAIS Généraux'!$DI$5:$DI$133)</f>
        <v>0</v>
      </c>
      <c r="F63" s="86">
        <f>SUMIF('FACT - FRAIS Généraux'!$DK$5:$DK$133,"avril",'FACT - FRAIS Généraux'!$DI$5:$DI$133)</f>
        <v>0</v>
      </c>
      <c r="G63" s="86">
        <f>SUMIF('FACT - FRAIS Généraux'!$DK$5:$DK$133,"mai",'FACT - FRAIS Généraux'!$DI$5:$DI$133)</f>
        <v>0</v>
      </c>
      <c r="H63" s="86">
        <f>SUMIF('FACT - FRAIS Généraux'!$DK$5:$DK$133,"juin",'FACT - FRAIS Généraux'!$DI$5:$DI$133)</f>
        <v>0</v>
      </c>
      <c r="I63" s="86">
        <f>SUMIF('FACT - FRAIS Généraux'!$DK$5:$DK$133,"juillet",'FACT - FRAIS Généraux'!$DI$5:$DI$133)</f>
        <v>0</v>
      </c>
      <c r="J63" s="86">
        <f>SUMIF('FACT - FRAIS Généraux'!$DK$5:$DK$133,"aout",'FACT - FRAIS Généraux'!$DI$5:$DI$133)</f>
        <v>0</v>
      </c>
      <c r="K63" s="86">
        <f>SUMIF('FACT - FRAIS Généraux'!$DK$5:$DK$133,"septembre",'FACT - FRAIS Généraux'!$DI$5:$DI$133)</f>
        <v>0</v>
      </c>
      <c r="L63" s="86">
        <f>SUMIF('FACT - FRAIS Généraux'!$DK$5:$DK$133,"octobre",'FACT - FRAIS Généraux'!$DI$5:$DI$133)</f>
        <v>0</v>
      </c>
      <c r="M63" s="86">
        <f>SUMIF('FACT - FRAIS Généraux'!$DK$5:$DK$133,"novembre",'FACT - FRAIS Généraux'!$DI$5:$DI$133)</f>
        <v>0</v>
      </c>
      <c r="N63" s="86">
        <f>SUMIF('FACT - FRAIS Généraux'!$DK$5:$DK$133,"decembre",'FACT - FRAIS Généraux'!$DI$5:$DI$133)</f>
        <v>0</v>
      </c>
      <c r="O63" s="29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</row>
    <row r="64" spans="1:44" ht="19" thickBot="1" x14ac:dyDescent="0.4">
      <c r="A64" s="4"/>
      <c r="B64" s="80" t="s">
        <v>105</v>
      </c>
      <c r="C64" s="80">
        <f t="shared" ref="C64:N64" si="12">SUM(C55:C62)</f>
        <v>0</v>
      </c>
      <c r="D64" s="80">
        <f t="shared" si="12"/>
        <v>0</v>
      </c>
      <c r="E64" s="80">
        <f t="shared" si="12"/>
        <v>0</v>
      </c>
      <c r="F64" s="80">
        <f t="shared" si="12"/>
        <v>0</v>
      </c>
      <c r="G64" s="80">
        <f t="shared" si="12"/>
        <v>0</v>
      </c>
      <c r="H64" s="80">
        <f t="shared" si="12"/>
        <v>0</v>
      </c>
      <c r="I64" s="80">
        <f t="shared" si="12"/>
        <v>0</v>
      </c>
      <c r="J64" s="80">
        <f t="shared" si="12"/>
        <v>0</v>
      </c>
      <c r="K64" s="80">
        <f t="shared" si="12"/>
        <v>0</v>
      </c>
      <c r="L64" s="80">
        <f t="shared" si="12"/>
        <v>0</v>
      </c>
      <c r="M64" s="80">
        <f t="shared" si="12"/>
        <v>0</v>
      </c>
      <c r="N64" s="101">
        <f t="shared" si="12"/>
        <v>0</v>
      </c>
      <c r="O64" s="131">
        <f>SUM(C64:N64)</f>
        <v>0</v>
      </c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</row>
    <row r="65" spans="1:43" x14ac:dyDescent="0.35">
      <c r="A65" s="4"/>
      <c r="B65"/>
      <c r="C65"/>
      <c r="D65"/>
      <c r="E65" s="3"/>
      <c r="F65"/>
      <c r="G65"/>
      <c r="H65" s="8"/>
      <c r="I65"/>
      <c r="J65"/>
      <c r="K65"/>
      <c r="L65"/>
      <c r="M65"/>
      <c r="N65"/>
      <c r="O65" s="3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Q65"/>
    </row>
    <row r="66" spans="1:43" s="173" customFormat="1" ht="15" thickBot="1" x14ac:dyDescent="0.4">
      <c r="A66" s="2"/>
      <c r="B66"/>
      <c r="C66"/>
      <c r="D66"/>
      <c r="E66" s="3"/>
      <c r="F66"/>
      <c r="G66"/>
      <c r="H66" s="8"/>
      <c r="I66"/>
      <c r="J66"/>
      <c r="K66"/>
      <c r="L66"/>
      <c r="M66"/>
      <c r="N66"/>
      <c r="O66" s="3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Q66" s="2"/>
    </row>
    <row r="67" spans="1:43" ht="29" thickBot="1" x14ac:dyDescent="0.4">
      <c r="A67" s="2"/>
      <c r="B67" s="238" t="s">
        <v>152</v>
      </c>
      <c r="C67" s="266">
        <f t="shared" ref="C67:N67" ca="1" si="13">C22+C32++C39+C46+C53+C64</f>
        <v>56</v>
      </c>
      <c r="D67" s="266">
        <f t="shared" ca="1" si="13"/>
        <v>39.269999999999996</v>
      </c>
      <c r="E67" s="266">
        <f t="shared" ca="1" si="13"/>
        <v>65.56</v>
      </c>
      <c r="F67" s="266">
        <f t="shared" ca="1" si="13"/>
        <v>162.26</v>
      </c>
      <c r="G67" s="266">
        <f t="shared" ca="1" si="13"/>
        <v>1793.4499999999998</v>
      </c>
      <c r="H67" s="266">
        <f t="shared" ca="1" si="13"/>
        <v>34.950000000000003</v>
      </c>
      <c r="I67" s="266">
        <f t="shared" ca="1" si="13"/>
        <v>203.36</v>
      </c>
      <c r="J67" s="266">
        <f t="shared" ca="1" si="13"/>
        <v>1070.98</v>
      </c>
      <c r="K67" s="267">
        <f t="shared" ca="1" si="13"/>
        <v>142.91</v>
      </c>
      <c r="L67" s="268">
        <f t="shared" ca="1" si="13"/>
        <v>0</v>
      </c>
      <c r="M67" s="266">
        <f t="shared" ca="1" si="13"/>
        <v>0</v>
      </c>
      <c r="N67" s="269">
        <f t="shared" ca="1" si="13"/>
        <v>0</v>
      </c>
      <c r="O67" s="237">
        <f ca="1">SUM(C67:N67)</f>
        <v>3568.74</v>
      </c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spans="1:43" ht="23.5" x14ac:dyDescent="0.35">
      <c r="A68"/>
      <c r="B68" s="239" t="s">
        <v>90</v>
      </c>
      <c r="C68" s="241">
        <f ca="1">C22+C32+C39+C46+C53</f>
        <v>56</v>
      </c>
      <c r="D68" s="241">
        <f t="shared" ref="D68:N68" ca="1" si="14">D22+D32+D39+D46+D53</f>
        <v>39.269999999999996</v>
      </c>
      <c r="E68" s="241">
        <f t="shared" ca="1" si="14"/>
        <v>65.56</v>
      </c>
      <c r="F68" s="241">
        <f t="shared" ca="1" si="14"/>
        <v>162.26</v>
      </c>
      <c r="G68" s="241">
        <f t="shared" ca="1" si="14"/>
        <v>1793.4499999999998</v>
      </c>
      <c r="H68" s="241">
        <f ca="1">H22+H32+H39+H46+H53</f>
        <v>34.950000000000003</v>
      </c>
      <c r="I68" s="241">
        <f t="shared" ca="1" si="14"/>
        <v>203.36</v>
      </c>
      <c r="J68" s="241">
        <f t="shared" ca="1" si="14"/>
        <v>1070.98</v>
      </c>
      <c r="K68" s="241">
        <f t="shared" ca="1" si="14"/>
        <v>142.91</v>
      </c>
      <c r="L68" s="241">
        <f t="shared" ca="1" si="14"/>
        <v>0</v>
      </c>
      <c r="M68" s="241">
        <f t="shared" ca="1" si="14"/>
        <v>0</v>
      </c>
      <c r="N68" s="241">
        <f t="shared" ca="1" si="14"/>
        <v>0</v>
      </c>
      <c r="O68" s="240">
        <f ca="1">O53+O46+O39+O32+O22</f>
        <v>3568.74</v>
      </c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  <row r="69" spans="1:43" x14ac:dyDescent="0.35">
      <c r="A69"/>
      <c r="B69"/>
      <c r="C69"/>
      <c r="D69" s="1"/>
      <c r="E69" s="3"/>
      <c r="F69"/>
      <c r="G69"/>
      <c r="H69" s="8"/>
      <c r="I69"/>
      <c r="J69"/>
      <c r="K69"/>
      <c r="L69"/>
      <c r="M69"/>
      <c r="N69"/>
      <c r="O69" s="3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</row>
    <row r="70" spans="1:43" x14ac:dyDescent="0.35">
      <c r="A70"/>
      <c r="B70"/>
      <c r="C70"/>
      <c r="D70" s="1"/>
      <c r="E70" s="3"/>
      <c r="F70"/>
      <c r="G70"/>
      <c r="H70" s="8"/>
      <c r="I70"/>
      <c r="J70"/>
      <c r="K70"/>
      <c r="L70"/>
      <c r="M70"/>
      <c r="N70"/>
      <c r="O70" s="3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</row>
    <row r="71" spans="1:43" x14ac:dyDescent="0.35">
      <c r="A71"/>
      <c r="B71"/>
      <c r="C71"/>
      <c r="D71"/>
      <c r="E71" s="3"/>
      <c r="F71"/>
      <c r="G71"/>
      <c r="H71" s="8"/>
      <c r="I71"/>
      <c r="J71" t="s">
        <v>32</v>
      </c>
      <c r="K71"/>
      <c r="L71"/>
      <c r="M71"/>
      <c r="N71"/>
      <c r="O71" s="3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</row>
    <row r="72" spans="1:43" x14ac:dyDescent="0.35">
      <c r="A72"/>
      <c r="B72"/>
      <c r="C72"/>
      <c r="D72"/>
      <c r="E72" s="3"/>
      <c r="F72" s="1"/>
      <c r="G72"/>
      <c r="H72" s="8"/>
      <c r="I72"/>
      <c r="J72"/>
      <c r="K72"/>
      <c r="L72"/>
      <c r="M72"/>
      <c r="N72"/>
      <c r="O72" s="3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</row>
    <row r="73" spans="1:43" x14ac:dyDescent="0.35">
      <c r="A73"/>
      <c r="B73"/>
      <c r="C73"/>
      <c r="D73"/>
      <c r="E73" s="3"/>
      <c r="F73"/>
      <c r="G73"/>
      <c r="H73" s="8"/>
      <c r="I73"/>
      <c r="J73"/>
      <c r="K73"/>
      <c r="L73"/>
      <c r="M73"/>
      <c r="N73"/>
      <c r="O73" s="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</row>
    <row r="74" spans="1:43" x14ac:dyDescent="0.35">
      <c r="A74"/>
      <c r="B74"/>
      <c r="C74"/>
      <c r="D74"/>
      <c r="E74" s="3"/>
      <c r="F74"/>
      <c r="G74"/>
      <c r="H74" s="8"/>
      <c r="I74"/>
      <c r="J74"/>
      <c r="K74"/>
      <c r="L74"/>
      <c r="M74"/>
      <c r="N74"/>
      <c r="O74" s="3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</row>
    <row r="75" spans="1:43" ht="18.5" x14ac:dyDescent="0.35">
      <c r="A75" s="122"/>
      <c r="B75"/>
      <c r="C75"/>
      <c r="D75"/>
      <c r="E75" s="3"/>
      <c r="F75"/>
      <c r="G75"/>
      <c r="H75" s="8"/>
      <c r="I75"/>
      <c r="J75"/>
      <c r="K75"/>
      <c r="L75"/>
      <c r="M75"/>
      <c r="N75"/>
      <c r="O75" s="3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</row>
    <row r="76" spans="1:43" x14ac:dyDescent="0.35">
      <c r="A76"/>
      <c r="B76"/>
      <c r="C76"/>
      <c r="D76"/>
      <c r="E76" s="3"/>
      <c r="F76"/>
      <c r="G76"/>
      <c r="H76" s="8"/>
      <c r="I76"/>
      <c r="J76"/>
      <c r="K76"/>
      <c r="L76"/>
      <c r="M76"/>
      <c r="N76"/>
      <c r="O76" s="3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</row>
    <row r="77" spans="1:43" x14ac:dyDescent="0.35">
      <c r="A77"/>
      <c r="B77"/>
      <c r="C77"/>
      <c r="D77"/>
      <c r="E77" s="3"/>
      <c r="F77"/>
      <c r="G77"/>
      <c r="H77" s="8"/>
      <c r="I77"/>
      <c r="J77"/>
      <c r="K77"/>
      <c r="L77"/>
      <c r="M77"/>
      <c r="N77"/>
      <c r="O77" s="3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</row>
    <row r="78" spans="1:43" x14ac:dyDescent="0.35">
      <c r="A78"/>
      <c r="B78"/>
      <c r="C78"/>
      <c r="D78"/>
      <c r="E78" s="3"/>
      <c r="F78"/>
      <c r="G78"/>
      <c r="H78" s="8"/>
      <c r="I78"/>
      <c r="J78"/>
      <c r="K78"/>
      <c r="L78"/>
      <c r="M78"/>
      <c r="N78"/>
      <c r="O78" s="3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</row>
    <row r="79" spans="1:43" x14ac:dyDescent="0.35">
      <c r="A79"/>
      <c r="B79"/>
      <c r="C79"/>
      <c r="D79"/>
      <c r="E79" s="3"/>
      <c r="F79"/>
      <c r="G79"/>
      <c r="H79" s="8"/>
      <c r="I79"/>
      <c r="J79"/>
      <c r="K79"/>
      <c r="L79"/>
      <c r="M79"/>
      <c r="N79"/>
      <c r="O79" s="3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</row>
    <row r="80" spans="1:43" x14ac:dyDescent="0.35">
      <c r="A80"/>
      <c r="B80"/>
      <c r="C80"/>
      <c r="D80"/>
      <c r="E80" s="3"/>
      <c r="F80"/>
      <c r="G80"/>
      <c r="H80" s="8"/>
      <c r="I80"/>
      <c r="J80"/>
      <c r="K80"/>
      <c r="L80"/>
      <c r="M80"/>
      <c r="N80"/>
      <c r="O80" s="3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</row>
    <row r="81" spans="1:43" x14ac:dyDescent="0.35">
      <c r="A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</row>
    <row r="82" spans="1:43" x14ac:dyDescent="0.35">
      <c r="A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</row>
    <row r="83" spans="1:43" x14ac:dyDescent="0.35">
      <c r="A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</row>
    <row r="84" spans="1:43" x14ac:dyDescent="0.35">
      <c r="A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</row>
    <row r="85" spans="1:43" x14ac:dyDescent="0.35">
      <c r="A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</row>
    <row r="86" spans="1:43" x14ac:dyDescent="0.35">
      <c r="A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</row>
    <row r="87" spans="1:43" x14ac:dyDescent="0.35">
      <c r="A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</row>
    <row r="88" spans="1:43" x14ac:dyDescent="0.35">
      <c r="A88"/>
    </row>
  </sheetData>
  <mergeCells count="9">
    <mergeCell ref="B54:N54"/>
    <mergeCell ref="B23:N23"/>
    <mergeCell ref="B33:N33"/>
    <mergeCell ref="B40:N40"/>
    <mergeCell ref="S2:AB2"/>
    <mergeCell ref="B6:N6"/>
    <mergeCell ref="A2:D2"/>
    <mergeCell ref="A1:E1"/>
    <mergeCell ref="B47:N47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AJ184"/>
  <sheetViews>
    <sheetView showGridLines="0" topLeftCell="Q1" zoomScale="60" zoomScaleNormal="60" workbookViewId="0">
      <selection activeCell="H32" sqref="H32"/>
    </sheetView>
  </sheetViews>
  <sheetFormatPr baseColWidth="10" defaultColWidth="10.81640625" defaultRowHeight="14.5" x14ac:dyDescent="0.35"/>
  <cols>
    <col min="1" max="1" width="37" customWidth="1"/>
    <col min="2" max="2" width="16.81640625" customWidth="1"/>
    <col min="3" max="3" width="20.1796875" customWidth="1"/>
    <col min="4" max="4" width="18.453125" customWidth="1"/>
    <col min="5" max="6" width="18.1796875" customWidth="1"/>
    <col min="7" max="7" width="34.1796875" customWidth="1"/>
    <col min="8" max="8" width="16.26953125" bestFit="1" customWidth="1"/>
    <col min="9" max="9" width="15" customWidth="1"/>
    <col min="10" max="10" width="14.81640625" customWidth="1"/>
    <col min="11" max="11" width="10.1796875" bestFit="1" customWidth="1"/>
    <col min="12" max="12" width="19.7265625" customWidth="1"/>
    <col min="13" max="13" width="19.7265625" hidden="1" customWidth="1"/>
    <col min="14" max="14" width="19.1796875" customWidth="1"/>
    <col min="15" max="15" width="19.7265625" bestFit="1" customWidth="1"/>
    <col min="16" max="16" width="20.81640625" bestFit="1" customWidth="1"/>
    <col min="17" max="17" width="11.453125"/>
    <col min="18" max="18" width="19" customWidth="1"/>
    <col min="19" max="19" width="18.26953125" customWidth="1"/>
    <col min="20" max="20" width="28.26953125" customWidth="1"/>
    <col min="21" max="21" width="13" customWidth="1"/>
    <col min="22" max="22" width="15.26953125" customWidth="1"/>
    <col min="23" max="23" width="12.7265625" customWidth="1"/>
    <col min="24" max="24" width="12.26953125" customWidth="1"/>
    <col min="25" max="25" width="16.453125" customWidth="1"/>
    <col min="26" max="26" width="19.7265625" hidden="1" customWidth="1"/>
    <col min="27" max="27" width="21" customWidth="1"/>
    <col min="28" max="28" width="14.1796875" customWidth="1"/>
    <col min="29" max="29" width="18.54296875" style="22" customWidth="1"/>
    <col min="30" max="16384" width="10.81640625" style="22"/>
  </cols>
  <sheetData>
    <row r="1" spans="1:36" customFormat="1" x14ac:dyDescent="0.35"/>
    <row r="2" spans="1:36" customFormat="1" ht="15" thickBot="1" x14ac:dyDescent="0.4">
      <c r="A2" s="58"/>
      <c r="B2" s="58"/>
      <c r="C2" s="58"/>
    </row>
    <row r="3" spans="1:36" ht="18.649999999999999" customHeight="1" thickBot="1" x14ac:dyDescent="0.5">
      <c r="A3" s="464" t="s">
        <v>46</v>
      </c>
      <c r="B3" s="465"/>
      <c r="C3" s="58"/>
      <c r="D3" s="21"/>
      <c r="E3" s="455" t="s">
        <v>38</v>
      </c>
      <c r="F3" s="456"/>
      <c r="G3" s="456"/>
      <c r="H3" s="456"/>
      <c r="I3" s="456"/>
      <c r="J3" s="456"/>
      <c r="K3" s="456"/>
      <c r="L3" s="456"/>
      <c r="M3" s="456"/>
      <c r="N3" s="456"/>
      <c r="O3" s="456"/>
      <c r="P3" s="456"/>
      <c r="R3" s="455" t="s">
        <v>41</v>
      </c>
      <c r="S3" s="456"/>
      <c r="T3" s="456"/>
      <c r="U3" s="456"/>
      <c r="V3" s="456"/>
      <c r="W3" s="456"/>
      <c r="X3" s="456"/>
      <c r="Y3" s="456"/>
      <c r="Z3" s="456"/>
      <c r="AA3" s="456"/>
      <c r="AB3" s="456"/>
      <c r="AC3" s="456"/>
      <c r="AD3" s="297"/>
      <c r="AE3" s="297"/>
      <c r="AF3" s="297"/>
      <c r="AG3" s="297"/>
      <c r="AH3" s="297"/>
      <c r="AI3" s="297"/>
      <c r="AJ3" s="297"/>
    </row>
    <row r="4" spans="1:36" s="323" customFormat="1" ht="42" customHeight="1" x14ac:dyDescent="0.35">
      <c r="A4" s="321" t="s">
        <v>22</v>
      </c>
      <c r="B4" s="460" t="s">
        <v>38</v>
      </c>
      <c r="C4" s="322"/>
      <c r="E4" s="296" t="s">
        <v>172</v>
      </c>
      <c r="F4" s="296" t="s">
        <v>173</v>
      </c>
      <c r="G4" s="71" t="s">
        <v>174</v>
      </c>
      <c r="H4" s="71" t="s">
        <v>34</v>
      </c>
      <c r="I4" s="71" t="s">
        <v>170</v>
      </c>
      <c r="J4" s="71" t="s">
        <v>171</v>
      </c>
      <c r="K4" s="71" t="s">
        <v>100</v>
      </c>
      <c r="L4" s="71" t="s">
        <v>36</v>
      </c>
      <c r="M4" s="71" t="s">
        <v>613</v>
      </c>
      <c r="N4" s="71" t="s">
        <v>169</v>
      </c>
      <c r="O4" s="71" t="s">
        <v>42</v>
      </c>
      <c r="P4" s="71" t="s">
        <v>45</v>
      </c>
      <c r="Q4" s="324"/>
      <c r="R4" s="296" t="s">
        <v>172</v>
      </c>
      <c r="S4" s="296" t="s">
        <v>173</v>
      </c>
      <c r="T4" s="71" t="s">
        <v>174</v>
      </c>
      <c r="U4" s="71" t="s">
        <v>34</v>
      </c>
      <c r="V4" s="71" t="s">
        <v>170</v>
      </c>
      <c r="W4" s="71" t="s">
        <v>171</v>
      </c>
      <c r="X4" s="71" t="s">
        <v>100</v>
      </c>
      <c r="Y4" s="71" t="s">
        <v>36</v>
      </c>
      <c r="Z4" s="71" t="s">
        <v>613</v>
      </c>
      <c r="AA4" s="71" t="s">
        <v>169</v>
      </c>
      <c r="AB4" s="71" t="s">
        <v>42</v>
      </c>
      <c r="AC4" s="71" t="s">
        <v>45</v>
      </c>
      <c r="AD4" s="41"/>
      <c r="AE4" s="41"/>
      <c r="AF4" s="41"/>
      <c r="AG4" s="41"/>
      <c r="AH4" s="41"/>
      <c r="AI4" s="41"/>
      <c r="AJ4" s="41"/>
    </row>
    <row r="5" spans="1:36" ht="18.75" customHeight="1" x14ac:dyDescent="0.35">
      <c r="A5" s="209" t="s">
        <v>21</v>
      </c>
      <c r="B5" s="461"/>
      <c r="C5" s="58"/>
      <c r="E5" s="185">
        <v>43850</v>
      </c>
      <c r="F5" s="185"/>
      <c r="G5" s="163" t="s">
        <v>176</v>
      </c>
      <c r="H5" s="39">
        <v>631.65</v>
      </c>
      <c r="I5" s="39">
        <v>1.44</v>
      </c>
      <c r="J5" s="192">
        <f t="shared" ref="J5:J36" si="0">H5+I5</f>
        <v>633.09</v>
      </c>
      <c r="K5" s="39"/>
      <c r="L5" s="39" t="s">
        <v>1</v>
      </c>
      <c r="M5" s="39"/>
      <c r="N5" s="39"/>
      <c r="O5" s="39" t="s">
        <v>43</v>
      </c>
      <c r="P5" s="89">
        <v>44022</v>
      </c>
      <c r="Q5" s="13"/>
      <c r="R5" s="185">
        <v>43838</v>
      </c>
      <c r="S5" s="73"/>
      <c r="T5" s="138" t="s">
        <v>210</v>
      </c>
      <c r="U5" s="186">
        <v>533.76</v>
      </c>
      <c r="V5" s="186">
        <v>31.79</v>
      </c>
      <c r="W5" s="186">
        <f t="shared" ref="W5:W36" si="1">U5+V5</f>
        <v>565.54999999999995</v>
      </c>
      <c r="X5" s="186"/>
      <c r="Y5" s="138" t="s">
        <v>1</v>
      </c>
      <c r="Z5" s="39"/>
      <c r="AA5" s="73"/>
      <c r="AB5" s="138" t="s">
        <v>43</v>
      </c>
      <c r="AC5" s="185">
        <v>43962</v>
      </c>
      <c r="AD5" s="44"/>
      <c r="AE5" s="44"/>
      <c r="AF5" s="44"/>
      <c r="AG5" s="44"/>
      <c r="AH5" s="44"/>
      <c r="AI5" s="148"/>
      <c r="AJ5" s="149"/>
    </row>
    <row r="6" spans="1:36" ht="18.75" customHeight="1" x14ac:dyDescent="0.35">
      <c r="A6" s="209" t="s">
        <v>76</v>
      </c>
      <c r="B6" s="461"/>
      <c r="C6" s="58"/>
      <c r="E6" s="185">
        <v>43850</v>
      </c>
      <c r="F6" s="185"/>
      <c r="G6" s="163" t="s">
        <v>177</v>
      </c>
      <c r="H6" s="39">
        <v>152.71</v>
      </c>
      <c r="I6" s="39"/>
      <c r="J6" s="192">
        <f t="shared" si="0"/>
        <v>152.71</v>
      </c>
      <c r="K6" s="39"/>
      <c r="L6" s="39" t="s">
        <v>1</v>
      </c>
      <c r="M6" s="39"/>
      <c r="N6" s="39"/>
      <c r="O6" s="39"/>
      <c r="P6" s="89">
        <v>44022</v>
      </c>
      <c r="Q6" s="13"/>
      <c r="R6" s="185">
        <v>43857</v>
      </c>
      <c r="S6" s="73"/>
      <c r="T6" s="138" t="s">
        <v>211</v>
      </c>
      <c r="U6" s="39">
        <v>36.71</v>
      </c>
      <c r="V6" s="39"/>
      <c r="W6" s="186">
        <f t="shared" si="1"/>
        <v>36.71</v>
      </c>
      <c r="X6" s="39"/>
      <c r="Y6" s="39" t="s">
        <v>1</v>
      </c>
      <c r="Z6" s="39"/>
      <c r="AA6" s="73"/>
      <c r="AB6" s="39" t="s">
        <v>43</v>
      </c>
      <c r="AC6" s="89">
        <v>43962</v>
      </c>
      <c r="AD6" s="44"/>
      <c r="AE6" s="44"/>
      <c r="AF6" s="44"/>
      <c r="AG6" s="44"/>
      <c r="AH6" s="44"/>
      <c r="AI6" s="148"/>
      <c r="AJ6" s="149"/>
    </row>
    <row r="7" spans="1:36" ht="18.75" customHeight="1" x14ac:dyDescent="0.35">
      <c r="A7" s="209" t="s">
        <v>140</v>
      </c>
      <c r="B7" s="461"/>
      <c r="C7" s="58"/>
      <c r="E7" s="185">
        <v>43858</v>
      </c>
      <c r="F7" s="185"/>
      <c r="G7" s="163" t="s">
        <v>178</v>
      </c>
      <c r="H7" s="39">
        <v>76.39</v>
      </c>
      <c r="I7" s="39"/>
      <c r="J7" s="192">
        <f t="shared" si="0"/>
        <v>76.39</v>
      </c>
      <c r="K7" s="39"/>
      <c r="L7" s="39" t="s">
        <v>1</v>
      </c>
      <c r="M7" s="39"/>
      <c r="N7" s="39"/>
      <c r="O7" s="39"/>
      <c r="P7" s="89">
        <v>44022</v>
      </c>
      <c r="Q7" s="13"/>
      <c r="R7" s="185">
        <v>43857</v>
      </c>
      <c r="S7" s="73"/>
      <c r="T7" s="138" t="s">
        <v>212</v>
      </c>
      <c r="U7" s="39">
        <v>185.5</v>
      </c>
      <c r="V7" s="39"/>
      <c r="W7" s="186">
        <f t="shared" si="1"/>
        <v>185.5</v>
      </c>
      <c r="X7" s="39"/>
      <c r="Y7" s="138" t="s">
        <v>1</v>
      </c>
      <c r="Z7" s="39"/>
      <c r="AA7" s="73"/>
      <c r="AB7" s="39" t="s">
        <v>43</v>
      </c>
      <c r="AC7" s="89">
        <v>43962</v>
      </c>
      <c r="AD7" s="44"/>
      <c r="AE7" s="44"/>
      <c r="AF7" s="44"/>
      <c r="AG7" s="44"/>
      <c r="AH7" s="44"/>
      <c r="AI7" s="148"/>
      <c r="AJ7" s="149"/>
    </row>
    <row r="8" spans="1:36" ht="18.75" customHeight="1" thickBot="1" x14ac:dyDescent="0.4">
      <c r="A8" s="210" t="s">
        <v>80</v>
      </c>
      <c r="B8" s="462"/>
      <c r="C8" s="58"/>
      <c r="E8" s="185">
        <v>43861</v>
      </c>
      <c r="F8" s="185"/>
      <c r="G8" s="163" t="s">
        <v>179</v>
      </c>
      <c r="H8" s="39">
        <v>1319.8</v>
      </c>
      <c r="I8" s="39"/>
      <c r="J8" s="186">
        <f t="shared" si="0"/>
        <v>1319.8</v>
      </c>
      <c r="K8" s="39"/>
      <c r="L8" s="39" t="s">
        <v>1</v>
      </c>
      <c r="M8" s="39"/>
      <c r="N8" s="39"/>
      <c r="O8" s="39"/>
      <c r="P8" s="89">
        <v>43861</v>
      </c>
      <c r="Q8" s="13"/>
      <c r="R8" s="134">
        <v>43857</v>
      </c>
      <c r="S8" s="73"/>
      <c r="T8" s="138" t="s">
        <v>213</v>
      </c>
      <c r="U8" s="114">
        <v>-25.42</v>
      </c>
      <c r="V8" s="114"/>
      <c r="W8" s="40">
        <f t="shared" si="1"/>
        <v>-25.42</v>
      </c>
      <c r="X8" s="114"/>
      <c r="Y8" s="114" t="s">
        <v>1</v>
      </c>
      <c r="Z8" s="39"/>
      <c r="AA8" s="73"/>
      <c r="AB8" s="114" t="s">
        <v>43</v>
      </c>
      <c r="AC8" s="89">
        <v>43962</v>
      </c>
      <c r="AD8" s="44"/>
      <c r="AE8" s="44"/>
      <c r="AF8" s="146"/>
      <c r="AG8" s="44"/>
      <c r="AH8" s="44"/>
      <c r="AI8" s="148"/>
      <c r="AJ8" s="148"/>
    </row>
    <row r="9" spans="1:36" ht="18.75" customHeight="1" x14ac:dyDescent="0.35">
      <c r="A9" s="211" t="s">
        <v>18</v>
      </c>
      <c r="B9" s="457" t="s">
        <v>41</v>
      </c>
      <c r="C9" s="58"/>
      <c r="E9" s="134">
        <v>43861</v>
      </c>
      <c r="F9" s="134"/>
      <c r="G9" s="163" t="s">
        <v>180</v>
      </c>
      <c r="H9" s="40">
        <v>145.21</v>
      </c>
      <c r="I9" s="114">
        <v>12.34</v>
      </c>
      <c r="J9" s="40">
        <f t="shared" si="0"/>
        <v>157.55000000000001</v>
      </c>
      <c r="K9" s="114"/>
      <c r="L9" s="114" t="s">
        <v>1</v>
      </c>
      <c r="M9" s="114"/>
      <c r="N9" s="114"/>
      <c r="O9" s="114"/>
      <c r="P9" s="177">
        <v>44039</v>
      </c>
      <c r="Q9" s="13"/>
      <c r="R9" s="185">
        <v>43858</v>
      </c>
      <c r="S9" s="73"/>
      <c r="T9" s="138" t="s">
        <v>214</v>
      </c>
      <c r="U9" s="186">
        <v>189.46</v>
      </c>
      <c r="V9" s="186">
        <v>16.100000000000001</v>
      </c>
      <c r="W9" s="186">
        <f t="shared" si="1"/>
        <v>205.56</v>
      </c>
      <c r="X9" s="186"/>
      <c r="Y9" s="138" t="s">
        <v>1</v>
      </c>
      <c r="Z9" s="114"/>
      <c r="AA9" s="73"/>
      <c r="AB9" s="138" t="s">
        <v>43</v>
      </c>
      <c r="AC9" s="185">
        <v>43896</v>
      </c>
      <c r="AD9" s="44"/>
      <c r="AE9" s="44"/>
      <c r="AF9" s="146"/>
      <c r="AG9" s="44"/>
      <c r="AH9" s="44"/>
      <c r="AI9" s="148"/>
      <c r="AJ9" s="148"/>
    </row>
    <row r="10" spans="1:36" ht="15" customHeight="1" x14ac:dyDescent="0.35">
      <c r="A10" s="209" t="s">
        <v>19</v>
      </c>
      <c r="B10" s="458"/>
      <c r="C10" s="58"/>
      <c r="E10" s="185">
        <v>43865</v>
      </c>
      <c r="F10" s="185"/>
      <c r="G10" s="163" t="s">
        <v>181</v>
      </c>
      <c r="H10" s="186">
        <v>46.05</v>
      </c>
      <c r="I10" s="186">
        <v>3.91</v>
      </c>
      <c r="J10" s="186">
        <f t="shared" si="0"/>
        <v>49.959999999999994</v>
      </c>
      <c r="K10" s="186"/>
      <c r="L10" s="138" t="s">
        <v>2</v>
      </c>
      <c r="M10" s="138"/>
      <c r="N10" s="138"/>
      <c r="O10" s="138"/>
      <c r="P10" s="185">
        <v>43865</v>
      </c>
      <c r="Q10" s="14"/>
      <c r="R10" s="185">
        <v>43860</v>
      </c>
      <c r="S10" s="73"/>
      <c r="T10" s="138" t="s">
        <v>215</v>
      </c>
      <c r="U10" s="39">
        <v>13.92</v>
      </c>
      <c r="V10" s="39"/>
      <c r="W10" s="186">
        <f t="shared" si="1"/>
        <v>13.92</v>
      </c>
      <c r="X10" s="39"/>
      <c r="Y10" s="138" t="s">
        <v>1</v>
      </c>
      <c r="Z10" s="138"/>
      <c r="AA10" s="73"/>
      <c r="AB10" s="39" t="s">
        <v>43</v>
      </c>
      <c r="AC10" s="89">
        <v>43962</v>
      </c>
      <c r="AD10" s="146"/>
      <c r="AE10" s="146"/>
      <c r="AF10" s="146"/>
      <c r="AG10" s="146"/>
      <c r="AH10" s="146"/>
      <c r="AI10" s="146"/>
      <c r="AJ10" s="146"/>
    </row>
    <row r="11" spans="1:36" ht="15" customHeight="1" x14ac:dyDescent="0.35">
      <c r="A11" s="212" t="s">
        <v>44</v>
      </c>
      <c r="B11" s="458"/>
      <c r="C11" s="58"/>
      <c r="E11" s="185">
        <v>43865</v>
      </c>
      <c r="F11" s="185"/>
      <c r="G11" s="163" t="s">
        <v>182</v>
      </c>
      <c r="H11" s="39">
        <v>89.89</v>
      </c>
      <c r="I11" s="39"/>
      <c r="J11" s="186">
        <f t="shared" si="0"/>
        <v>89.89</v>
      </c>
      <c r="K11" s="39"/>
      <c r="L11" s="138" t="s">
        <v>2</v>
      </c>
      <c r="M11" s="138"/>
      <c r="N11" s="138"/>
      <c r="O11" s="39"/>
      <c r="P11" s="89">
        <v>43865</v>
      </c>
      <c r="Q11" s="15"/>
      <c r="R11" s="185">
        <v>43861</v>
      </c>
      <c r="S11" s="73"/>
      <c r="T11" s="138" t="s">
        <v>216</v>
      </c>
      <c r="U11" s="40">
        <v>2098.67</v>
      </c>
      <c r="V11" s="40"/>
      <c r="W11" s="191">
        <f t="shared" si="1"/>
        <v>2098.67</v>
      </c>
      <c r="X11" s="39"/>
      <c r="Y11" s="138" t="s">
        <v>1</v>
      </c>
      <c r="Z11" s="138"/>
      <c r="AA11" s="73"/>
      <c r="AB11" s="39" t="s">
        <v>43</v>
      </c>
      <c r="AC11" s="89">
        <v>43986</v>
      </c>
      <c r="AD11" s="146"/>
      <c r="AE11" s="151"/>
      <c r="AF11" s="146"/>
      <c r="AG11" s="151"/>
      <c r="AH11" s="150"/>
      <c r="AI11" s="150"/>
      <c r="AJ11" s="152"/>
    </row>
    <row r="12" spans="1:36" ht="18.75" customHeight="1" x14ac:dyDescent="0.35">
      <c r="A12" s="209" t="s">
        <v>20</v>
      </c>
      <c r="B12" s="458"/>
      <c r="C12" s="58"/>
      <c r="E12" s="161">
        <v>43878</v>
      </c>
      <c r="F12" s="161"/>
      <c r="G12" s="163" t="s">
        <v>183</v>
      </c>
      <c r="H12" s="167">
        <v>-289.44</v>
      </c>
      <c r="I12" s="167"/>
      <c r="J12" s="162">
        <f t="shared" si="0"/>
        <v>-289.44</v>
      </c>
      <c r="K12" s="167"/>
      <c r="L12" s="95" t="s">
        <v>2</v>
      </c>
      <c r="M12" s="95"/>
      <c r="N12" s="95"/>
      <c r="O12" s="167"/>
      <c r="P12" s="195">
        <v>44022</v>
      </c>
      <c r="Q12" s="15"/>
      <c r="R12" s="185">
        <v>43865</v>
      </c>
      <c r="S12" s="73"/>
      <c r="T12" s="138" t="s">
        <v>217</v>
      </c>
      <c r="U12" s="186">
        <v>38.630000000000003</v>
      </c>
      <c r="V12" s="186">
        <v>3.28</v>
      </c>
      <c r="W12" s="186">
        <f t="shared" si="1"/>
        <v>41.910000000000004</v>
      </c>
      <c r="X12" s="186"/>
      <c r="Y12" s="138" t="s">
        <v>2</v>
      </c>
      <c r="Z12" s="95"/>
      <c r="AA12" s="73"/>
      <c r="AB12" s="138" t="s">
        <v>52</v>
      </c>
      <c r="AC12" s="185">
        <v>43962</v>
      </c>
      <c r="AD12" s="44"/>
      <c r="AE12" s="44"/>
      <c r="AF12" s="146"/>
      <c r="AG12" s="44"/>
      <c r="AH12" s="44"/>
      <c r="AI12" s="147"/>
      <c r="AJ12" s="153"/>
    </row>
    <row r="13" spans="1:36" ht="18.75" customHeight="1" x14ac:dyDescent="0.35">
      <c r="A13" s="209" t="s">
        <v>17</v>
      </c>
      <c r="B13" s="458"/>
      <c r="C13" s="58"/>
      <c r="E13" s="185">
        <v>43889</v>
      </c>
      <c r="F13" s="185"/>
      <c r="G13" s="163" t="s">
        <v>184</v>
      </c>
      <c r="H13" s="39">
        <v>325.27</v>
      </c>
      <c r="I13" s="39"/>
      <c r="J13" s="191">
        <f t="shared" si="0"/>
        <v>325.27</v>
      </c>
      <c r="K13" s="39"/>
      <c r="L13" s="138" t="s">
        <v>2</v>
      </c>
      <c r="M13" s="138"/>
      <c r="N13" s="138"/>
      <c r="O13" s="39"/>
      <c r="P13" s="89">
        <v>44022</v>
      </c>
      <c r="Q13" s="15"/>
      <c r="R13" s="185">
        <v>43866</v>
      </c>
      <c r="S13" s="73"/>
      <c r="T13" s="138" t="s">
        <v>218</v>
      </c>
      <c r="U13" s="39">
        <v>103.23</v>
      </c>
      <c r="V13" s="39"/>
      <c r="W13" s="186">
        <f t="shared" si="1"/>
        <v>103.23</v>
      </c>
      <c r="X13" s="39"/>
      <c r="Y13" s="39" t="s">
        <v>2</v>
      </c>
      <c r="Z13" s="138"/>
      <c r="AA13" s="73"/>
      <c r="AB13" s="39" t="s">
        <v>52</v>
      </c>
      <c r="AC13" s="89">
        <v>43962</v>
      </c>
      <c r="AD13" s="146"/>
      <c r="AE13" s="154"/>
      <c r="AF13" s="146"/>
      <c r="AG13" s="154"/>
      <c r="AH13" s="153"/>
      <c r="AI13" s="150"/>
      <c r="AJ13" s="153"/>
    </row>
    <row r="14" spans="1:36" ht="18.75" customHeight="1" x14ac:dyDescent="0.35">
      <c r="A14" s="212" t="s">
        <v>118</v>
      </c>
      <c r="B14" s="458"/>
      <c r="C14" s="58"/>
      <c r="E14" s="185">
        <v>43902</v>
      </c>
      <c r="F14" s="185"/>
      <c r="G14" s="163" t="s">
        <v>185</v>
      </c>
      <c r="H14" s="186">
        <v>20.05</v>
      </c>
      <c r="I14" s="186">
        <v>1.7</v>
      </c>
      <c r="J14" s="186">
        <f t="shared" si="0"/>
        <v>21.75</v>
      </c>
      <c r="K14" s="186"/>
      <c r="L14" s="138" t="s">
        <v>3</v>
      </c>
      <c r="M14" s="138"/>
      <c r="N14" s="138"/>
      <c r="O14" s="138"/>
      <c r="P14" s="185">
        <v>43902</v>
      </c>
      <c r="Q14" s="15"/>
      <c r="R14" s="185">
        <v>43875</v>
      </c>
      <c r="S14" s="73"/>
      <c r="T14" s="138" t="s">
        <v>219</v>
      </c>
      <c r="U14" s="39">
        <v>9.44</v>
      </c>
      <c r="V14" s="39"/>
      <c r="W14" s="186">
        <f t="shared" si="1"/>
        <v>9.44</v>
      </c>
      <c r="X14" s="39"/>
      <c r="Y14" s="39" t="s">
        <v>2</v>
      </c>
      <c r="Z14" s="138"/>
      <c r="AA14" s="73"/>
      <c r="AB14" s="39" t="s">
        <v>52</v>
      </c>
      <c r="AC14" s="89">
        <v>43962</v>
      </c>
      <c r="AD14" s="146"/>
      <c r="AE14" s="154"/>
      <c r="AF14" s="146"/>
      <c r="AG14" s="154"/>
      <c r="AH14" s="153"/>
      <c r="AI14" s="150"/>
      <c r="AJ14" s="153"/>
    </row>
    <row r="15" spans="1:36" ht="18.75" customHeight="1" thickBot="1" x14ac:dyDescent="0.4">
      <c r="A15" s="210" t="s">
        <v>131</v>
      </c>
      <c r="B15" s="459"/>
      <c r="C15" s="58"/>
      <c r="E15" s="185">
        <v>43902</v>
      </c>
      <c r="F15" s="185"/>
      <c r="G15" s="163" t="s">
        <v>186</v>
      </c>
      <c r="H15" s="39">
        <v>646.65</v>
      </c>
      <c r="I15" s="39"/>
      <c r="J15" s="186">
        <f t="shared" si="0"/>
        <v>646.65</v>
      </c>
      <c r="K15" s="39"/>
      <c r="L15" s="39" t="s">
        <v>3</v>
      </c>
      <c r="M15" s="39"/>
      <c r="N15" s="39"/>
      <c r="O15" s="39"/>
      <c r="P15" s="89">
        <v>43907</v>
      </c>
      <c r="Q15" s="15"/>
      <c r="R15" s="185">
        <v>43879</v>
      </c>
      <c r="S15" s="73"/>
      <c r="T15" s="138" t="s">
        <v>220</v>
      </c>
      <c r="U15" s="39">
        <v>10.98</v>
      </c>
      <c r="V15" s="39"/>
      <c r="W15" s="186">
        <f t="shared" si="1"/>
        <v>10.98</v>
      </c>
      <c r="X15" s="39"/>
      <c r="Y15" s="39" t="s">
        <v>2</v>
      </c>
      <c r="Z15" s="39"/>
      <c r="AA15" s="73"/>
      <c r="AB15" s="39" t="s">
        <v>52</v>
      </c>
      <c r="AC15" s="89">
        <v>43962</v>
      </c>
      <c r="AD15" s="154"/>
      <c r="AE15" s="154"/>
      <c r="AF15" s="146"/>
      <c r="AG15" s="154"/>
      <c r="AH15" s="153"/>
      <c r="AI15" s="150"/>
      <c r="AJ15" s="153"/>
    </row>
    <row r="16" spans="1:36" ht="15" customHeight="1" x14ac:dyDescent="0.35">
      <c r="A16" s="90"/>
      <c r="B16" s="213"/>
      <c r="C16" s="58"/>
      <c r="E16" s="18">
        <v>43956</v>
      </c>
      <c r="F16" s="18"/>
      <c r="G16" s="163" t="s">
        <v>186</v>
      </c>
      <c r="H16" s="17">
        <v>201.22</v>
      </c>
      <c r="I16" s="17">
        <v>17.100000000000001</v>
      </c>
      <c r="J16" s="17">
        <f t="shared" si="0"/>
        <v>218.32</v>
      </c>
      <c r="K16" s="17"/>
      <c r="L16" s="19" t="s">
        <v>13</v>
      </c>
      <c r="M16" s="19"/>
      <c r="N16" s="19"/>
      <c r="O16" s="19"/>
      <c r="P16" s="18">
        <v>43956</v>
      </c>
      <c r="Q16" s="15"/>
      <c r="R16" s="134">
        <v>43882</v>
      </c>
      <c r="S16" s="73"/>
      <c r="T16" s="138" t="s">
        <v>221</v>
      </c>
      <c r="U16" s="114">
        <v>477.3</v>
      </c>
      <c r="V16" s="114">
        <v>8.76</v>
      </c>
      <c r="W16" s="40">
        <f t="shared" si="1"/>
        <v>486.06</v>
      </c>
      <c r="X16" s="114"/>
      <c r="Y16" s="114" t="s">
        <v>2</v>
      </c>
      <c r="Z16" s="19"/>
      <c r="AA16" s="73"/>
      <c r="AB16" s="114" t="s">
        <v>43</v>
      </c>
      <c r="AC16" s="177">
        <v>43882</v>
      </c>
      <c r="AD16" s="146"/>
      <c r="AE16" s="154"/>
      <c r="AF16" s="146"/>
      <c r="AG16" s="154"/>
      <c r="AH16" s="153"/>
      <c r="AI16" s="150"/>
      <c r="AJ16" s="153"/>
    </row>
    <row r="17" spans="1:36" ht="15.75" customHeight="1" x14ac:dyDescent="0.35">
      <c r="A17" s="58"/>
      <c r="B17" s="58"/>
      <c r="C17" s="58"/>
      <c r="E17" s="185">
        <v>43962</v>
      </c>
      <c r="F17" s="185"/>
      <c r="G17" s="163" t="s">
        <v>186</v>
      </c>
      <c r="H17" s="186">
        <v>24.78</v>
      </c>
      <c r="I17" s="186"/>
      <c r="J17" s="186">
        <f t="shared" si="0"/>
        <v>24.78</v>
      </c>
      <c r="K17" s="186"/>
      <c r="L17" s="138" t="s">
        <v>13</v>
      </c>
      <c r="M17" s="138"/>
      <c r="N17" s="138"/>
      <c r="O17" s="138"/>
      <c r="P17" s="185">
        <v>43962</v>
      </c>
      <c r="Q17" s="15"/>
      <c r="R17" s="134">
        <v>43882</v>
      </c>
      <c r="S17" s="73"/>
      <c r="T17" s="138" t="s">
        <v>222</v>
      </c>
      <c r="U17" s="114">
        <v>137.19999999999999</v>
      </c>
      <c r="V17" s="114"/>
      <c r="W17" s="40">
        <f t="shared" si="1"/>
        <v>137.19999999999999</v>
      </c>
      <c r="X17" s="114"/>
      <c r="Y17" s="114" t="s">
        <v>2</v>
      </c>
      <c r="Z17" s="138"/>
      <c r="AA17" s="73"/>
      <c r="AB17" s="114" t="s">
        <v>43</v>
      </c>
      <c r="AC17" s="177">
        <v>43882</v>
      </c>
      <c r="AD17" s="146"/>
      <c r="AE17" s="154"/>
      <c r="AF17" s="146"/>
      <c r="AG17" s="154"/>
      <c r="AH17" s="153"/>
      <c r="AI17" s="150"/>
      <c r="AJ17" s="153"/>
    </row>
    <row r="18" spans="1:36" ht="15" customHeight="1" x14ac:dyDescent="0.35">
      <c r="A18" s="58"/>
      <c r="B18" s="58"/>
      <c r="C18" s="58"/>
      <c r="E18" s="185">
        <v>43965</v>
      </c>
      <c r="F18" s="185"/>
      <c r="G18" s="163" t="s">
        <v>186</v>
      </c>
      <c r="H18" s="186">
        <v>179.78</v>
      </c>
      <c r="I18" s="186"/>
      <c r="J18" s="186">
        <f t="shared" si="0"/>
        <v>179.78</v>
      </c>
      <c r="K18" s="186"/>
      <c r="L18" s="138" t="s">
        <v>13</v>
      </c>
      <c r="M18" s="138"/>
      <c r="N18" s="138"/>
      <c r="O18" s="138"/>
      <c r="P18" s="185">
        <v>43965</v>
      </c>
      <c r="Q18" s="15"/>
      <c r="R18" s="185">
        <v>43883</v>
      </c>
      <c r="S18" s="73"/>
      <c r="T18" s="138" t="s">
        <v>223</v>
      </c>
      <c r="U18" s="39">
        <v>17.95</v>
      </c>
      <c r="V18" s="39">
        <v>0.65</v>
      </c>
      <c r="W18" s="186">
        <f t="shared" si="1"/>
        <v>18.599999999999998</v>
      </c>
      <c r="X18" s="39"/>
      <c r="Y18" s="39" t="s">
        <v>2</v>
      </c>
      <c r="Z18" s="138"/>
      <c r="AA18" s="73"/>
      <c r="AB18" s="39" t="s">
        <v>52</v>
      </c>
      <c r="AC18" s="89">
        <v>43962</v>
      </c>
      <c r="AD18" s="146"/>
      <c r="AE18" s="154"/>
      <c r="AF18" s="146"/>
      <c r="AG18" s="154"/>
      <c r="AH18" s="153"/>
      <c r="AI18" s="150"/>
      <c r="AJ18" s="153"/>
    </row>
    <row r="19" spans="1:36" ht="15" customHeight="1" x14ac:dyDescent="0.35">
      <c r="A19" s="117"/>
      <c r="B19" s="118" t="s">
        <v>84</v>
      </c>
      <c r="C19" s="58"/>
      <c r="E19" s="185">
        <v>43980</v>
      </c>
      <c r="F19" s="185"/>
      <c r="G19" s="163" t="s">
        <v>186</v>
      </c>
      <c r="H19" s="40">
        <v>0</v>
      </c>
      <c r="I19" s="40"/>
      <c r="J19" s="190">
        <f t="shared" si="0"/>
        <v>0</v>
      </c>
      <c r="K19" s="39"/>
      <c r="L19" s="138" t="s">
        <v>13</v>
      </c>
      <c r="M19" s="138"/>
      <c r="N19" s="138"/>
      <c r="O19" s="39"/>
      <c r="P19" s="89">
        <v>44085</v>
      </c>
      <c r="Q19" s="15"/>
      <c r="R19" s="185">
        <v>43890</v>
      </c>
      <c r="S19" s="73"/>
      <c r="T19" s="138" t="s">
        <v>224</v>
      </c>
      <c r="U19" s="39">
        <v>547.96</v>
      </c>
      <c r="V19" s="39"/>
      <c r="W19" s="193">
        <f t="shared" si="1"/>
        <v>547.96</v>
      </c>
      <c r="X19" s="39"/>
      <c r="Y19" s="39" t="s">
        <v>2</v>
      </c>
      <c r="Z19" s="138"/>
      <c r="AA19" s="73"/>
      <c r="AB19" s="39" t="s">
        <v>43</v>
      </c>
      <c r="AC19" s="89">
        <v>44001</v>
      </c>
      <c r="AD19" s="146"/>
      <c r="AE19" s="154"/>
      <c r="AF19" s="146"/>
      <c r="AG19" s="154"/>
      <c r="AH19" s="153"/>
      <c r="AI19" s="150"/>
      <c r="AJ19" s="153"/>
    </row>
    <row r="20" spans="1:36" ht="15" customHeight="1" x14ac:dyDescent="0.35">
      <c r="A20" s="116"/>
      <c r="B20" s="118" t="s">
        <v>97</v>
      </c>
      <c r="C20" s="21"/>
      <c r="E20" s="185">
        <v>43980</v>
      </c>
      <c r="F20" s="185"/>
      <c r="G20" s="163" t="s">
        <v>186</v>
      </c>
      <c r="H20" s="40">
        <v>67.319999999999993</v>
      </c>
      <c r="I20" s="40"/>
      <c r="J20" s="190">
        <f t="shared" si="0"/>
        <v>67.319999999999993</v>
      </c>
      <c r="K20" s="39"/>
      <c r="L20" s="138" t="s">
        <v>13</v>
      </c>
      <c r="M20" s="138"/>
      <c r="N20" s="138"/>
      <c r="O20" s="39"/>
      <c r="P20" s="89">
        <v>44085</v>
      </c>
      <c r="Q20" s="15"/>
      <c r="R20" s="134">
        <v>43894</v>
      </c>
      <c r="S20" s="73"/>
      <c r="T20" s="138" t="s">
        <v>225</v>
      </c>
      <c r="U20" s="114">
        <v>480</v>
      </c>
      <c r="V20" s="114"/>
      <c r="W20" s="194">
        <f t="shared" si="1"/>
        <v>480</v>
      </c>
      <c r="X20" s="114"/>
      <c r="Y20" s="114" t="s">
        <v>3</v>
      </c>
      <c r="Z20" s="138"/>
      <c r="AA20" s="73"/>
      <c r="AB20" s="114" t="s">
        <v>43</v>
      </c>
      <c r="AC20" s="177">
        <v>44001</v>
      </c>
      <c r="AD20" s="146"/>
      <c r="AE20" s="154"/>
      <c r="AF20" s="146"/>
      <c r="AG20" s="154"/>
      <c r="AH20" s="153"/>
      <c r="AI20" s="150"/>
      <c r="AJ20" s="153"/>
    </row>
    <row r="21" spans="1:36" ht="15.75" customHeight="1" x14ac:dyDescent="0.35">
      <c r="A21" s="170" t="s">
        <v>94</v>
      </c>
      <c r="C21" s="21"/>
      <c r="E21" s="18">
        <v>43981</v>
      </c>
      <c r="F21" s="18"/>
      <c r="G21" s="163" t="s">
        <v>186</v>
      </c>
      <c r="H21" s="17">
        <v>531.15</v>
      </c>
      <c r="I21" s="17"/>
      <c r="J21" s="17">
        <f t="shared" si="0"/>
        <v>531.15</v>
      </c>
      <c r="K21" s="17"/>
      <c r="L21" s="17" t="s">
        <v>13</v>
      </c>
      <c r="M21" s="17"/>
      <c r="N21" s="17"/>
      <c r="O21" s="17"/>
      <c r="P21" s="18">
        <v>44039</v>
      </c>
      <c r="Q21" s="15"/>
      <c r="R21" s="252">
        <v>43894</v>
      </c>
      <c r="S21" s="73"/>
      <c r="T21" s="138" t="s">
        <v>226</v>
      </c>
      <c r="U21" s="253">
        <v>-240</v>
      </c>
      <c r="V21" s="116"/>
      <c r="W21" s="253">
        <f t="shared" si="1"/>
        <v>-240</v>
      </c>
      <c r="X21" s="116"/>
      <c r="Y21" s="116" t="s">
        <v>3</v>
      </c>
      <c r="Z21" s="17"/>
      <c r="AA21" s="73"/>
      <c r="AB21" s="116" t="s">
        <v>153</v>
      </c>
      <c r="AC21" s="195">
        <v>44018</v>
      </c>
      <c r="AD21" s="146"/>
      <c r="AE21" s="154"/>
      <c r="AF21" s="146"/>
      <c r="AG21" s="154"/>
      <c r="AH21" s="153"/>
      <c r="AI21" s="150"/>
      <c r="AJ21" s="153"/>
    </row>
    <row r="22" spans="1:36" ht="15" customHeight="1" x14ac:dyDescent="0.35">
      <c r="A22" s="113"/>
      <c r="B22" s="113"/>
      <c r="C22" s="113"/>
      <c r="E22" s="185">
        <v>43991</v>
      </c>
      <c r="F22" s="185"/>
      <c r="G22" s="163" t="s">
        <v>186</v>
      </c>
      <c r="H22" s="40">
        <v>2807.25</v>
      </c>
      <c r="I22" s="40"/>
      <c r="J22" s="186">
        <f t="shared" si="0"/>
        <v>2807.25</v>
      </c>
      <c r="K22" s="39"/>
      <c r="L22" s="138" t="s">
        <v>6</v>
      </c>
      <c r="M22" s="138"/>
      <c r="N22" s="138"/>
      <c r="O22" s="39"/>
      <c r="P22" s="89">
        <v>43988</v>
      </c>
      <c r="Q22" s="15"/>
      <c r="R22" s="134">
        <v>43894</v>
      </c>
      <c r="S22" s="73"/>
      <c r="T22" s="138" t="s">
        <v>227</v>
      </c>
      <c r="U22" s="114">
        <v>36</v>
      </c>
      <c r="V22" s="114"/>
      <c r="W22" s="40">
        <f t="shared" si="1"/>
        <v>36</v>
      </c>
      <c r="X22" s="114"/>
      <c r="Y22" s="114" t="s">
        <v>3</v>
      </c>
      <c r="Z22" s="138"/>
      <c r="AA22" s="73"/>
      <c r="AB22" s="114" t="s">
        <v>43</v>
      </c>
      <c r="AC22" s="177">
        <v>43894</v>
      </c>
      <c r="AD22" s="146"/>
      <c r="AE22" s="154"/>
      <c r="AF22" s="146"/>
      <c r="AG22" s="154"/>
      <c r="AH22" s="153"/>
      <c r="AI22" s="150"/>
      <c r="AJ22" s="153"/>
    </row>
    <row r="23" spans="1:36" ht="15" customHeight="1" x14ac:dyDescent="0.35">
      <c r="A23" s="21"/>
      <c r="B23" s="21"/>
      <c r="C23" s="113"/>
      <c r="E23" s="185">
        <v>43998</v>
      </c>
      <c r="F23" s="185"/>
      <c r="G23" s="163" t="s">
        <v>186</v>
      </c>
      <c r="H23" s="40">
        <v>728.55</v>
      </c>
      <c r="I23" s="40"/>
      <c r="J23" s="186">
        <f t="shared" si="0"/>
        <v>728.55</v>
      </c>
      <c r="K23" s="39"/>
      <c r="L23" s="138" t="s">
        <v>6</v>
      </c>
      <c r="M23" s="138"/>
      <c r="N23" s="138"/>
      <c r="O23" s="39"/>
      <c r="P23" s="89">
        <v>44039</v>
      </c>
      <c r="Q23" s="15"/>
      <c r="R23" s="134">
        <v>43899</v>
      </c>
      <c r="S23" s="73"/>
      <c r="T23" s="138" t="s">
        <v>228</v>
      </c>
      <c r="U23" s="114">
        <v>320.27</v>
      </c>
      <c r="V23" s="114"/>
      <c r="W23" s="194">
        <f t="shared" si="1"/>
        <v>320.27</v>
      </c>
      <c r="X23" s="114"/>
      <c r="Y23" s="114" t="s">
        <v>3</v>
      </c>
      <c r="Z23" s="138"/>
      <c r="AA23" s="73"/>
      <c r="AB23" s="114" t="s">
        <v>43</v>
      </c>
      <c r="AC23" s="177">
        <v>44001</v>
      </c>
      <c r="AD23" s="146"/>
      <c r="AE23" s="154"/>
      <c r="AF23" s="146"/>
      <c r="AG23" s="154"/>
      <c r="AH23" s="153"/>
      <c r="AI23" s="150"/>
      <c r="AJ23" s="153"/>
    </row>
    <row r="24" spans="1:36" ht="15" customHeight="1" x14ac:dyDescent="0.35">
      <c r="A24" s="24"/>
      <c r="B24" s="22"/>
      <c r="C24" s="21"/>
      <c r="E24" s="134">
        <v>43998</v>
      </c>
      <c r="F24" s="134"/>
      <c r="G24" s="163" t="s">
        <v>187</v>
      </c>
      <c r="H24" s="115">
        <v>364.27</v>
      </c>
      <c r="I24" s="115"/>
      <c r="J24" s="40">
        <f t="shared" si="0"/>
        <v>364.27</v>
      </c>
      <c r="K24" s="115"/>
      <c r="L24" s="114" t="s">
        <v>6</v>
      </c>
      <c r="M24" s="114"/>
      <c r="N24" s="114"/>
      <c r="O24" s="114"/>
      <c r="P24" s="177">
        <v>44039</v>
      </c>
      <c r="Q24" s="15"/>
      <c r="R24" s="185">
        <v>43901</v>
      </c>
      <c r="S24" s="73"/>
      <c r="T24" s="138" t="s">
        <v>229</v>
      </c>
      <c r="U24" s="186">
        <v>229.7</v>
      </c>
      <c r="V24" s="40">
        <v>19.52</v>
      </c>
      <c r="W24" s="186">
        <f t="shared" si="1"/>
        <v>249.22</v>
      </c>
      <c r="X24" s="40"/>
      <c r="Y24" s="138" t="s">
        <v>3</v>
      </c>
      <c r="Z24" s="114"/>
      <c r="AA24" s="73"/>
      <c r="AB24" s="138" t="s">
        <v>43</v>
      </c>
      <c r="AC24" s="185">
        <v>43998</v>
      </c>
      <c r="AD24" s="146"/>
      <c r="AE24" s="154"/>
      <c r="AF24" s="146"/>
      <c r="AG24" s="154"/>
      <c r="AH24" s="153"/>
      <c r="AI24" s="150"/>
      <c r="AJ24" s="153"/>
    </row>
    <row r="25" spans="1:36" ht="15" customHeight="1" x14ac:dyDescent="0.35">
      <c r="A25" s="24"/>
      <c r="B25" s="22"/>
      <c r="C25" s="43"/>
      <c r="E25" s="134">
        <v>43998</v>
      </c>
      <c r="F25" s="134"/>
      <c r="G25" s="163" t="s">
        <v>188</v>
      </c>
      <c r="H25" s="136">
        <v>153.81</v>
      </c>
      <c r="I25" s="136">
        <v>13.07</v>
      </c>
      <c r="J25" s="40">
        <f t="shared" si="0"/>
        <v>166.88</v>
      </c>
      <c r="K25" s="136"/>
      <c r="L25" s="135" t="s">
        <v>6</v>
      </c>
      <c r="M25" s="135"/>
      <c r="N25" s="135"/>
      <c r="O25" s="114"/>
      <c r="P25" s="177">
        <v>44039</v>
      </c>
      <c r="Q25" s="15"/>
      <c r="R25" s="185">
        <v>43901</v>
      </c>
      <c r="S25" s="73"/>
      <c r="T25" s="138" t="s">
        <v>230</v>
      </c>
      <c r="U25" s="39">
        <v>51.29</v>
      </c>
      <c r="V25" s="39">
        <v>2.17</v>
      </c>
      <c r="W25" s="186">
        <f t="shared" si="1"/>
        <v>53.46</v>
      </c>
      <c r="X25" s="39"/>
      <c r="Y25" s="138" t="s">
        <v>3</v>
      </c>
      <c r="Z25" s="135"/>
      <c r="AA25" s="73"/>
      <c r="AB25" s="39" t="s">
        <v>43</v>
      </c>
      <c r="AC25" s="89">
        <v>43962</v>
      </c>
      <c r="AD25" s="146"/>
      <c r="AE25" s="154"/>
      <c r="AF25" s="146"/>
      <c r="AG25" s="154"/>
      <c r="AH25" s="153"/>
      <c r="AI25" s="150"/>
      <c r="AJ25" s="153"/>
    </row>
    <row r="26" spans="1:36" ht="15" customHeight="1" x14ac:dyDescent="0.35">
      <c r="A26" s="24"/>
      <c r="B26" s="22"/>
      <c r="C26" s="43"/>
      <c r="E26" s="185">
        <v>43998</v>
      </c>
      <c r="F26" s="185"/>
      <c r="G26" s="163" t="s">
        <v>189</v>
      </c>
      <c r="H26" s="40">
        <v>46.05</v>
      </c>
      <c r="I26" s="114">
        <v>3.91</v>
      </c>
      <c r="J26" s="186">
        <f t="shared" si="0"/>
        <v>49.959999999999994</v>
      </c>
      <c r="K26" s="39"/>
      <c r="L26" s="39" t="s">
        <v>6</v>
      </c>
      <c r="M26" s="39"/>
      <c r="N26" s="39"/>
      <c r="O26" s="39"/>
      <c r="P26" s="89">
        <v>43998</v>
      </c>
      <c r="Q26" s="15"/>
      <c r="R26" s="185">
        <v>43902</v>
      </c>
      <c r="S26" s="73"/>
      <c r="T26" s="138" t="s">
        <v>231</v>
      </c>
      <c r="U26" s="186">
        <v>42.32</v>
      </c>
      <c r="V26" s="186"/>
      <c r="W26" s="186">
        <f t="shared" si="1"/>
        <v>42.32</v>
      </c>
      <c r="X26" s="186"/>
      <c r="Y26" s="138" t="s">
        <v>3</v>
      </c>
      <c r="Z26" s="39"/>
      <c r="AA26" s="73"/>
      <c r="AB26" s="138" t="s">
        <v>43</v>
      </c>
      <c r="AC26" s="185">
        <v>43998</v>
      </c>
      <c r="AD26" s="146"/>
      <c r="AE26" s="154"/>
      <c r="AF26" s="146"/>
      <c r="AG26" s="154"/>
      <c r="AH26" s="153"/>
      <c r="AI26" s="150"/>
      <c r="AJ26" s="153"/>
    </row>
    <row r="27" spans="1:36" ht="15" customHeight="1" x14ac:dyDescent="0.35">
      <c r="A27" s="24"/>
      <c r="C27" s="43"/>
      <c r="E27" s="134">
        <v>43998</v>
      </c>
      <c r="F27" s="134"/>
      <c r="G27" s="163" t="s">
        <v>190</v>
      </c>
      <c r="H27" s="136">
        <v>47.1</v>
      </c>
      <c r="I27" s="136"/>
      <c r="J27" s="40">
        <f t="shared" si="0"/>
        <v>47.1</v>
      </c>
      <c r="K27" s="136"/>
      <c r="L27" s="135" t="s">
        <v>6</v>
      </c>
      <c r="M27" s="135"/>
      <c r="N27" s="135"/>
      <c r="O27" s="114"/>
      <c r="P27" s="137">
        <v>43998</v>
      </c>
      <c r="Q27" s="15"/>
      <c r="R27" s="134">
        <v>43903</v>
      </c>
      <c r="S27" s="73"/>
      <c r="T27" s="138" t="s">
        <v>232</v>
      </c>
      <c r="U27" s="114">
        <v>1277.52</v>
      </c>
      <c r="V27" s="114"/>
      <c r="W27" s="194">
        <f t="shared" si="1"/>
        <v>1277.52</v>
      </c>
      <c r="X27" s="114"/>
      <c r="Y27" s="114" t="s">
        <v>3</v>
      </c>
      <c r="Z27" s="135"/>
      <c r="AA27" s="73"/>
      <c r="AB27" s="114" t="s">
        <v>43</v>
      </c>
      <c r="AC27" s="177">
        <v>44001</v>
      </c>
      <c r="AD27" s="146"/>
      <c r="AE27" s="154"/>
      <c r="AF27" s="146"/>
      <c r="AG27" s="154"/>
      <c r="AH27" s="153"/>
      <c r="AI27" s="150"/>
      <c r="AJ27" s="153"/>
    </row>
    <row r="28" spans="1:36" ht="15" customHeight="1" x14ac:dyDescent="0.35">
      <c r="A28" s="24"/>
      <c r="C28" s="43"/>
      <c r="E28" s="18">
        <v>44000</v>
      </c>
      <c r="F28" s="18"/>
      <c r="G28" s="163" t="s">
        <v>191</v>
      </c>
      <c r="H28" s="39">
        <v>1285.44</v>
      </c>
      <c r="I28" s="39"/>
      <c r="J28" s="254">
        <f t="shared" si="0"/>
        <v>1285.44</v>
      </c>
      <c r="K28" s="39"/>
      <c r="L28" s="39" t="s">
        <v>6</v>
      </c>
      <c r="M28" s="39"/>
      <c r="N28" s="39"/>
      <c r="O28" s="39"/>
      <c r="P28" s="89">
        <v>44110</v>
      </c>
      <c r="Q28" s="15"/>
      <c r="R28" s="134">
        <v>43903</v>
      </c>
      <c r="S28" s="73"/>
      <c r="T28" s="138" t="s">
        <v>233</v>
      </c>
      <c r="U28" s="114">
        <v>10</v>
      </c>
      <c r="V28" s="114">
        <v>0.85</v>
      </c>
      <c r="W28" s="40">
        <f t="shared" si="1"/>
        <v>10.85</v>
      </c>
      <c r="X28" s="114"/>
      <c r="Y28" s="114" t="s">
        <v>3</v>
      </c>
      <c r="Z28" s="39"/>
      <c r="AA28" s="73"/>
      <c r="AB28" s="114" t="s">
        <v>43</v>
      </c>
      <c r="AC28" s="177">
        <v>43991</v>
      </c>
      <c r="AD28" s="146"/>
      <c r="AE28" s="154"/>
      <c r="AF28" s="146"/>
      <c r="AG28" s="154"/>
      <c r="AH28" s="153"/>
      <c r="AI28" s="150"/>
      <c r="AJ28" s="153"/>
    </row>
    <row r="29" spans="1:36" ht="15" customHeight="1" x14ac:dyDescent="0.35">
      <c r="A29" s="24"/>
      <c r="C29" s="44"/>
      <c r="E29" s="134">
        <v>44020</v>
      </c>
      <c r="F29" s="134"/>
      <c r="G29" s="163" t="s">
        <v>192</v>
      </c>
      <c r="H29" s="40">
        <v>1044.5999999999999</v>
      </c>
      <c r="I29" s="115"/>
      <c r="J29" s="40">
        <f t="shared" si="0"/>
        <v>1044.5999999999999</v>
      </c>
      <c r="K29" s="115"/>
      <c r="L29" s="114" t="s">
        <v>7</v>
      </c>
      <c r="M29" s="114"/>
      <c r="N29" s="114"/>
      <c r="O29" s="114"/>
      <c r="P29" s="177">
        <v>44025</v>
      </c>
      <c r="Q29" s="15"/>
      <c r="R29" s="185">
        <v>43903</v>
      </c>
      <c r="S29" s="73"/>
      <c r="T29" s="138" t="s">
        <v>234</v>
      </c>
      <c r="U29" s="40">
        <v>95.29</v>
      </c>
      <c r="V29" s="40"/>
      <c r="W29" s="186">
        <f t="shared" si="1"/>
        <v>95.29</v>
      </c>
      <c r="X29" s="39"/>
      <c r="Y29" s="138" t="s">
        <v>3</v>
      </c>
      <c r="Z29" s="114"/>
      <c r="AA29" s="73"/>
      <c r="AB29" s="39" t="s">
        <v>43</v>
      </c>
      <c r="AC29" s="89">
        <v>43962</v>
      </c>
      <c r="AD29" s="146"/>
      <c r="AE29" s="154"/>
      <c r="AF29" s="146"/>
      <c r="AG29" s="154"/>
      <c r="AH29" s="153"/>
      <c r="AI29" s="150"/>
      <c r="AJ29" s="153"/>
    </row>
    <row r="30" spans="1:36" ht="15" customHeight="1" x14ac:dyDescent="0.35">
      <c r="A30" s="24"/>
      <c r="C30" s="44"/>
      <c r="E30" s="134">
        <v>44039</v>
      </c>
      <c r="F30" s="134"/>
      <c r="G30" s="163" t="s">
        <v>193</v>
      </c>
      <c r="H30" s="115">
        <v>474.59</v>
      </c>
      <c r="I30" s="115"/>
      <c r="J30" s="40">
        <f t="shared" si="0"/>
        <v>474.59</v>
      </c>
      <c r="K30" s="115"/>
      <c r="L30" s="114" t="s">
        <v>7</v>
      </c>
      <c r="M30" s="114"/>
      <c r="N30" s="114"/>
      <c r="O30" s="114"/>
      <c r="P30" s="114"/>
      <c r="Q30" s="15"/>
      <c r="R30" s="185">
        <v>43906</v>
      </c>
      <c r="S30" s="73"/>
      <c r="T30" s="138" t="s">
        <v>235</v>
      </c>
      <c r="U30" s="40">
        <v>-67.89</v>
      </c>
      <c r="V30" s="40"/>
      <c r="W30" s="186">
        <f t="shared" si="1"/>
        <v>-67.89</v>
      </c>
      <c r="X30" s="39"/>
      <c r="Y30" s="138" t="s">
        <v>3</v>
      </c>
      <c r="Z30" s="114"/>
      <c r="AA30" s="73"/>
      <c r="AB30" s="39" t="s">
        <v>43</v>
      </c>
      <c r="AC30" s="89">
        <v>43962</v>
      </c>
      <c r="AD30" s="146"/>
      <c r="AE30" s="154"/>
      <c r="AF30" s="146"/>
      <c r="AG30" s="154"/>
      <c r="AH30" s="153"/>
      <c r="AI30" s="150"/>
      <c r="AJ30" s="153"/>
    </row>
    <row r="31" spans="1:36" ht="15" customHeight="1" x14ac:dyDescent="0.35">
      <c r="A31" s="24"/>
      <c r="E31" s="134">
        <v>44041</v>
      </c>
      <c r="F31" s="134"/>
      <c r="G31" s="163" t="s">
        <v>194</v>
      </c>
      <c r="H31" s="136">
        <v>179.78</v>
      </c>
      <c r="I31" s="136"/>
      <c r="J31" s="40">
        <f t="shared" si="0"/>
        <v>179.78</v>
      </c>
      <c r="K31" s="136"/>
      <c r="L31" s="135" t="s">
        <v>7</v>
      </c>
      <c r="M31" s="135"/>
      <c r="N31" s="135"/>
      <c r="O31" s="114"/>
      <c r="P31" s="137">
        <v>44041</v>
      </c>
      <c r="Q31" s="15"/>
      <c r="R31" s="185">
        <v>43906</v>
      </c>
      <c r="S31" s="73"/>
      <c r="T31" s="138" t="s">
        <v>236</v>
      </c>
      <c r="U31" s="40">
        <v>121.1</v>
      </c>
      <c r="V31" s="40">
        <v>1.37</v>
      </c>
      <c r="W31" s="186">
        <f t="shared" si="1"/>
        <v>122.47</v>
      </c>
      <c r="X31" s="39"/>
      <c r="Y31" s="138" t="s">
        <v>3</v>
      </c>
      <c r="Z31" s="135"/>
      <c r="AA31" s="73"/>
      <c r="AB31" s="39" t="s">
        <v>43</v>
      </c>
      <c r="AC31" s="89">
        <v>43962</v>
      </c>
      <c r="AD31" s="146"/>
      <c r="AE31" s="154"/>
      <c r="AF31" s="146"/>
      <c r="AG31" s="154"/>
      <c r="AH31" s="153"/>
      <c r="AI31" s="150"/>
      <c r="AJ31" s="153"/>
    </row>
    <row r="32" spans="1:36" ht="15" customHeight="1" x14ac:dyDescent="0.35">
      <c r="A32" s="24"/>
      <c r="E32" s="134">
        <v>44043</v>
      </c>
      <c r="F32" s="134"/>
      <c r="G32" s="163" t="s">
        <v>195</v>
      </c>
      <c r="H32" s="136">
        <v>108.43</v>
      </c>
      <c r="I32" s="136"/>
      <c r="J32" s="194">
        <f t="shared" si="0"/>
        <v>108.43</v>
      </c>
      <c r="K32" s="136"/>
      <c r="L32" s="135" t="s">
        <v>7</v>
      </c>
      <c r="M32" s="135"/>
      <c r="N32" s="135"/>
      <c r="O32" s="114"/>
      <c r="P32" s="137">
        <v>44110</v>
      </c>
      <c r="Q32" s="15"/>
      <c r="R32" s="134">
        <v>43942</v>
      </c>
      <c r="S32" s="73"/>
      <c r="T32" s="138" t="s">
        <v>237</v>
      </c>
      <c r="U32" s="114">
        <v>6.85</v>
      </c>
      <c r="V32" s="114"/>
      <c r="W32" s="40">
        <f t="shared" si="1"/>
        <v>6.85</v>
      </c>
      <c r="X32" s="114"/>
      <c r="Y32" s="114" t="s">
        <v>4</v>
      </c>
      <c r="Z32" s="135"/>
      <c r="AA32" s="73"/>
      <c r="AB32" s="114" t="s">
        <v>43</v>
      </c>
      <c r="AC32" s="177">
        <v>43991</v>
      </c>
      <c r="AD32" s="146"/>
      <c r="AE32" s="154"/>
      <c r="AF32" s="146"/>
      <c r="AG32" s="154"/>
      <c r="AH32" s="153"/>
      <c r="AI32" s="150"/>
      <c r="AJ32" s="153"/>
    </row>
    <row r="33" spans="1:36" ht="15" customHeight="1" x14ac:dyDescent="0.35">
      <c r="A33" s="24"/>
      <c r="E33" s="134">
        <v>44047</v>
      </c>
      <c r="F33" s="134"/>
      <c r="G33" s="163" t="s">
        <v>196</v>
      </c>
      <c r="H33" s="136">
        <v>115.06</v>
      </c>
      <c r="I33" s="136"/>
      <c r="J33" s="40">
        <f t="shared" si="0"/>
        <v>115.06</v>
      </c>
      <c r="K33" s="136"/>
      <c r="L33" s="135" t="s">
        <v>8</v>
      </c>
      <c r="M33" s="135"/>
      <c r="N33" s="135"/>
      <c r="O33" s="114"/>
      <c r="P33" s="137">
        <v>44047</v>
      </c>
      <c r="Q33" s="15"/>
      <c r="R33" s="185">
        <v>43962</v>
      </c>
      <c r="S33" s="73"/>
      <c r="T33" s="138" t="s">
        <v>238</v>
      </c>
      <c r="U33" s="40">
        <v>49.9</v>
      </c>
      <c r="V33" s="40"/>
      <c r="W33" s="186">
        <f t="shared" si="1"/>
        <v>49.9</v>
      </c>
      <c r="X33" s="39"/>
      <c r="Y33" s="186" t="s">
        <v>13</v>
      </c>
      <c r="Z33" s="135"/>
      <c r="AA33" s="73"/>
      <c r="AB33" s="39" t="s">
        <v>43</v>
      </c>
      <c r="AC33" s="89">
        <v>44051</v>
      </c>
      <c r="AD33" s="146"/>
      <c r="AE33" s="154"/>
      <c r="AF33" s="146"/>
      <c r="AG33" s="154"/>
      <c r="AH33" s="153"/>
      <c r="AI33" s="150"/>
      <c r="AJ33" s="153"/>
    </row>
    <row r="34" spans="1:36" ht="29" x14ac:dyDescent="0.35">
      <c r="A34" s="24"/>
      <c r="E34" s="134">
        <v>44054</v>
      </c>
      <c r="F34" s="134"/>
      <c r="G34" s="163" t="s">
        <v>197</v>
      </c>
      <c r="H34" s="136">
        <v>1515.45</v>
      </c>
      <c r="I34" s="136"/>
      <c r="J34" s="40">
        <f t="shared" si="0"/>
        <v>1515.45</v>
      </c>
      <c r="K34" s="136"/>
      <c r="L34" s="135" t="s">
        <v>8</v>
      </c>
      <c r="M34" s="135"/>
      <c r="N34" s="135"/>
      <c r="O34" s="114"/>
      <c r="P34" s="137">
        <v>44055</v>
      </c>
      <c r="Q34" s="15"/>
      <c r="R34" s="158">
        <v>43963</v>
      </c>
      <c r="S34" s="73"/>
      <c r="T34" s="138" t="s">
        <v>239</v>
      </c>
      <c r="U34" s="160">
        <v>425.06</v>
      </c>
      <c r="V34" s="160"/>
      <c r="W34" s="160">
        <f t="shared" si="1"/>
        <v>425.06</v>
      </c>
      <c r="X34" s="160"/>
      <c r="Y34" s="159" t="s">
        <v>13</v>
      </c>
      <c r="Z34" s="135"/>
      <c r="AA34" s="73"/>
      <c r="AB34" s="159"/>
      <c r="AC34" s="332" t="s">
        <v>141</v>
      </c>
      <c r="AD34" s="146"/>
      <c r="AE34" s="154"/>
      <c r="AF34" s="146"/>
      <c r="AG34" s="154"/>
      <c r="AH34" s="153"/>
      <c r="AI34" s="150"/>
      <c r="AJ34" s="153"/>
    </row>
    <row r="35" spans="1:36" ht="15" customHeight="1" x14ac:dyDescent="0.35">
      <c r="A35" s="24"/>
      <c r="E35" s="134">
        <v>44064</v>
      </c>
      <c r="F35" s="134"/>
      <c r="G35" s="163" t="s">
        <v>198</v>
      </c>
      <c r="H35" s="136">
        <v>383.18</v>
      </c>
      <c r="I35" s="136"/>
      <c r="J35" s="294">
        <f t="shared" si="0"/>
        <v>383.18</v>
      </c>
      <c r="K35" s="136"/>
      <c r="L35" s="135" t="s">
        <v>8</v>
      </c>
      <c r="M35" s="135"/>
      <c r="N35" s="135"/>
      <c r="O35" s="114"/>
      <c r="P35" s="135"/>
      <c r="Q35" s="15"/>
      <c r="R35" s="185">
        <v>43964</v>
      </c>
      <c r="S35" s="73"/>
      <c r="T35" s="138" t="s">
        <v>240</v>
      </c>
      <c r="U35" s="186">
        <v>167.04</v>
      </c>
      <c r="V35" s="186"/>
      <c r="W35" s="251">
        <f t="shared" si="1"/>
        <v>167.04</v>
      </c>
      <c r="X35" s="186"/>
      <c r="Y35" s="138" t="s">
        <v>13</v>
      </c>
      <c r="Z35" s="135"/>
      <c r="AA35" s="73"/>
      <c r="AB35" s="138" t="s">
        <v>43</v>
      </c>
      <c r="AC35" s="185">
        <v>44018</v>
      </c>
      <c r="AD35" s="146"/>
      <c r="AE35" s="154"/>
      <c r="AF35" s="146"/>
      <c r="AG35" s="154"/>
      <c r="AH35" s="153"/>
      <c r="AI35" s="150"/>
      <c r="AJ35" s="153"/>
    </row>
    <row r="36" spans="1:36" ht="15" customHeight="1" x14ac:dyDescent="0.35">
      <c r="A36" s="24"/>
      <c r="E36" s="134">
        <v>44073</v>
      </c>
      <c r="F36" s="134"/>
      <c r="G36" s="163" t="s">
        <v>199</v>
      </c>
      <c r="H36" s="136">
        <v>28.71</v>
      </c>
      <c r="I36" s="136"/>
      <c r="J36" s="294">
        <f t="shared" si="0"/>
        <v>28.71</v>
      </c>
      <c r="K36" s="136"/>
      <c r="L36" s="135" t="s">
        <v>8</v>
      </c>
      <c r="M36" s="135"/>
      <c r="N36" s="135"/>
      <c r="O36" s="114"/>
      <c r="P36" s="135"/>
      <c r="Q36" s="15"/>
      <c r="R36" s="134">
        <v>43964</v>
      </c>
      <c r="S36" s="73"/>
      <c r="T36" s="138" t="s">
        <v>241</v>
      </c>
      <c r="U36" s="114">
        <v>104.4</v>
      </c>
      <c r="V36" s="114"/>
      <c r="W36" s="251">
        <f t="shared" si="1"/>
        <v>104.4</v>
      </c>
      <c r="X36" s="114"/>
      <c r="Y36" s="114" t="s">
        <v>13</v>
      </c>
      <c r="Z36" s="135"/>
      <c r="AA36" s="73"/>
      <c r="AB36" s="114" t="s">
        <v>43</v>
      </c>
      <c r="AC36" s="177">
        <v>44018</v>
      </c>
      <c r="AD36" s="146"/>
      <c r="AE36" s="154"/>
      <c r="AF36" s="146"/>
      <c r="AG36" s="154"/>
      <c r="AH36" s="153"/>
      <c r="AI36" s="150"/>
      <c r="AJ36" s="153"/>
    </row>
    <row r="37" spans="1:36" ht="15" customHeight="1" x14ac:dyDescent="0.35">
      <c r="A37" s="24"/>
      <c r="E37" s="134">
        <v>44074</v>
      </c>
      <c r="F37" s="134"/>
      <c r="G37" s="163" t="s">
        <v>200</v>
      </c>
      <c r="H37" s="136">
        <v>237.15</v>
      </c>
      <c r="I37" s="136"/>
      <c r="J37" s="40">
        <f t="shared" ref="J37:J68" si="2">H37+I37</f>
        <v>237.15</v>
      </c>
      <c r="K37" s="136"/>
      <c r="L37" s="135" t="s">
        <v>8</v>
      </c>
      <c r="M37" s="135"/>
      <c r="N37" s="135"/>
      <c r="O37" s="114"/>
      <c r="P37" s="135"/>
      <c r="Q37" s="15"/>
      <c r="R37" s="134">
        <v>43971</v>
      </c>
      <c r="S37" s="73"/>
      <c r="T37" s="138" t="s">
        <v>242</v>
      </c>
      <c r="U37" s="40">
        <v>139.78</v>
      </c>
      <c r="V37" s="40"/>
      <c r="W37" s="251">
        <f t="shared" ref="W37:W68" si="3">U37+V37</f>
        <v>139.78</v>
      </c>
      <c r="X37" s="40"/>
      <c r="Y37" s="72" t="s">
        <v>13</v>
      </c>
      <c r="Z37" s="135"/>
      <c r="AA37" s="73"/>
      <c r="AB37" s="72" t="s">
        <v>43</v>
      </c>
      <c r="AC37" s="134">
        <v>44018</v>
      </c>
      <c r="AD37" s="146"/>
      <c r="AE37" s="154"/>
      <c r="AF37" s="146"/>
      <c r="AG37" s="154"/>
      <c r="AH37" s="153"/>
      <c r="AI37" s="150"/>
      <c r="AJ37" s="153"/>
    </row>
    <row r="38" spans="1:36" ht="14.25" customHeight="1" x14ac:dyDescent="0.35">
      <c r="A38" s="24"/>
      <c r="E38" s="134">
        <v>44077</v>
      </c>
      <c r="F38" s="134"/>
      <c r="G38" s="163" t="s">
        <v>201</v>
      </c>
      <c r="H38" s="136">
        <v>21.7</v>
      </c>
      <c r="I38" s="136">
        <v>1.84</v>
      </c>
      <c r="J38" s="40">
        <f t="shared" si="2"/>
        <v>23.54</v>
      </c>
      <c r="K38" s="136"/>
      <c r="L38" s="135" t="s">
        <v>9</v>
      </c>
      <c r="M38" s="135"/>
      <c r="N38" s="135"/>
      <c r="O38" s="114"/>
      <c r="P38" s="137">
        <v>44077</v>
      </c>
      <c r="Q38" s="15"/>
      <c r="R38" s="185">
        <v>43976</v>
      </c>
      <c r="S38" s="73"/>
      <c r="T38" s="138" t="s">
        <v>243</v>
      </c>
      <c r="U38" s="40">
        <v>39.909999999999997</v>
      </c>
      <c r="V38" s="114">
        <v>3.39</v>
      </c>
      <c r="W38" s="186">
        <f t="shared" si="3"/>
        <v>43.3</v>
      </c>
      <c r="X38" s="39"/>
      <c r="Y38" s="39" t="s">
        <v>13</v>
      </c>
      <c r="Z38" s="135"/>
      <c r="AA38" s="73"/>
      <c r="AB38" s="39" t="s">
        <v>43</v>
      </c>
      <c r="AC38" s="89">
        <v>44051</v>
      </c>
      <c r="AD38" s="146"/>
      <c r="AE38" s="154"/>
      <c r="AF38" s="146"/>
      <c r="AG38" s="154"/>
      <c r="AH38" s="153"/>
      <c r="AI38" s="150"/>
      <c r="AJ38" s="153"/>
    </row>
    <row r="39" spans="1:36" ht="14.25" customHeight="1" x14ac:dyDescent="0.35">
      <c r="A39" s="24"/>
      <c r="E39" s="134">
        <v>44076</v>
      </c>
      <c r="F39" s="134"/>
      <c r="G39" s="163" t="s">
        <v>202</v>
      </c>
      <c r="H39" s="136">
        <v>157.93</v>
      </c>
      <c r="I39" s="136"/>
      <c r="J39" s="40">
        <f t="shared" si="2"/>
        <v>157.93</v>
      </c>
      <c r="K39" s="136"/>
      <c r="L39" s="135" t="s">
        <v>9</v>
      </c>
      <c r="M39" s="135"/>
      <c r="N39" s="135"/>
      <c r="O39" s="114"/>
      <c r="P39" s="135"/>
      <c r="Q39" s="15"/>
      <c r="R39" s="134">
        <v>43980</v>
      </c>
      <c r="S39" s="73"/>
      <c r="T39" s="138" t="s">
        <v>244</v>
      </c>
      <c r="U39" s="114">
        <v>15</v>
      </c>
      <c r="V39" s="114"/>
      <c r="W39" s="40">
        <f t="shared" si="3"/>
        <v>15</v>
      </c>
      <c r="X39" s="114"/>
      <c r="Y39" s="114" t="s">
        <v>13</v>
      </c>
      <c r="Z39" s="135"/>
      <c r="AA39" s="73"/>
      <c r="AB39" s="114" t="s">
        <v>77</v>
      </c>
      <c r="AC39" s="177">
        <v>43980</v>
      </c>
      <c r="AD39" s="146"/>
      <c r="AE39" s="154"/>
      <c r="AF39" s="146"/>
      <c r="AG39" s="154"/>
      <c r="AH39" s="153"/>
      <c r="AI39" s="150"/>
      <c r="AJ39" s="153"/>
    </row>
    <row r="40" spans="1:36" ht="14.25" customHeight="1" x14ac:dyDescent="0.35">
      <c r="A40" s="24"/>
      <c r="E40" s="134">
        <v>44085</v>
      </c>
      <c r="F40" s="134"/>
      <c r="G40" s="163" t="s">
        <v>203</v>
      </c>
      <c r="H40" s="136">
        <v>1725</v>
      </c>
      <c r="I40" s="136"/>
      <c r="J40" s="40">
        <f t="shared" si="2"/>
        <v>1725</v>
      </c>
      <c r="K40" s="136"/>
      <c r="L40" s="135" t="s">
        <v>9</v>
      </c>
      <c r="M40" s="135"/>
      <c r="N40" s="135"/>
      <c r="O40" s="114"/>
      <c r="P40" s="137">
        <v>44092</v>
      </c>
      <c r="Q40" s="15"/>
      <c r="R40" s="161">
        <v>43982</v>
      </c>
      <c r="S40" s="73"/>
      <c r="T40" s="138" t="s">
        <v>245</v>
      </c>
      <c r="U40" s="167">
        <v>-236.9</v>
      </c>
      <c r="V40" s="167"/>
      <c r="W40" s="162">
        <f t="shared" si="3"/>
        <v>-236.9</v>
      </c>
      <c r="X40" s="167"/>
      <c r="Y40" s="167" t="s">
        <v>13</v>
      </c>
      <c r="Z40" s="135"/>
      <c r="AA40" s="73"/>
      <c r="AB40" s="167" t="s">
        <v>91</v>
      </c>
      <c r="AC40" s="195">
        <v>44018</v>
      </c>
      <c r="AD40" s="146"/>
      <c r="AE40" s="154"/>
      <c r="AF40" s="146"/>
      <c r="AG40" s="154"/>
      <c r="AH40" s="153"/>
      <c r="AI40" s="150"/>
      <c r="AJ40" s="153"/>
    </row>
    <row r="41" spans="1:36" ht="14.25" customHeight="1" x14ac:dyDescent="0.35">
      <c r="A41" s="182"/>
      <c r="B41" s="207"/>
      <c r="E41" s="134">
        <v>44093</v>
      </c>
      <c r="F41" s="134"/>
      <c r="G41" s="163" t="s">
        <v>204</v>
      </c>
      <c r="H41" s="136">
        <v>659.28</v>
      </c>
      <c r="I41" s="136">
        <v>1.45</v>
      </c>
      <c r="J41" s="40">
        <f t="shared" si="2"/>
        <v>660.73</v>
      </c>
      <c r="K41" s="136"/>
      <c r="L41" s="135" t="s">
        <v>9</v>
      </c>
      <c r="M41" s="135"/>
      <c r="N41" s="135"/>
      <c r="O41" s="114"/>
      <c r="P41" s="137">
        <v>44093</v>
      </c>
      <c r="Q41" s="15"/>
      <c r="R41" s="134">
        <v>43986</v>
      </c>
      <c r="S41" s="73"/>
      <c r="T41" s="138" t="s">
        <v>246</v>
      </c>
      <c r="U41" s="114">
        <v>62.93</v>
      </c>
      <c r="V41" s="114">
        <v>1.77</v>
      </c>
      <c r="W41" s="40">
        <f t="shared" si="3"/>
        <v>64.7</v>
      </c>
      <c r="X41" s="114"/>
      <c r="Y41" s="114" t="s">
        <v>6</v>
      </c>
      <c r="Z41" s="135"/>
      <c r="AA41" s="73"/>
      <c r="AB41" s="39" t="s">
        <v>43</v>
      </c>
      <c r="AC41" s="89">
        <v>44051</v>
      </c>
      <c r="AD41" s="146"/>
      <c r="AE41" s="154"/>
      <c r="AF41" s="146"/>
      <c r="AG41" s="154"/>
      <c r="AH41" s="153"/>
      <c r="AI41" s="150"/>
      <c r="AJ41" s="153"/>
    </row>
    <row r="42" spans="1:36" s="23" customFormat="1" ht="14.25" customHeight="1" x14ac:dyDescent="0.35">
      <c r="A42" s="182"/>
      <c r="B42" s="207"/>
      <c r="C42" s="207"/>
      <c r="D42" s="207"/>
      <c r="E42" s="18">
        <v>44097</v>
      </c>
      <c r="F42" s="18"/>
      <c r="G42" s="163" t="s">
        <v>205</v>
      </c>
      <c r="H42" s="36">
        <v>90.22</v>
      </c>
      <c r="I42" s="36"/>
      <c r="J42" s="40">
        <f t="shared" si="2"/>
        <v>90.22</v>
      </c>
      <c r="K42" s="36"/>
      <c r="L42" s="11" t="s">
        <v>9</v>
      </c>
      <c r="M42" s="11"/>
      <c r="N42" s="11"/>
      <c r="O42" s="39"/>
      <c r="P42" s="69">
        <v>44097</v>
      </c>
      <c r="Q42" s="15"/>
      <c r="R42" s="18">
        <v>43987</v>
      </c>
      <c r="S42" s="20"/>
      <c r="T42" s="138" t="s">
        <v>247</v>
      </c>
      <c r="U42" s="17">
        <v>1302.1500000000001</v>
      </c>
      <c r="V42" s="39"/>
      <c r="W42" s="191">
        <f t="shared" si="3"/>
        <v>1302.1500000000001</v>
      </c>
      <c r="X42" s="39"/>
      <c r="Y42" s="39" t="s">
        <v>6</v>
      </c>
      <c r="Z42" s="11"/>
      <c r="AA42" s="20"/>
      <c r="AB42" s="39" t="s">
        <v>43</v>
      </c>
      <c r="AC42" s="89">
        <v>44089</v>
      </c>
      <c r="AD42" s="55"/>
      <c r="AE42" s="65"/>
      <c r="AF42" s="55"/>
      <c r="AG42" s="65"/>
      <c r="AH42" s="64"/>
      <c r="AI42" s="66"/>
      <c r="AJ42" s="64"/>
    </row>
    <row r="43" spans="1:36" s="23" customFormat="1" ht="14.25" customHeight="1" x14ac:dyDescent="0.35">
      <c r="A43" s="182"/>
      <c r="B43" s="207"/>
      <c r="C43" s="207"/>
      <c r="D43" s="207"/>
      <c r="E43" s="18">
        <v>44096</v>
      </c>
      <c r="F43" s="18"/>
      <c r="G43" s="163" t="s">
        <v>206</v>
      </c>
      <c r="H43" s="36">
        <v>22.19</v>
      </c>
      <c r="I43" s="36">
        <v>1.89</v>
      </c>
      <c r="J43" s="40">
        <f t="shared" si="2"/>
        <v>24.080000000000002</v>
      </c>
      <c r="K43" s="36"/>
      <c r="L43" s="11" t="s">
        <v>9</v>
      </c>
      <c r="M43" s="11"/>
      <c r="N43" s="11"/>
      <c r="O43" s="39"/>
      <c r="P43" s="69">
        <v>44096</v>
      </c>
      <c r="Q43" s="15"/>
      <c r="R43" s="46">
        <v>43991</v>
      </c>
      <c r="S43" s="20"/>
      <c r="T43" s="138" t="s">
        <v>248</v>
      </c>
      <c r="U43" s="248">
        <v>78</v>
      </c>
      <c r="V43" s="248">
        <v>6.63</v>
      </c>
      <c r="W43" s="248">
        <f t="shared" si="3"/>
        <v>84.63</v>
      </c>
      <c r="X43" s="163"/>
      <c r="Y43" s="163" t="s">
        <v>129</v>
      </c>
      <c r="Z43" s="11"/>
      <c r="AA43" s="20"/>
      <c r="AB43" s="163" t="s">
        <v>43</v>
      </c>
      <c r="AC43" s="46">
        <v>44092</v>
      </c>
      <c r="AD43" s="55"/>
      <c r="AE43" s="65"/>
      <c r="AF43" s="55"/>
      <c r="AG43" s="65"/>
      <c r="AH43" s="64"/>
      <c r="AI43" s="66"/>
      <c r="AJ43" s="64"/>
    </row>
    <row r="44" spans="1:36" s="23" customFormat="1" ht="14.25" customHeight="1" x14ac:dyDescent="0.35">
      <c r="A44" s="182"/>
      <c r="B44" s="207"/>
      <c r="C44" s="207"/>
      <c r="D44" s="207"/>
      <c r="E44" s="18">
        <v>44096</v>
      </c>
      <c r="F44" s="18"/>
      <c r="G44" s="163" t="s">
        <v>207</v>
      </c>
      <c r="H44" s="36">
        <v>94.56</v>
      </c>
      <c r="I44" s="36"/>
      <c r="J44" s="40">
        <f t="shared" si="2"/>
        <v>94.56</v>
      </c>
      <c r="K44" s="36"/>
      <c r="L44" s="11" t="s">
        <v>9</v>
      </c>
      <c r="M44" s="11"/>
      <c r="N44" s="11"/>
      <c r="O44" s="39"/>
      <c r="P44" s="11"/>
      <c r="Q44" s="15"/>
      <c r="R44" s="134">
        <v>43993</v>
      </c>
      <c r="S44" s="20"/>
      <c r="T44" s="138" t="s">
        <v>249</v>
      </c>
      <c r="U44" s="114">
        <v>9.34</v>
      </c>
      <c r="V44" s="114"/>
      <c r="W44" s="40">
        <f t="shared" si="3"/>
        <v>9.34</v>
      </c>
      <c r="X44" s="114"/>
      <c r="Y44" s="114" t="s">
        <v>6</v>
      </c>
      <c r="Z44" s="11"/>
      <c r="AA44" s="20"/>
      <c r="AB44" s="39" t="s">
        <v>43</v>
      </c>
      <c r="AC44" s="89">
        <v>44051</v>
      </c>
      <c r="AD44" s="55"/>
      <c r="AE44" s="65"/>
      <c r="AF44" s="55"/>
      <c r="AG44" s="65"/>
      <c r="AH44" s="64"/>
      <c r="AI44" s="66"/>
      <c r="AJ44" s="64"/>
    </row>
    <row r="45" spans="1:36" s="23" customFormat="1" ht="14.25" customHeight="1" x14ac:dyDescent="0.35">
      <c r="A45" s="182"/>
      <c r="B45" s="207"/>
      <c r="C45" s="207"/>
      <c r="D45" s="207"/>
      <c r="E45" s="18">
        <v>44111</v>
      </c>
      <c r="F45" s="18"/>
      <c r="G45" s="163" t="s">
        <v>208</v>
      </c>
      <c r="H45" s="36">
        <v>51.01</v>
      </c>
      <c r="I45" s="36">
        <v>1.7</v>
      </c>
      <c r="J45" s="40">
        <f t="shared" si="2"/>
        <v>52.71</v>
      </c>
      <c r="K45" s="36"/>
      <c r="L45" s="11" t="s">
        <v>10</v>
      </c>
      <c r="M45" s="11"/>
      <c r="N45" s="11"/>
      <c r="O45" s="39"/>
      <c r="P45" s="11"/>
      <c r="Q45" s="15"/>
      <c r="R45" s="134">
        <v>43997</v>
      </c>
      <c r="S45" s="20"/>
      <c r="T45" s="138" t="s">
        <v>250</v>
      </c>
      <c r="U45" s="114">
        <v>156</v>
      </c>
      <c r="V45" s="114">
        <v>13.26</v>
      </c>
      <c r="W45" s="40">
        <f t="shared" si="3"/>
        <v>169.26</v>
      </c>
      <c r="X45" s="114"/>
      <c r="Y45" s="114" t="s">
        <v>6</v>
      </c>
      <c r="Z45" s="11"/>
      <c r="AA45" s="20"/>
      <c r="AB45" s="163" t="s">
        <v>43</v>
      </c>
      <c r="AC45" s="46">
        <v>44092</v>
      </c>
      <c r="AD45" s="55"/>
      <c r="AE45" s="65"/>
      <c r="AF45" s="55"/>
      <c r="AG45" s="65"/>
      <c r="AH45" s="64"/>
      <c r="AI45" s="66"/>
      <c r="AJ45" s="64"/>
    </row>
    <row r="46" spans="1:36" s="23" customFormat="1" ht="14.25" customHeight="1" x14ac:dyDescent="0.35">
      <c r="A46" s="182"/>
      <c r="B46" s="207"/>
      <c r="C46" s="207"/>
      <c r="D46" s="207"/>
      <c r="E46" s="306">
        <v>44111</v>
      </c>
      <c r="F46" s="306"/>
      <c r="G46" s="163" t="s">
        <v>209</v>
      </c>
      <c r="H46" s="36">
        <v>339.95</v>
      </c>
      <c r="I46" s="20"/>
      <c r="J46" s="40">
        <f t="shared" si="2"/>
        <v>339.95</v>
      </c>
      <c r="K46" s="36"/>
      <c r="L46" s="11" t="s">
        <v>10</v>
      </c>
      <c r="M46" s="11"/>
      <c r="N46" s="11"/>
      <c r="O46" s="39"/>
      <c r="P46" s="11"/>
      <c r="Q46" s="15"/>
      <c r="R46" s="134">
        <v>43998</v>
      </c>
      <c r="S46" s="20"/>
      <c r="T46" s="138" t="s">
        <v>251</v>
      </c>
      <c r="U46" s="114">
        <v>56</v>
      </c>
      <c r="V46" s="114"/>
      <c r="W46" s="40">
        <f t="shared" si="3"/>
        <v>56</v>
      </c>
      <c r="X46" s="114"/>
      <c r="Y46" s="114" t="s">
        <v>6</v>
      </c>
      <c r="Z46" s="11"/>
      <c r="AA46" s="20"/>
      <c r="AB46" s="114" t="s">
        <v>43</v>
      </c>
      <c r="AC46" s="177">
        <v>43998</v>
      </c>
      <c r="AD46" s="55"/>
      <c r="AE46" s="65"/>
      <c r="AF46" s="55"/>
      <c r="AG46" s="65"/>
      <c r="AH46" s="64"/>
      <c r="AI46" s="66"/>
      <c r="AJ46" s="64"/>
    </row>
    <row r="47" spans="1:36" s="23" customFormat="1" ht="14.25" customHeight="1" x14ac:dyDescent="0.35">
      <c r="A47" s="182"/>
      <c r="B47" s="207"/>
      <c r="C47" s="207"/>
      <c r="D47" s="207"/>
      <c r="E47" s="18"/>
      <c r="F47" s="18"/>
      <c r="G47" s="11"/>
      <c r="H47" s="36"/>
      <c r="I47" s="36"/>
      <c r="J47" s="40">
        <f t="shared" si="2"/>
        <v>0</v>
      </c>
      <c r="K47" s="36"/>
      <c r="L47" s="11"/>
      <c r="M47" s="11"/>
      <c r="N47" s="11"/>
      <c r="O47" s="39"/>
      <c r="P47" s="11"/>
      <c r="Q47" s="15"/>
      <c r="R47" s="18">
        <v>43998</v>
      </c>
      <c r="S47" s="20"/>
      <c r="T47" s="138" t="s">
        <v>252</v>
      </c>
      <c r="U47" s="39">
        <v>462.96</v>
      </c>
      <c r="V47" s="39">
        <v>1.43</v>
      </c>
      <c r="W47" s="17">
        <f t="shared" si="3"/>
        <v>464.39</v>
      </c>
      <c r="X47" s="39"/>
      <c r="Y47" s="39" t="s">
        <v>6</v>
      </c>
      <c r="Z47" s="11"/>
      <c r="AA47" s="20"/>
      <c r="AB47" s="39" t="s">
        <v>43</v>
      </c>
      <c r="AC47" s="89">
        <v>44051</v>
      </c>
      <c r="AD47" s="55"/>
      <c r="AE47" s="65"/>
      <c r="AF47" s="55"/>
      <c r="AG47" s="65"/>
      <c r="AH47" s="64"/>
      <c r="AI47" s="66"/>
      <c r="AJ47" s="64"/>
    </row>
    <row r="48" spans="1:36" s="23" customFormat="1" ht="14.25" customHeight="1" x14ac:dyDescent="0.35">
      <c r="A48" s="182"/>
      <c r="B48" s="207"/>
      <c r="C48" s="207"/>
      <c r="D48" s="207"/>
      <c r="E48" s="18"/>
      <c r="F48" s="18"/>
      <c r="G48" s="11"/>
      <c r="H48" s="36"/>
      <c r="I48" s="36"/>
      <c r="J48" s="40">
        <f t="shared" si="2"/>
        <v>0</v>
      </c>
      <c r="K48" s="36"/>
      <c r="L48" s="11"/>
      <c r="M48" s="11"/>
      <c r="N48" s="11"/>
      <c r="O48" s="39"/>
      <c r="P48" s="11"/>
      <c r="Q48" s="15"/>
      <c r="R48" s="185">
        <v>43998</v>
      </c>
      <c r="S48" s="20"/>
      <c r="T48" s="138" t="s">
        <v>253</v>
      </c>
      <c r="U48" s="186">
        <v>814.85</v>
      </c>
      <c r="V48" s="39">
        <v>31.39</v>
      </c>
      <c r="W48" s="186">
        <f t="shared" si="3"/>
        <v>846.24</v>
      </c>
      <c r="X48" s="39"/>
      <c r="Y48" s="39" t="s">
        <v>6</v>
      </c>
      <c r="Z48" s="11"/>
      <c r="AA48" s="20"/>
      <c r="AB48" s="39"/>
      <c r="AC48" s="89"/>
      <c r="AD48" s="55"/>
      <c r="AE48" s="65"/>
      <c r="AF48" s="55"/>
      <c r="AG48" s="65"/>
      <c r="AH48" s="64"/>
      <c r="AI48" s="66"/>
      <c r="AJ48" s="64"/>
    </row>
    <row r="49" spans="1:36" s="23" customFormat="1" ht="14.25" customHeight="1" x14ac:dyDescent="0.35">
      <c r="A49" s="182"/>
      <c r="B49" s="207"/>
      <c r="C49" s="207"/>
      <c r="D49" s="207"/>
      <c r="E49" s="18"/>
      <c r="F49" s="18"/>
      <c r="G49" s="11"/>
      <c r="H49" s="36"/>
      <c r="I49" s="36"/>
      <c r="J49" s="40">
        <f t="shared" si="2"/>
        <v>0</v>
      </c>
      <c r="K49" s="36"/>
      <c r="L49" s="11"/>
      <c r="M49" s="11"/>
      <c r="N49" s="11"/>
      <c r="O49" s="39"/>
      <c r="P49" s="11"/>
      <c r="Q49" s="15"/>
      <c r="R49" s="18">
        <v>44004</v>
      </c>
      <c r="S49" s="20"/>
      <c r="T49" s="138" t="s">
        <v>254</v>
      </c>
      <c r="U49" s="88">
        <v>763.28</v>
      </c>
      <c r="V49" s="39"/>
      <c r="W49" s="191">
        <f t="shared" si="3"/>
        <v>763.28</v>
      </c>
      <c r="X49" s="39"/>
      <c r="Y49" s="39" t="s">
        <v>6</v>
      </c>
      <c r="Z49" s="11"/>
      <c r="AA49" s="20"/>
      <c r="AB49" s="39" t="s">
        <v>43</v>
      </c>
      <c r="AC49" s="89">
        <v>44089</v>
      </c>
      <c r="AD49" s="55"/>
      <c r="AE49" s="65"/>
      <c r="AF49" s="55"/>
      <c r="AG49" s="65"/>
      <c r="AH49" s="64"/>
      <c r="AI49" s="66"/>
      <c r="AJ49" s="64"/>
    </row>
    <row r="50" spans="1:36" s="23" customFormat="1" ht="14.25" customHeight="1" x14ac:dyDescent="0.35">
      <c r="A50" s="182"/>
      <c r="B50" s="207"/>
      <c r="C50" s="207"/>
      <c r="D50" s="207"/>
      <c r="E50" s="18"/>
      <c r="F50" s="18"/>
      <c r="G50" s="11"/>
      <c r="H50" s="36"/>
      <c r="I50" s="36"/>
      <c r="J50" s="40">
        <f t="shared" si="2"/>
        <v>0</v>
      </c>
      <c r="K50" s="36"/>
      <c r="L50" s="11"/>
      <c r="M50" s="11"/>
      <c r="N50" s="11"/>
      <c r="O50" s="39"/>
      <c r="P50" s="11"/>
      <c r="Q50" s="15"/>
      <c r="R50" s="18">
        <v>44004</v>
      </c>
      <c r="S50" s="20"/>
      <c r="T50" s="138" t="s">
        <v>255</v>
      </c>
      <c r="U50" s="17">
        <v>104.5</v>
      </c>
      <c r="V50" s="17"/>
      <c r="W50" s="17">
        <f t="shared" si="3"/>
        <v>104.5</v>
      </c>
      <c r="X50" s="19"/>
      <c r="Y50" s="19" t="s">
        <v>6</v>
      </c>
      <c r="Z50" s="11"/>
      <c r="AA50" s="20"/>
      <c r="AB50" s="39" t="s">
        <v>43</v>
      </c>
      <c r="AC50" s="89">
        <v>44051</v>
      </c>
      <c r="AD50" s="55"/>
      <c r="AE50" s="65"/>
      <c r="AF50" s="55"/>
      <c r="AG50" s="65"/>
      <c r="AH50" s="64"/>
      <c r="AI50" s="66"/>
      <c r="AJ50" s="64"/>
    </row>
    <row r="51" spans="1:36" s="23" customFormat="1" ht="14.25" customHeight="1" x14ac:dyDescent="0.35">
      <c r="A51" s="182"/>
      <c r="B51" s="207"/>
      <c r="C51" s="207"/>
      <c r="D51" s="207"/>
      <c r="E51" s="18"/>
      <c r="F51" s="18"/>
      <c r="G51" s="11"/>
      <c r="H51" s="36"/>
      <c r="I51" s="36"/>
      <c r="J51" s="40">
        <f t="shared" si="2"/>
        <v>0</v>
      </c>
      <c r="K51" s="36"/>
      <c r="L51" s="11"/>
      <c r="M51" s="11"/>
      <c r="N51" s="11"/>
      <c r="O51" s="39"/>
      <c r="P51" s="11"/>
      <c r="Q51" s="15"/>
      <c r="R51" s="161">
        <v>44012</v>
      </c>
      <c r="S51" s="20"/>
      <c r="T51" s="138" t="s">
        <v>256</v>
      </c>
      <c r="U51" s="167">
        <v>-219.2</v>
      </c>
      <c r="V51" s="167"/>
      <c r="W51" s="162">
        <f t="shared" si="3"/>
        <v>-219.2</v>
      </c>
      <c r="X51" s="167"/>
      <c r="Y51" s="167" t="s">
        <v>6</v>
      </c>
      <c r="Z51" s="11"/>
      <c r="AA51" s="20"/>
      <c r="AB51" s="39" t="s">
        <v>157</v>
      </c>
      <c r="AC51" s="89">
        <v>44051</v>
      </c>
      <c r="AD51" s="55"/>
      <c r="AE51" s="65"/>
      <c r="AF51" s="55"/>
      <c r="AG51" s="65"/>
      <c r="AH51" s="64"/>
      <c r="AI51" s="66"/>
      <c r="AJ51" s="64"/>
    </row>
    <row r="52" spans="1:36" s="23" customFormat="1" ht="14.25" customHeight="1" x14ac:dyDescent="0.35">
      <c r="A52" s="182"/>
      <c r="B52" s="207"/>
      <c r="C52" s="207"/>
      <c r="D52" s="207"/>
      <c r="E52" s="18"/>
      <c r="F52" s="18"/>
      <c r="G52" s="11"/>
      <c r="H52" s="36"/>
      <c r="I52" s="36"/>
      <c r="J52" s="40">
        <f t="shared" si="2"/>
        <v>0</v>
      </c>
      <c r="K52" s="36"/>
      <c r="L52" s="11"/>
      <c r="M52" s="11"/>
      <c r="N52" s="11"/>
      <c r="O52" s="39"/>
      <c r="P52" s="11"/>
      <c r="Q52" s="15"/>
      <c r="R52" s="46">
        <v>44012</v>
      </c>
      <c r="S52" s="20"/>
      <c r="T52" s="138" t="s">
        <v>257</v>
      </c>
      <c r="U52" s="248">
        <v>241.46</v>
      </c>
      <c r="V52" s="248"/>
      <c r="W52" s="248">
        <f t="shared" si="3"/>
        <v>241.46</v>
      </c>
      <c r="X52" s="163"/>
      <c r="Y52" s="163" t="s">
        <v>6</v>
      </c>
      <c r="Z52" s="11"/>
      <c r="AA52" s="20"/>
      <c r="AB52" s="39" t="s">
        <v>43</v>
      </c>
      <c r="AC52" s="89">
        <v>44051</v>
      </c>
      <c r="AD52" s="55"/>
      <c r="AE52" s="65"/>
      <c r="AF52" s="55"/>
      <c r="AG52" s="65"/>
      <c r="AH52" s="64"/>
      <c r="AI52" s="66"/>
      <c r="AJ52" s="64"/>
    </row>
    <row r="53" spans="1:36" ht="14.25" customHeight="1" x14ac:dyDescent="0.35">
      <c r="A53" s="24"/>
      <c r="E53" s="134"/>
      <c r="F53" s="134"/>
      <c r="G53" s="135"/>
      <c r="H53" s="136"/>
      <c r="I53" s="136"/>
      <c r="J53" s="40">
        <f t="shared" si="2"/>
        <v>0</v>
      </c>
      <c r="K53" s="136"/>
      <c r="L53" s="135"/>
      <c r="M53" s="135"/>
      <c r="N53" s="135"/>
      <c r="O53" s="114"/>
      <c r="P53" s="135"/>
      <c r="Q53" s="15"/>
      <c r="R53" s="134">
        <v>44013</v>
      </c>
      <c r="S53" s="73"/>
      <c r="T53" s="138" t="s">
        <v>258</v>
      </c>
      <c r="U53" s="114">
        <v>94.66</v>
      </c>
      <c r="V53" s="114"/>
      <c r="W53" s="40">
        <f t="shared" si="3"/>
        <v>94.66</v>
      </c>
      <c r="X53" s="114"/>
      <c r="Y53" s="114" t="s">
        <v>7</v>
      </c>
      <c r="Z53" s="135"/>
      <c r="AA53" s="73"/>
      <c r="AB53" s="114" t="s">
        <v>43</v>
      </c>
      <c r="AC53" s="177">
        <v>44085</v>
      </c>
      <c r="AD53" s="146"/>
      <c r="AE53" s="154"/>
      <c r="AF53" s="146"/>
      <c r="AG53" s="154"/>
      <c r="AH53" s="153"/>
      <c r="AI53" s="150"/>
      <c r="AJ53" s="153"/>
    </row>
    <row r="54" spans="1:36" ht="15" customHeight="1" x14ac:dyDescent="0.35">
      <c r="A54" s="23"/>
      <c r="E54" s="134"/>
      <c r="F54" s="134"/>
      <c r="G54" s="135"/>
      <c r="H54" s="136"/>
      <c r="I54" s="136"/>
      <c r="J54" s="40">
        <f t="shared" si="2"/>
        <v>0</v>
      </c>
      <c r="K54" s="136"/>
      <c r="L54" s="135"/>
      <c r="M54" s="135"/>
      <c r="N54" s="135"/>
      <c r="O54" s="114"/>
      <c r="P54" s="135"/>
      <c r="Q54" s="15"/>
      <c r="R54" s="134">
        <v>44014</v>
      </c>
      <c r="S54" s="73"/>
      <c r="T54" s="138" t="s">
        <v>259</v>
      </c>
      <c r="U54" s="114">
        <v>21.6</v>
      </c>
      <c r="V54" s="114"/>
      <c r="W54" s="40">
        <f t="shared" si="3"/>
        <v>21.6</v>
      </c>
      <c r="X54" s="114"/>
      <c r="Y54" s="114" t="s">
        <v>7</v>
      </c>
      <c r="Z54" s="135"/>
      <c r="AA54" s="73"/>
      <c r="AB54" s="114" t="s">
        <v>43</v>
      </c>
      <c r="AC54" s="177">
        <v>44014</v>
      </c>
      <c r="AD54" s="146"/>
      <c r="AE54" s="154"/>
      <c r="AF54" s="146"/>
      <c r="AG54" s="154"/>
      <c r="AH54" s="153"/>
      <c r="AI54" s="150"/>
      <c r="AJ54" s="153"/>
    </row>
    <row r="55" spans="1:36" ht="15" customHeight="1" x14ac:dyDescent="0.35">
      <c r="E55" s="134"/>
      <c r="F55" s="134"/>
      <c r="G55" s="135"/>
      <c r="H55" s="136"/>
      <c r="I55" s="136"/>
      <c r="J55" s="40">
        <f t="shared" si="2"/>
        <v>0</v>
      </c>
      <c r="K55" s="136"/>
      <c r="L55" s="135"/>
      <c r="M55" s="135"/>
      <c r="N55" s="135"/>
      <c r="O55" s="114"/>
      <c r="P55" s="135"/>
      <c r="Q55" s="15"/>
      <c r="R55" s="18">
        <v>44015</v>
      </c>
      <c r="S55" s="73"/>
      <c r="T55" s="138" t="s">
        <v>260</v>
      </c>
      <c r="U55" s="17">
        <v>275.8</v>
      </c>
      <c r="V55" s="17"/>
      <c r="W55" s="278">
        <f t="shared" si="3"/>
        <v>275.8</v>
      </c>
      <c r="X55" s="39"/>
      <c r="Y55" s="19" t="s">
        <v>7</v>
      </c>
      <c r="Z55" s="135"/>
      <c r="AA55" s="73"/>
      <c r="AB55" s="39"/>
      <c r="AC55" s="89"/>
      <c r="AD55" s="146"/>
      <c r="AE55" s="154"/>
      <c r="AF55" s="146"/>
      <c r="AG55" s="154"/>
      <c r="AH55" s="153"/>
      <c r="AI55" s="150"/>
      <c r="AJ55" s="153"/>
    </row>
    <row r="56" spans="1:36" ht="15" customHeight="1" x14ac:dyDescent="0.35">
      <c r="E56" s="134"/>
      <c r="F56" s="134"/>
      <c r="G56" s="135"/>
      <c r="H56" s="136"/>
      <c r="I56" s="136"/>
      <c r="J56" s="40">
        <f t="shared" si="2"/>
        <v>0</v>
      </c>
      <c r="K56" s="136"/>
      <c r="L56" s="135"/>
      <c r="M56" s="135"/>
      <c r="N56" s="135"/>
      <c r="O56" s="114"/>
      <c r="P56" s="135"/>
      <c r="Q56" s="15"/>
      <c r="R56" s="18">
        <v>44019</v>
      </c>
      <c r="S56" s="73"/>
      <c r="T56" s="138" t="s">
        <v>261</v>
      </c>
      <c r="U56" s="17">
        <v>323.07</v>
      </c>
      <c r="V56" s="39"/>
      <c r="W56" s="17">
        <f t="shared" si="3"/>
        <v>323.07</v>
      </c>
      <c r="X56" s="39"/>
      <c r="Y56" s="39" t="s">
        <v>7</v>
      </c>
      <c r="Z56" s="135"/>
      <c r="AA56" s="73"/>
      <c r="AB56" s="114" t="s">
        <v>43</v>
      </c>
      <c r="AC56" s="177">
        <v>44085</v>
      </c>
      <c r="AD56" s="146"/>
      <c r="AE56" s="155"/>
      <c r="AF56" s="146"/>
      <c r="AG56" s="155"/>
      <c r="AH56" s="153"/>
      <c r="AI56" s="150"/>
      <c r="AJ56" s="153"/>
    </row>
    <row r="57" spans="1:36" ht="15" customHeight="1" x14ac:dyDescent="0.35">
      <c r="E57" s="134"/>
      <c r="F57" s="134"/>
      <c r="G57" s="135"/>
      <c r="H57" s="136"/>
      <c r="I57" s="136"/>
      <c r="J57" s="40">
        <f t="shared" si="2"/>
        <v>0</v>
      </c>
      <c r="K57" s="136"/>
      <c r="L57" s="135"/>
      <c r="M57" s="135"/>
      <c r="N57" s="135"/>
      <c r="O57" s="114"/>
      <c r="P57" s="135"/>
      <c r="Q57" s="16"/>
      <c r="R57" s="185">
        <v>44019</v>
      </c>
      <c r="S57" s="73"/>
      <c r="T57" s="138" t="s">
        <v>262</v>
      </c>
      <c r="U57" s="40">
        <v>5.52</v>
      </c>
      <c r="V57" s="40"/>
      <c r="W57" s="186">
        <f t="shared" si="3"/>
        <v>5.52</v>
      </c>
      <c r="X57" s="39"/>
      <c r="Y57" s="138" t="s">
        <v>7</v>
      </c>
      <c r="Z57" s="135"/>
      <c r="AA57" s="73"/>
      <c r="AB57" s="114" t="s">
        <v>43</v>
      </c>
      <c r="AC57" s="177">
        <v>44085</v>
      </c>
      <c r="AD57" s="156"/>
      <c r="AE57" s="156"/>
      <c r="AF57" s="156"/>
      <c r="AG57" s="156"/>
      <c r="AH57" s="157"/>
      <c r="AI57" s="156"/>
      <c r="AJ57" s="156"/>
    </row>
    <row r="58" spans="1:36" ht="15" customHeight="1" x14ac:dyDescent="0.35">
      <c r="E58" s="134"/>
      <c r="F58" s="134"/>
      <c r="G58" s="135"/>
      <c r="H58" s="136"/>
      <c r="I58" s="136"/>
      <c r="J58" s="40">
        <f t="shared" si="2"/>
        <v>0</v>
      </c>
      <c r="K58" s="136"/>
      <c r="L58" s="135"/>
      <c r="M58" s="135"/>
      <c r="N58" s="135"/>
      <c r="O58" s="114"/>
      <c r="P58" s="135"/>
      <c r="R58" s="161">
        <v>44019</v>
      </c>
      <c r="S58" s="73"/>
      <c r="T58" s="138" t="s">
        <v>263</v>
      </c>
      <c r="U58" s="162">
        <v>-10.4</v>
      </c>
      <c r="V58" s="162"/>
      <c r="W58" s="162">
        <f t="shared" si="3"/>
        <v>-10.4</v>
      </c>
      <c r="X58" s="167"/>
      <c r="Y58" s="95" t="s">
        <v>7</v>
      </c>
      <c r="Z58" s="135"/>
      <c r="AA58" s="73"/>
      <c r="AB58" s="114" t="s">
        <v>43</v>
      </c>
      <c r="AC58" s="177">
        <v>44085</v>
      </c>
      <c r="AD58" s="44"/>
      <c r="AE58" s="44"/>
      <c r="AF58" s="44"/>
      <c r="AG58" s="44"/>
      <c r="AH58" s="44"/>
      <c r="AI58" s="44"/>
      <c r="AJ58" s="44"/>
    </row>
    <row r="59" spans="1:36" ht="15" customHeight="1" x14ac:dyDescent="0.35">
      <c r="E59" s="134"/>
      <c r="F59" s="134"/>
      <c r="G59" s="135"/>
      <c r="H59" s="136"/>
      <c r="I59" s="136"/>
      <c r="J59" s="40">
        <f t="shared" si="2"/>
        <v>0</v>
      </c>
      <c r="K59" s="136"/>
      <c r="L59" s="135"/>
      <c r="M59" s="135"/>
      <c r="N59" s="135"/>
      <c r="O59" s="114"/>
      <c r="P59" s="135"/>
      <c r="R59" s="185">
        <v>44020</v>
      </c>
      <c r="S59" s="73"/>
      <c r="T59" s="138" t="s">
        <v>264</v>
      </c>
      <c r="U59" s="186">
        <v>111.05</v>
      </c>
      <c r="V59" s="39"/>
      <c r="W59" s="186">
        <f t="shared" si="3"/>
        <v>111.05</v>
      </c>
      <c r="X59" s="39"/>
      <c r="Y59" s="39" t="s">
        <v>7</v>
      </c>
      <c r="Z59" s="135"/>
      <c r="AA59" s="73"/>
      <c r="AB59" s="39" t="s">
        <v>78</v>
      </c>
      <c r="AC59" s="89">
        <v>44090</v>
      </c>
      <c r="AD59" s="44"/>
      <c r="AE59" s="44"/>
      <c r="AF59" s="44"/>
      <c r="AG59" s="44"/>
      <c r="AH59" s="44"/>
      <c r="AI59" s="44"/>
      <c r="AJ59" s="44"/>
    </row>
    <row r="60" spans="1:36" ht="15.75" customHeight="1" x14ac:dyDescent="0.35">
      <c r="E60" s="134"/>
      <c r="F60" s="134"/>
      <c r="G60" s="135"/>
      <c r="H60" s="136"/>
      <c r="I60" s="136"/>
      <c r="J60" s="40">
        <f t="shared" si="2"/>
        <v>0</v>
      </c>
      <c r="K60" s="136"/>
      <c r="L60" s="135"/>
      <c r="M60" s="135"/>
      <c r="N60" s="135"/>
      <c r="O60" s="114"/>
      <c r="P60" s="135"/>
      <c r="R60" s="18">
        <v>44022</v>
      </c>
      <c r="S60" s="73"/>
      <c r="T60" s="138" t="s">
        <v>265</v>
      </c>
      <c r="U60" s="17">
        <v>39.9</v>
      </c>
      <c r="V60" s="39">
        <v>1.9</v>
      </c>
      <c r="W60" s="17">
        <f t="shared" si="3"/>
        <v>41.8</v>
      </c>
      <c r="X60" s="39"/>
      <c r="Y60" s="39" t="s">
        <v>7</v>
      </c>
      <c r="Z60" s="135"/>
      <c r="AA60" s="73"/>
      <c r="AB60" s="114" t="s">
        <v>43</v>
      </c>
      <c r="AC60" s="177">
        <v>44085</v>
      </c>
      <c r="AD60" s="44"/>
      <c r="AE60" s="44"/>
      <c r="AF60" s="44"/>
      <c r="AG60" s="44"/>
      <c r="AH60" s="44"/>
      <c r="AI60" s="44"/>
      <c r="AJ60" s="44"/>
    </row>
    <row r="61" spans="1:36" ht="15.75" customHeight="1" x14ac:dyDescent="0.35">
      <c r="E61" s="134"/>
      <c r="F61" s="134"/>
      <c r="G61" s="135"/>
      <c r="H61" s="136"/>
      <c r="I61" s="136"/>
      <c r="J61" s="40">
        <f t="shared" si="2"/>
        <v>0</v>
      </c>
      <c r="K61" s="136"/>
      <c r="L61" s="135"/>
      <c r="M61" s="135"/>
      <c r="N61" s="135"/>
      <c r="O61" s="114"/>
      <c r="P61" s="135"/>
      <c r="R61" s="161">
        <v>44022</v>
      </c>
      <c r="S61" s="73"/>
      <c r="T61" s="138" t="s">
        <v>266</v>
      </c>
      <c r="U61" s="162">
        <v>-167.44</v>
      </c>
      <c r="V61" s="167"/>
      <c r="W61" s="162">
        <f t="shared" si="3"/>
        <v>-167.44</v>
      </c>
      <c r="X61" s="167"/>
      <c r="Y61" s="167" t="s">
        <v>7</v>
      </c>
      <c r="Z61" s="135"/>
      <c r="AA61" s="73"/>
      <c r="AB61" s="114" t="s">
        <v>43</v>
      </c>
      <c r="AC61" s="177">
        <v>44085</v>
      </c>
      <c r="AD61" s="44"/>
      <c r="AE61" s="44"/>
      <c r="AF61" s="44"/>
      <c r="AG61" s="44"/>
      <c r="AH61" s="44"/>
      <c r="AI61" s="44"/>
      <c r="AJ61" s="44"/>
    </row>
    <row r="62" spans="1:36" ht="15.75" customHeight="1" x14ac:dyDescent="0.35">
      <c r="E62" s="134"/>
      <c r="F62" s="134"/>
      <c r="G62" s="135"/>
      <c r="H62" s="136"/>
      <c r="I62" s="136"/>
      <c r="J62" s="40">
        <f t="shared" si="2"/>
        <v>0</v>
      </c>
      <c r="K62" s="136"/>
      <c r="L62" s="135"/>
      <c r="M62" s="135"/>
      <c r="N62" s="135"/>
      <c r="O62" s="114"/>
      <c r="P62" s="135"/>
      <c r="R62" s="46">
        <v>44028</v>
      </c>
      <c r="S62" s="73"/>
      <c r="T62" s="138" t="s">
        <v>267</v>
      </c>
      <c r="U62" s="163">
        <v>18.87</v>
      </c>
      <c r="V62" s="163"/>
      <c r="W62" s="248">
        <f t="shared" si="3"/>
        <v>18.87</v>
      </c>
      <c r="X62" s="163"/>
      <c r="Y62" s="163" t="s">
        <v>7</v>
      </c>
      <c r="Z62" s="135"/>
      <c r="AA62" s="73"/>
      <c r="AB62" s="114" t="s">
        <v>43</v>
      </c>
      <c r="AC62" s="177">
        <v>44085</v>
      </c>
      <c r="AD62" s="44"/>
      <c r="AE62" s="44"/>
      <c r="AF62" s="44"/>
      <c r="AG62" s="44"/>
      <c r="AH62" s="44"/>
      <c r="AI62" s="44"/>
      <c r="AJ62" s="44"/>
    </row>
    <row r="63" spans="1:36" ht="15.75" customHeight="1" x14ac:dyDescent="0.35">
      <c r="E63" s="134"/>
      <c r="F63" s="134"/>
      <c r="G63" s="135"/>
      <c r="H63" s="136"/>
      <c r="I63" s="136"/>
      <c r="J63" s="40">
        <f t="shared" si="2"/>
        <v>0</v>
      </c>
      <c r="K63" s="136"/>
      <c r="L63" s="135"/>
      <c r="M63" s="135"/>
      <c r="N63" s="135"/>
      <c r="O63" s="114"/>
      <c r="P63" s="135"/>
      <c r="R63" s="279">
        <v>44029</v>
      </c>
      <c r="S63" s="73"/>
      <c r="T63" s="138" t="s">
        <v>268</v>
      </c>
      <c r="U63" s="280">
        <v>761.11</v>
      </c>
      <c r="V63" s="260"/>
      <c r="W63" s="281">
        <f t="shared" si="3"/>
        <v>761.11</v>
      </c>
      <c r="X63" s="260"/>
      <c r="Y63" s="19" t="s">
        <v>7</v>
      </c>
      <c r="Z63" s="135"/>
      <c r="AA63" s="73"/>
      <c r="AB63" s="260"/>
      <c r="AC63" s="279"/>
      <c r="AD63" s="44"/>
      <c r="AE63" s="44"/>
      <c r="AF63" s="44"/>
      <c r="AG63" s="44"/>
      <c r="AH63" s="44"/>
      <c r="AI63" s="44"/>
      <c r="AJ63" s="44"/>
    </row>
    <row r="64" spans="1:36" ht="15.75" customHeight="1" x14ac:dyDescent="0.35">
      <c r="E64" s="134"/>
      <c r="F64" s="134"/>
      <c r="G64" s="135"/>
      <c r="H64" s="136"/>
      <c r="I64" s="136"/>
      <c r="J64" s="40">
        <f t="shared" si="2"/>
        <v>0</v>
      </c>
      <c r="K64" s="136"/>
      <c r="L64" s="135"/>
      <c r="M64" s="135"/>
      <c r="N64" s="135"/>
      <c r="O64" s="114"/>
      <c r="P64" s="135"/>
      <c r="R64" s="46">
        <v>44035</v>
      </c>
      <c r="S64" s="73"/>
      <c r="T64" s="138" t="s">
        <v>269</v>
      </c>
      <c r="U64" s="248">
        <v>29.12</v>
      </c>
      <c r="V64" s="163"/>
      <c r="W64" s="248">
        <f t="shared" si="3"/>
        <v>29.12</v>
      </c>
      <c r="X64" s="163"/>
      <c r="Y64" s="163" t="s">
        <v>7</v>
      </c>
      <c r="Z64" s="135"/>
      <c r="AA64" s="73"/>
      <c r="AB64" s="114" t="s">
        <v>43</v>
      </c>
      <c r="AC64" s="177">
        <v>44085</v>
      </c>
      <c r="AD64" s="44"/>
      <c r="AE64" s="44"/>
      <c r="AF64" s="44"/>
      <c r="AG64" s="44"/>
      <c r="AH64" s="44"/>
      <c r="AI64" s="44"/>
      <c r="AJ64" s="44"/>
    </row>
    <row r="65" spans="5:36" ht="15.75" customHeight="1" x14ac:dyDescent="0.35">
      <c r="E65" s="134"/>
      <c r="F65" s="134"/>
      <c r="G65" s="135"/>
      <c r="H65" s="136"/>
      <c r="I65" s="136"/>
      <c r="J65" s="40">
        <f t="shared" si="2"/>
        <v>0</v>
      </c>
      <c r="K65" s="136"/>
      <c r="L65" s="135"/>
      <c r="M65" s="135"/>
      <c r="N65" s="135"/>
      <c r="O65" s="114"/>
      <c r="P65" s="135"/>
      <c r="R65" s="46">
        <v>44036</v>
      </c>
      <c r="S65" s="73"/>
      <c r="T65" s="138" t="s">
        <v>270</v>
      </c>
      <c r="U65" s="248">
        <v>97.05</v>
      </c>
      <c r="V65" s="163">
        <v>0.31</v>
      </c>
      <c r="W65" s="248">
        <f t="shared" si="3"/>
        <v>97.36</v>
      </c>
      <c r="X65" s="163"/>
      <c r="Y65" s="163" t="s">
        <v>7</v>
      </c>
      <c r="Z65" s="135"/>
      <c r="AA65" s="73"/>
      <c r="AB65" s="114" t="s">
        <v>43</v>
      </c>
      <c r="AC65" s="177">
        <v>44085</v>
      </c>
      <c r="AD65" s="44"/>
      <c r="AE65" s="44"/>
      <c r="AF65" s="44"/>
      <c r="AG65" s="44"/>
      <c r="AH65" s="44"/>
      <c r="AI65" s="44"/>
      <c r="AJ65" s="44"/>
    </row>
    <row r="66" spans="5:36" ht="15.75" customHeight="1" x14ac:dyDescent="0.35">
      <c r="E66" s="134"/>
      <c r="F66" s="134"/>
      <c r="G66" s="135"/>
      <c r="H66" s="136"/>
      <c r="I66" s="136"/>
      <c r="J66" s="40">
        <f t="shared" si="2"/>
        <v>0</v>
      </c>
      <c r="K66" s="136"/>
      <c r="L66" s="135"/>
      <c r="M66" s="135"/>
      <c r="N66" s="135"/>
      <c r="O66" s="114"/>
      <c r="P66" s="135"/>
      <c r="R66" s="46">
        <v>44042</v>
      </c>
      <c r="S66" s="73"/>
      <c r="T66" s="138" t="s">
        <v>271</v>
      </c>
      <c r="U66" s="248">
        <v>592.92999999999995</v>
      </c>
      <c r="V66" s="163"/>
      <c r="W66" s="281">
        <f t="shared" si="3"/>
        <v>592.92999999999995</v>
      </c>
      <c r="X66" s="163"/>
      <c r="Y66" s="19" t="s">
        <v>7</v>
      </c>
      <c r="Z66" s="135"/>
      <c r="AA66" s="73"/>
      <c r="AB66" s="163"/>
      <c r="AC66" s="46"/>
      <c r="AD66" s="44"/>
      <c r="AE66" s="44"/>
      <c r="AF66" s="44"/>
      <c r="AG66" s="44"/>
      <c r="AH66" s="44"/>
      <c r="AI66" s="44"/>
      <c r="AJ66" s="44"/>
    </row>
    <row r="67" spans="5:36" ht="15.75" customHeight="1" x14ac:dyDescent="0.35">
      <c r="E67" s="134"/>
      <c r="F67" s="134"/>
      <c r="G67" s="135"/>
      <c r="H67" s="136"/>
      <c r="I67" s="136"/>
      <c r="J67" s="40">
        <f t="shared" si="2"/>
        <v>0</v>
      </c>
      <c r="K67" s="136"/>
      <c r="L67" s="135"/>
      <c r="M67" s="135"/>
      <c r="N67" s="135"/>
      <c r="O67" s="114"/>
      <c r="P67" s="135"/>
      <c r="R67" s="46">
        <v>44042</v>
      </c>
      <c r="S67" s="73"/>
      <c r="T67" s="138" t="s">
        <v>272</v>
      </c>
      <c r="U67" s="248">
        <v>1324.21</v>
      </c>
      <c r="V67" s="163">
        <v>7.63</v>
      </c>
      <c r="W67" s="248">
        <f t="shared" si="3"/>
        <v>1331.8400000000001</v>
      </c>
      <c r="X67" s="163"/>
      <c r="Y67" s="163" t="s">
        <v>7</v>
      </c>
      <c r="Z67" s="135"/>
      <c r="AA67" s="73"/>
      <c r="AB67" s="114" t="s">
        <v>43</v>
      </c>
      <c r="AC67" s="177">
        <v>44085</v>
      </c>
      <c r="AD67" s="44"/>
      <c r="AE67" s="44"/>
      <c r="AF67" s="44"/>
      <c r="AG67" s="44"/>
      <c r="AH67" s="44"/>
      <c r="AI67" s="44"/>
      <c r="AJ67" s="44"/>
    </row>
    <row r="68" spans="5:36" ht="15.75" customHeight="1" x14ac:dyDescent="0.35">
      <c r="E68" s="134"/>
      <c r="F68" s="134"/>
      <c r="G68" s="135"/>
      <c r="H68" s="136"/>
      <c r="I68" s="136"/>
      <c r="J68" s="40">
        <f t="shared" si="2"/>
        <v>0</v>
      </c>
      <c r="K68" s="136"/>
      <c r="L68" s="135"/>
      <c r="M68" s="135"/>
      <c r="N68" s="135"/>
      <c r="O68" s="114"/>
      <c r="P68" s="135"/>
      <c r="R68" s="252">
        <v>44042</v>
      </c>
      <c r="S68" s="73"/>
      <c r="T68" s="138" t="s">
        <v>273</v>
      </c>
      <c r="U68" s="253">
        <v>-122</v>
      </c>
      <c r="V68" s="116"/>
      <c r="W68" s="253">
        <f t="shared" si="3"/>
        <v>-122</v>
      </c>
      <c r="X68" s="116"/>
      <c r="Y68" s="116" t="s">
        <v>7</v>
      </c>
      <c r="Z68" s="135"/>
      <c r="AA68" s="73"/>
      <c r="AB68" s="116" t="s">
        <v>163</v>
      </c>
      <c r="AC68" s="252">
        <v>44092</v>
      </c>
      <c r="AD68" s="44"/>
      <c r="AE68" s="44"/>
      <c r="AF68" s="44"/>
      <c r="AG68" s="44"/>
      <c r="AH68" s="44"/>
      <c r="AI68" s="44"/>
      <c r="AJ68" s="44"/>
    </row>
    <row r="69" spans="5:36" ht="15.75" customHeight="1" x14ac:dyDescent="0.35">
      <c r="E69" s="134"/>
      <c r="F69" s="134"/>
      <c r="G69" s="135"/>
      <c r="H69" s="136"/>
      <c r="I69" s="136"/>
      <c r="J69" s="40">
        <f t="shared" ref="J69:J100" si="4">H69+I69</f>
        <v>0</v>
      </c>
      <c r="K69" s="136"/>
      <c r="L69" s="135"/>
      <c r="M69" s="135"/>
      <c r="N69" s="135"/>
      <c r="O69" s="114"/>
      <c r="P69" s="135"/>
      <c r="R69" s="46">
        <v>44042</v>
      </c>
      <c r="S69" s="73"/>
      <c r="T69" s="138" t="s">
        <v>274</v>
      </c>
      <c r="U69" s="248">
        <v>761.4</v>
      </c>
      <c r="V69" s="163"/>
      <c r="W69" s="248">
        <f t="shared" ref="W69:W100" si="5">U69+V69</f>
        <v>761.4</v>
      </c>
      <c r="X69" s="163"/>
      <c r="Y69" s="163" t="s">
        <v>7</v>
      </c>
      <c r="Z69" s="135"/>
      <c r="AA69" s="73"/>
      <c r="AB69" s="163" t="s">
        <v>43</v>
      </c>
      <c r="AC69" s="46">
        <v>44092</v>
      </c>
      <c r="AD69" s="44"/>
      <c r="AE69" s="44"/>
      <c r="AF69" s="44"/>
      <c r="AG69" s="44"/>
      <c r="AH69" s="44"/>
      <c r="AI69" s="44"/>
      <c r="AJ69" s="44"/>
    </row>
    <row r="70" spans="5:36" ht="15.75" customHeight="1" x14ac:dyDescent="0.35">
      <c r="E70" s="134"/>
      <c r="F70" s="134"/>
      <c r="G70" s="135"/>
      <c r="H70" s="136"/>
      <c r="I70" s="136"/>
      <c r="J70" s="40">
        <f t="shared" si="4"/>
        <v>0</v>
      </c>
      <c r="K70" s="136"/>
      <c r="L70" s="135"/>
      <c r="M70" s="135"/>
      <c r="N70" s="135"/>
      <c r="O70" s="114"/>
      <c r="P70" s="135"/>
      <c r="R70" s="46">
        <v>44043</v>
      </c>
      <c r="S70" s="73"/>
      <c r="T70" s="138" t="s">
        <v>275</v>
      </c>
      <c r="U70" s="248">
        <v>368.63</v>
      </c>
      <c r="V70" s="163"/>
      <c r="W70" s="248">
        <f t="shared" si="5"/>
        <v>368.63</v>
      </c>
      <c r="X70" s="163"/>
      <c r="Y70" s="163" t="s">
        <v>7</v>
      </c>
      <c r="Z70" s="135"/>
      <c r="AA70" s="73"/>
      <c r="AB70" s="114" t="s">
        <v>43</v>
      </c>
      <c r="AC70" s="177">
        <v>44085</v>
      </c>
      <c r="AD70" s="44"/>
      <c r="AE70" s="44"/>
      <c r="AF70" s="44"/>
      <c r="AG70" s="44"/>
      <c r="AH70" s="44"/>
      <c r="AI70" s="44"/>
      <c r="AJ70" s="44"/>
    </row>
    <row r="71" spans="5:36" ht="15.75" customHeight="1" x14ac:dyDescent="0.35">
      <c r="E71" s="134"/>
      <c r="F71" s="134"/>
      <c r="G71" s="135"/>
      <c r="H71" s="136"/>
      <c r="I71" s="136"/>
      <c r="J71" s="40">
        <f t="shared" si="4"/>
        <v>0</v>
      </c>
      <c r="K71" s="136"/>
      <c r="L71" s="135"/>
      <c r="M71" s="135"/>
      <c r="N71" s="135"/>
      <c r="O71" s="114"/>
      <c r="P71" s="135"/>
      <c r="R71" s="46">
        <v>44043</v>
      </c>
      <c r="S71" s="73"/>
      <c r="T71" s="138" t="s">
        <v>276</v>
      </c>
      <c r="U71" s="248">
        <v>393.66</v>
      </c>
      <c r="V71" s="163"/>
      <c r="W71" s="281">
        <f t="shared" si="5"/>
        <v>393.66</v>
      </c>
      <c r="X71" s="260"/>
      <c r="Y71" s="19" t="s">
        <v>7</v>
      </c>
      <c r="Z71" s="135"/>
      <c r="AA71" s="73"/>
      <c r="AB71" s="163"/>
      <c r="AC71" s="46"/>
      <c r="AD71" s="44"/>
      <c r="AE71" s="44"/>
      <c r="AF71" s="44"/>
      <c r="AG71" s="44"/>
      <c r="AH71" s="44"/>
      <c r="AI71" s="44"/>
      <c r="AJ71" s="44"/>
    </row>
    <row r="72" spans="5:36" ht="15.75" customHeight="1" x14ac:dyDescent="0.35">
      <c r="E72" s="134"/>
      <c r="F72" s="134"/>
      <c r="G72" s="135"/>
      <c r="H72" s="136"/>
      <c r="I72" s="136"/>
      <c r="J72" s="40">
        <f t="shared" si="4"/>
        <v>0</v>
      </c>
      <c r="K72" s="136"/>
      <c r="L72" s="135"/>
      <c r="M72" s="135"/>
      <c r="N72" s="135"/>
      <c r="O72" s="114"/>
      <c r="P72" s="135"/>
      <c r="R72" s="252">
        <v>44046</v>
      </c>
      <c r="S72" s="73"/>
      <c r="T72" s="138" t="s">
        <v>277</v>
      </c>
      <c r="U72" s="253">
        <v>-86</v>
      </c>
      <c r="V72" s="116"/>
      <c r="W72" s="253">
        <f t="shared" si="5"/>
        <v>-86</v>
      </c>
      <c r="X72" s="116"/>
      <c r="Y72" s="116" t="s">
        <v>8</v>
      </c>
      <c r="Z72" s="135"/>
      <c r="AA72" s="73"/>
      <c r="AB72" s="116"/>
      <c r="AC72" s="252"/>
      <c r="AD72" s="44"/>
      <c r="AE72" s="44"/>
      <c r="AF72" s="44"/>
      <c r="AG72" s="44"/>
      <c r="AH72" s="44"/>
      <c r="AI72" s="44"/>
      <c r="AJ72" s="44"/>
    </row>
    <row r="73" spans="5:36" ht="15.75" customHeight="1" x14ac:dyDescent="0.35">
      <c r="E73" s="134"/>
      <c r="F73" s="134"/>
      <c r="G73" s="135"/>
      <c r="H73" s="136"/>
      <c r="I73" s="136"/>
      <c r="J73" s="40">
        <f t="shared" si="4"/>
        <v>0</v>
      </c>
      <c r="K73" s="136"/>
      <c r="L73" s="135"/>
      <c r="M73" s="135"/>
      <c r="N73" s="135"/>
      <c r="O73" s="114"/>
      <c r="P73" s="135"/>
      <c r="R73" s="46">
        <v>44046</v>
      </c>
      <c r="S73" s="73"/>
      <c r="T73" s="138" t="s">
        <v>278</v>
      </c>
      <c r="U73" s="248">
        <v>287.66000000000003</v>
      </c>
      <c r="V73" s="163"/>
      <c r="W73" s="291">
        <f t="shared" si="5"/>
        <v>287.66000000000003</v>
      </c>
      <c r="X73" s="163"/>
      <c r="Y73" s="163" t="s">
        <v>8</v>
      </c>
      <c r="Z73" s="135"/>
      <c r="AA73" s="73"/>
      <c r="AB73" s="163"/>
      <c r="AC73" s="46"/>
      <c r="AD73" s="44"/>
      <c r="AE73" s="44"/>
      <c r="AF73" s="44"/>
      <c r="AG73" s="44"/>
      <c r="AH73" s="44"/>
      <c r="AI73" s="44"/>
      <c r="AJ73" s="44"/>
    </row>
    <row r="74" spans="5:36" ht="15.75" customHeight="1" x14ac:dyDescent="0.35">
      <c r="E74" s="134"/>
      <c r="F74" s="134"/>
      <c r="G74" s="135"/>
      <c r="H74" s="136"/>
      <c r="I74" s="136"/>
      <c r="J74" s="40">
        <f t="shared" si="4"/>
        <v>0</v>
      </c>
      <c r="K74" s="136"/>
      <c r="L74" s="135"/>
      <c r="M74" s="135"/>
      <c r="N74" s="135"/>
      <c r="O74" s="114"/>
      <c r="P74" s="135"/>
      <c r="R74" s="252">
        <v>44046</v>
      </c>
      <c r="S74" s="73"/>
      <c r="T74" s="138" t="s">
        <v>279</v>
      </c>
      <c r="U74" s="253">
        <v>-153.66</v>
      </c>
      <c r="V74" s="116"/>
      <c r="W74" s="253">
        <f t="shared" si="5"/>
        <v>-153.66</v>
      </c>
      <c r="X74" s="116"/>
      <c r="Y74" s="116" t="s">
        <v>8</v>
      </c>
      <c r="Z74" s="135"/>
      <c r="AA74" s="73"/>
      <c r="AB74" s="116"/>
      <c r="AC74" s="252"/>
      <c r="AD74" s="44"/>
      <c r="AE74" s="44"/>
      <c r="AF74" s="44"/>
      <c r="AG74" s="44"/>
      <c r="AH74" s="44"/>
      <c r="AI74" s="44"/>
      <c r="AJ74" s="44"/>
    </row>
    <row r="75" spans="5:36" ht="15.75" customHeight="1" x14ac:dyDescent="0.35">
      <c r="E75" s="134"/>
      <c r="F75" s="134"/>
      <c r="G75" s="135"/>
      <c r="H75" s="136"/>
      <c r="I75" s="136"/>
      <c r="J75" s="40">
        <f t="shared" si="4"/>
        <v>0</v>
      </c>
      <c r="K75" s="136"/>
      <c r="L75" s="135"/>
      <c r="M75" s="135"/>
      <c r="N75" s="135"/>
      <c r="O75" s="114"/>
      <c r="P75" s="135"/>
      <c r="R75" s="46">
        <v>44051</v>
      </c>
      <c r="S75" s="73"/>
      <c r="T75" s="138" t="s">
        <v>280</v>
      </c>
      <c r="U75" s="248">
        <v>14.97</v>
      </c>
      <c r="V75" s="163">
        <v>1.27</v>
      </c>
      <c r="W75" s="248">
        <f t="shared" si="5"/>
        <v>16.240000000000002</v>
      </c>
      <c r="X75" s="163"/>
      <c r="Y75" s="163" t="s">
        <v>8</v>
      </c>
      <c r="Z75" s="135"/>
      <c r="AA75" s="73"/>
      <c r="AB75" s="163"/>
      <c r="AC75" s="46"/>
      <c r="AD75" s="44"/>
      <c r="AE75" s="44"/>
      <c r="AF75" s="44"/>
      <c r="AG75" s="44"/>
      <c r="AH75" s="44"/>
      <c r="AI75" s="44"/>
      <c r="AJ75" s="44"/>
    </row>
    <row r="76" spans="5:36" ht="15.75" customHeight="1" x14ac:dyDescent="0.35">
      <c r="E76" s="134"/>
      <c r="F76" s="134"/>
      <c r="G76" s="135"/>
      <c r="H76" s="136"/>
      <c r="I76" s="136"/>
      <c r="J76" s="40">
        <f t="shared" si="4"/>
        <v>0</v>
      </c>
      <c r="K76" s="136"/>
      <c r="L76" s="135"/>
      <c r="M76" s="135"/>
      <c r="N76" s="135"/>
      <c r="O76" s="114"/>
      <c r="P76" s="135"/>
      <c r="R76" s="46">
        <v>44053</v>
      </c>
      <c r="S76" s="73"/>
      <c r="T76" s="138" t="s">
        <v>281</v>
      </c>
      <c r="U76" s="248">
        <v>95.2</v>
      </c>
      <c r="V76" s="163"/>
      <c r="W76" s="291">
        <f t="shared" si="5"/>
        <v>95.2</v>
      </c>
      <c r="X76" s="163"/>
      <c r="Y76" s="163" t="s">
        <v>8</v>
      </c>
      <c r="Z76" s="135"/>
      <c r="AA76" s="73"/>
      <c r="AB76" s="163"/>
      <c r="AC76" s="46"/>
      <c r="AD76" s="44"/>
      <c r="AE76" s="44"/>
      <c r="AF76" s="44"/>
      <c r="AG76" s="44"/>
      <c r="AH76" s="44"/>
      <c r="AI76" s="44"/>
      <c r="AJ76" s="44"/>
    </row>
    <row r="77" spans="5:36" ht="15.75" customHeight="1" x14ac:dyDescent="0.35">
      <c r="E77" s="134"/>
      <c r="F77" s="134"/>
      <c r="G77" s="135"/>
      <c r="H77" s="136"/>
      <c r="I77" s="136"/>
      <c r="J77" s="40">
        <f t="shared" si="4"/>
        <v>0</v>
      </c>
      <c r="K77" s="136"/>
      <c r="L77" s="135"/>
      <c r="M77" s="135"/>
      <c r="N77" s="135"/>
      <c r="O77" s="114"/>
      <c r="P77" s="135"/>
      <c r="R77" s="46">
        <v>44055</v>
      </c>
      <c r="S77" s="73"/>
      <c r="T77" s="138" t="s">
        <v>282</v>
      </c>
      <c r="U77" s="248">
        <v>385.88</v>
      </c>
      <c r="V77" s="163"/>
      <c r="W77" s="291">
        <f t="shared" si="5"/>
        <v>385.88</v>
      </c>
      <c r="X77" s="163"/>
      <c r="Y77" s="163" t="s">
        <v>8</v>
      </c>
      <c r="Z77" s="135"/>
      <c r="AA77" s="73"/>
      <c r="AB77" s="163"/>
      <c r="AC77" s="46"/>
      <c r="AD77" s="44"/>
      <c r="AE77" s="44"/>
      <c r="AF77" s="44"/>
      <c r="AG77" s="44"/>
      <c r="AH77" s="44"/>
      <c r="AI77" s="44"/>
      <c r="AJ77" s="44"/>
    </row>
    <row r="78" spans="5:36" ht="15.75" customHeight="1" x14ac:dyDescent="0.35">
      <c r="E78" s="134"/>
      <c r="F78" s="134"/>
      <c r="G78" s="135"/>
      <c r="H78" s="136"/>
      <c r="I78" s="136"/>
      <c r="J78" s="40">
        <f t="shared" si="4"/>
        <v>0</v>
      </c>
      <c r="K78" s="136"/>
      <c r="L78" s="135"/>
      <c r="M78" s="135"/>
      <c r="N78" s="135"/>
      <c r="O78" s="114"/>
      <c r="P78" s="135"/>
      <c r="R78" s="46">
        <v>44055</v>
      </c>
      <c r="S78" s="73"/>
      <c r="T78" s="138" t="s">
        <v>283</v>
      </c>
      <c r="U78" s="248">
        <v>259</v>
      </c>
      <c r="V78" s="163"/>
      <c r="W78" s="248">
        <f t="shared" si="5"/>
        <v>259</v>
      </c>
      <c r="X78" s="163"/>
      <c r="Y78" s="163" t="s">
        <v>8</v>
      </c>
      <c r="Z78" s="135"/>
      <c r="AA78" s="73"/>
      <c r="AB78" s="163"/>
      <c r="AC78" s="46"/>
      <c r="AD78" s="44"/>
      <c r="AE78" s="44"/>
      <c r="AF78" s="44"/>
      <c r="AG78" s="44"/>
      <c r="AH78" s="44"/>
      <c r="AI78" s="44"/>
      <c r="AJ78" s="44"/>
    </row>
    <row r="79" spans="5:36" ht="15.75" customHeight="1" x14ac:dyDescent="0.35">
      <c r="E79" s="134"/>
      <c r="F79" s="134"/>
      <c r="G79" s="135"/>
      <c r="H79" s="136"/>
      <c r="I79" s="136"/>
      <c r="J79" s="40">
        <f t="shared" si="4"/>
        <v>0</v>
      </c>
      <c r="K79" s="136"/>
      <c r="L79" s="135"/>
      <c r="M79" s="135"/>
      <c r="N79" s="135"/>
      <c r="O79" s="114"/>
      <c r="P79" s="135"/>
      <c r="R79" s="46">
        <v>44057</v>
      </c>
      <c r="S79" s="73"/>
      <c r="T79" s="138" t="s">
        <v>284</v>
      </c>
      <c r="U79" s="248">
        <v>15</v>
      </c>
      <c r="V79" s="163"/>
      <c r="W79" s="248">
        <f t="shared" si="5"/>
        <v>15</v>
      </c>
      <c r="X79" s="163"/>
      <c r="Y79" s="163" t="s">
        <v>8</v>
      </c>
      <c r="Z79" s="135"/>
      <c r="AA79" s="73"/>
      <c r="AB79" s="163" t="s">
        <v>43</v>
      </c>
      <c r="AC79" s="46">
        <v>44057</v>
      </c>
      <c r="AD79" s="44"/>
      <c r="AE79" s="44"/>
      <c r="AF79" s="44"/>
      <c r="AG79" s="44"/>
      <c r="AH79" s="44"/>
      <c r="AI79" s="44"/>
      <c r="AJ79" s="44"/>
    </row>
    <row r="80" spans="5:36" ht="15.75" customHeight="1" x14ac:dyDescent="0.35">
      <c r="E80" s="134"/>
      <c r="F80" s="134"/>
      <c r="G80" s="135"/>
      <c r="H80" s="136"/>
      <c r="I80" s="136"/>
      <c r="J80" s="40">
        <f t="shared" si="4"/>
        <v>0</v>
      </c>
      <c r="K80" s="136"/>
      <c r="L80" s="135"/>
      <c r="M80" s="135"/>
      <c r="N80" s="135"/>
      <c r="O80" s="114"/>
      <c r="P80" s="135"/>
      <c r="R80" s="46">
        <v>44062</v>
      </c>
      <c r="S80" s="73"/>
      <c r="T80" s="138" t="s">
        <v>285</v>
      </c>
      <c r="U80" s="248">
        <v>696.4</v>
      </c>
      <c r="V80" s="163"/>
      <c r="W80" s="248">
        <f t="shared" si="5"/>
        <v>696.4</v>
      </c>
      <c r="X80" s="163"/>
      <c r="Y80" s="163" t="s">
        <v>8</v>
      </c>
      <c r="Z80" s="135"/>
      <c r="AA80" s="73"/>
      <c r="AB80" s="163"/>
      <c r="AC80" s="46"/>
      <c r="AD80" s="44"/>
      <c r="AE80" s="44"/>
      <c r="AF80" s="44"/>
      <c r="AG80" s="44"/>
      <c r="AH80" s="44"/>
      <c r="AI80" s="44"/>
      <c r="AJ80" s="44"/>
    </row>
    <row r="81" spans="5:36" ht="15.75" customHeight="1" x14ac:dyDescent="0.35">
      <c r="E81" s="134"/>
      <c r="F81" s="134"/>
      <c r="G81" s="135"/>
      <c r="H81" s="136"/>
      <c r="I81" s="136"/>
      <c r="J81" s="40">
        <f t="shared" si="4"/>
        <v>0</v>
      </c>
      <c r="K81" s="136"/>
      <c r="L81" s="135"/>
      <c r="M81" s="135"/>
      <c r="N81" s="135"/>
      <c r="O81" s="114"/>
      <c r="P81" s="135"/>
      <c r="R81" s="46">
        <v>44069</v>
      </c>
      <c r="S81" s="73"/>
      <c r="T81" s="138" t="s">
        <v>286</v>
      </c>
      <c r="U81" s="248">
        <v>87.79</v>
      </c>
      <c r="V81" s="163">
        <v>1.61</v>
      </c>
      <c r="W81" s="248">
        <f t="shared" si="5"/>
        <v>89.4</v>
      </c>
      <c r="X81" s="163"/>
      <c r="Y81" s="163" t="s">
        <v>8</v>
      </c>
      <c r="Z81" s="135"/>
      <c r="AA81" s="73"/>
      <c r="AB81" s="163"/>
      <c r="AC81" s="46"/>
      <c r="AD81" s="44"/>
      <c r="AE81" s="44"/>
      <c r="AF81" s="44"/>
      <c r="AG81" s="44"/>
      <c r="AH81" s="44"/>
      <c r="AI81" s="44"/>
      <c r="AJ81" s="44"/>
    </row>
    <row r="82" spans="5:36" ht="15.75" customHeight="1" x14ac:dyDescent="0.35">
      <c r="E82" s="134"/>
      <c r="F82" s="134"/>
      <c r="G82" s="135"/>
      <c r="H82" s="136"/>
      <c r="I82" s="136"/>
      <c r="J82" s="40">
        <f t="shared" si="4"/>
        <v>0</v>
      </c>
      <c r="K82" s="136"/>
      <c r="L82" s="135"/>
      <c r="M82" s="135"/>
      <c r="N82" s="135"/>
      <c r="O82" s="114"/>
      <c r="P82" s="135"/>
      <c r="R82" s="46">
        <v>44074</v>
      </c>
      <c r="S82" s="73"/>
      <c r="T82" s="138" t="s">
        <v>287</v>
      </c>
      <c r="U82" s="248">
        <v>457</v>
      </c>
      <c r="V82" s="163">
        <v>38.85</v>
      </c>
      <c r="W82" s="248">
        <f t="shared" si="5"/>
        <v>495.85</v>
      </c>
      <c r="X82" s="163"/>
      <c r="Y82" s="163" t="s">
        <v>8</v>
      </c>
      <c r="Z82" s="135"/>
      <c r="AA82" s="73"/>
      <c r="AB82" s="163"/>
      <c r="AC82" s="46"/>
      <c r="AD82" s="44"/>
      <c r="AE82" s="44"/>
      <c r="AF82" s="44"/>
      <c r="AG82" s="44"/>
      <c r="AH82" s="44"/>
      <c r="AI82" s="44"/>
      <c r="AJ82" s="44"/>
    </row>
    <row r="83" spans="5:36" ht="15.75" customHeight="1" x14ac:dyDescent="0.35">
      <c r="E83" s="134"/>
      <c r="F83" s="134"/>
      <c r="G83" s="135"/>
      <c r="H83" s="136"/>
      <c r="I83" s="136"/>
      <c r="J83" s="40">
        <f t="shared" si="4"/>
        <v>0</v>
      </c>
      <c r="K83" s="136"/>
      <c r="L83" s="135"/>
      <c r="M83" s="135"/>
      <c r="N83" s="135"/>
      <c r="O83" s="114"/>
      <c r="P83" s="135"/>
      <c r="R83" s="46">
        <v>44076</v>
      </c>
      <c r="S83" s="73"/>
      <c r="T83" s="138" t="s">
        <v>288</v>
      </c>
      <c r="U83" s="248">
        <v>20.190000000000001</v>
      </c>
      <c r="V83" s="163">
        <v>1.72</v>
      </c>
      <c r="W83" s="248">
        <f t="shared" si="5"/>
        <v>21.91</v>
      </c>
      <c r="X83" s="163"/>
      <c r="Y83" s="163" t="s">
        <v>9</v>
      </c>
      <c r="Z83" s="135"/>
      <c r="AA83" s="73"/>
      <c r="AB83" s="163"/>
      <c r="AC83" s="46"/>
      <c r="AD83" s="44"/>
      <c r="AE83" s="44"/>
      <c r="AF83" s="44"/>
      <c r="AG83" s="44"/>
      <c r="AH83" s="44"/>
      <c r="AI83" s="44"/>
      <c r="AJ83" s="44"/>
    </row>
    <row r="84" spans="5:36" ht="15.75" customHeight="1" x14ac:dyDescent="0.35">
      <c r="E84" s="134"/>
      <c r="F84" s="134"/>
      <c r="G84" s="135"/>
      <c r="H84" s="136"/>
      <c r="I84" s="136"/>
      <c r="J84" s="40">
        <f t="shared" si="4"/>
        <v>0</v>
      </c>
      <c r="K84" s="136"/>
      <c r="L84" s="135"/>
      <c r="M84" s="135"/>
      <c r="N84" s="135"/>
      <c r="O84" s="114"/>
      <c r="P84" s="135"/>
      <c r="R84" s="46">
        <v>44077</v>
      </c>
      <c r="S84" s="73"/>
      <c r="T84" s="138" t="s">
        <v>289</v>
      </c>
      <c r="U84" s="248">
        <v>176.19</v>
      </c>
      <c r="V84" s="163"/>
      <c r="W84" s="248">
        <f t="shared" si="5"/>
        <v>176.19</v>
      </c>
      <c r="X84" s="163"/>
      <c r="Y84" s="163" t="s">
        <v>9</v>
      </c>
      <c r="Z84" s="135"/>
      <c r="AA84" s="73"/>
      <c r="AB84" s="163"/>
      <c r="AC84" s="46"/>
      <c r="AD84" s="44"/>
      <c r="AE84" s="44"/>
      <c r="AF84" s="44"/>
      <c r="AG84" s="44"/>
      <c r="AH84" s="44"/>
      <c r="AI84" s="44"/>
      <c r="AJ84" s="44"/>
    </row>
    <row r="85" spans="5:36" ht="15.75" customHeight="1" x14ac:dyDescent="0.35">
      <c r="E85" s="134"/>
      <c r="F85" s="134"/>
      <c r="G85" s="135"/>
      <c r="H85" s="136"/>
      <c r="I85" s="136"/>
      <c r="J85" s="40">
        <f t="shared" si="4"/>
        <v>0</v>
      </c>
      <c r="K85" s="136"/>
      <c r="L85" s="135"/>
      <c r="M85" s="135"/>
      <c r="N85" s="135"/>
      <c r="O85" s="114"/>
      <c r="P85" s="135"/>
      <c r="R85" s="46">
        <v>44077</v>
      </c>
      <c r="S85" s="73"/>
      <c r="T85" s="138" t="s">
        <v>290</v>
      </c>
      <c r="U85" s="248">
        <v>691.88</v>
      </c>
      <c r="V85" s="163">
        <v>3.19</v>
      </c>
      <c r="W85" s="248">
        <f t="shared" si="5"/>
        <v>695.07</v>
      </c>
      <c r="X85" s="163"/>
      <c r="Y85" s="163" t="s">
        <v>9</v>
      </c>
      <c r="Z85" s="135"/>
      <c r="AA85" s="73"/>
      <c r="AB85" s="163"/>
      <c r="AC85" s="46"/>
      <c r="AD85" s="44"/>
      <c r="AE85" s="44"/>
      <c r="AF85" s="44"/>
      <c r="AG85" s="44"/>
      <c r="AH85" s="44"/>
      <c r="AI85" s="44"/>
      <c r="AJ85" s="44"/>
    </row>
    <row r="86" spans="5:36" ht="15.75" customHeight="1" x14ac:dyDescent="0.35">
      <c r="E86" s="134"/>
      <c r="F86" s="134"/>
      <c r="G86" s="135"/>
      <c r="H86" s="136"/>
      <c r="I86" s="136"/>
      <c r="J86" s="40">
        <f t="shared" si="4"/>
        <v>0</v>
      </c>
      <c r="K86" s="136"/>
      <c r="L86" s="135"/>
      <c r="M86" s="135"/>
      <c r="N86" s="135"/>
      <c r="O86" s="114"/>
      <c r="P86" s="135"/>
      <c r="R86" s="46">
        <v>44077</v>
      </c>
      <c r="S86" s="73"/>
      <c r="T86" s="138" t="s">
        <v>291</v>
      </c>
      <c r="U86" s="248">
        <v>33</v>
      </c>
      <c r="V86" s="163"/>
      <c r="W86" s="248">
        <f t="shared" si="5"/>
        <v>33</v>
      </c>
      <c r="X86" s="163"/>
      <c r="Y86" s="163" t="s">
        <v>9</v>
      </c>
      <c r="Z86" s="135"/>
      <c r="AA86" s="73"/>
      <c r="AB86" s="163"/>
      <c r="AC86" s="46"/>
      <c r="AD86" s="44"/>
      <c r="AE86" s="44"/>
      <c r="AF86" s="44"/>
      <c r="AG86" s="44"/>
      <c r="AH86" s="44"/>
      <c r="AI86" s="44"/>
      <c r="AJ86" s="44"/>
    </row>
    <row r="87" spans="5:36" ht="15.75" customHeight="1" x14ac:dyDescent="0.35">
      <c r="E87" s="134"/>
      <c r="F87" s="134"/>
      <c r="G87" s="135"/>
      <c r="H87" s="136"/>
      <c r="I87" s="136"/>
      <c r="J87" s="40">
        <f t="shared" si="4"/>
        <v>0</v>
      </c>
      <c r="K87" s="136"/>
      <c r="L87" s="135"/>
      <c r="M87" s="135"/>
      <c r="N87" s="135"/>
      <c r="O87" s="114"/>
      <c r="P87" s="135"/>
      <c r="R87" s="46">
        <v>44082</v>
      </c>
      <c r="S87" s="73"/>
      <c r="T87" s="138" t="s">
        <v>292</v>
      </c>
      <c r="U87" s="248">
        <v>251.74</v>
      </c>
      <c r="V87" s="163"/>
      <c r="W87" s="248">
        <f t="shared" si="5"/>
        <v>251.74</v>
      </c>
      <c r="X87" s="163"/>
      <c r="Y87" s="163" t="s">
        <v>9</v>
      </c>
      <c r="Z87" s="135"/>
      <c r="AA87" s="73"/>
      <c r="AB87" s="163"/>
      <c r="AC87" s="46"/>
      <c r="AD87" s="44"/>
      <c r="AE87" s="44"/>
      <c r="AF87" s="44"/>
      <c r="AG87" s="44"/>
      <c r="AH87" s="44"/>
      <c r="AI87" s="44"/>
      <c r="AJ87" s="44"/>
    </row>
    <row r="88" spans="5:36" ht="15.75" customHeight="1" x14ac:dyDescent="0.35">
      <c r="E88" s="134"/>
      <c r="F88" s="134"/>
      <c r="G88" s="135"/>
      <c r="H88" s="136"/>
      <c r="I88" s="136"/>
      <c r="J88" s="40">
        <f t="shared" si="4"/>
        <v>0</v>
      </c>
      <c r="K88" s="136"/>
      <c r="L88" s="135"/>
      <c r="M88" s="135"/>
      <c r="N88" s="135"/>
      <c r="O88" s="114"/>
      <c r="P88" s="135"/>
      <c r="R88" s="46">
        <v>44085</v>
      </c>
      <c r="S88" s="73"/>
      <c r="T88" s="138" t="s">
        <v>293</v>
      </c>
      <c r="U88" s="248">
        <v>3.26</v>
      </c>
      <c r="V88" s="163"/>
      <c r="W88" s="248">
        <f t="shared" si="5"/>
        <v>3.26</v>
      </c>
      <c r="X88" s="163"/>
      <c r="Y88" s="163" t="s">
        <v>9</v>
      </c>
      <c r="Z88" s="135"/>
      <c r="AA88" s="73"/>
      <c r="AB88" s="163"/>
      <c r="AC88" s="46"/>
      <c r="AD88" s="44"/>
      <c r="AE88" s="44"/>
      <c r="AF88" s="44"/>
      <c r="AG88" s="44"/>
      <c r="AH88" s="44"/>
      <c r="AI88" s="44"/>
      <c r="AJ88" s="44"/>
    </row>
    <row r="89" spans="5:36" ht="15.75" customHeight="1" x14ac:dyDescent="0.35">
      <c r="E89" s="134"/>
      <c r="F89" s="134"/>
      <c r="G89" s="135"/>
      <c r="H89" s="136"/>
      <c r="I89" s="136"/>
      <c r="J89" s="40">
        <f t="shared" si="4"/>
        <v>0</v>
      </c>
      <c r="K89" s="136"/>
      <c r="L89" s="135"/>
      <c r="M89" s="135"/>
      <c r="N89" s="135"/>
      <c r="O89" s="114"/>
      <c r="P89" s="135"/>
      <c r="R89" s="46">
        <v>44089</v>
      </c>
      <c r="S89" s="73"/>
      <c r="T89" s="138" t="s">
        <v>294</v>
      </c>
      <c r="U89" s="248">
        <v>11.91</v>
      </c>
      <c r="V89" s="163"/>
      <c r="W89" s="248">
        <f t="shared" si="5"/>
        <v>11.91</v>
      </c>
      <c r="X89" s="163"/>
      <c r="Y89" s="163" t="s">
        <v>9</v>
      </c>
      <c r="Z89" s="135"/>
      <c r="AA89" s="73"/>
      <c r="AB89" s="163" t="s">
        <v>43</v>
      </c>
      <c r="AC89" s="46">
        <v>44089</v>
      </c>
      <c r="AD89" s="44"/>
      <c r="AE89" s="44"/>
      <c r="AF89" s="44"/>
      <c r="AG89" s="44"/>
      <c r="AH89" s="44"/>
      <c r="AI89" s="44"/>
      <c r="AJ89" s="44"/>
    </row>
    <row r="90" spans="5:36" ht="15.75" customHeight="1" x14ac:dyDescent="0.35">
      <c r="E90" s="134"/>
      <c r="F90" s="134"/>
      <c r="G90" s="135"/>
      <c r="H90" s="136"/>
      <c r="I90" s="136"/>
      <c r="J90" s="40">
        <f t="shared" si="4"/>
        <v>0</v>
      </c>
      <c r="K90" s="136"/>
      <c r="L90" s="135"/>
      <c r="M90" s="135"/>
      <c r="N90" s="135"/>
      <c r="O90" s="114"/>
      <c r="P90" s="135"/>
      <c r="R90" s="46">
        <v>44089</v>
      </c>
      <c r="S90" s="73"/>
      <c r="T90" s="138" t="s">
        <v>295</v>
      </c>
      <c r="U90" s="248">
        <v>677.53</v>
      </c>
      <c r="V90" s="163"/>
      <c r="W90" s="248">
        <f t="shared" si="5"/>
        <v>677.53</v>
      </c>
      <c r="X90" s="163"/>
      <c r="Y90" s="163" t="s">
        <v>9</v>
      </c>
      <c r="Z90" s="135"/>
      <c r="AA90" s="73"/>
      <c r="AB90" s="163"/>
      <c r="AC90" s="46"/>
      <c r="AD90" s="44"/>
      <c r="AE90" s="44"/>
      <c r="AF90" s="44"/>
      <c r="AG90" s="44"/>
      <c r="AH90" s="44"/>
      <c r="AI90" s="44"/>
      <c r="AJ90" s="44"/>
    </row>
    <row r="91" spans="5:36" ht="15.75" customHeight="1" x14ac:dyDescent="0.35">
      <c r="E91" s="134"/>
      <c r="F91" s="134"/>
      <c r="G91" s="135"/>
      <c r="H91" s="136"/>
      <c r="I91" s="136"/>
      <c r="J91" s="40">
        <f t="shared" si="4"/>
        <v>0</v>
      </c>
      <c r="K91" s="136"/>
      <c r="L91" s="135"/>
      <c r="M91" s="135"/>
      <c r="N91" s="135"/>
      <c r="O91" s="114"/>
      <c r="P91" s="135"/>
      <c r="R91" s="46">
        <v>44089</v>
      </c>
      <c r="S91" s="73"/>
      <c r="T91" s="138" t="s">
        <v>296</v>
      </c>
      <c r="U91" s="248">
        <v>3.72</v>
      </c>
      <c r="V91" s="163">
        <v>0.32</v>
      </c>
      <c r="W91" s="248">
        <f t="shared" si="5"/>
        <v>4.04</v>
      </c>
      <c r="X91" s="163"/>
      <c r="Y91" s="163" t="s">
        <v>9</v>
      </c>
      <c r="Z91" s="135"/>
      <c r="AA91" s="73"/>
      <c r="AB91" s="163"/>
      <c r="AC91" s="46"/>
      <c r="AD91" s="44"/>
      <c r="AE91" s="44"/>
      <c r="AF91" s="44"/>
      <c r="AG91" s="44"/>
      <c r="AH91" s="44"/>
      <c r="AI91" s="44"/>
      <c r="AJ91" s="44"/>
    </row>
    <row r="92" spans="5:36" ht="15.75" customHeight="1" x14ac:dyDescent="0.35">
      <c r="E92" s="134"/>
      <c r="F92" s="134"/>
      <c r="G92" s="135"/>
      <c r="H92" s="136"/>
      <c r="I92" s="136"/>
      <c r="J92" s="40">
        <f t="shared" si="4"/>
        <v>0</v>
      </c>
      <c r="K92" s="136"/>
      <c r="L92" s="135"/>
      <c r="M92" s="135"/>
      <c r="N92" s="135"/>
      <c r="O92" s="114"/>
      <c r="P92" s="135"/>
      <c r="R92" s="134">
        <v>44092</v>
      </c>
      <c r="S92" s="73"/>
      <c r="T92" s="138" t="s">
        <v>297</v>
      </c>
      <c r="U92" s="136">
        <v>340</v>
      </c>
      <c r="V92" s="163"/>
      <c r="W92" s="248">
        <f t="shared" si="5"/>
        <v>340</v>
      </c>
      <c r="X92" s="163"/>
      <c r="Y92" s="163" t="s">
        <v>9</v>
      </c>
      <c r="Z92" s="135"/>
      <c r="AA92" s="73"/>
      <c r="AB92" s="163"/>
      <c r="AC92" s="46"/>
      <c r="AD92" s="44"/>
      <c r="AE92" s="44"/>
      <c r="AF92" s="44"/>
      <c r="AG92" s="44"/>
      <c r="AH92" s="44"/>
      <c r="AI92" s="44"/>
      <c r="AJ92" s="44"/>
    </row>
    <row r="93" spans="5:36" ht="15.75" customHeight="1" x14ac:dyDescent="0.35">
      <c r="E93" s="134"/>
      <c r="F93" s="134"/>
      <c r="G93" s="135"/>
      <c r="H93" s="136"/>
      <c r="I93" s="136"/>
      <c r="J93" s="40">
        <f t="shared" si="4"/>
        <v>0</v>
      </c>
      <c r="K93" s="136"/>
      <c r="L93" s="135"/>
      <c r="M93" s="135"/>
      <c r="N93" s="135"/>
      <c r="O93" s="114"/>
      <c r="P93" s="135"/>
      <c r="R93" s="46">
        <v>44091</v>
      </c>
      <c r="S93" s="73"/>
      <c r="T93" s="138" t="s">
        <v>298</v>
      </c>
      <c r="U93" s="248">
        <v>5.0599999999999996</v>
      </c>
      <c r="V93" s="163"/>
      <c r="W93" s="248">
        <f t="shared" si="5"/>
        <v>5.0599999999999996</v>
      </c>
      <c r="X93" s="163"/>
      <c r="Y93" s="163" t="s">
        <v>9</v>
      </c>
      <c r="Z93" s="135"/>
      <c r="AA93" s="73"/>
      <c r="AB93" s="163"/>
      <c r="AC93" s="46"/>
      <c r="AD93" s="44"/>
      <c r="AE93" s="44"/>
      <c r="AF93" s="44"/>
      <c r="AG93" s="44"/>
      <c r="AH93" s="44"/>
      <c r="AI93" s="44"/>
      <c r="AJ93" s="44"/>
    </row>
    <row r="94" spans="5:36" ht="15.75" customHeight="1" x14ac:dyDescent="0.35">
      <c r="E94" s="134"/>
      <c r="F94" s="134"/>
      <c r="G94" s="135"/>
      <c r="H94" s="136"/>
      <c r="I94" s="136"/>
      <c r="J94" s="40">
        <f t="shared" si="4"/>
        <v>0</v>
      </c>
      <c r="K94" s="136"/>
      <c r="L94" s="135"/>
      <c r="M94" s="135"/>
      <c r="N94" s="135"/>
      <c r="O94" s="114"/>
      <c r="P94" s="135"/>
      <c r="R94" s="46">
        <v>44096</v>
      </c>
      <c r="S94" s="73"/>
      <c r="T94" s="138" t="s">
        <v>299</v>
      </c>
      <c r="U94" s="248">
        <v>104.44</v>
      </c>
      <c r="V94" s="163"/>
      <c r="W94" s="248">
        <f t="shared" si="5"/>
        <v>104.44</v>
      </c>
      <c r="X94" s="163"/>
      <c r="Y94" s="163" t="s">
        <v>9</v>
      </c>
      <c r="Z94" s="135"/>
      <c r="AA94" s="73"/>
      <c r="AB94" s="163"/>
      <c r="AC94" s="46"/>
      <c r="AD94" s="44"/>
      <c r="AE94" s="44"/>
      <c r="AF94" s="44"/>
      <c r="AG94" s="44"/>
      <c r="AH94" s="44"/>
      <c r="AI94" s="44"/>
      <c r="AJ94" s="44"/>
    </row>
    <row r="95" spans="5:36" ht="15.75" customHeight="1" x14ac:dyDescent="0.35">
      <c r="E95" s="134"/>
      <c r="F95" s="134"/>
      <c r="G95" s="135"/>
      <c r="H95" s="136"/>
      <c r="I95" s="136"/>
      <c r="J95" s="40">
        <f t="shared" si="4"/>
        <v>0</v>
      </c>
      <c r="K95" s="136"/>
      <c r="L95" s="135"/>
      <c r="M95" s="135"/>
      <c r="N95" s="135"/>
      <c r="O95" s="114"/>
      <c r="P95" s="135"/>
      <c r="R95" s="46">
        <v>44096</v>
      </c>
      <c r="S95" s="73"/>
      <c r="T95" s="138" t="s">
        <v>300</v>
      </c>
      <c r="U95" s="248">
        <v>130.08000000000001</v>
      </c>
      <c r="V95" s="163"/>
      <c r="W95" s="248">
        <f t="shared" si="5"/>
        <v>130.08000000000001</v>
      </c>
      <c r="X95" s="163"/>
      <c r="Y95" s="163" t="s">
        <v>9</v>
      </c>
      <c r="Z95" s="135"/>
      <c r="AA95" s="73"/>
      <c r="AB95" s="163"/>
      <c r="AC95" s="46"/>
      <c r="AD95" s="44"/>
      <c r="AE95" s="44"/>
      <c r="AF95" s="44"/>
      <c r="AG95" s="44"/>
      <c r="AH95" s="44"/>
      <c r="AI95" s="44"/>
      <c r="AJ95" s="44"/>
    </row>
    <row r="96" spans="5:36" ht="15.75" customHeight="1" x14ac:dyDescent="0.35">
      <c r="E96" s="134"/>
      <c r="F96" s="134"/>
      <c r="G96" s="135"/>
      <c r="H96" s="136"/>
      <c r="I96" s="136"/>
      <c r="J96" s="40">
        <f t="shared" si="4"/>
        <v>0</v>
      </c>
      <c r="K96" s="136"/>
      <c r="L96" s="135"/>
      <c r="M96" s="135"/>
      <c r="N96" s="135"/>
      <c r="O96" s="114"/>
      <c r="P96" s="135"/>
      <c r="R96" s="46">
        <v>44099</v>
      </c>
      <c r="S96" s="73"/>
      <c r="T96" s="138" t="s">
        <v>301</v>
      </c>
      <c r="U96" s="248">
        <v>245.08</v>
      </c>
      <c r="V96" s="163"/>
      <c r="W96" s="248">
        <f t="shared" si="5"/>
        <v>245.08</v>
      </c>
      <c r="X96" s="163"/>
      <c r="Y96" s="163" t="s">
        <v>9</v>
      </c>
      <c r="Z96" s="135"/>
      <c r="AA96" s="73"/>
      <c r="AB96" s="163"/>
      <c r="AC96" s="163"/>
      <c r="AD96" s="44"/>
      <c r="AE96" s="44"/>
      <c r="AF96" s="44"/>
      <c r="AG96" s="44"/>
      <c r="AH96" s="44"/>
      <c r="AI96" s="44"/>
      <c r="AJ96" s="44"/>
    </row>
    <row r="97" spans="3:36" ht="15.75" customHeight="1" x14ac:dyDescent="0.35">
      <c r="E97" s="134"/>
      <c r="F97" s="134"/>
      <c r="G97" s="135"/>
      <c r="H97" s="136"/>
      <c r="I97" s="136"/>
      <c r="J97" s="40">
        <f t="shared" si="4"/>
        <v>0</v>
      </c>
      <c r="K97" s="136"/>
      <c r="L97" s="135"/>
      <c r="M97" s="135"/>
      <c r="N97" s="135"/>
      <c r="O97" s="114"/>
      <c r="P97" s="135"/>
      <c r="R97" s="46">
        <v>44074</v>
      </c>
      <c r="S97" s="73"/>
      <c r="T97" s="138" t="s">
        <v>302</v>
      </c>
      <c r="U97" s="248">
        <v>457</v>
      </c>
      <c r="V97" s="163">
        <v>38.85</v>
      </c>
      <c r="W97" s="248">
        <f t="shared" si="5"/>
        <v>495.85</v>
      </c>
      <c r="X97" s="163"/>
      <c r="Y97" s="163" t="s">
        <v>8</v>
      </c>
      <c r="Z97" s="135"/>
      <c r="AA97" s="73"/>
      <c r="AB97" s="163"/>
      <c r="AC97" s="46"/>
      <c r="AD97" s="44"/>
      <c r="AE97" s="44"/>
      <c r="AF97" s="44"/>
      <c r="AG97" s="44"/>
      <c r="AH97" s="44"/>
      <c r="AI97" s="44"/>
      <c r="AJ97" s="44"/>
    </row>
    <row r="98" spans="3:36" ht="15.75" customHeight="1" x14ac:dyDescent="0.35">
      <c r="E98" s="134"/>
      <c r="F98" s="134"/>
      <c r="G98" s="135"/>
      <c r="H98" s="136"/>
      <c r="I98" s="136"/>
      <c r="J98" s="40">
        <f t="shared" si="4"/>
        <v>0</v>
      </c>
      <c r="K98" s="136"/>
      <c r="L98" s="135"/>
      <c r="M98" s="135"/>
      <c r="N98" s="135"/>
      <c r="O98" s="114"/>
      <c r="P98" s="135"/>
      <c r="R98" s="46">
        <v>44098</v>
      </c>
      <c r="S98" s="73"/>
      <c r="T98" s="138" t="s">
        <v>303</v>
      </c>
      <c r="U98" s="248">
        <v>494.05</v>
      </c>
      <c r="V98" s="163"/>
      <c r="W98" s="248">
        <f t="shared" si="5"/>
        <v>494.05</v>
      </c>
      <c r="X98" s="163"/>
      <c r="Y98" s="163" t="s">
        <v>9</v>
      </c>
      <c r="Z98" s="135"/>
      <c r="AA98" s="73"/>
      <c r="AB98" s="163"/>
      <c r="AC98" s="163"/>
      <c r="AD98" s="44"/>
      <c r="AE98" s="44"/>
      <c r="AF98" s="44"/>
      <c r="AG98" s="44"/>
      <c r="AH98" s="44"/>
      <c r="AI98" s="44"/>
      <c r="AJ98" s="44"/>
    </row>
    <row r="99" spans="3:36" ht="15.75" customHeight="1" x14ac:dyDescent="0.35">
      <c r="E99" s="134"/>
      <c r="F99" s="134"/>
      <c r="G99" s="135"/>
      <c r="H99" s="136"/>
      <c r="I99" s="136"/>
      <c r="J99" s="40">
        <f t="shared" si="4"/>
        <v>0</v>
      </c>
      <c r="K99" s="136"/>
      <c r="L99" s="135"/>
      <c r="M99" s="135"/>
      <c r="N99" s="135"/>
      <c r="O99" s="114"/>
      <c r="P99" s="135"/>
      <c r="R99" s="46">
        <v>44102</v>
      </c>
      <c r="S99" s="73"/>
      <c r="T99" s="138" t="s">
        <v>304</v>
      </c>
      <c r="U99" s="248">
        <v>219.36</v>
      </c>
      <c r="V99" s="163">
        <v>18.649999999999999</v>
      </c>
      <c r="W99" s="248">
        <f t="shared" si="5"/>
        <v>238.01000000000002</v>
      </c>
      <c r="X99" s="163"/>
      <c r="Y99" s="163" t="s">
        <v>9</v>
      </c>
      <c r="Z99" s="135"/>
      <c r="AA99" s="73"/>
      <c r="AB99" s="163"/>
      <c r="AC99" s="163"/>
      <c r="AD99" s="44"/>
      <c r="AE99" s="44"/>
      <c r="AF99" s="44"/>
      <c r="AG99" s="44"/>
      <c r="AH99" s="44"/>
      <c r="AI99" s="44"/>
      <c r="AJ99" s="44"/>
    </row>
    <row r="100" spans="3:36" ht="15.75" customHeight="1" x14ac:dyDescent="0.35">
      <c r="E100" s="134"/>
      <c r="F100" s="134"/>
      <c r="G100" s="135"/>
      <c r="H100" s="136"/>
      <c r="I100" s="136"/>
      <c r="J100" s="40">
        <f t="shared" si="4"/>
        <v>0</v>
      </c>
      <c r="K100" s="136"/>
      <c r="L100" s="135"/>
      <c r="M100" s="135"/>
      <c r="N100" s="135"/>
      <c r="O100" s="114"/>
      <c r="P100" s="135"/>
      <c r="R100" s="46">
        <v>44106</v>
      </c>
      <c r="S100" s="73"/>
      <c r="T100" s="138" t="s">
        <v>305</v>
      </c>
      <c r="U100" s="248">
        <v>165.76</v>
      </c>
      <c r="V100" s="163"/>
      <c r="W100" s="248">
        <f t="shared" si="5"/>
        <v>165.76</v>
      </c>
      <c r="X100" s="163"/>
      <c r="Y100" s="163" t="s">
        <v>10</v>
      </c>
      <c r="Z100" s="135"/>
      <c r="AA100" s="73"/>
      <c r="AB100" s="163"/>
      <c r="AC100" s="163"/>
      <c r="AD100" s="44"/>
      <c r="AE100" s="44"/>
      <c r="AF100" s="44"/>
      <c r="AG100" s="44"/>
      <c r="AH100" s="44"/>
      <c r="AI100" s="44"/>
      <c r="AJ100" s="44"/>
    </row>
    <row r="101" spans="3:36" ht="15.75" customHeight="1" x14ac:dyDescent="0.35">
      <c r="E101" s="134"/>
      <c r="F101" s="134"/>
      <c r="G101" s="135"/>
      <c r="H101" s="136"/>
      <c r="I101" s="136"/>
      <c r="J101" s="40">
        <f t="shared" ref="J101:J175" si="6">H101+I101</f>
        <v>0</v>
      </c>
      <c r="K101" s="136"/>
      <c r="L101" s="135"/>
      <c r="M101" s="135"/>
      <c r="N101" s="135"/>
      <c r="O101" s="114"/>
      <c r="P101" s="135"/>
      <c r="R101" s="46">
        <v>44105</v>
      </c>
      <c r="S101" s="73"/>
      <c r="T101" s="138" t="s">
        <v>306</v>
      </c>
      <c r="U101" s="248">
        <v>271.83999999999997</v>
      </c>
      <c r="V101" s="163"/>
      <c r="W101" s="248">
        <f t="shared" ref="W101:W176" si="7">U101+V101</f>
        <v>271.83999999999997</v>
      </c>
      <c r="X101" s="163"/>
      <c r="Y101" s="163" t="s">
        <v>10</v>
      </c>
      <c r="Z101" s="135"/>
      <c r="AA101" s="73"/>
      <c r="AB101" s="163"/>
      <c r="AC101" s="163"/>
      <c r="AD101" s="44"/>
      <c r="AE101" s="44"/>
      <c r="AF101" s="44"/>
      <c r="AG101" s="44"/>
      <c r="AH101" s="44"/>
      <c r="AI101" s="44"/>
      <c r="AJ101" s="44"/>
    </row>
    <row r="102" spans="3:36" ht="15.75" customHeight="1" x14ac:dyDescent="0.35">
      <c r="E102" s="134"/>
      <c r="F102" s="134"/>
      <c r="G102" s="135"/>
      <c r="H102" s="136"/>
      <c r="I102" s="136"/>
      <c r="J102" s="40">
        <f t="shared" si="6"/>
        <v>0</v>
      </c>
      <c r="K102" s="136"/>
      <c r="L102" s="135"/>
      <c r="M102" s="135"/>
      <c r="N102" s="135"/>
      <c r="O102" s="114"/>
      <c r="P102" s="135"/>
      <c r="R102" s="46">
        <v>44109</v>
      </c>
      <c r="S102" s="73"/>
      <c r="T102" s="138" t="s">
        <v>307</v>
      </c>
      <c r="U102" s="248">
        <v>194.2</v>
      </c>
      <c r="V102" s="163"/>
      <c r="W102" s="248">
        <f t="shared" si="7"/>
        <v>194.2</v>
      </c>
      <c r="X102" s="163"/>
      <c r="Y102" s="163" t="s">
        <v>10</v>
      </c>
      <c r="Z102" s="135"/>
      <c r="AA102" s="73"/>
      <c r="AB102" s="163"/>
      <c r="AC102" s="163"/>
      <c r="AD102" s="44"/>
      <c r="AE102" s="44"/>
      <c r="AF102" s="44"/>
      <c r="AG102" s="44"/>
      <c r="AH102" s="44"/>
      <c r="AI102" s="44"/>
      <c r="AJ102" s="44"/>
    </row>
    <row r="103" spans="3:36" ht="15.75" customHeight="1" x14ac:dyDescent="0.35">
      <c r="E103" s="134"/>
      <c r="F103" s="134"/>
      <c r="G103" s="135"/>
      <c r="H103" s="136"/>
      <c r="I103" s="136"/>
      <c r="J103" s="40">
        <f t="shared" si="6"/>
        <v>0</v>
      </c>
      <c r="K103" s="136"/>
      <c r="L103" s="135"/>
      <c r="M103" s="135"/>
      <c r="N103" s="135"/>
      <c r="O103" s="114"/>
      <c r="P103" s="135"/>
      <c r="R103" s="163"/>
      <c r="S103" s="73"/>
      <c r="T103" s="163"/>
      <c r="U103" s="248"/>
      <c r="V103" s="163"/>
      <c r="W103" s="248">
        <f t="shared" si="7"/>
        <v>0</v>
      </c>
      <c r="X103" s="163"/>
      <c r="Y103" s="163"/>
      <c r="Z103" s="135"/>
      <c r="AA103" s="73"/>
      <c r="AB103" s="163"/>
      <c r="AC103" s="163"/>
      <c r="AD103" s="44"/>
      <c r="AE103" s="44"/>
      <c r="AF103" s="44"/>
      <c r="AG103" s="44"/>
      <c r="AH103" s="44"/>
      <c r="AI103" s="44"/>
      <c r="AJ103" s="44"/>
    </row>
    <row r="104" spans="3:36" ht="15.75" customHeight="1" x14ac:dyDescent="0.35">
      <c r="E104" s="134"/>
      <c r="F104" s="134"/>
      <c r="G104" s="135"/>
      <c r="H104" s="136"/>
      <c r="I104" s="136"/>
      <c r="J104" s="40">
        <f t="shared" si="6"/>
        <v>0</v>
      </c>
      <c r="K104" s="136"/>
      <c r="L104" s="135"/>
      <c r="M104" s="135"/>
      <c r="N104" s="135"/>
      <c r="O104" s="114"/>
      <c r="P104" s="135"/>
      <c r="R104" s="163"/>
      <c r="S104" s="73"/>
      <c r="T104" s="163"/>
      <c r="U104" s="248"/>
      <c r="V104" s="163"/>
      <c r="W104" s="248">
        <f t="shared" si="7"/>
        <v>0</v>
      </c>
      <c r="X104" s="163"/>
      <c r="Y104" s="163"/>
      <c r="Z104" s="135"/>
      <c r="AA104" s="73"/>
      <c r="AB104" s="163"/>
      <c r="AC104" s="163"/>
      <c r="AD104" s="44"/>
      <c r="AE104" s="44"/>
      <c r="AF104" s="44"/>
      <c r="AG104" s="44"/>
      <c r="AH104" s="44"/>
      <c r="AI104" s="44"/>
      <c r="AJ104" s="44"/>
    </row>
    <row r="105" spans="3:36" ht="15.75" customHeight="1" x14ac:dyDescent="0.35">
      <c r="E105" s="134"/>
      <c r="F105" s="134"/>
      <c r="G105" s="135"/>
      <c r="H105" s="136"/>
      <c r="I105" s="136"/>
      <c r="J105" s="40">
        <f t="shared" si="6"/>
        <v>0</v>
      </c>
      <c r="K105" s="136"/>
      <c r="L105" s="135"/>
      <c r="M105" s="135"/>
      <c r="N105" s="135"/>
      <c r="O105" s="114"/>
      <c r="P105" s="135"/>
      <c r="R105" s="163"/>
      <c r="S105" s="73"/>
      <c r="T105" s="163"/>
      <c r="U105" s="248"/>
      <c r="V105" s="163"/>
      <c r="W105" s="248">
        <f t="shared" si="7"/>
        <v>0</v>
      </c>
      <c r="X105" s="163"/>
      <c r="Y105" s="163"/>
      <c r="Z105" s="135"/>
      <c r="AA105" s="73"/>
      <c r="AB105" s="163"/>
      <c r="AC105" s="163"/>
      <c r="AD105" s="44"/>
      <c r="AE105" s="44"/>
      <c r="AF105" s="44"/>
      <c r="AG105" s="44"/>
      <c r="AH105" s="44"/>
      <c r="AI105" s="44"/>
      <c r="AJ105" s="44"/>
    </row>
    <row r="106" spans="3:36" ht="15.75" customHeight="1" x14ac:dyDescent="0.35">
      <c r="E106" s="134"/>
      <c r="F106" s="134"/>
      <c r="G106" s="135"/>
      <c r="H106" s="136"/>
      <c r="I106" s="136"/>
      <c r="J106" s="40">
        <f t="shared" si="6"/>
        <v>0</v>
      </c>
      <c r="K106" s="136"/>
      <c r="L106" s="135"/>
      <c r="M106" s="135"/>
      <c r="N106" s="135"/>
      <c r="O106" s="114"/>
      <c r="P106" s="135"/>
      <c r="R106" s="163"/>
      <c r="S106" s="73"/>
      <c r="T106" s="163"/>
      <c r="U106" s="248"/>
      <c r="V106" s="163"/>
      <c r="W106" s="248">
        <f t="shared" si="7"/>
        <v>0</v>
      </c>
      <c r="X106" s="163"/>
      <c r="Y106" s="163"/>
      <c r="Z106" s="135"/>
      <c r="AA106" s="73"/>
      <c r="AB106" s="163"/>
      <c r="AC106" s="163"/>
      <c r="AD106" s="44"/>
      <c r="AE106" s="44"/>
      <c r="AF106" s="44"/>
      <c r="AG106" s="44"/>
      <c r="AH106" s="44"/>
      <c r="AI106" s="44"/>
      <c r="AJ106" s="44"/>
    </row>
    <row r="107" spans="3:36" ht="15.75" customHeight="1" x14ac:dyDescent="0.35">
      <c r="C107" s="463"/>
      <c r="E107" s="134"/>
      <c r="F107" s="134"/>
      <c r="G107" s="135"/>
      <c r="H107" s="136"/>
      <c r="I107" s="136"/>
      <c r="J107" s="40">
        <f t="shared" si="6"/>
        <v>0</v>
      </c>
      <c r="K107" s="136"/>
      <c r="L107" s="135"/>
      <c r="M107" s="135"/>
      <c r="N107" s="135"/>
      <c r="O107" s="114"/>
      <c r="P107" s="135"/>
      <c r="R107" s="18"/>
      <c r="S107" s="73"/>
      <c r="T107" s="39"/>
      <c r="U107" s="88"/>
      <c r="V107" s="88"/>
      <c r="W107" s="248">
        <f t="shared" si="7"/>
        <v>0</v>
      </c>
      <c r="X107" s="88"/>
      <c r="Y107" s="39"/>
      <c r="Z107" s="135"/>
      <c r="AA107" s="73"/>
      <c r="AB107" s="39"/>
      <c r="AC107" s="89"/>
    </row>
    <row r="108" spans="3:36" ht="15.75" customHeight="1" x14ac:dyDescent="0.35">
      <c r="C108" s="463"/>
      <c r="E108" s="134"/>
      <c r="F108" s="134"/>
      <c r="G108" s="135"/>
      <c r="H108" s="136"/>
      <c r="I108" s="136"/>
      <c r="J108" s="40">
        <f t="shared" si="6"/>
        <v>0</v>
      </c>
      <c r="K108" s="136"/>
      <c r="L108" s="135"/>
      <c r="M108" s="135"/>
      <c r="N108" s="135"/>
      <c r="O108" s="114"/>
      <c r="P108" s="135"/>
      <c r="R108" s="18"/>
      <c r="S108" s="73"/>
      <c r="T108" s="39"/>
      <c r="U108" s="88"/>
      <c r="V108" s="88"/>
      <c r="W108" s="248">
        <f t="shared" si="7"/>
        <v>0</v>
      </c>
      <c r="X108" s="88"/>
      <c r="Y108" s="39"/>
      <c r="Z108" s="135"/>
      <c r="AA108" s="73"/>
      <c r="AB108" s="39"/>
      <c r="AC108" s="89"/>
    </row>
    <row r="109" spans="3:36" ht="15.75" customHeight="1" x14ac:dyDescent="0.35">
      <c r="C109" s="463"/>
      <c r="E109" s="134"/>
      <c r="F109" s="134"/>
      <c r="G109" s="135"/>
      <c r="H109" s="136"/>
      <c r="I109" s="136"/>
      <c r="J109" s="40">
        <f t="shared" si="6"/>
        <v>0</v>
      </c>
      <c r="K109" s="136"/>
      <c r="L109" s="135"/>
      <c r="M109" s="135"/>
      <c r="N109" s="135"/>
      <c r="O109" s="114"/>
      <c r="P109" s="135"/>
      <c r="R109" s="18"/>
      <c r="S109" s="73"/>
      <c r="T109" s="39"/>
      <c r="U109" s="88"/>
      <c r="V109" s="88"/>
      <c r="W109" s="248">
        <f t="shared" si="7"/>
        <v>0</v>
      </c>
      <c r="X109" s="88"/>
      <c r="Y109" s="39"/>
      <c r="Z109" s="135"/>
      <c r="AA109" s="73"/>
      <c r="AB109" s="39"/>
      <c r="AC109" s="89"/>
    </row>
    <row r="110" spans="3:36" ht="15.75" customHeight="1" x14ac:dyDescent="0.35">
      <c r="C110" s="463"/>
      <c r="E110" s="134"/>
      <c r="F110" s="134"/>
      <c r="G110" s="135"/>
      <c r="H110" s="136"/>
      <c r="I110" s="136"/>
      <c r="J110" s="40">
        <f t="shared" si="6"/>
        <v>0</v>
      </c>
      <c r="K110" s="136"/>
      <c r="L110" s="135"/>
      <c r="M110" s="135"/>
      <c r="N110" s="135"/>
      <c r="O110" s="114"/>
      <c r="P110" s="135"/>
      <c r="R110" s="18"/>
      <c r="S110" s="73"/>
      <c r="T110" s="39"/>
      <c r="U110" s="88"/>
      <c r="V110" s="88"/>
      <c r="W110" s="248">
        <f t="shared" si="7"/>
        <v>0</v>
      </c>
      <c r="X110" s="88"/>
      <c r="Y110" s="39"/>
      <c r="Z110" s="135"/>
      <c r="AA110" s="73"/>
      <c r="AB110" s="39"/>
      <c r="AC110" s="89"/>
    </row>
    <row r="111" spans="3:36" ht="15.75" customHeight="1" x14ac:dyDescent="0.35">
      <c r="C111" s="463"/>
      <c r="E111" s="134"/>
      <c r="F111" s="134"/>
      <c r="G111" s="135"/>
      <c r="H111" s="136"/>
      <c r="I111" s="136"/>
      <c r="J111" s="40">
        <f t="shared" si="6"/>
        <v>0</v>
      </c>
      <c r="K111" s="136"/>
      <c r="L111" s="135"/>
      <c r="M111" s="135"/>
      <c r="N111" s="135"/>
      <c r="O111" s="114"/>
      <c r="P111" s="135"/>
      <c r="R111" s="18"/>
      <c r="S111" s="73"/>
      <c r="T111" s="39"/>
      <c r="U111" s="88"/>
      <c r="V111" s="88"/>
      <c r="W111" s="248">
        <f t="shared" si="7"/>
        <v>0</v>
      </c>
      <c r="X111" s="88"/>
      <c r="Y111" s="39"/>
      <c r="Z111" s="135"/>
      <c r="AA111" s="73"/>
      <c r="AB111" s="39"/>
      <c r="AC111" s="89"/>
    </row>
    <row r="112" spans="3:36" ht="15.75" customHeight="1" x14ac:dyDescent="0.35">
      <c r="C112" s="463"/>
      <c r="E112" s="134"/>
      <c r="F112" s="134"/>
      <c r="G112" s="135"/>
      <c r="H112" s="136"/>
      <c r="I112" s="136"/>
      <c r="J112" s="40">
        <f t="shared" si="6"/>
        <v>0</v>
      </c>
      <c r="K112" s="136"/>
      <c r="L112" s="135"/>
      <c r="M112" s="135"/>
      <c r="N112" s="135"/>
      <c r="O112" s="114"/>
      <c r="P112" s="135"/>
      <c r="R112" s="18"/>
      <c r="S112" s="73"/>
      <c r="T112" s="39"/>
      <c r="U112" s="88"/>
      <c r="V112" s="88"/>
      <c r="W112" s="248">
        <f t="shared" si="7"/>
        <v>0</v>
      </c>
      <c r="X112" s="88"/>
      <c r="Y112" s="39"/>
      <c r="Z112" s="135"/>
      <c r="AA112" s="73"/>
      <c r="AB112" s="39"/>
      <c r="AC112" s="89"/>
    </row>
    <row r="113" spans="3:29" ht="15.75" customHeight="1" x14ac:dyDescent="0.35">
      <c r="C113" s="463"/>
      <c r="E113" s="134"/>
      <c r="F113" s="134"/>
      <c r="G113" s="135"/>
      <c r="H113" s="136"/>
      <c r="I113" s="136"/>
      <c r="J113" s="40">
        <f t="shared" si="6"/>
        <v>0</v>
      </c>
      <c r="K113" s="136"/>
      <c r="L113" s="135"/>
      <c r="M113" s="135"/>
      <c r="N113" s="135"/>
      <c r="O113" s="114"/>
      <c r="P113" s="135"/>
      <c r="R113" s="18"/>
      <c r="S113" s="73"/>
      <c r="T113" s="39"/>
      <c r="U113" s="88"/>
      <c r="V113" s="88"/>
      <c r="W113" s="248">
        <f t="shared" si="7"/>
        <v>0</v>
      </c>
      <c r="X113" s="88"/>
      <c r="Y113" s="39"/>
      <c r="Z113" s="135"/>
      <c r="AA113" s="73"/>
      <c r="AB113" s="39"/>
      <c r="AC113" s="89"/>
    </row>
    <row r="114" spans="3:29" ht="15.75" customHeight="1" x14ac:dyDescent="0.35">
      <c r="C114" s="463"/>
      <c r="E114" s="134"/>
      <c r="F114" s="134"/>
      <c r="G114" s="135"/>
      <c r="H114" s="136"/>
      <c r="I114" s="136"/>
      <c r="J114" s="40">
        <f t="shared" si="6"/>
        <v>0</v>
      </c>
      <c r="K114" s="136"/>
      <c r="L114" s="135"/>
      <c r="M114" s="135"/>
      <c r="N114" s="135"/>
      <c r="O114" s="114"/>
      <c r="P114" s="135"/>
      <c r="R114" s="18"/>
      <c r="S114" s="73"/>
      <c r="T114" s="39"/>
      <c r="U114" s="88"/>
      <c r="V114" s="88"/>
      <c r="W114" s="248">
        <f t="shared" si="7"/>
        <v>0</v>
      </c>
      <c r="X114" s="88"/>
      <c r="Y114" s="39"/>
      <c r="Z114" s="135"/>
      <c r="AA114" s="73"/>
      <c r="AB114" s="39"/>
      <c r="AC114" s="89"/>
    </row>
    <row r="115" spans="3:29" ht="15.75" customHeight="1" x14ac:dyDescent="0.35">
      <c r="C115" s="463"/>
      <c r="E115" s="134"/>
      <c r="F115" s="134"/>
      <c r="G115" s="135"/>
      <c r="H115" s="136"/>
      <c r="I115" s="136"/>
      <c r="J115" s="40">
        <f t="shared" si="6"/>
        <v>0</v>
      </c>
      <c r="K115" s="136"/>
      <c r="L115" s="135"/>
      <c r="M115" s="135"/>
      <c r="N115" s="135"/>
      <c r="O115" s="114"/>
      <c r="P115" s="135"/>
      <c r="R115" s="18"/>
      <c r="S115" s="73"/>
      <c r="T115" s="39"/>
      <c r="U115" s="88"/>
      <c r="V115" s="88"/>
      <c r="W115" s="248">
        <f t="shared" si="7"/>
        <v>0</v>
      </c>
      <c r="X115" s="88"/>
      <c r="Y115" s="39"/>
      <c r="Z115" s="135"/>
      <c r="AA115" s="73"/>
      <c r="AB115" s="39"/>
      <c r="AC115" s="89"/>
    </row>
    <row r="116" spans="3:29" ht="15.75" customHeight="1" x14ac:dyDescent="0.35">
      <c r="C116" s="463"/>
      <c r="E116" s="134"/>
      <c r="F116" s="134"/>
      <c r="G116" s="135"/>
      <c r="H116" s="136"/>
      <c r="I116" s="136"/>
      <c r="J116" s="40">
        <f t="shared" si="6"/>
        <v>0</v>
      </c>
      <c r="K116" s="136"/>
      <c r="L116" s="135"/>
      <c r="M116" s="135"/>
      <c r="N116" s="135"/>
      <c r="O116" s="114"/>
      <c r="P116" s="135"/>
      <c r="R116" s="18"/>
      <c r="S116" s="73"/>
      <c r="T116" s="39"/>
      <c r="U116" s="88"/>
      <c r="V116" s="88"/>
      <c r="W116" s="248">
        <f t="shared" si="7"/>
        <v>0</v>
      </c>
      <c r="X116" s="88"/>
      <c r="Y116" s="39"/>
      <c r="Z116" s="135"/>
      <c r="AA116" s="73"/>
      <c r="AB116" s="39"/>
      <c r="AC116" s="89"/>
    </row>
    <row r="117" spans="3:29" ht="15.75" customHeight="1" x14ac:dyDescent="0.35">
      <c r="C117" s="463"/>
      <c r="E117" s="134"/>
      <c r="F117" s="134"/>
      <c r="G117" s="135"/>
      <c r="H117" s="136"/>
      <c r="I117" s="136"/>
      <c r="J117" s="40">
        <f t="shared" si="6"/>
        <v>0</v>
      </c>
      <c r="K117" s="136"/>
      <c r="L117" s="135"/>
      <c r="M117" s="135"/>
      <c r="N117" s="135"/>
      <c r="O117" s="114"/>
      <c r="P117" s="135"/>
      <c r="R117" s="18"/>
      <c r="S117" s="73"/>
      <c r="T117" s="39"/>
      <c r="U117" s="88"/>
      <c r="V117" s="88"/>
      <c r="W117" s="248">
        <f t="shared" si="7"/>
        <v>0</v>
      </c>
      <c r="X117" s="88"/>
      <c r="Y117" s="39"/>
      <c r="Z117" s="135"/>
      <c r="AA117" s="73"/>
      <c r="AB117" s="39"/>
      <c r="AC117" s="89"/>
    </row>
    <row r="118" spans="3:29" ht="15.75" customHeight="1" x14ac:dyDescent="0.35">
      <c r="C118" s="463"/>
      <c r="E118" s="134"/>
      <c r="F118" s="134"/>
      <c r="G118" s="135"/>
      <c r="H118" s="136"/>
      <c r="I118" s="136"/>
      <c r="J118" s="40">
        <f t="shared" si="6"/>
        <v>0</v>
      </c>
      <c r="K118" s="136"/>
      <c r="L118" s="135"/>
      <c r="M118" s="135"/>
      <c r="N118" s="135"/>
      <c r="O118" s="114"/>
      <c r="P118" s="135"/>
      <c r="R118" s="18"/>
      <c r="S118" s="73"/>
      <c r="T118" s="39"/>
      <c r="U118" s="88"/>
      <c r="V118" s="88"/>
      <c r="W118" s="248">
        <f t="shared" si="7"/>
        <v>0</v>
      </c>
      <c r="X118" s="88"/>
      <c r="Y118" s="39"/>
      <c r="Z118" s="135"/>
      <c r="AA118" s="73"/>
      <c r="AB118" s="39"/>
      <c r="AC118" s="89"/>
    </row>
    <row r="119" spans="3:29" ht="15.75" customHeight="1" x14ac:dyDescent="0.35">
      <c r="C119" s="463"/>
      <c r="E119" s="134"/>
      <c r="F119" s="134"/>
      <c r="G119" s="135"/>
      <c r="H119" s="136"/>
      <c r="I119" s="136"/>
      <c r="J119" s="40">
        <f t="shared" si="6"/>
        <v>0</v>
      </c>
      <c r="K119" s="136"/>
      <c r="L119" s="135"/>
      <c r="M119" s="135"/>
      <c r="N119" s="135"/>
      <c r="O119" s="114"/>
      <c r="P119" s="135"/>
      <c r="R119" s="18"/>
      <c r="S119" s="73"/>
      <c r="T119" s="39"/>
      <c r="U119" s="88"/>
      <c r="V119" s="88"/>
      <c r="W119" s="248">
        <f t="shared" si="7"/>
        <v>0</v>
      </c>
      <c r="X119" s="88"/>
      <c r="Y119" s="39"/>
      <c r="Z119" s="135"/>
      <c r="AA119" s="73"/>
      <c r="AB119" s="39"/>
      <c r="AC119" s="89"/>
    </row>
    <row r="120" spans="3:29" ht="15.75" customHeight="1" x14ac:dyDescent="0.35">
      <c r="C120" s="463"/>
      <c r="E120" s="134"/>
      <c r="F120" s="134"/>
      <c r="G120" s="135"/>
      <c r="H120" s="136"/>
      <c r="I120" s="136"/>
      <c r="J120" s="40">
        <f t="shared" si="6"/>
        <v>0</v>
      </c>
      <c r="K120" s="136"/>
      <c r="L120" s="135"/>
      <c r="M120" s="135"/>
      <c r="N120" s="135"/>
      <c r="O120" s="114"/>
      <c r="P120" s="135"/>
      <c r="R120" s="18"/>
      <c r="S120" s="73"/>
      <c r="T120" s="39"/>
      <c r="U120" s="88"/>
      <c r="V120" s="88"/>
      <c r="W120" s="248">
        <f t="shared" si="7"/>
        <v>0</v>
      </c>
      <c r="X120" s="88"/>
      <c r="Y120" s="39"/>
      <c r="Z120" s="135"/>
      <c r="AA120" s="73"/>
      <c r="AB120" s="39"/>
      <c r="AC120" s="89"/>
    </row>
    <row r="121" spans="3:29" ht="15.75" customHeight="1" x14ac:dyDescent="0.35">
      <c r="C121" s="463"/>
      <c r="E121" s="134"/>
      <c r="F121" s="134"/>
      <c r="G121" s="135"/>
      <c r="H121" s="136"/>
      <c r="I121" s="136"/>
      <c r="J121" s="40">
        <f t="shared" si="6"/>
        <v>0</v>
      </c>
      <c r="K121" s="136"/>
      <c r="L121" s="135"/>
      <c r="M121" s="135"/>
      <c r="N121" s="135"/>
      <c r="O121" s="114"/>
      <c r="P121" s="135"/>
      <c r="R121" s="18"/>
      <c r="S121" s="73"/>
      <c r="T121" s="39"/>
      <c r="U121" s="88"/>
      <c r="V121" s="88"/>
      <c r="W121" s="248">
        <f t="shared" si="7"/>
        <v>0</v>
      </c>
      <c r="X121" s="88"/>
      <c r="Y121" s="39"/>
      <c r="Z121" s="135"/>
      <c r="AA121" s="73"/>
      <c r="AB121" s="39"/>
      <c r="AC121" s="89"/>
    </row>
    <row r="122" spans="3:29" ht="15.75" customHeight="1" x14ac:dyDescent="0.35">
      <c r="C122" s="463"/>
      <c r="E122" s="134"/>
      <c r="F122" s="134"/>
      <c r="G122" s="135"/>
      <c r="H122" s="136"/>
      <c r="I122" s="136"/>
      <c r="J122" s="40">
        <f t="shared" si="6"/>
        <v>0</v>
      </c>
      <c r="K122" s="136"/>
      <c r="L122" s="135"/>
      <c r="M122" s="135"/>
      <c r="N122" s="135"/>
      <c r="O122" s="114"/>
      <c r="P122" s="135"/>
      <c r="R122" s="18"/>
      <c r="S122" s="73"/>
      <c r="T122" s="39"/>
      <c r="U122" s="88"/>
      <c r="V122" s="88"/>
      <c r="W122" s="248">
        <f t="shared" si="7"/>
        <v>0</v>
      </c>
      <c r="X122" s="88"/>
      <c r="Y122" s="39"/>
      <c r="Z122" s="135"/>
      <c r="AA122" s="73"/>
      <c r="AB122" s="39"/>
      <c r="AC122" s="89"/>
    </row>
    <row r="123" spans="3:29" ht="15.75" customHeight="1" x14ac:dyDescent="0.35">
      <c r="C123" s="463"/>
      <c r="E123" s="134"/>
      <c r="F123" s="134"/>
      <c r="G123" s="135"/>
      <c r="H123" s="136"/>
      <c r="I123" s="136"/>
      <c r="J123" s="40">
        <f t="shared" si="6"/>
        <v>0</v>
      </c>
      <c r="K123" s="136"/>
      <c r="L123" s="135"/>
      <c r="M123" s="135"/>
      <c r="N123" s="135"/>
      <c r="O123" s="114"/>
      <c r="P123" s="135"/>
      <c r="R123" s="18"/>
      <c r="S123" s="73"/>
      <c r="T123" s="39"/>
      <c r="U123" s="88"/>
      <c r="V123" s="88"/>
      <c r="W123" s="248">
        <f t="shared" si="7"/>
        <v>0</v>
      </c>
      <c r="X123" s="88"/>
      <c r="Y123" s="39"/>
      <c r="Z123" s="135"/>
      <c r="AA123" s="73"/>
      <c r="AB123" s="39"/>
      <c r="AC123" s="89"/>
    </row>
    <row r="124" spans="3:29" ht="15.75" customHeight="1" x14ac:dyDescent="0.35">
      <c r="C124" s="463"/>
      <c r="E124" s="134"/>
      <c r="F124" s="134"/>
      <c r="G124" s="135"/>
      <c r="H124" s="136"/>
      <c r="I124" s="136"/>
      <c r="J124" s="40">
        <f t="shared" si="6"/>
        <v>0</v>
      </c>
      <c r="K124" s="136"/>
      <c r="L124" s="135"/>
      <c r="M124" s="135"/>
      <c r="N124" s="135"/>
      <c r="O124" s="114"/>
      <c r="P124" s="135"/>
      <c r="R124" s="18"/>
      <c r="S124" s="73"/>
      <c r="T124" s="39"/>
      <c r="U124" s="88"/>
      <c r="V124" s="88"/>
      <c r="W124" s="248">
        <f t="shared" si="7"/>
        <v>0</v>
      </c>
      <c r="X124" s="88"/>
      <c r="Y124" s="39"/>
      <c r="Z124" s="135"/>
      <c r="AA124" s="73"/>
      <c r="AB124" s="39"/>
      <c r="AC124" s="89"/>
    </row>
    <row r="125" spans="3:29" ht="15.75" customHeight="1" x14ac:dyDescent="0.35">
      <c r="C125" s="463"/>
      <c r="E125" s="134"/>
      <c r="F125" s="134"/>
      <c r="G125" s="135"/>
      <c r="H125" s="136"/>
      <c r="I125" s="136"/>
      <c r="J125" s="40">
        <f t="shared" si="6"/>
        <v>0</v>
      </c>
      <c r="K125" s="136"/>
      <c r="L125" s="135"/>
      <c r="M125" s="135"/>
      <c r="N125" s="135"/>
      <c r="O125" s="114"/>
      <c r="P125" s="135"/>
      <c r="R125" s="18"/>
      <c r="S125" s="73"/>
      <c r="T125" s="39"/>
      <c r="U125" s="88"/>
      <c r="V125" s="88"/>
      <c r="W125" s="248">
        <f t="shared" si="7"/>
        <v>0</v>
      </c>
      <c r="X125" s="88"/>
      <c r="Y125" s="39"/>
      <c r="Z125" s="135"/>
      <c r="AA125" s="73"/>
      <c r="AB125" s="39"/>
      <c r="AC125" s="89"/>
    </row>
    <row r="126" spans="3:29" ht="15.75" customHeight="1" x14ac:dyDescent="0.35">
      <c r="C126" s="463"/>
      <c r="E126" s="134"/>
      <c r="F126" s="134"/>
      <c r="G126" s="135"/>
      <c r="H126" s="136"/>
      <c r="I126" s="136"/>
      <c r="J126" s="40">
        <f t="shared" si="6"/>
        <v>0</v>
      </c>
      <c r="K126" s="136"/>
      <c r="L126" s="135"/>
      <c r="M126" s="135"/>
      <c r="N126" s="135"/>
      <c r="O126" s="114"/>
      <c r="P126" s="135"/>
      <c r="R126" s="18"/>
      <c r="S126" s="73"/>
      <c r="T126" s="39"/>
      <c r="U126" s="88"/>
      <c r="V126" s="88"/>
      <c r="W126" s="248">
        <f t="shared" si="7"/>
        <v>0</v>
      </c>
      <c r="X126" s="88"/>
      <c r="Y126" s="39"/>
      <c r="Z126" s="135"/>
      <c r="AA126" s="73"/>
      <c r="AB126" s="39"/>
      <c r="AC126" s="89"/>
    </row>
    <row r="127" spans="3:29" ht="15.75" customHeight="1" x14ac:dyDescent="0.35">
      <c r="C127" s="463"/>
      <c r="E127" s="134"/>
      <c r="F127" s="134"/>
      <c r="G127" s="135"/>
      <c r="H127" s="136"/>
      <c r="I127" s="136"/>
      <c r="J127" s="40">
        <f t="shared" si="6"/>
        <v>0</v>
      </c>
      <c r="K127" s="136"/>
      <c r="L127" s="135"/>
      <c r="M127" s="135"/>
      <c r="N127" s="135"/>
      <c r="O127" s="114"/>
      <c r="P127" s="135"/>
      <c r="R127" s="18"/>
      <c r="S127" s="73"/>
      <c r="T127" s="39"/>
      <c r="U127" s="88"/>
      <c r="V127" s="88"/>
      <c r="W127" s="248">
        <f t="shared" si="7"/>
        <v>0</v>
      </c>
      <c r="X127" s="88"/>
      <c r="Y127" s="39"/>
      <c r="Z127" s="135"/>
      <c r="AA127" s="73"/>
      <c r="AB127" s="39"/>
      <c r="AC127" s="89"/>
    </row>
    <row r="128" spans="3:29" ht="15.75" customHeight="1" x14ac:dyDescent="0.35">
      <c r="C128" s="463"/>
      <c r="E128" s="134"/>
      <c r="F128" s="134"/>
      <c r="G128" s="135"/>
      <c r="H128" s="136"/>
      <c r="I128" s="136"/>
      <c r="J128" s="40">
        <f t="shared" si="6"/>
        <v>0</v>
      </c>
      <c r="K128" s="136"/>
      <c r="L128" s="135"/>
      <c r="M128" s="135"/>
      <c r="N128" s="135"/>
      <c r="O128" s="114"/>
      <c r="P128" s="135"/>
      <c r="R128" s="18"/>
      <c r="S128" s="73"/>
      <c r="T128" s="39"/>
      <c r="U128" s="88"/>
      <c r="V128" s="88"/>
      <c r="W128" s="248">
        <f t="shared" si="7"/>
        <v>0</v>
      </c>
      <c r="X128" s="88"/>
      <c r="Y128" s="39"/>
      <c r="Z128" s="135"/>
      <c r="AA128" s="73"/>
      <c r="AB128" s="39"/>
      <c r="AC128" s="89"/>
    </row>
    <row r="129" spans="3:29" ht="15.75" customHeight="1" x14ac:dyDescent="0.35">
      <c r="C129" s="463"/>
      <c r="E129" s="134"/>
      <c r="F129" s="134"/>
      <c r="G129" s="135"/>
      <c r="H129" s="136"/>
      <c r="I129" s="136"/>
      <c r="J129" s="40">
        <f t="shared" si="6"/>
        <v>0</v>
      </c>
      <c r="K129" s="136"/>
      <c r="L129" s="135"/>
      <c r="M129" s="135"/>
      <c r="N129" s="135"/>
      <c r="O129" s="114"/>
      <c r="P129" s="135"/>
      <c r="R129" s="18"/>
      <c r="S129" s="73"/>
      <c r="T129" s="39"/>
      <c r="U129" s="88"/>
      <c r="V129" s="88"/>
      <c r="W129" s="248">
        <f t="shared" si="7"/>
        <v>0</v>
      </c>
      <c r="X129" s="88"/>
      <c r="Y129" s="39"/>
      <c r="Z129" s="135"/>
      <c r="AA129" s="73"/>
      <c r="AB129" s="39"/>
      <c r="AC129" s="89"/>
    </row>
    <row r="130" spans="3:29" ht="15.75" customHeight="1" x14ac:dyDescent="0.35">
      <c r="C130" s="463"/>
      <c r="E130" s="134"/>
      <c r="F130" s="134"/>
      <c r="G130" s="135"/>
      <c r="H130" s="136"/>
      <c r="I130" s="136"/>
      <c r="J130" s="40">
        <f t="shared" si="6"/>
        <v>0</v>
      </c>
      <c r="K130" s="136"/>
      <c r="L130" s="135"/>
      <c r="M130" s="135"/>
      <c r="N130" s="135"/>
      <c r="O130" s="114"/>
      <c r="P130" s="135"/>
      <c r="R130" s="18"/>
      <c r="S130" s="73"/>
      <c r="T130" s="39"/>
      <c r="U130" s="88"/>
      <c r="V130" s="88"/>
      <c r="W130" s="248">
        <f t="shared" si="7"/>
        <v>0</v>
      </c>
      <c r="X130" s="88"/>
      <c r="Y130" s="39"/>
      <c r="Z130" s="135"/>
      <c r="AA130" s="73"/>
      <c r="AB130" s="39"/>
      <c r="AC130" s="89"/>
    </row>
    <row r="131" spans="3:29" ht="15.75" customHeight="1" x14ac:dyDescent="0.35">
      <c r="C131" s="463"/>
      <c r="E131" s="134"/>
      <c r="F131" s="134"/>
      <c r="G131" s="135"/>
      <c r="H131" s="136"/>
      <c r="I131" s="136"/>
      <c r="J131" s="40">
        <f t="shared" si="6"/>
        <v>0</v>
      </c>
      <c r="K131" s="136"/>
      <c r="L131" s="135"/>
      <c r="M131" s="135"/>
      <c r="N131" s="135"/>
      <c r="O131" s="114"/>
      <c r="P131" s="135"/>
      <c r="R131" s="18"/>
      <c r="S131" s="73"/>
      <c r="T131" s="39"/>
      <c r="U131" s="88"/>
      <c r="V131" s="88"/>
      <c r="W131" s="248">
        <f t="shared" si="7"/>
        <v>0</v>
      </c>
      <c r="X131" s="88"/>
      <c r="Y131" s="39"/>
      <c r="Z131" s="135"/>
      <c r="AA131" s="73"/>
      <c r="AB131" s="39"/>
      <c r="AC131" s="89"/>
    </row>
    <row r="132" spans="3:29" ht="15.75" customHeight="1" x14ac:dyDescent="0.35">
      <c r="C132" s="463"/>
      <c r="E132" s="134"/>
      <c r="F132" s="134"/>
      <c r="G132" s="135"/>
      <c r="H132" s="136"/>
      <c r="I132" s="136"/>
      <c r="J132" s="40">
        <f t="shared" si="6"/>
        <v>0</v>
      </c>
      <c r="K132" s="136"/>
      <c r="L132" s="135"/>
      <c r="M132" s="135"/>
      <c r="N132" s="135"/>
      <c r="O132" s="114"/>
      <c r="P132" s="135"/>
      <c r="R132" s="18"/>
      <c r="S132" s="73"/>
      <c r="T132" s="39"/>
      <c r="U132" s="88"/>
      <c r="V132" s="88"/>
      <c r="W132" s="248">
        <f t="shared" si="7"/>
        <v>0</v>
      </c>
      <c r="X132" s="88"/>
      <c r="Y132" s="39"/>
      <c r="Z132" s="135"/>
      <c r="AA132" s="73"/>
      <c r="AB132" s="39"/>
      <c r="AC132" s="89"/>
    </row>
    <row r="133" spans="3:29" ht="15.75" customHeight="1" x14ac:dyDescent="0.35">
      <c r="C133" s="463"/>
      <c r="E133" s="134"/>
      <c r="F133" s="134"/>
      <c r="G133" s="135"/>
      <c r="H133" s="136"/>
      <c r="I133" s="136"/>
      <c r="J133" s="40">
        <f t="shared" si="6"/>
        <v>0</v>
      </c>
      <c r="K133" s="136"/>
      <c r="L133" s="135"/>
      <c r="M133" s="135"/>
      <c r="N133" s="135"/>
      <c r="O133" s="114"/>
      <c r="P133" s="135"/>
      <c r="R133" s="18"/>
      <c r="S133" s="73"/>
      <c r="T133" s="39"/>
      <c r="U133" s="88"/>
      <c r="V133" s="88"/>
      <c r="W133" s="248">
        <f t="shared" si="7"/>
        <v>0</v>
      </c>
      <c r="X133" s="88"/>
      <c r="Y133" s="39"/>
      <c r="Z133" s="135"/>
      <c r="AA133" s="73"/>
      <c r="AB133" s="39"/>
      <c r="AC133" s="89"/>
    </row>
    <row r="134" spans="3:29" ht="15.75" customHeight="1" x14ac:dyDescent="0.35">
      <c r="C134" s="463"/>
      <c r="E134" s="134"/>
      <c r="F134" s="134"/>
      <c r="G134" s="135"/>
      <c r="H134" s="136"/>
      <c r="I134" s="136"/>
      <c r="J134" s="40">
        <f t="shared" si="6"/>
        <v>0</v>
      </c>
      <c r="K134" s="136"/>
      <c r="L134" s="135"/>
      <c r="M134" s="135"/>
      <c r="N134" s="135"/>
      <c r="O134" s="114"/>
      <c r="P134" s="135"/>
      <c r="R134" s="18"/>
      <c r="S134" s="73"/>
      <c r="T134" s="39"/>
      <c r="U134" s="88"/>
      <c r="V134" s="88"/>
      <c r="W134" s="248">
        <f t="shared" si="7"/>
        <v>0</v>
      </c>
      <c r="X134" s="88"/>
      <c r="Y134" s="39"/>
      <c r="Z134" s="135"/>
      <c r="AA134" s="73"/>
      <c r="AB134" s="39"/>
      <c r="AC134" s="89"/>
    </row>
    <row r="135" spans="3:29" ht="15.75" customHeight="1" x14ac:dyDescent="0.35">
      <c r="C135" s="463"/>
      <c r="E135" s="134"/>
      <c r="F135" s="134"/>
      <c r="G135" s="135"/>
      <c r="H135" s="136"/>
      <c r="I135" s="136"/>
      <c r="J135" s="40">
        <f t="shared" si="6"/>
        <v>0</v>
      </c>
      <c r="K135" s="136"/>
      <c r="L135" s="135"/>
      <c r="M135" s="135"/>
      <c r="N135" s="135"/>
      <c r="O135" s="114"/>
      <c r="P135" s="135"/>
      <c r="R135" s="18"/>
      <c r="S135" s="73"/>
      <c r="T135" s="19"/>
      <c r="U135" s="17"/>
      <c r="V135" s="17"/>
      <c r="W135" s="248">
        <f t="shared" si="7"/>
        <v>0</v>
      </c>
      <c r="X135" s="17"/>
      <c r="Y135" s="17"/>
      <c r="Z135" s="135"/>
      <c r="AA135" s="73"/>
      <c r="AB135" s="17"/>
      <c r="AC135" s="18"/>
    </row>
    <row r="136" spans="3:29" ht="15.75" customHeight="1" x14ac:dyDescent="0.35">
      <c r="C136" s="44"/>
      <c r="E136" s="134"/>
      <c r="F136" s="134"/>
      <c r="G136" s="135"/>
      <c r="H136" s="136"/>
      <c r="I136" s="136"/>
      <c r="J136" s="40">
        <f t="shared" si="6"/>
        <v>0</v>
      </c>
      <c r="K136" s="136"/>
      <c r="L136" s="135"/>
      <c r="M136" s="135"/>
      <c r="N136" s="135"/>
      <c r="O136" s="114"/>
      <c r="P136" s="135"/>
      <c r="R136" s="18"/>
      <c r="S136" s="73"/>
      <c r="T136" s="19"/>
      <c r="U136" s="17"/>
      <c r="V136" s="17"/>
      <c r="W136" s="248">
        <f t="shared" si="7"/>
        <v>0</v>
      </c>
      <c r="X136" s="17"/>
      <c r="Y136" s="19"/>
      <c r="Z136" s="135"/>
      <c r="AA136" s="73"/>
      <c r="AB136" s="19"/>
      <c r="AC136" s="18"/>
    </row>
    <row r="137" spans="3:29" ht="15.75" customHeight="1" x14ac:dyDescent="0.35">
      <c r="C137" s="43"/>
      <c r="E137" s="134"/>
      <c r="F137" s="134"/>
      <c r="G137" s="135"/>
      <c r="H137" s="136"/>
      <c r="I137" s="136"/>
      <c r="J137" s="40">
        <f t="shared" si="6"/>
        <v>0</v>
      </c>
      <c r="K137" s="136"/>
      <c r="L137" s="135"/>
      <c r="M137" s="135"/>
      <c r="N137" s="135"/>
      <c r="O137" s="114"/>
      <c r="P137" s="135"/>
      <c r="R137" s="18"/>
      <c r="S137" s="73"/>
      <c r="T137" s="19"/>
      <c r="U137" s="17"/>
      <c r="V137" s="17"/>
      <c r="W137" s="248">
        <f t="shared" si="7"/>
        <v>0</v>
      </c>
      <c r="X137" s="17"/>
      <c r="Y137" s="19"/>
      <c r="Z137" s="135"/>
      <c r="AA137" s="73"/>
      <c r="AB137" s="19"/>
      <c r="AC137" s="18"/>
    </row>
    <row r="138" spans="3:29" ht="15.75" customHeight="1" x14ac:dyDescent="0.35">
      <c r="C138" s="43"/>
      <c r="E138" s="134"/>
      <c r="F138" s="134"/>
      <c r="G138" s="135"/>
      <c r="H138" s="136"/>
      <c r="I138" s="136"/>
      <c r="J138" s="40">
        <f t="shared" si="6"/>
        <v>0</v>
      </c>
      <c r="K138" s="136"/>
      <c r="L138" s="135"/>
      <c r="M138" s="135"/>
      <c r="N138" s="135"/>
      <c r="O138" s="114"/>
      <c r="P138" s="135"/>
      <c r="R138" s="18"/>
      <c r="S138" s="73"/>
      <c r="T138" s="19"/>
      <c r="U138" s="17"/>
      <c r="V138" s="17"/>
      <c r="W138" s="248">
        <f t="shared" si="7"/>
        <v>0</v>
      </c>
      <c r="X138" s="17"/>
      <c r="Y138" s="19"/>
      <c r="Z138" s="135"/>
      <c r="AA138" s="73"/>
      <c r="AB138" s="19"/>
      <c r="AC138" s="18"/>
    </row>
    <row r="139" spans="3:29" ht="15.75" customHeight="1" x14ac:dyDescent="0.35">
      <c r="C139" s="43"/>
      <c r="E139" s="134"/>
      <c r="F139" s="134"/>
      <c r="G139" s="135"/>
      <c r="H139" s="136"/>
      <c r="I139" s="136"/>
      <c r="J139" s="40">
        <f t="shared" si="6"/>
        <v>0</v>
      </c>
      <c r="K139" s="136"/>
      <c r="L139" s="135"/>
      <c r="M139" s="135"/>
      <c r="N139" s="135"/>
      <c r="O139" s="114"/>
      <c r="P139" s="135"/>
      <c r="R139" s="18"/>
      <c r="S139" s="73"/>
      <c r="T139" s="19"/>
      <c r="U139" s="17"/>
      <c r="V139" s="17"/>
      <c r="W139" s="248">
        <f t="shared" si="7"/>
        <v>0</v>
      </c>
      <c r="X139" s="17"/>
      <c r="Y139" s="19"/>
      <c r="Z139" s="135"/>
      <c r="AA139" s="73"/>
      <c r="AB139" s="19"/>
      <c r="AC139" s="18"/>
    </row>
    <row r="140" spans="3:29" ht="15.75" customHeight="1" x14ac:dyDescent="0.35">
      <c r="C140" s="43"/>
      <c r="E140" s="134"/>
      <c r="F140" s="134"/>
      <c r="G140" s="135"/>
      <c r="H140" s="136"/>
      <c r="I140" s="136"/>
      <c r="J140" s="40">
        <f t="shared" si="6"/>
        <v>0</v>
      </c>
      <c r="K140" s="136"/>
      <c r="L140" s="135"/>
      <c r="M140" s="135"/>
      <c r="N140" s="135"/>
      <c r="O140" s="114"/>
      <c r="P140" s="135"/>
      <c r="R140" s="18"/>
      <c r="S140" s="73"/>
      <c r="T140" s="19"/>
      <c r="U140" s="17"/>
      <c r="V140" s="17"/>
      <c r="W140" s="248">
        <f t="shared" si="7"/>
        <v>0</v>
      </c>
      <c r="X140" s="17"/>
      <c r="Y140" s="19"/>
      <c r="Z140" s="135"/>
      <c r="AA140" s="73"/>
      <c r="AB140" s="19"/>
      <c r="AC140" s="18"/>
    </row>
    <row r="141" spans="3:29" ht="15.75" customHeight="1" x14ac:dyDescent="0.35">
      <c r="C141" s="43"/>
      <c r="E141" s="134"/>
      <c r="F141" s="134"/>
      <c r="G141" s="135"/>
      <c r="H141" s="136"/>
      <c r="I141" s="136"/>
      <c r="J141" s="40">
        <f t="shared" si="6"/>
        <v>0</v>
      </c>
      <c r="K141" s="136"/>
      <c r="L141" s="135"/>
      <c r="M141" s="135"/>
      <c r="N141" s="135"/>
      <c r="O141" s="114"/>
      <c r="P141" s="135"/>
      <c r="R141" s="18"/>
      <c r="S141" s="73"/>
      <c r="T141" s="19"/>
      <c r="U141" s="17"/>
      <c r="V141" s="17"/>
      <c r="W141" s="248">
        <f t="shared" si="7"/>
        <v>0</v>
      </c>
      <c r="X141" s="17"/>
      <c r="Y141" s="19"/>
      <c r="Z141" s="135"/>
      <c r="AA141" s="73"/>
      <c r="AB141" s="19"/>
      <c r="AC141" s="18"/>
    </row>
    <row r="142" spans="3:29" ht="15.75" customHeight="1" x14ac:dyDescent="0.35">
      <c r="C142" s="43"/>
      <c r="E142" s="134"/>
      <c r="F142" s="134"/>
      <c r="G142" s="135"/>
      <c r="H142" s="136"/>
      <c r="I142" s="136"/>
      <c r="J142" s="40">
        <f t="shared" si="6"/>
        <v>0</v>
      </c>
      <c r="K142" s="136"/>
      <c r="L142" s="135"/>
      <c r="M142" s="135"/>
      <c r="N142" s="135"/>
      <c r="O142" s="114"/>
      <c r="P142" s="135"/>
      <c r="R142" s="18"/>
      <c r="S142" s="73"/>
      <c r="T142" s="19"/>
      <c r="U142" s="17"/>
      <c r="V142" s="17"/>
      <c r="W142" s="248">
        <f t="shared" si="7"/>
        <v>0</v>
      </c>
      <c r="X142" s="17"/>
      <c r="Y142" s="19"/>
      <c r="Z142" s="135"/>
      <c r="AA142" s="73"/>
      <c r="AB142" s="19"/>
      <c r="AC142" s="18"/>
    </row>
    <row r="143" spans="3:29" ht="15.75" customHeight="1" x14ac:dyDescent="0.35">
      <c r="C143" s="43"/>
      <c r="E143" s="134"/>
      <c r="F143" s="134"/>
      <c r="G143" s="135"/>
      <c r="H143" s="136"/>
      <c r="I143" s="136"/>
      <c r="J143" s="40">
        <f t="shared" si="6"/>
        <v>0</v>
      </c>
      <c r="K143" s="136"/>
      <c r="L143" s="135"/>
      <c r="M143" s="135"/>
      <c r="N143" s="135"/>
      <c r="O143" s="114"/>
      <c r="P143" s="135"/>
      <c r="R143" s="18"/>
      <c r="S143" s="73"/>
      <c r="T143" s="19"/>
      <c r="U143" s="17"/>
      <c r="V143" s="17"/>
      <c r="W143" s="248">
        <f t="shared" si="7"/>
        <v>0</v>
      </c>
      <c r="X143" s="17"/>
      <c r="Y143" s="19"/>
      <c r="Z143" s="135"/>
      <c r="AA143" s="73"/>
      <c r="AB143" s="19"/>
      <c r="AC143" s="18"/>
    </row>
    <row r="144" spans="3:29" ht="15.75" customHeight="1" x14ac:dyDescent="0.35">
      <c r="C144" s="43"/>
      <c r="E144" s="134"/>
      <c r="F144" s="134"/>
      <c r="G144" s="135"/>
      <c r="H144" s="136"/>
      <c r="I144" s="136"/>
      <c r="J144" s="40">
        <f t="shared" si="6"/>
        <v>0</v>
      </c>
      <c r="K144" s="136"/>
      <c r="L144" s="135"/>
      <c r="M144" s="135"/>
      <c r="N144" s="135"/>
      <c r="O144" s="114"/>
      <c r="P144" s="135"/>
      <c r="R144" s="18"/>
      <c r="S144" s="73"/>
      <c r="T144" s="19"/>
      <c r="U144" s="17"/>
      <c r="V144" s="17"/>
      <c r="W144" s="248">
        <f t="shared" si="7"/>
        <v>0</v>
      </c>
      <c r="X144" s="17"/>
      <c r="Y144" s="19"/>
      <c r="Z144" s="135"/>
      <c r="AA144" s="73"/>
      <c r="AB144" s="19"/>
      <c r="AC144" s="18"/>
    </row>
    <row r="145" spans="3:29" ht="15.75" customHeight="1" x14ac:dyDescent="0.35">
      <c r="C145" s="43"/>
      <c r="E145" s="134"/>
      <c r="F145" s="134"/>
      <c r="G145" s="135"/>
      <c r="H145" s="136"/>
      <c r="I145" s="136"/>
      <c r="J145" s="40">
        <f t="shared" si="6"/>
        <v>0</v>
      </c>
      <c r="K145" s="136"/>
      <c r="L145" s="135"/>
      <c r="M145" s="135"/>
      <c r="N145" s="135"/>
      <c r="O145" s="114"/>
      <c r="P145" s="135"/>
      <c r="R145" s="18"/>
      <c r="S145" s="73"/>
      <c r="T145" s="19"/>
      <c r="U145" s="17"/>
      <c r="V145" s="17"/>
      <c r="W145" s="248">
        <f t="shared" si="7"/>
        <v>0</v>
      </c>
      <c r="X145" s="17"/>
      <c r="Y145" s="19"/>
      <c r="Z145" s="135"/>
      <c r="AA145" s="73"/>
      <c r="AB145" s="19"/>
      <c r="AC145" s="18"/>
    </row>
    <row r="146" spans="3:29" ht="15.75" customHeight="1" x14ac:dyDescent="0.35">
      <c r="C146" s="43"/>
      <c r="E146" s="134"/>
      <c r="F146" s="134"/>
      <c r="G146" s="135"/>
      <c r="H146" s="136"/>
      <c r="I146" s="136"/>
      <c r="J146" s="40">
        <f t="shared" si="6"/>
        <v>0</v>
      </c>
      <c r="K146" s="136"/>
      <c r="L146" s="135"/>
      <c r="M146" s="135"/>
      <c r="N146" s="135"/>
      <c r="O146" s="114"/>
      <c r="P146" s="135"/>
      <c r="R146" s="18"/>
      <c r="S146" s="73"/>
      <c r="T146" s="19"/>
      <c r="U146" s="17"/>
      <c r="V146" s="17"/>
      <c r="W146" s="248">
        <f t="shared" si="7"/>
        <v>0</v>
      </c>
      <c r="X146" s="17"/>
      <c r="Y146" s="19"/>
      <c r="Z146" s="135"/>
      <c r="AA146" s="73"/>
      <c r="AB146" s="19"/>
      <c r="AC146" s="18"/>
    </row>
    <row r="147" spans="3:29" ht="15.75" customHeight="1" x14ac:dyDescent="0.35">
      <c r="C147" s="43"/>
      <c r="E147" s="134"/>
      <c r="F147" s="134"/>
      <c r="G147" s="135"/>
      <c r="H147" s="136"/>
      <c r="I147" s="136"/>
      <c r="J147" s="40">
        <f t="shared" si="6"/>
        <v>0</v>
      </c>
      <c r="K147" s="136"/>
      <c r="L147" s="135"/>
      <c r="M147" s="135"/>
      <c r="N147" s="135"/>
      <c r="O147" s="114"/>
      <c r="P147" s="135"/>
      <c r="R147" s="18"/>
      <c r="S147" s="73"/>
      <c r="T147" s="19"/>
      <c r="U147" s="17"/>
      <c r="V147" s="17"/>
      <c r="W147" s="248">
        <f t="shared" si="7"/>
        <v>0</v>
      </c>
      <c r="X147" s="17"/>
      <c r="Y147" s="19"/>
      <c r="Z147" s="135"/>
      <c r="AA147" s="73"/>
      <c r="AB147" s="19"/>
      <c r="AC147" s="18"/>
    </row>
    <row r="148" spans="3:29" ht="15.75" customHeight="1" x14ac:dyDescent="0.35">
      <c r="C148" s="43"/>
      <c r="E148" s="134"/>
      <c r="F148" s="134"/>
      <c r="G148" s="135"/>
      <c r="H148" s="136"/>
      <c r="I148" s="136"/>
      <c r="J148" s="40">
        <f t="shared" si="6"/>
        <v>0</v>
      </c>
      <c r="K148" s="136"/>
      <c r="L148" s="135"/>
      <c r="M148" s="135"/>
      <c r="N148" s="135"/>
      <c r="O148" s="114"/>
      <c r="P148" s="135"/>
      <c r="R148" s="18"/>
      <c r="S148" s="73"/>
      <c r="T148" s="19"/>
      <c r="U148" s="17"/>
      <c r="V148" s="17"/>
      <c r="W148" s="248">
        <f t="shared" si="7"/>
        <v>0</v>
      </c>
      <c r="X148" s="17"/>
      <c r="Y148" s="19"/>
      <c r="Z148" s="135"/>
      <c r="AA148" s="73"/>
      <c r="AB148" s="19"/>
      <c r="AC148" s="18"/>
    </row>
    <row r="149" spans="3:29" ht="15.75" customHeight="1" x14ac:dyDescent="0.35">
      <c r="C149" s="43"/>
      <c r="E149" s="134"/>
      <c r="F149" s="134"/>
      <c r="G149" s="135"/>
      <c r="H149" s="136"/>
      <c r="I149" s="136"/>
      <c r="J149" s="40">
        <f t="shared" si="6"/>
        <v>0</v>
      </c>
      <c r="K149" s="136"/>
      <c r="L149" s="135"/>
      <c r="M149" s="135"/>
      <c r="N149" s="135"/>
      <c r="O149" s="114"/>
      <c r="P149" s="135"/>
      <c r="R149" s="18"/>
      <c r="S149" s="73"/>
      <c r="T149" s="19"/>
      <c r="U149" s="17"/>
      <c r="V149" s="17"/>
      <c r="W149" s="248">
        <f t="shared" si="7"/>
        <v>0</v>
      </c>
      <c r="X149" s="17"/>
      <c r="Y149" s="19"/>
      <c r="Z149" s="135"/>
      <c r="AA149" s="73"/>
      <c r="AB149" s="19"/>
      <c r="AC149" s="18"/>
    </row>
    <row r="150" spans="3:29" ht="15.75" customHeight="1" x14ac:dyDescent="0.35">
      <c r="C150" s="43"/>
      <c r="E150" s="134"/>
      <c r="F150" s="134"/>
      <c r="G150" s="135"/>
      <c r="H150" s="136"/>
      <c r="I150" s="136"/>
      <c r="J150" s="40">
        <f t="shared" si="6"/>
        <v>0</v>
      </c>
      <c r="K150" s="136"/>
      <c r="L150" s="135"/>
      <c r="M150" s="135"/>
      <c r="N150" s="135"/>
      <c r="O150" s="114"/>
      <c r="P150" s="135"/>
      <c r="R150" s="18"/>
      <c r="S150" s="73"/>
      <c r="T150" s="19"/>
      <c r="U150" s="17"/>
      <c r="V150" s="17"/>
      <c r="W150" s="248">
        <f t="shared" si="7"/>
        <v>0</v>
      </c>
      <c r="X150" s="17"/>
      <c r="Y150" s="19"/>
      <c r="Z150" s="135"/>
      <c r="AA150" s="73"/>
      <c r="AB150" s="19"/>
      <c r="AC150" s="18"/>
    </row>
    <row r="151" spans="3:29" ht="15.75" customHeight="1" x14ac:dyDescent="0.35">
      <c r="C151" s="43"/>
      <c r="E151" s="134"/>
      <c r="F151" s="134"/>
      <c r="G151" s="135"/>
      <c r="H151" s="136"/>
      <c r="I151" s="136"/>
      <c r="J151" s="40">
        <f t="shared" si="6"/>
        <v>0</v>
      </c>
      <c r="K151" s="136"/>
      <c r="L151" s="135"/>
      <c r="M151" s="135"/>
      <c r="N151" s="135"/>
      <c r="O151" s="114"/>
      <c r="P151" s="135"/>
      <c r="R151" s="18"/>
      <c r="S151" s="73"/>
      <c r="T151" s="19"/>
      <c r="U151" s="17"/>
      <c r="V151" s="17"/>
      <c r="W151" s="248">
        <f t="shared" si="7"/>
        <v>0</v>
      </c>
      <c r="X151" s="17"/>
      <c r="Y151" s="19"/>
      <c r="Z151" s="135"/>
      <c r="AA151" s="73"/>
      <c r="AB151" s="19"/>
      <c r="AC151" s="18"/>
    </row>
    <row r="152" spans="3:29" ht="15.75" customHeight="1" x14ac:dyDescent="0.35">
      <c r="C152" s="43"/>
      <c r="E152" s="134"/>
      <c r="F152" s="134"/>
      <c r="G152" s="135"/>
      <c r="H152" s="136"/>
      <c r="I152" s="136"/>
      <c r="J152" s="40">
        <f t="shared" si="6"/>
        <v>0</v>
      </c>
      <c r="K152" s="136"/>
      <c r="L152" s="135"/>
      <c r="M152" s="135"/>
      <c r="N152" s="135"/>
      <c r="O152" s="114"/>
      <c r="P152" s="135"/>
      <c r="R152" s="18"/>
      <c r="S152" s="73"/>
      <c r="T152" s="19"/>
      <c r="U152" s="17"/>
      <c r="V152" s="17"/>
      <c r="W152" s="248">
        <f t="shared" si="7"/>
        <v>0</v>
      </c>
      <c r="X152" s="17"/>
      <c r="Y152" s="19"/>
      <c r="Z152" s="135"/>
      <c r="AA152" s="73"/>
      <c r="AB152" s="19"/>
      <c r="AC152" s="18"/>
    </row>
    <row r="153" spans="3:29" ht="15.75" customHeight="1" x14ac:dyDescent="0.35">
      <c r="C153" s="43"/>
      <c r="E153" s="134"/>
      <c r="F153" s="134"/>
      <c r="G153" s="135"/>
      <c r="H153" s="136"/>
      <c r="I153" s="136"/>
      <c r="J153" s="40">
        <f t="shared" si="6"/>
        <v>0</v>
      </c>
      <c r="K153" s="136"/>
      <c r="L153" s="135"/>
      <c r="M153" s="135"/>
      <c r="N153" s="135"/>
      <c r="O153" s="114"/>
      <c r="P153" s="135"/>
      <c r="R153" s="18"/>
      <c r="S153" s="73"/>
      <c r="T153" s="19"/>
      <c r="U153" s="17"/>
      <c r="V153" s="17"/>
      <c r="W153" s="248">
        <f t="shared" si="7"/>
        <v>0</v>
      </c>
      <c r="X153" s="17"/>
      <c r="Y153" s="19"/>
      <c r="Z153" s="135"/>
      <c r="AA153" s="73"/>
      <c r="AB153" s="19"/>
      <c r="AC153" s="18"/>
    </row>
    <row r="154" spans="3:29" ht="15.75" customHeight="1" x14ac:dyDescent="0.35">
      <c r="C154" s="43"/>
      <c r="E154" s="134"/>
      <c r="F154" s="134"/>
      <c r="G154" s="135"/>
      <c r="H154" s="136"/>
      <c r="I154" s="136"/>
      <c r="J154" s="40">
        <f t="shared" si="6"/>
        <v>0</v>
      </c>
      <c r="K154" s="136"/>
      <c r="L154" s="135"/>
      <c r="M154" s="135"/>
      <c r="N154" s="135"/>
      <c r="O154" s="114"/>
      <c r="P154" s="135"/>
      <c r="R154" s="18"/>
      <c r="S154" s="73"/>
      <c r="T154" s="19"/>
      <c r="U154" s="17"/>
      <c r="V154" s="17"/>
      <c r="W154" s="248">
        <f t="shared" si="7"/>
        <v>0</v>
      </c>
      <c r="X154" s="17"/>
      <c r="Y154" s="19"/>
      <c r="Z154" s="135"/>
      <c r="AA154" s="73"/>
      <c r="AB154" s="19"/>
      <c r="AC154" s="18"/>
    </row>
    <row r="155" spans="3:29" ht="15.75" customHeight="1" x14ac:dyDescent="0.35">
      <c r="C155" s="43"/>
      <c r="E155" s="134"/>
      <c r="F155" s="134"/>
      <c r="G155" s="135"/>
      <c r="H155" s="136"/>
      <c r="I155" s="136"/>
      <c r="J155" s="40">
        <f t="shared" si="6"/>
        <v>0</v>
      </c>
      <c r="K155" s="136"/>
      <c r="L155" s="135"/>
      <c r="M155" s="135"/>
      <c r="N155" s="135"/>
      <c r="O155" s="114"/>
      <c r="P155" s="135"/>
      <c r="R155" s="18"/>
      <c r="S155" s="73"/>
      <c r="T155" s="19"/>
      <c r="U155" s="17"/>
      <c r="V155" s="17"/>
      <c r="W155" s="248">
        <f t="shared" si="7"/>
        <v>0</v>
      </c>
      <c r="X155" s="17"/>
      <c r="Y155" s="19"/>
      <c r="Z155" s="135"/>
      <c r="AA155" s="73"/>
      <c r="AB155" s="19"/>
      <c r="AC155" s="18"/>
    </row>
    <row r="156" spans="3:29" ht="15.75" customHeight="1" x14ac:dyDescent="0.35">
      <c r="C156" s="43"/>
      <c r="E156" s="134"/>
      <c r="F156" s="134"/>
      <c r="G156" s="135"/>
      <c r="H156" s="136"/>
      <c r="I156" s="136"/>
      <c r="J156" s="40">
        <f t="shared" si="6"/>
        <v>0</v>
      </c>
      <c r="K156" s="136"/>
      <c r="L156" s="135"/>
      <c r="M156" s="135"/>
      <c r="N156" s="135"/>
      <c r="O156" s="114"/>
      <c r="P156" s="135"/>
      <c r="R156" s="18"/>
      <c r="S156" s="73"/>
      <c r="T156" s="19"/>
      <c r="U156" s="17"/>
      <c r="V156" s="17"/>
      <c r="W156" s="248">
        <f t="shared" si="7"/>
        <v>0</v>
      </c>
      <c r="X156" s="17"/>
      <c r="Y156" s="19"/>
      <c r="Z156" s="135"/>
      <c r="AA156" s="73"/>
      <c r="AB156" s="19"/>
      <c r="AC156" s="18"/>
    </row>
    <row r="157" spans="3:29" ht="15.75" customHeight="1" x14ac:dyDescent="0.35">
      <c r="C157" s="43"/>
      <c r="E157" s="134"/>
      <c r="F157" s="134"/>
      <c r="G157" s="135"/>
      <c r="H157" s="136"/>
      <c r="I157" s="136"/>
      <c r="J157" s="40">
        <f t="shared" si="6"/>
        <v>0</v>
      </c>
      <c r="K157" s="136"/>
      <c r="L157" s="135"/>
      <c r="M157" s="135"/>
      <c r="N157" s="135"/>
      <c r="O157" s="114"/>
      <c r="P157" s="135"/>
      <c r="R157" s="18"/>
      <c r="S157" s="73"/>
      <c r="T157" s="19"/>
      <c r="U157" s="17"/>
      <c r="V157" s="17"/>
      <c r="W157" s="248">
        <f t="shared" si="7"/>
        <v>0</v>
      </c>
      <c r="X157" s="17"/>
      <c r="Y157" s="19"/>
      <c r="Z157" s="135"/>
      <c r="AA157" s="73"/>
      <c r="AB157" s="19"/>
      <c r="AC157" s="18"/>
    </row>
    <row r="158" spans="3:29" ht="15.75" customHeight="1" x14ac:dyDescent="0.35">
      <c r="C158" s="43"/>
      <c r="E158" s="134"/>
      <c r="F158" s="134"/>
      <c r="G158" s="135"/>
      <c r="H158" s="136"/>
      <c r="I158" s="136"/>
      <c r="J158" s="40">
        <f t="shared" si="6"/>
        <v>0</v>
      </c>
      <c r="K158" s="136"/>
      <c r="L158" s="135"/>
      <c r="M158" s="135"/>
      <c r="N158" s="135"/>
      <c r="O158" s="114"/>
      <c r="P158" s="135"/>
      <c r="R158" s="18"/>
      <c r="S158" s="73"/>
      <c r="T158" s="19"/>
      <c r="U158" s="17"/>
      <c r="V158" s="17"/>
      <c r="W158" s="248">
        <f t="shared" si="7"/>
        <v>0</v>
      </c>
      <c r="X158" s="17"/>
      <c r="Y158" s="19"/>
      <c r="Z158" s="135"/>
      <c r="AA158" s="73"/>
      <c r="AB158" s="19"/>
      <c r="AC158" s="18"/>
    </row>
    <row r="159" spans="3:29" ht="15.75" customHeight="1" x14ac:dyDescent="0.35">
      <c r="C159" s="43"/>
      <c r="E159" s="134"/>
      <c r="F159" s="134"/>
      <c r="G159" s="135"/>
      <c r="H159" s="136"/>
      <c r="I159" s="136"/>
      <c r="J159" s="40">
        <f t="shared" si="6"/>
        <v>0</v>
      </c>
      <c r="K159" s="136"/>
      <c r="L159" s="135"/>
      <c r="M159" s="135"/>
      <c r="N159" s="135"/>
      <c r="O159" s="114"/>
      <c r="P159" s="135"/>
      <c r="R159" s="18"/>
      <c r="S159" s="73"/>
      <c r="T159" s="19"/>
      <c r="U159" s="17"/>
      <c r="V159" s="17"/>
      <c r="W159" s="248">
        <f t="shared" si="7"/>
        <v>0</v>
      </c>
      <c r="X159" s="17"/>
      <c r="Y159" s="19"/>
      <c r="Z159" s="135"/>
      <c r="AA159" s="73"/>
      <c r="AB159" s="19"/>
      <c r="AC159" s="18"/>
    </row>
    <row r="160" spans="3:29" ht="15.75" customHeight="1" x14ac:dyDescent="0.35">
      <c r="C160" s="43"/>
      <c r="E160" s="134"/>
      <c r="F160" s="134"/>
      <c r="G160" s="135"/>
      <c r="H160" s="136"/>
      <c r="I160" s="136"/>
      <c r="J160" s="40">
        <f t="shared" si="6"/>
        <v>0</v>
      </c>
      <c r="K160" s="136"/>
      <c r="L160" s="135"/>
      <c r="M160" s="135"/>
      <c r="N160" s="135"/>
      <c r="O160" s="114"/>
      <c r="P160" s="135"/>
      <c r="R160" s="18"/>
      <c r="S160" s="73"/>
      <c r="T160" s="19"/>
      <c r="U160" s="17"/>
      <c r="V160" s="17"/>
      <c r="W160" s="248">
        <f t="shared" si="7"/>
        <v>0</v>
      </c>
      <c r="X160" s="17"/>
      <c r="Y160" s="19"/>
      <c r="Z160" s="135"/>
      <c r="AA160" s="73"/>
      <c r="AB160" s="19"/>
      <c r="AC160" s="18"/>
    </row>
    <row r="161" spans="3:29" ht="15.75" customHeight="1" x14ac:dyDescent="0.35">
      <c r="C161" s="43"/>
      <c r="E161" s="134"/>
      <c r="F161" s="134"/>
      <c r="G161" s="135"/>
      <c r="H161" s="136"/>
      <c r="I161" s="136"/>
      <c r="J161" s="40">
        <f t="shared" si="6"/>
        <v>0</v>
      </c>
      <c r="K161" s="136"/>
      <c r="L161" s="135"/>
      <c r="M161" s="135"/>
      <c r="N161" s="135"/>
      <c r="O161" s="114"/>
      <c r="P161" s="135"/>
      <c r="R161" s="18"/>
      <c r="S161" s="73"/>
      <c r="T161" s="19"/>
      <c r="U161" s="17"/>
      <c r="V161" s="17"/>
      <c r="W161" s="248">
        <f t="shared" si="7"/>
        <v>0</v>
      </c>
      <c r="X161" s="17"/>
      <c r="Y161" s="19"/>
      <c r="Z161" s="135"/>
      <c r="AA161" s="73"/>
      <c r="AB161" s="19"/>
      <c r="AC161" s="18"/>
    </row>
    <row r="162" spans="3:29" ht="15.75" customHeight="1" x14ac:dyDescent="0.35">
      <c r="C162" s="43"/>
      <c r="E162" s="134"/>
      <c r="F162" s="134"/>
      <c r="G162" s="135"/>
      <c r="H162" s="136"/>
      <c r="I162" s="136"/>
      <c r="J162" s="40">
        <f t="shared" si="6"/>
        <v>0</v>
      </c>
      <c r="K162" s="136"/>
      <c r="L162" s="135"/>
      <c r="M162" s="135"/>
      <c r="N162" s="135"/>
      <c r="O162" s="114"/>
      <c r="P162" s="135"/>
      <c r="R162" s="18"/>
      <c r="S162" s="73"/>
      <c r="T162" s="19"/>
      <c r="U162" s="17"/>
      <c r="V162" s="17"/>
      <c r="W162" s="248">
        <f t="shared" si="7"/>
        <v>0</v>
      </c>
      <c r="X162" s="17"/>
      <c r="Y162" s="19"/>
      <c r="Z162" s="135"/>
      <c r="AA162" s="73"/>
      <c r="AB162" s="19"/>
      <c r="AC162" s="18"/>
    </row>
    <row r="163" spans="3:29" ht="15.75" customHeight="1" x14ac:dyDescent="0.35">
      <c r="C163" s="43"/>
      <c r="E163" s="134"/>
      <c r="F163" s="134"/>
      <c r="G163" s="135"/>
      <c r="H163" s="136"/>
      <c r="I163" s="136"/>
      <c r="J163" s="40">
        <f t="shared" si="6"/>
        <v>0</v>
      </c>
      <c r="K163" s="136"/>
      <c r="L163" s="135"/>
      <c r="M163" s="135"/>
      <c r="N163" s="135"/>
      <c r="O163" s="114"/>
      <c r="P163" s="135"/>
      <c r="R163" s="18"/>
      <c r="S163" s="73"/>
      <c r="T163" s="19"/>
      <c r="U163" s="17"/>
      <c r="V163" s="17"/>
      <c r="W163" s="248">
        <f t="shared" si="7"/>
        <v>0</v>
      </c>
      <c r="X163" s="17"/>
      <c r="Y163" s="19"/>
      <c r="Z163" s="135"/>
      <c r="AA163" s="73"/>
      <c r="AB163" s="19"/>
      <c r="AC163" s="18"/>
    </row>
    <row r="164" spans="3:29" ht="15.75" customHeight="1" x14ac:dyDescent="0.35">
      <c r="C164" s="43"/>
      <c r="E164" s="134"/>
      <c r="F164" s="134"/>
      <c r="G164" s="135"/>
      <c r="H164" s="136"/>
      <c r="I164" s="136"/>
      <c r="J164" s="40">
        <f t="shared" si="6"/>
        <v>0</v>
      </c>
      <c r="K164" s="136"/>
      <c r="L164" s="135"/>
      <c r="M164" s="135"/>
      <c r="N164" s="135"/>
      <c r="O164" s="114"/>
      <c r="P164" s="135"/>
      <c r="R164" s="18"/>
      <c r="S164" s="73"/>
      <c r="T164" s="19"/>
      <c r="U164" s="17"/>
      <c r="V164" s="17"/>
      <c r="W164" s="248">
        <f t="shared" si="7"/>
        <v>0</v>
      </c>
      <c r="X164" s="17"/>
      <c r="Y164" s="19"/>
      <c r="Z164" s="135"/>
      <c r="AA164" s="73"/>
      <c r="AB164" s="19"/>
      <c r="AC164" s="18"/>
    </row>
    <row r="165" spans="3:29" ht="15.75" customHeight="1" x14ac:dyDescent="0.35">
      <c r="C165" s="43"/>
      <c r="E165" s="134"/>
      <c r="F165" s="134"/>
      <c r="G165" s="135"/>
      <c r="H165" s="136"/>
      <c r="I165" s="136"/>
      <c r="J165" s="40">
        <f t="shared" si="6"/>
        <v>0</v>
      </c>
      <c r="K165" s="136"/>
      <c r="L165" s="135"/>
      <c r="M165" s="135"/>
      <c r="N165" s="135"/>
      <c r="O165" s="114"/>
      <c r="P165" s="135"/>
      <c r="R165" s="18"/>
      <c r="S165" s="73"/>
      <c r="T165" s="19"/>
      <c r="U165" s="17"/>
      <c r="V165" s="17"/>
      <c r="W165" s="248">
        <f t="shared" si="7"/>
        <v>0</v>
      </c>
      <c r="X165" s="17"/>
      <c r="Y165" s="19"/>
      <c r="Z165" s="135"/>
      <c r="AA165" s="73"/>
      <c r="AB165" s="19"/>
      <c r="AC165" s="18"/>
    </row>
    <row r="166" spans="3:29" ht="15.75" customHeight="1" x14ac:dyDescent="0.35">
      <c r="C166" s="43"/>
      <c r="E166" s="134"/>
      <c r="F166" s="134"/>
      <c r="G166" s="135"/>
      <c r="H166" s="136"/>
      <c r="I166" s="136"/>
      <c r="J166" s="40">
        <f t="shared" si="6"/>
        <v>0</v>
      </c>
      <c r="K166" s="136"/>
      <c r="L166" s="135"/>
      <c r="M166" s="135"/>
      <c r="N166" s="135"/>
      <c r="O166" s="114"/>
      <c r="P166" s="135"/>
      <c r="R166" s="18"/>
      <c r="S166" s="73"/>
      <c r="T166" s="19"/>
      <c r="U166" s="17"/>
      <c r="V166" s="17"/>
      <c r="W166" s="248">
        <f t="shared" si="7"/>
        <v>0</v>
      </c>
      <c r="X166" s="17"/>
      <c r="Y166" s="19"/>
      <c r="Z166" s="135"/>
      <c r="AA166" s="73"/>
      <c r="AB166" s="19"/>
      <c r="AC166" s="18"/>
    </row>
    <row r="167" spans="3:29" ht="15.75" customHeight="1" x14ac:dyDescent="0.35">
      <c r="C167" s="43"/>
      <c r="E167" s="134"/>
      <c r="F167" s="134"/>
      <c r="G167" s="135"/>
      <c r="H167" s="136"/>
      <c r="I167" s="136"/>
      <c r="J167" s="40">
        <f t="shared" si="6"/>
        <v>0</v>
      </c>
      <c r="K167" s="136"/>
      <c r="L167" s="135"/>
      <c r="M167" s="135"/>
      <c r="N167" s="135"/>
      <c r="O167" s="114"/>
      <c r="P167" s="135"/>
      <c r="R167" s="18"/>
      <c r="S167" s="73"/>
      <c r="T167" s="19"/>
      <c r="U167" s="17"/>
      <c r="V167" s="17"/>
      <c r="W167" s="248">
        <f t="shared" si="7"/>
        <v>0</v>
      </c>
      <c r="X167" s="17"/>
      <c r="Y167" s="19"/>
      <c r="Z167" s="135"/>
      <c r="AA167" s="73"/>
      <c r="AB167" s="19"/>
      <c r="AC167" s="18"/>
    </row>
    <row r="168" spans="3:29" ht="15.75" customHeight="1" x14ac:dyDescent="0.35">
      <c r="C168" s="43"/>
      <c r="E168" s="134"/>
      <c r="F168" s="134"/>
      <c r="G168" s="135"/>
      <c r="H168" s="136"/>
      <c r="I168" s="136"/>
      <c r="J168" s="40">
        <f t="shared" si="6"/>
        <v>0</v>
      </c>
      <c r="K168" s="136"/>
      <c r="L168" s="135"/>
      <c r="M168" s="135"/>
      <c r="N168" s="135"/>
      <c r="O168" s="114"/>
      <c r="P168" s="135"/>
      <c r="R168" s="18"/>
      <c r="S168" s="73"/>
      <c r="T168" s="19"/>
      <c r="U168" s="17"/>
      <c r="V168" s="17"/>
      <c r="W168" s="248">
        <f t="shared" si="7"/>
        <v>0</v>
      </c>
      <c r="X168" s="17"/>
      <c r="Y168" s="19"/>
      <c r="Z168" s="135"/>
      <c r="AA168" s="73"/>
      <c r="AB168" s="19"/>
      <c r="AC168" s="18"/>
    </row>
    <row r="169" spans="3:29" ht="15.75" customHeight="1" x14ac:dyDescent="0.35">
      <c r="C169" s="43"/>
      <c r="E169" s="134"/>
      <c r="F169" s="134"/>
      <c r="G169" s="135"/>
      <c r="H169" s="136"/>
      <c r="I169" s="136"/>
      <c r="J169" s="40">
        <f t="shared" si="6"/>
        <v>0</v>
      </c>
      <c r="K169" s="136"/>
      <c r="L169" s="135"/>
      <c r="M169" s="135"/>
      <c r="N169" s="135"/>
      <c r="O169" s="114"/>
      <c r="P169" s="135"/>
      <c r="R169" s="18"/>
      <c r="S169" s="73"/>
      <c r="T169" s="19"/>
      <c r="U169" s="17"/>
      <c r="V169" s="17"/>
      <c r="W169" s="248">
        <f t="shared" si="7"/>
        <v>0</v>
      </c>
      <c r="X169" s="17"/>
      <c r="Y169" s="19"/>
      <c r="Z169" s="135"/>
      <c r="AA169" s="73"/>
      <c r="AB169" s="19"/>
      <c r="AC169" s="18"/>
    </row>
    <row r="170" spans="3:29" ht="15.75" customHeight="1" x14ac:dyDescent="0.35">
      <c r="C170" s="43"/>
      <c r="E170" s="134"/>
      <c r="F170" s="134"/>
      <c r="G170" s="135"/>
      <c r="H170" s="136"/>
      <c r="I170" s="136"/>
      <c r="J170" s="40">
        <f t="shared" si="6"/>
        <v>0</v>
      </c>
      <c r="K170" s="136"/>
      <c r="L170" s="135"/>
      <c r="M170" s="135"/>
      <c r="N170" s="135"/>
      <c r="O170" s="114"/>
      <c r="P170" s="135"/>
      <c r="R170" s="18"/>
      <c r="S170" s="73"/>
      <c r="T170" s="39"/>
      <c r="U170" s="17"/>
      <c r="V170" s="88"/>
      <c r="W170" s="248">
        <f t="shared" si="7"/>
        <v>0</v>
      </c>
      <c r="X170" s="88"/>
      <c r="Y170" s="39"/>
      <c r="Z170" s="135"/>
      <c r="AA170" s="73"/>
      <c r="AB170" s="39"/>
      <c r="AC170" s="89"/>
    </row>
    <row r="171" spans="3:29" ht="15.75" customHeight="1" x14ac:dyDescent="0.35">
      <c r="E171" s="134"/>
      <c r="F171" s="134"/>
      <c r="G171" s="135"/>
      <c r="H171" s="136"/>
      <c r="I171" s="136"/>
      <c r="J171" s="40">
        <f t="shared" si="6"/>
        <v>0</v>
      </c>
      <c r="K171" s="136"/>
      <c r="L171" s="135"/>
      <c r="M171" s="135"/>
      <c r="N171" s="135"/>
      <c r="O171" s="114"/>
      <c r="P171" s="135"/>
      <c r="R171" s="18"/>
      <c r="S171" s="73"/>
      <c r="T171" s="19"/>
      <c r="U171" s="17"/>
      <c r="V171" s="17"/>
      <c r="W171" s="248">
        <f t="shared" si="7"/>
        <v>0</v>
      </c>
      <c r="X171" s="17"/>
      <c r="Y171" s="19"/>
      <c r="Z171" s="135"/>
      <c r="AA171" s="73"/>
      <c r="AB171" s="19"/>
      <c r="AC171" s="18"/>
    </row>
    <row r="172" spans="3:29" ht="15.75" customHeight="1" x14ac:dyDescent="0.35">
      <c r="E172" s="134"/>
      <c r="F172" s="134"/>
      <c r="G172" s="135"/>
      <c r="H172" s="136"/>
      <c r="I172" s="136"/>
      <c r="J172" s="40">
        <f t="shared" si="6"/>
        <v>0</v>
      </c>
      <c r="K172" s="136"/>
      <c r="L172" s="135"/>
      <c r="M172" s="135"/>
      <c r="N172" s="135"/>
      <c r="O172" s="114"/>
      <c r="P172" s="135"/>
      <c r="R172" s="18"/>
      <c r="S172" s="73"/>
      <c r="T172" s="19"/>
      <c r="U172" s="17"/>
      <c r="V172" s="17"/>
      <c r="W172" s="248">
        <f t="shared" si="7"/>
        <v>0</v>
      </c>
      <c r="X172" s="17"/>
      <c r="Y172" s="19"/>
      <c r="Z172" s="135"/>
      <c r="AA172" s="73"/>
      <c r="AB172" s="19"/>
      <c r="AC172" s="18"/>
    </row>
    <row r="173" spans="3:29" ht="15.75" customHeight="1" x14ac:dyDescent="0.35">
      <c r="E173" s="134"/>
      <c r="F173" s="134"/>
      <c r="G173" s="135"/>
      <c r="H173" s="136"/>
      <c r="I173" s="136"/>
      <c r="J173" s="40">
        <f t="shared" si="6"/>
        <v>0</v>
      </c>
      <c r="K173" s="136"/>
      <c r="L173" s="135"/>
      <c r="M173" s="135"/>
      <c r="N173" s="135"/>
      <c r="O173" s="114"/>
      <c r="P173" s="135"/>
      <c r="R173" s="18"/>
      <c r="S173" s="73"/>
      <c r="T173" s="37"/>
      <c r="U173" s="17"/>
      <c r="V173" s="17"/>
      <c r="W173" s="248">
        <f t="shared" si="7"/>
        <v>0</v>
      </c>
      <c r="X173" s="17"/>
      <c r="Y173" s="17"/>
      <c r="Z173" s="135"/>
      <c r="AA173" s="73"/>
      <c r="AB173" s="17"/>
      <c r="AC173" s="18"/>
    </row>
    <row r="174" spans="3:29" ht="15.75" customHeight="1" x14ac:dyDescent="0.35">
      <c r="E174" s="72"/>
      <c r="F174" s="72"/>
      <c r="G174" s="135"/>
      <c r="H174" s="136"/>
      <c r="I174" s="136"/>
      <c r="J174" s="40">
        <f t="shared" si="6"/>
        <v>0</v>
      </c>
      <c r="K174" s="136"/>
      <c r="L174" s="135"/>
      <c r="M174" s="135"/>
      <c r="N174" s="135"/>
      <c r="O174" s="114"/>
      <c r="P174" s="135"/>
      <c r="R174" s="18"/>
      <c r="S174" s="73"/>
      <c r="T174" s="39"/>
      <c r="U174" s="17"/>
      <c r="V174" s="88"/>
      <c r="W174" s="248">
        <f t="shared" si="7"/>
        <v>0</v>
      </c>
      <c r="X174" s="88"/>
      <c r="Y174" s="39"/>
      <c r="Z174" s="135"/>
      <c r="AA174" s="73"/>
      <c r="AB174" s="39"/>
      <c r="AC174" s="89"/>
    </row>
    <row r="175" spans="3:29" ht="15.75" customHeight="1" x14ac:dyDescent="0.35">
      <c r="E175" s="313"/>
      <c r="F175" s="313"/>
      <c r="G175" s="314"/>
      <c r="H175" s="145"/>
      <c r="I175" s="145"/>
      <c r="J175" s="315">
        <f t="shared" si="6"/>
        <v>0</v>
      </c>
      <c r="K175" s="145"/>
      <c r="L175" s="316"/>
      <c r="M175" s="316"/>
      <c r="N175" s="316"/>
      <c r="O175" s="317"/>
      <c r="P175" s="316"/>
      <c r="R175" s="163"/>
      <c r="S175" s="73"/>
      <c r="T175" s="163"/>
      <c r="U175" s="248"/>
      <c r="V175" s="163"/>
      <c r="W175" s="248">
        <f t="shared" si="7"/>
        <v>0</v>
      </c>
      <c r="X175" s="163"/>
      <c r="Y175" s="163"/>
      <c r="Z175" s="316"/>
      <c r="AA175" s="73"/>
      <c r="AB175" s="163"/>
      <c r="AC175" s="46"/>
    </row>
    <row r="176" spans="3:29" ht="16.5" customHeight="1" x14ac:dyDescent="0.35">
      <c r="E176" s="303"/>
      <c r="F176" s="303"/>
      <c r="G176" s="303"/>
      <c r="H176" s="305">
        <f>SUBTOTAL(9,H5:H175)</f>
        <v>16849.740000000002</v>
      </c>
      <c r="I176" s="305">
        <f>SUBTOTAL(9,I5:I175)</f>
        <v>60.350000000000009</v>
      </c>
      <c r="J176" s="305">
        <f>SUBTOTAL(9,J5:J175)</f>
        <v>16910.090000000004</v>
      </c>
      <c r="K176" s="305">
        <f>SUBTOTAL(9,K5:K175)</f>
        <v>0</v>
      </c>
      <c r="L176" s="318"/>
      <c r="M176" s="318"/>
      <c r="N176" s="318"/>
      <c r="O176" s="319"/>
      <c r="P176" s="319"/>
      <c r="R176" s="307"/>
      <c r="S176" s="201"/>
      <c r="T176" s="307"/>
      <c r="U176" s="308"/>
      <c r="V176" s="307"/>
      <c r="W176" s="308">
        <f t="shared" si="7"/>
        <v>0</v>
      </c>
      <c r="X176" s="307"/>
      <c r="Y176" s="307"/>
      <c r="Z176" s="318"/>
      <c r="AA176" s="73"/>
      <c r="AB176" s="307"/>
      <c r="AC176" s="309"/>
    </row>
    <row r="177" spans="9:29" ht="15" thickBot="1" x14ac:dyDescent="0.4">
      <c r="I177" s="22"/>
      <c r="R177" s="303"/>
      <c r="S177" s="303"/>
      <c r="T177" s="303"/>
      <c r="U177" s="305">
        <f>SUBTOTAL(9,U5:U176)</f>
        <v>22748.47</v>
      </c>
      <c r="V177" s="305">
        <f>SUBTOTAL(9,V5:V176)</f>
        <v>256.66000000000003</v>
      </c>
      <c r="W177" s="305">
        <f>SUBTOTAL(9,W5:W176)</f>
        <v>23005.13</v>
      </c>
      <c r="X177" s="305">
        <f>SUBTOTAL(9,X5:X176)</f>
        <v>0</v>
      </c>
      <c r="Y177" s="318"/>
      <c r="AA177" s="318"/>
      <c r="AB177" s="319"/>
      <c r="AC177" s="319"/>
    </row>
    <row r="178" spans="9:29" ht="15" thickTop="1" x14ac:dyDescent="0.35">
      <c r="T178" s="52"/>
      <c r="W178" s="182"/>
    </row>
    <row r="179" spans="9:29" x14ac:dyDescent="0.35">
      <c r="W179" s="182"/>
    </row>
    <row r="180" spans="9:29" x14ac:dyDescent="0.35">
      <c r="W180" s="182"/>
    </row>
    <row r="181" spans="9:29" x14ac:dyDescent="0.35">
      <c r="W181" s="182"/>
    </row>
    <row r="182" spans="9:29" x14ac:dyDescent="0.35">
      <c r="W182" s="182"/>
    </row>
    <row r="183" spans="9:29" x14ac:dyDescent="0.35">
      <c r="W183" s="182"/>
    </row>
    <row r="184" spans="9:29" x14ac:dyDescent="0.35">
      <c r="W184" s="33"/>
    </row>
  </sheetData>
  <autoFilter ref="E4:P175" xr:uid="{00000000-0009-0000-0000-000001000000}"/>
  <mergeCells count="6">
    <mergeCell ref="R3:AC3"/>
    <mergeCell ref="B9:B15"/>
    <mergeCell ref="B4:B8"/>
    <mergeCell ref="C107:C135"/>
    <mergeCell ref="A3:B3"/>
    <mergeCell ref="E3:P3"/>
  </mergeCells>
  <phoneticPr fontId="38" type="noConversion"/>
  <conditionalFormatting sqref="E5:P175">
    <cfRule type="expression" dxfId="242" priority="3">
      <formula>$O5=""</formula>
    </cfRule>
  </conditionalFormatting>
  <conditionalFormatting sqref="R5:Y176 AA5:AC176">
    <cfRule type="expression" dxfId="241" priority="2">
      <formula>$AB5=""</formula>
    </cfRule>
  </conditionalFormatting>
  <conditionalFormatting sqref="Z5:Z175">
    <cfRule type="expression" dxfId="240" priority="1">
      <formula>$O5=""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AD176"/>
  <sheetViews>
    <sheetView showGridLines="0" topLeftCell="D1" zoomScale="80" zoomScaleNormal="80" workbookViewId="0">
      <selection activeCell="M1" sqref="M1:M1048576"/>
    </sheetView>
  </sheetViews>
  <sheetFormatPr baseColWidth="10" defaultRowHeight="14.5" x14ac:dyDescent="0.35"/>
  <cols>
    <col min="1" max="1" width="37" customWidth="1"/>
    <col min="2" max="2" width="17.453125" customWidth="1"/>
    <col min="3" max="3" width="20.1796875" customWidth="1"/>
    <col min="4" max="4" width="18.453125" customWidth="1"/>
    <col min="5" max="5" width="14.54296875" customWidth="1"/>
    <col min="6" max="6" width="17.81640625" bestFit="1" customWidth="1"/>
    <col min="7" max="7" width="19.453125" bestFit="1" customWidth="1"/>
    <col min="8" max="8" width="12.81640625" bestFit="1" customWidth="1"/>
    <col min="9" max="9" width="13.81640625" customWidth="1"/>
    <col min="10" max="11" width="12.81640625" bestFit="1" customWidth="1"/>
    <col min="12" max="12" width="13.453125" bestFit="1" customWidth="1"/>
    <col min="13" max="13" width="19.7265625" hidden="1" customWidth="1"/>
    <col min="14" max="14" width="17.1796875" customWidth="1"/>
    <col min="15" max="15" width="10.81640625" bestFit="1" customWidth="1"/>
    <col min="16" max="16" width="13" bestFit="1" customWidth="1"/>
    <col min="17" max="17" width="12.81640625" bestFit="1" customWidth="1"/>
    <col min="18" max="18" width="17.7265625" bestFit="1" customWidth="1"/>
    <col min="19" max="19" width="23.54296875" customWidth="1"/>
    <col min="22" max="22" width="15.7265625" bestFit="1" customWidth="1"/>
  </cols>
  <sheetData>
    <row r="1" spans="1:30" x14ac:dyDescent="0.35"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</row>
    <row r="2" spans="1:30" ht="15" thickBot="1" x14ac:dyDescent="0.4"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30" ht="18.75" customHeight="1" thickBot="1" x14ac:dyDescent="0.5">
      <c r="A3" s="466" t="s">
        <v>46</v>
      </c>
      <c r="B3" s="465"/>
      <c r="D3" s="21"/>
      <c r="E3" s="455" t="s">
        <v>47</v>
      </c>
      <c r="F3" s="456"/>
      <c r="G3" s="456"/>
      <c r="H3" s="456"/>
      <c r="I3" s="456"/>
      <c r="J3" s="456"/>
      <c r="K3" s="456"/>
      <c r="L3" s="456"/>
      <c r="M3" s="456"/>
      <c r="N3" s="456"/>
      <c r="O3" s="456"/>
      <c r="P3" s="456"/>
      <c r="Q3" s="23"/>
      <c r="R3" s="467"/>
      <c r="S3" s="467"/>
      <c r="T3" s="467"/>
      <c r="U3" s="467"/>
      <c r="V3" s="467"/>
      <c r="W3" s="467"/>
      <c r="X3" s="467"/>
      <c r="Y3" s="467"/>
      <c r="Z3" s="467"/>
      <c r="AA3" s="23"/>
    </row>
    <row r="4" spans="1:30" ht="30.75" customHeight="1" thickBot="1" x14ac:dyDescent="0.4">
      <c r="A4" s="215" t="s">
        <v>27</v>
      </c>
      <c r="B4" s="468" t="s">
        <v>47</v>
      </c>
      <c r="D4" s="22"/>
      <c r="E4" s="296" t="s">
        <v>172</v>
      </c>
      <c r="F4" s="296" t="s">
        <v>173</v>
      </c>
      <c r="G4" s="71" t="s">
        <v>174</v>
      </c>
      <c r="H4" s="71" t="s">
        <v>34</v>
      </c>
      <c r="I4" s="71" t="s">
        <v>170</v>
      </c>
      <c r="J4" s="71" t="s">
        <v>171</v>
      </c>
      <c r="K4" s="71" t="s">
        <v>100</v>
      </c>
      <c r="L4" s="71" t="s">
        <v>36</v>
      </c>
      <c r="M4" s="71" t="s">
        <v>613</v>
      </c>
      <c r="N4" s="71" t="s">
        <v>169</v>
      </c>
      <c r="O4" s="71" t="s">
        <v>42</v>
      </c>
      <c r="P4" s="71" t="s">
        <v>45</v>
      </c>
      <c r="Q4" s="70"/>
      <c r="R4" s="9"/>
      <c r="S4" s="9"/>
      <c r="T4" s="9"/>
      <c r="U4" s="9"/>
      <c r="V4" s="9"/>
      <c r="W4" s="9"/>
      <c r="X4" s="9"/>
      <c r="Y4" s="70"/>
      <c r="Z4" s="70"/>
      <c r="AA4" s="23"/>
    </row>
    <row r="5" spans="1:30" ht="18.75" customHeight="1" thickBot="1" x14ac:dyDescent="0.4">
      <c r="A5" s="216" t="s">
        <v>26</v>
      </c>
      <c r="B5" s="468"/>
      <c r="E5" s="185">
        <v>43843</v>
      </c>
      <c r="F5" s="73"/>
      <c r="G5" s="11" t="s">
        <v>308</v>
      </c>
      <c r="H5" s="11">
        <v>1395</v>
      </c>
      <c r="I5" s="11"/>
      <c r="J5" s="186">
        <f t="shared" ref="J5:J7" si="0">H5+I5</f>
        <v>1395</v>
      </c>
      <c r="K5" s="11"/>
      <c r="L5" s="11" t="s">
        <v>1</v>
      </c>
      <c r="M5" s="39"/>
      <c r="N5" s="73"/>
      <c r="O5" s="39" t="s">
        <v>43</v>
      </c>
      <c r="P5" s="69">
        <v>43986</v>
      </c>
      <c r="Q5" s="61"/>
      <c r="R5" s="59"/>
      <c r="S5" s="60"/>
      <c r="T5" s="55"/>
      <c r="U5" s="55"/>
      <c r="V5" s="55"/>
      <c r="W5" s="55"/>
      <c r="X5" s="60"/>
      <c r="Y5" s="61"/>
      <c r="Z5" s="13"/>
      <c r="AA5" s="23"/>
    </row>
    <row r="6" spans="1:30" ht="18.75" customHeight="1" thickBot="1" x14ac:dyDescent="0.4">
      <c r="A6" s="217" t="s">
        <v>28</v>
      </c>
      <c r="B6" s="468"/>
      <c r="E6" s="185">
        <v>43846</v>
      </c>
      <c r="F6" s="73"/>
      <c r="G6" s="11" t="s">
        <v>309</v>
      </c>
      <c r="H6" s="11">
        <v>254.7</v>
      </c>
      <c r="I6" s="11"/>
      <c r="J6" s="186">
        <f t="shared" si="0"/>
        <v>254.7</v>
      </c>
      <c r="K6" s="11"/>
      <c r="L6" s="11" t="s">
        <v>1</v>
      </c>
      <c r="M6" s="39"/>
      <c r="N6" s="73"/>
      <c r="O6" s="39" t="s">
        <v>43</v>
      </c>
      <c r="P6" s="69">
        <v>43986</v>
      </c>
      <c r="Q6" s="61"/>
      <c r="R6" s="59"/>
      <c r="S6" s="60"/>
      <c r="T6" s="55"/>
      <c r="U6" s="55"/>
      <c r="V6" s="55"/>
      <c r="W6" s="55"/>
      <c r="X6" s="60"/>
      <c r="Y6" s="61"/>
      <c r="Z6" s="13"/>
      <c r="AA6" s="23"/>
    </row>
    <row r="7" spans="1:30" ht="18.75" customHeight="1" thickBot="1" x14ac:dyDescent="0.4">
      <c r="A7" s="216" t="s">
        <v>48</v>
      </c>
      <c r="B7" s="468"/>
      <c r="E7" s="134">
        <v>43847</v>
      </c>
      <c r="F7" s="73"/>
      <c r="G7" s="11" t="s">
        <v>310</v>
      </c>
      <c r="H7" s="135">
        <v>24879.53</v>
      </c>
      <c r="I7" s="135"/>
      <c r="J7" s="40">
        <f t="shared" si="0"/>
        <v>24879.53</v>
      </c>
      <c r="K7" s="135"/>
      <c r="L7" s="135" t="s">
        <v>1</v>
      </c>
      <c r="M7" s="39"/>
      <c r="N7" s="73"/>
      <c r="O7" s="114" t="s">
        <v>54</v>
      </c>
      <c r="P7" s="137">
        <v>44018</v>
      </c>
      <c r="Q7" s="61"/>
      <c r="R7" s="59"/>
      <c r="S7" s="60"/>
      <c r="T7" s="55"/>
      <c r="U7" s="55"/>
      <c r="V7" s="55"/>
      <c r="W7" s="55"/>
      <c r="X7" s="60"/>
      <c r="Y7" s="61"/>
      <c r="Z7" s="13"/>
      <c r="AA7" s="23"/>
    </row>
    <row r="8" spans="1:30" ht="18.75" customHeight="1" thickBot="1" x14ac:dyDescent="0.4">
      <c r="A8" s="218" t="s">
        <v>120</v>
      </c>
      <c r="B8" s="468"/>
      <c r="E8" s="185">
        <v>43851</v>
      </c>
      <c r="F8" s="73"/>
      <c r="G8" s="11" t="s">
        <v>311</v>
      </c>
      <c r="H8" s="186">
        <v>112.01</v>
      </c>
      <c r="I8" s="186"/>
      <c r="J8" s="186">
        <f t="shared" ref="J8:J45" si="1">H8+I8</f>
        <v>112.01</v>
      </c>
      <c r="K8" s="186"/>
      <c r="L8" s="138" t="s">
        <v>1</v>
      </c>
      <c r="M8" s="39"/>
      <c r="N8" s="73"/>
      <c r="O8" s="196" t="s">
        <v>43</v>
      </c>
      <c r="P8" s="197">
        <v>43991</v>
      </c>
      <c r="Q8" s="61"/>
      <c r="R8" s="62"/>
      <c r="S8" s="60"/>
      <c r="T8" s="55"/>
      <c r="U8" s="55"/>
      <c r="V8" s="55"/>
      <c r="W8" s="55"/>
      <c r="X8" s="60"/>
      <c r="Y8" s="23"/>
      <c r="Z8" s="13"/>
      <c r="AA8" s="23"/>
    </row>
    <row r="9" spans="1:30" ht="18.75" customHeight="1" x14ac:dyDescent="0.35">
      <c r="A9" s="90"/>
      <c r="B9" s="92"/>
      <c r="E9" s="185">
        <v>43851</v>
      </c>
      <c r="F9" s="73"/>
      <c r="G9" s="11" t="s">
        <v>312</v>
      </c>
      <c r="H9" s="11">
        <v>29.17</v>
      </c>
      <c r="I9" s="11"/>
      <c r="J9" s="186">
        <f t="shared" si="1"/>
        <v>29.17</v>
      </c>
      <c r="K9" s="11"/>
      <c r="L9" s="11" t="s">
        <v>1</v>
      </c>
      <c r="M9" s="114"/>
      <c r="N9" s="73"/>
      <c r="O9" s="39" t="s">
        <v>43</v>
      </c>
      <c r="P9" s="69">
        <v>43986</v>
      </c>
      <c r="Q9" s="61"/>
      <c r="R9" s="59"/>
      <c r="S9" s="60"/>
      <c r="T9" s="55"/>
      <c r="U9" s="55"/>
      <c r="V9" s="55"/>
      <c r="W9" s="55"/>
      <c r="X9" s="60"/>
      <c r="Y9" s="61"/>
      <c r="Z9" s="13"/>
      <c r="AA9" s="23"/>
    </row>
    <row r="10" spans="1:30" ht="15.75" customHeight="1" x14ac:dyDescent="0.35">
      <c r="A10" s="90"/>
      <c r="B10" s="92"/>
      <c r="C10" s="57"/>
      <c r="E10" s="185">
        <v>43852</v>
      </c>
      <c r="F10" s="73"/>
      <c r="G10" s="11" t="s">
        <v>313</v>
      </c>
      <c r="H10" s="186">
        <v>48.41</v>
      </c>
      <c r="I10" s="186"/>
      <c r="J10" s="186">
        <f t="shared" si="1"/>
        <v>48.41</v>
      </c>
      <c r="K10" s="186"/>
      <c r="L10" s="138" t="s">
        <v>1</v>
      </c>
      <c r="M10" s="138"/>
      <c r="N10" s="73"/>
      <c r="O10" s="196" t="s">
        <v>43</v>
      </c>
      <c r="P10" s="197">
        <v>43991</v>
      </c>
      <c r="Q10" s="55"/>
      <c r="R10" s="59"/>
      <c r="S10" s="63"/>
      <c r="T10" s="55"/>
      <c r="U10" s="55"/>
      <c r="V10" s="55"/>
      <c r="W10" s="55"/>
      <c r="X10" s="55"/>
      <c r="Y10" s="55"/>
      <c r="Z10" s="14"/>
      <c r="AA10" s="23"/>
    </row>
    <row r="11" spans="1:30" ht="18.5" x14ac:dyDescent="0.35">
      <c r="A11" s="182"/>
      <c r="B11" s="56"/>
      <c r="C11" s="57"/>
      <c r="E11" s="185">
        <v>43857</v>
      </c>
      <c r="F11" s="73"/>
      <c r="G11" s="11" t="s">
        <v>314</v>
      </c>
      <c r="H11" s="11">
        <v>255.25</v>
      </c>
      <c r="I11" s="11"/>
      <c r="J11" s="186">
        <f t="shared" si="1"/>
        <v>255.25</v>
      </c>
      <c r="K11" s="11"/>
      <c r="L11" s="11" t="s">
        <v>1</v>
      </c>
      <c r="M11" s="138"/>
      <c r="N11" s="73"/>
      <c r="O11" s="39" t="s">
        <v>43</v>
      </c>
      <c r="P11" s="69">
        <v>43986</v>
      </c>
      <c r="Q11" s="64"/>
      <c r="R11" s="59"/>
      <c r="S11" s="64"/>
      <c r="T11" s="55"/>
      <c r="U11" s="65"/>
      <c r="V11" s="55"/>
      <c r="W11" s="65"/>
      <c r="X11" s="64"/>
      <c r="Y11" s="66"/>
      <c r="Z11" s="15"/>
      <c r="AA11" s="23"/>
    </row>
    <row r="12" spans="1:30" ht="18.5" x14ac:dyDescent="0.35">
      <c r="A12" s="182"/>
      <c r="B12" s="56"/>
      <c r="C12" s="44"/>
      <c r="E12" s="185">
        <v>43867</v>
      </c>
      <c r="F12" s="73"/>
      <c r="G12" s="11" t="s">
        <v>315</v>
      </c>
      <c r="H12" s="11">
        <v>150.4</v>
      </c>
      <c r="I12" s="11"/>
      <c r="J12" s="186">
        <f t="shared" si="1"/>
        <v>150.4</v>
      </c>
      <c r="K12" s="11"/>
      <c r="L12" s="11" t="s">
        <v>2</v>
      </c>
      <c r="M12" s="95"/>
      <c r="N12" s="73"/>
      <c r="O12" s="39" t="s">
        <v>43</v>
      </c>
      <c r="P12" s="69">
        <v>43867</v>
      </c>
      <c r="Q12" s="64"/>
      <c r="R12" s="59"/>
      <c r="S12" s="64"/>
      <c r="T12" s="55"/>
      <c r="U12" s="65"/>
      <c r="V12" s="55"/>
      <c r="W12" s="65"/>
      <c r="X12" s="64"/>
      <c r="Y12" s="66"/>
      <c r="Z12" s="15"/>
      <c r="AA12" s="23"/>
      <c r="AB12" s="23"/>
      <c r="AC12" s="23"/>
      <c r="AD12" s="23"/>
    </row>
    <row r="13" spans="1:30" x14ac:dyDescent="0.35">
      <c r="A13" s="117"/>
      <c r="B13" s="118" t="s">
        <v>84</v>
      </c>
      <c r="C13" s="43"/>
      <c r="E13" s="185">
        <v>43868</v>
      </c>
      <c r="F13" s="73"/>
      <c r="G13" s="11" t="s">
        <v>316</v>
      </c>
      <c r="H13" s="11">
        <v>647.49</v>
      </c>
      <c r="I13" s="11"/>
      <c r="J13" s="186">
        <f t="shared" si="1"/>
        <v>647.49</v>
      </c>
      <c r="K13" s="11"/>
      <c r="L13" s="11" t="s">
        <v>2</v>
      </c>
      <c r="M13" s="138"/>
      <c r="N13" s="73"/>
      <c r="O13" s="39" t="s">
        <v>43</v>
      </c>
      <c r="P13" s="69">
        <v>43986</v>
      </c>
      <c r="Q13" s="64"/>
      <c r="R13" s="59"/>
      <c r="S13" s="64"/>
      <c r="T13" s="55"/>
      <c r="U13" s="65"/>
      <c r="V13" s="55"/>
      <c r="W13" s="65"/>
      <c r="X13" s="64"/>
      <c r="Y13" s="66"/>
      <c r="Z13" s="15"/>
      <c r="AA13" s="23"/>
      <c r="AB13" s="23"/>
      <c r="AC13" s="23"/>
      <c r="AD13" s="23"/>
    </row>
    <row r="14" spans="1:30" x14ac:dyDescent="0.35">
      <c r="A14" s="116"/>
      <c r="B14" s="118" t="s">
        <v>97</v>
      </c>
      <c r="C14" s="43"/>
      <c r="E14" s="185">
        <v>43871</v>
      </c>
      <c r="F14" s="73"/>
      <c r="G14" s="11" t="s">
        <v>317</v>
      </c>
      <c r="H14" s="11">
        <v>194.8</v>
      </c>
      <c r="I14" s="11"/>
      <c r="J14" s="186">
        <f t="shared" si="1"/>
        <v>194.8</v>
      </c>
      <c r="K14" s="11"/>
      <c r="L14" s="11" t="s">
        <v>2</v>
      </c>
      <c r="M14" s="138"/>
      <c r="N14" s="73"/>
      <c r="O14" s="39" t="s">
        <v>43</v>
      </c>
      <c r="P14" s="69">
        <v>43986</v>
      </c>
      <c r="Q14" s="64"/>
      <c r="R14" s="59"/>
      <c r="S14" s="64"/>
      <c r="T14" s="55"/>
      <c r="U14" s="65"/>
      <c r="V14" s="55"/>
      <c r="W14" s="65"/>
      <c r="X14" s="64"/>
      <c r="Y14" s="66"/>
      <c r="Z14" s="15"/>
      <c r="AA14" s="23"/>
      <c r="AB14" s="23"/>
      <c r="AC14" s="23"/>
      <c r="AD14" s="23"/>
    </row>
    <row r="15" spans="1:30" x14ac:dyDescent="0.35">
      <c r="A15" s="170" t="s">
        <v>94</v>
      </c>
      <c r="C15" s="43"/>
      <c r="E15" s="185">
        <v>43874</v>
      </c>
      <c r="F15" s="73"/>
      <c r="G15" s="11" t="s">
        <v>318</v>
      </c>
      <c r="H15" s="11">
        <v>150</v>
      </c>
      <c r="I15" s="11"/>
      <c r="J15" s="186">
        <f t="shared" si="1"/>
        <v>150</v>
      </c>
      <c r="K15" s="11"/>
      <c r="L15" s="11" t="s">
        <v>2</v>
      </c>
      <c r="M15" s="39"/>
      <c r="N15" s="73"/>
      <c r="O15" s="39" t="s">
        <v>43</v>
      </c>
      <c r="P15" s="69">
        <v>43986</v>
      </c>
      <c r="Q15" s="64"/>
      <c r="R15" s="59"/>
      <c r="S15" s="64"/>
      <c r="T15" s="65"/>
      <c r="U15" s="65"/>
      <c r="V15" s="55"/>
      <c r="W15" s="65"/>
      <c r="X15" s="64"/>
      <c r="Y15" s="66"/>
      <c r="Z15" s="15"/>
      <c r="AA15" s="23"/>
      <c r="AB15" s="23"/>
      <c r="AC15" s="23"/>
      <c r="AD15" s="23"/>
    </row>
    <row r="16" spans="1:30" x14ac:dyDescent="0.35">
      <c r="C16" s="43"/>
      <c r="E16" s="185">
        <v>43885</v>
      </c>
      <c r="F16" s="73"/>
      <c r="G16" s="11" t="s">
        <v>319</v>
      </c>
      <c r="H16" s="11">
        <v>54</v>
      </c>
      <c r="I16" s="11"/>
      <c r="J16" s="186">
        <f t="shared" si="1"/>
        <v>54</v>
      </c>
      <c r="K16" s="11"/>
      <c r="L16" s="11" t="s">
        <v>2</v>
      </c>
      <c r="M16" s="19"/>
      <c r="N16" s="73"/>
      <c r="O16" s="39" t="s">
        <v>43</v>
      </c>
      <c r="P16" s="69">
        <v>43986</v>
      </c>
      <c r="Q16" s="64"/>
      <c r="R16" s="59"/>
      <c r="S16" s="64"/>
      <c r="T16" s="55"/>
      <c r="U16" s="65"/>
      <c r="V16" s="55"/>
      <c r="W16" s="65"/>
      <c r="X16" s="64"/>
      <c r="Y16" s="66"/>
      <c r="Z16" s="15"/>
      <c r="AA16" s="23"/>
      <c r="AB16" s="23"/>
      <c r="AC16" s="23"/>
      <c r="AD16" s="23"/>
    </row>
    <row r="17" spans="1:30" x14ac:dyDescent="0.35">
      <c r="A17" s="182"/>
      <c r="C17" s="43"/>
      <c r="E17" s="185">
        <v>43892</v>
      </c>
      <c r="F17" s="73"/>
      <c r="G17" s="11" t="s">
        <v>320</v>
      </c>
      <c r="H17" s="186">
        <v>951.34</v>
      </c>
      <c r="I17" s="186"/>
      <c r="J17" s="186">
        <f t="shared" si="1"/>
        <v>951.34</v>
      </c>
      <c r="K17" s="186"/>
      <c r="L17" s="138" t="s">
        <v>3</v>
      </c>
      <c r="M17" s="138"/>
      <c r="N17" s="73"/>
      <c r="O17" s="39" t="s">
        <v>43</v>
      </c>
      <c r="P17" s="69">
        <v>43986</v>
      </c>
      <c r="Q17" s="64"/>
      <c r="R17" s="59"/>
      <c r="S17" s="64"/>
      <c r="T17" s="55"/>
      <c r="U17" s="65"/>
      <c r="V17" s="55"/>
      <c r="W17" s="65"/>
      <c r="X17" s="64"/>
      <c r="Y17" s="66"/>
      <c r="Z17" s="15"/>
      <c r="AA17" s="23"/>
      <c r="AB17" s="23"/>
      <c r="AC17" s="23"/>
      <c r="AD17" s="23"/>
    </row>
    <row r="18" spans="1:30" ht="15.5" x14ac:dyDescent="0.35">
      <c r="A18" s="24"/>
      <c r="C18" s="43"/>
      <c r="E18" s="185">
        <v>43892</v>
      </c>
      <c r="F18" s="73"/>
      <c r="G18" s="11" t="s">
        <v>321</v>
      </c>
      <c r="H18" s="186">
        <v>52.3</v>
      </c>
      <c r="I18" s="186">
        <v>0.01</v>
      </c>
      <c r="J18" s="186">
        <f t="shared" si="1"/>
        <v>52.309999999999995</v>
      </c>
      <c r="K18" s="186"/>
      <c r="L18" s="138" t="s">
        <v>3</v>
      </c>
      <c r="M18" s="138"/>
      <c r="N18" s="73"/>
      <c r="O18" s="196" t="s">
        <v>43</v>
      </c>
      <c r="P18" s="197">
        <v>43991</v>
      </c>
      <c r="Q18" s="64"/>
      <c r="R18" s="59"/>
      <c r="S18" s="64"/>
      <c r="T18" s="55"/>
      <c r="U18" s="65"/>
      <c r="V18" s="55"/>
      <c r="W18" s="65"/>
      <c r="X18" s="64"/>
      <c r="Y18" s="66"/>
      <c r="Z18" s="15"/>
      <c r="AA18" s="23"/>
      <c r="AB18" s="23"/>
      <c r="AC18" s="23"/>
      <c r="AD18" s="23"/>
    </row>
    <row r="19" spans="1:30" x14ac:dyDescent="0.35">
      <c r="A19" s="24"/>
      <c r="C19" s="43"/>
      <c r="E19" s="185">
        <v>43895</v>
      </c>
      <c r="F19" s="73"/>
      <c r="G19" s="11" t="s">
        <v>322</v>
      </c>
      <c r="H19" s="186">
        <v>92.4</v>
      </c>
      <c r="I19" s="186"/>
      <c r="J19" s="186">
        <f t="shared" si="1"/>
        <v>92.4</v>
      </c>
      <c r="K19" s="186"/>
      <c r="L19" s="138" t="s">
        <v>3</v>
      </c>
      <c r="M19" s="138"/>
      <c r="N19" s="73"/>
      <c r="O19" s="39" t="s">
        <v>43</v>
      </c>
      <c r="P19" s="69">
        <v>43986</v>
      </c>
      <c r="Q19" s="64"/>
      <c r="R19" s="59"/>
      <c r="S19" s="64"/>
      <c r="T19" s="55"/>
      <c r="U19" s="65"/>
      <c r="V19" s="55"/>
      <c r="W19" s="65"/>
      <c r="X19" s="64"/>
      <c r="Y19" s="66"/>
      <c r="Z19" s="15"/>
      <c r="AA19" s="23"/>
      <c r="AB19" s="23"/>
      <c r="AC19" s="23"/>
      <c r="AD19" s="23"/>
    </row>
    <row r="20" spans="1:30" x14ac:dyDescent="0.35">
      <c r="A20" s="24"/>
      <c r="C20" s="44"/>
      <c r="E20" s="185">
        <v>43923</v>
      </c>
      <c r="F20" s="73"/>
      <c r="G20" s="11" t="s">
        <v>323</v>
      </c>
      <c r="H20" s="186">
        <v>154.05000000000001</v>
      </c>
      <c r="I20" s="186"/>
      <c r="J20" s="186">
        <f t="shared" si="1"/>
        <v>154.05000000000001</v>
      </c>
      <c r="K20" s="186"/>
      <c r="L20" s="186" t="s">
        <v>4</v>
      </c>
      <c r="M20" s="138"/>
      <c r="N20" s="73"/>
      <c r="O20" s="186" t="s">
        <v>43</v>
      </c>
      <c r="P20" s="185">
        <v>43923</v>
      </c>
      <c r="Q20" s="64"/>
      <c r="R20" s="59"/>
      <c r="S20" s="64"/>
      <c r="T20" s="55"/>
      <c r="U20" s="65"/>
      <c r="V20" s="55"/>
      <c r="W20" s="65"/>
      <c r="X20" s="64"/>
      <c r="Y20" s="66"/>
      <c r="Z20" s="15"/>
      <c r="AA20" s="23"/>
      <c r="AB20" s="23"/>
      <c r="AC20" s="23"/>
      <c r="AD20" s="23"/>
    </row>
    <row r="21" spans="1:30" ht="15.5" x14ac:dyDescent="0.35">
      <c r="A21" s="24"/>
      <c r="C21" s="45"/>
      <c r="E21" s="185">
        <v>43986</v>
      </c>
      <c r="F21" s="73"/>
      <c r="G21" s="11" t="s">
        <v>324</v>
      </c>
      <c r="H21" s="11">
        <v>138.5</v>
      </c>
      <c r="I21" s="11"/>
      <c r="J21" s="186">
        <f t="shared" si="1"/>
        <v>138.5</v>
      </c>
      <c r="K21" s="11"/>
      <c r="L21" s="11" t="s">
        <v>6</v>
      </c>
      <c r="M21" s="17"/>
      <c r="N21" s="73"/>
      <c r="O21" s="39" t="s">
        <v>43</v>
      </c>
      <c r="P21" s="69">
        <v>44098</v>
      </c>
      <c r="Q21" s="64"/>
      <c r="R21" s="59"/>
      <c r="S21" s="64"/>
      <c r="T21" s="55"/>
      <c r="U21" s="65"/>
      <c r="V21" s="55"/>
      <c r="W21" s="65"/>
      <c r="X21" s="64"/>
      <c r="Y21" s="66"/>
      <c r="Z21" s="15"/>
      <c r="AA21" s="23"/>
      <c r="AB21" s="23"/>
      <c r="AC21" s="23"/>
      <c r="AD21" s="23"/>
    </row>
    <row r="22" spans="1:30" ht="15.5" x14ac:dyDescent="0.35">
      <c r="A22" s="182"/>
      <c r="C22" s="45"/>
      <c r="E22" s="185">
        <v>43987</v>
      </c>
      <c r="F22" s="73"/>
      <c r="G22" s="11" t="s">
        <v>325</v>
      </c>
      <c r="H22" s="11">
        <v>393.5</v>
      </c>
      <c r="I22" s="11"/>
      <c r="J22" s="186">
        <f t="shared" si="1"/>
        <v>393.5</v>
      </c>
      <c r="K22" s="11"/>
      <c r="L22" s="11" t="s">
        <v>6</v>
      </c>
      <c r="M22" s="138"/>
      <c r="N22" s="73"/>
      <c r="O22" s="39" t="s">
        <v>43</v>
      </c>
      <c r="P22" s="69">
        <v>44098</v>
      </c>
      <c r="Q22" s="64"/>
      <c r="R22" s="59"/>
      <c r="S22" s="64"/>
      <c r="T22" s="55"/>
      <c r="U22" s="65"/>
      <c r="V22" s="55"/>
      <c r="W22" s="65"/>
      <c r="X22" s="64"/>
      <c r="Y22" s="66"/>
      <c r="Z22" s="15"/>
      <c r="AA22" s="23"/>
      <c r="AB22" s="23"/>
      <c r="AC22" s="23"/>
      <c r="AD22" s="23"/>
    </row>
    <row r="23" spans="1:30" ht="15.5" x14ac:dyDescent="0.35">
      <c r="A23" s="182"/>
      <c r="C23" s="45"/>
      <c r="E23" s="185">
        <v>43991</v>
      </c>
      <c r="F23" s="73"/>
      <c r="G23" s="11" t="s">
        <v>326</v>
      </c>
      <c r="H23" s="11">
        <v>399</v>
      </c>
      <c r="I23" s="11"/>
      <c r="J23" s="186">
        <f t="shared" si="1"/>
        <v>399</v>
      </c>
      <c r="K23" s="11"/>
      <c r="L23" s="11" t="s">
        <v>6</v>
      </c>
      <c r="M23" s="138"/>
      <c r="N23" s="73"/>
      <c r="O23" s="196" t="s">
        <v>168</v>
      </c>
      <c r="P23" s="69">
        <v>44074</v>
      </c>
      <c r="Q23" s="64"/>
      <c r="R23" s="59"/>
      <c r="S23" s="64"/>
      <c r="T23" s="55"/>
      <c r="U23" s="65"/>
      <c r="V23" s="55"/>
      <c r="W23" s="65"/>
      <c r="X23" s="64"/>
      <c r="Y23" s="66"/>
      <c r="Z23" s="15"/>
      <c r="AA23" s="23"/>
      <c r="AB23" s="23"/>
      <c r="AC23" s="23"/>
      <c r="AD23" s="23"/>
    </row>
    <row r="24" spans="1:30" ht="15.5" x14ac:dyDescent="0.35">
      <c r="A24" s="182"/>
      <c r="C24" s="45"/>
      <c r="E24" s="185">
        <v>43991</v>
      </c>
      <c r="F24" s="73"/>
      <c r="G24" s="11" t="s">
        <v>327</v>
      </c>
      <c r="H24" s="11">
        <v>64.86</v>
      </c>
      <c r="I24" s="11"/>
      <c r="J24" s="186">
        <f t="shared" si="1"/>
        <v>64.86</v>
      </c>
      <c r="K24" s="11"/>
      <c r="L24" s="11" t="s">
        <v>6</v>
      </c>
      <c r="M24" s="114"/>
      <c r="N24" s="73"/>
      <c r="O24" s="196" t="s">
        <v>43</v>
      </c>
      <c r="P24" s="69">
        <v>44074</v>
      </c>
      <c r="Q24" s="64"/>
      <c r="R24" s="59"/>
      <c r="S24" s="64"/>
      <c r="T24" s="55"/>
      <c r="U24" s="65"/>
      <c r="V24" s="55"/>
      <c r="W24" s="65"/>
      <c r="X24" s="64"/>
      <c r="Y24" s="66"/>
      <c r="Z24" s="15"/>
      <c r="AA24" s="23"/>
      <c r="AB24" s="23"/>
      <c r="AC24" s="23"/>
      <c r="AD24" s="23"/>
    </row>
    <row r="25" spans="1:30" ht="15.5" x14ac:dyDescent="0.35">
      <c r="A25" s="182"/>
      <c r="C25" s="45"/>
      <c r="E25" s="185">
        <v>43997</v>
      </c>
      <c r="F25" s="73"/>
      <c r="G25" s="11" t="s">
        <v>328</v>
      </c>
      <c r="H25" s="11">
        <v>78</v>
      </c>
      <c r="I25" s="11"/>
      <c r="J25" s="186">
        <f t="shared" si="1"/>
        <v>78</v>
      </c>
      <c r="K25" s="11"/>
      <c r="L25" s="11" t="s">
        <v>6</v>
      </c>
      <c r="M25" s="135"/>
      <c r="N25" s="73"/>
      <c r="O25" s="39" t="s">
        <v>43</v>
      </c>
      <c r="P25" s="69">
        <v>44098</v>
      </c>
      <c r="Q25" s="64"/>
      <c r="R25" s="59"/>
      <c r="S25" s="64"/>
      <c r="T25" s="55"/>
      <c r="U25" s="65"/>
      <c r="V25" s="55"/>
      <c r="W25" s="65"/>
      <c r="X25" s="64"/>
      <c r="Y25" s="66"/>
      <c r="Z25" s="15"/>
      <c r="AA25" s="23"/>
      <c r="AB25" s="23"/>
      <c r="AC25" s="23"/>
      <c r="AD25" s="23"/>
    </row>
    <row r="26" spans="1:30" ht="15.5" x14ac:dyDescent="0.35">
      <c r="A26" s="182"/>
      <c r="C26" s="45"/>
      <c r="E26" s="185">
        <v>43998</v>
      </c>
      <c r="F26" s="73"/>
      <c r="G26" s="11" t="s">
        <v>329</v>
      </c>
      <c r="H26" s="11">
        <v>928</v>
      </c>
      <c r="I26" s="11"/>
      <c r="J26" s="186">
        <f t="shared" si="1"/>
        <v>928</v>
      </c>
      <c r="K26" s="11"/>
      <c r="L26" s="11" t="s">
        <v>6</v>
      </c>
      <c r="M26" s="39"/>
      <c r="N26" s="73"/>
      <c r="O26" s="39" t="s">
        <v>43</v>
      </c>
      <c r="P26" s="69">
        <v>44098</v>
      </c>
      <c r="Q26" s="64"/>
      <c r="R26" s="59"/>
      <c r="S26" s="64"/>
      <c r="T26" s="55"/>
      <c r="U26" s="65"/>
      <c r="V26" s="55"/>
      <c r="W26" s="65"/>
      <c r="X26" s="64"/>
      <c r="Y26" s="66"/>
      <c r="Z26" s="15"/>
      <c r="AA26" s="23"/>
      <c r="AB26" s="23"/>
      <c r="AC26" s="23"/>
      <c r="AD26" s="23"/>
    </row>
    <row r="27" spans="1:30" ht="15.5" x14ac:dyDescent="0.35">
      <c r="A27" s="182"/>
      <c r="C27" s="45"/>
      <c r="E27" s="185">
        <v>44006</v>
      </c>
      <c r="F27" s="73"/>
      <c r="G27" s="11" t="s">
        <v>330</v>
      </c>
      <c r="H27" s="11">
        <v>104</v>
      </c>
      <c r="I27" s="11"/>
      <c r="J27" s="186">
        <f t="shared" si="1"/>
        <v>104</v>
      </c>
      <c r="K27" s="11"/>
      <c r="L27" s="11" t="s">
        <v>6</v>
      </c>
      <c r="M27" s="135"/>
      <c r="N27" s="73"/>
      <c r="O27" s="39" t="s">
        <v>43</v>
      </c>
      <c r="P27" s="69">
        <v>44098</v>
      </c>
      <c r="Q27" s="64"/>
      <c r="R27" s="59"/>
      <c r="S27" s="64"/>
      <c r="T27" s="55"/>
      <c r="U27" s="65"/>
      <c r="V27" s="55"/>
      <c r="W27" s="65"/>
      <c r="X27" s="64"/>
      <c r="Y27" s="66"/>
      <c r="Z27" s="15"/>
      <c r="AA27" s="23"/>
      <c r="AB27" s="23"/>
      <c r="AC27" s="23"/>
      <c r="AD27" s="23"/>
    </row>
    <row r="28" spans="1:30" ht="15.5" x14ac:dyDescent="0.35">
      <c r="A28" s="182"/>
      <c r="C28" s="45"/>
      <c r="E28" s="185">
        <v>44006</v>
      </c>
      <c r="F28" s="73"/>
      <c r="G28" s="11" t="s">
        <v>331</v>
      </c>
      <c r="H28" s="11">
        <v>176</v>
      </c>
      <c r="I28" s="11"/>
      <c r="J28" s="186">
        <f t="shared" si="1"/>
        <v>176</v>
      </c>
      <c r="K28" s="11"/>
      <c r="L28" s="11" t="s">
        <v>6</v>
      </c>
      <c r="M28" s="39"/>
      <c r="N28" s="73"/>
      <c r="O28" s="39" t="s">
        <v>43</v>
      </c>
      <c r="P28" s="69">
        <v>44098</v>
      </c>
      <c r="Q28" s="64"/>
      <c r="R28" s="59"/>
      <c r="S28" s="64"/>
      <c r="T28" s="55"/>
      <c r="U28" s="65"/>
      <c r="V28" s="55"/>
      <c r="W28" s="65"/>
      <c r="X28" s="64"/>
      <c r="Y28" s="66"/>
      <c r="Z28" s="15"/>
      <c r="AA28" s="23"/>
      <c r="AB28" s="23"/>
      <c r="AC28" s="23"/>
      <c r="AD28" s="23"/>
    </row>
    <row r="29" spans="1:30" ht="15.5" x14ac:dyDescent="0.35">
      <c r="A29" s="182"/>
      <c r="C29" s="45"/>
      <c r="E29" s="185">
        <v>44012</v>
      </c>
      <c r="F29" s="73"/>
      <c r="G29" s="11" t="s">
        <v>332</v>
      </c>
      <c r="H29" s="11">
        <v>539.89</v>
      </c>
      <c r="I29" s="11"/>
      <c r="J29" s="186">
        <f t="shared" si="1"/>
        <v>539.89</v>
      </c>
      <c r="K29" s="11"/>
      <c r="L29" s="11" t="s">
        <v>6</v>
      </c>
      <c r="M29" s="114"/>
      <c r="N29" s="73"/>
      <c r="O29" s="39"/>
      <c r="P29" s="11"/>
      <c r="Q29" s="64"/>
      <c r="R29" s="59"/>
      <c r="S29" s="64"/>
      <c r="T29" s="55"/>
      <c r="U29" s="65"/>
      <c r="V29" s="55"/>
      <c r="W29" s="65"/>
      <c r="X29" s="64"/>
      <c r="Y29" s="66"/>
      <c r="Z29" s="15"/>
      <c r="AA29" s="23"/>
      <c r="AB29" s="23"/>
      <c r="AC29" s="23"/>
      <c r="AD29" s="23"/>
    </row>
    <row r="30" spans="1:30" ht="15.5" x14ac:dyDescent="0.35">
      <c r="A30" s="182"/>
      <c r="C30" s="45"/>
      <c r="E30" s="185">
        <v>44014</v>
      </c>
      <c r="F30" s="73"/>
      <c r="G30" s="11" t="s">
        <v>333</v>
      </c>
      <c r="H30" s="11">
        <v>147.13999999999999</v>
      </c>
      <c r="I30" s="11"/>
      <c r="J30" s="186">
        <f t="shared" si="1"/>
        <v>147.13999999999999</v>
      </c>
      <c r="K30" s="11"/>
      <c r="L30" s="11" t="s">
        <v>7</v>
      </c>
      <c r="M30" s="114"/>
      <c r="N30" s="73"/>
      <c r="O30" s="39"/>
      <c r="P30" s="11"/>
      <c r="Q30" s="64"/>
      <c r="R30" s="59"/>
      <c r="S30" s="64"/>
      <c r="T30" s="55"/>
      <c r="U30" s="65"/>
      <c r="V30" s="55"/>
      <c r="W30" s="65"/>
      <c r="X30" s="64"/>
      <c r="Y30" s="66"/>
      <c r="Z30" s="15"/>
      <c r="AA30" s="23"/>
      <c r="AB30" s="23"/>
      <c r="AC30" s="23"/>
      <c r="AD30" s="23"/>
    </row>
    <row r="31" spans="1:30" ht="15.5" x14ac:dyDescent="0.35">
      <c r="A31" s="182"/>
      <c r="C31" s="45"/>
      <c r="E31" s="185">
        <v>44014</v>
      </c>
      <c r="F31" s="73"/>
      <c r="G31" s="11" t="s">
        <v>334</v>
      </c>
      <c r="H31" s="11">
        <v>65.52</v>
      </c>
      <c r="I31" s="11"/>
      <c r="J31" s="186">
        <f t="shared" si="1"/>
        <v>65.52</v>
      </c>
      <c r="K31" s="11"/>
      <c r="L31" s="11" t="s">
        <v>7</v>
      </c>
      <c r="M31" s="135"/>
      <c r="N31" s="73"/>
      <c r="O31" s="196"/>
      <c r="P31" s="69"/>
      <c r="Q31" s="64"/>
      <c r="R31" s="59"/>
      <c r="S31" s="64"/>
      <c r="T31" s="55"/>
      <c r="U31" s="65"/>
      <c r="V31" s="55"/>
      <c r="W31" s="65"/>
      <c r="X31" s="64"/>
      <c r="Y31" s="66"/>
      <c r="Z31" s="15"/>
      <c r="AA31" s="23"/>
      <c r="AB31" s="23"/>
      <c r="AC31" s="23"/>
      <c r="AD31" s="23"/>
    </row>
    <row r="32" spans="1:30" ht="15.5" x14ac:dyDescent="0.35">
      <c r="A32" s="182"/>
      <c r="C32" s="45"/>
      <c r="E32" s="185">
        <v>44014</v>
      </c>
      <c r="F32" s="73"/>
      <c r="G32" s="11" t="s">
        <v>335</v>
      </c>
      <c r="H32" s="11">
        <v>865.2</v>
      </c>
      <c r="I32" s="11"/>
      <c r="J32" s="186">
        <f t="shared" si="1"/>
        <v>865.2</v>
      </c>
      <c r="K32" s="11"/>
      <c r="L32" s="11" t="s">
        <v>7</v>
      </c>
      <c r="M32" s="135"/>
      <c r="N32" s="73"/>
      <c r="O32" s="39" t="s">
        <v>43</v>
      </c>
      <c r="P32" s="69">
        <v>44014</v>
      </c>
      <c r="Q32" s="64"/>
      <c r="R32" s="59"/>
      <c r="S32" s="64"/>
      <c r="T32" s="55"/>
      <c r="U32" s="65"/>
      <c r="V32" s="55"/>
      <c r="W32" s="65"/>
      <c r="X32" s="64"/>
      <c r="Y32" s="66"/>
      <c r="Z32" s="15"/>
      <c r="AA32" s="23"/>
      <c r="AB32" s="23"/>
      <c r="AC32" s="23"/>
      <c r="AD32" s="23"/>
    </row>
    <row r="33" spans="1:30" ht="15.5" x14ac:dyDescent="0.35">
      <c r="A33" s="182"/>
      <c r="C33" s="45"/>
      <c r="E33" s="185">
        <v>44021</v>
      </c>
      <c r="F33" s="73"/>
      <c r="G33" s="11" t="s">
        <v>336</v>
      </c>
      <c r="H33" s="11">
        <v>23.19</v>
      </c>
      <c r="I33" s="11"/>
      <c r="J33" s="186">
        <f t="shared" si="1"/>
        <v>23.19</v>
      </c>
      <c r="K33" s="11"/>
      <c r="L33" s="11" t="s">
        <v>7</v>
      </c>
      <c r="M33" s="135"/>
      <c r="N33" s="73"/>
      <c r="O33" s="39"/>
      <c r="P33" s="11"/>
      <c r="Q33" s="64"/>
      <c r="R33" s="59"/>
      <c r="S33" s="64"/>
      <c r="T33" s="55"/>
      <c r="U33" s="65"/>
      <c r="V33" s="55"/>
      <c r="W33" s="65"/>
      <c r="X33" s="64"/>
      <c r="Y33" s="66"/>
      <c r="Z33" s="15"/>
      <c r="AA33" s="23"/>
      <c r="AB33" s="23"/>
      <c r="AC33" s="23"/>
      <c r="AD33" s="23"/>
    </row>
    <row r="34" spans="1:30" ht="15.5" x14ac:dyDescent="0.35">
      <c r="A34" s="182"/>
      <c r="C34" s="45"/>
      <c r="E34" s="185">
        <v>44034</v>
      </c>
      <c r="F34" s="73"/>
      <c r="G34" s="11" t="s">
        <v>337</v>
      </c>
      <c r="H34" s="11">
        <v>217.92</v>
      </c>
      <c r="I34" s="11"/>
      <c r="J34" s="17">
        <f t="shared" si="1"/>
        <v>217.92</v>
      </c>
      <c r="K34" s="11"/>
      <c r="L34" s="11" t="s">
        <v>7</v>
      </c>
      <c r="M34" s="135"/>
      <c r="N34" s="73"/>
      <c r="O34" s="39"/>
      <c r="P34" s="69"/>
      <c r="Q34" s="64"/>
      <c r="R34" s="59"/>
      <c r="S34" s="64"/>
      <c r="T34" s="55"/>
      <c r="U34" s="65"/>
      <c r="V34" s="55"/>
      <c r="W34" s="65"/>
      <c r="X34" s="64"/>
      <c r="Y34" s="66"/>
      <c r="Z34" s="15"/>
      <c r="AA34" s="23"/>
      <c r="AB34" s="23"/>
      <c r="AC34" s="23"/>
      <c r="AD34" s="23"/>
    </row>
    <row r="35" spans="1:30" ht="15.5" x14ac:dyDescent="0.35">
      <c r="A35" s="182"/>
      <c r="C35" s="45"/>
      <c r="E35" s="185">
        <v>44034</v>
      </c>
      <c r="F35" s="73"/>
      <c r="G35" s="11" t="s">
        <v>338</v>
      </c>
      <c r="H35" s="11">
        <v>205.82</v>
      </c>
      <c r="I35" s="11"/>
      <c r="J35" s="17">
        <f t="shared" si="1"/>
        <v>205.82</v>
      </c>
      <c r="K35" s="11"/>
      <c r="L35" s="11" t="s">
        <v>7</v>
      </c>
      <c r="M35" s="135"/>
      <c r="N35" s="73"/>
      <c r="O35" s="39"/>
      <c r="P35" s="69"/>
      <c r="Q35" s="64"/>
      <c r="R35" s="59"/>
      <c r="S35" s="64"/>
      <c r="T35" s="55"/>
      <c r="U35" s="65"/>
      <c r="V35" s="55"/>
      <c r="W35" s="65"/>
      <c r="X35" s="64"/>
      <c r="Y35" s="66"/>
      <c r="Z35" s="15"/>
      <c r="AA35" s="23"/>
      <c r="AB35" s="23"/>
      <c r="AC35" s="23"/>
      <c r="AD35" s="23"/>
    </row>
    <row r="36" spans="1:30" ht="15.5" x14ac:dyDescent="0.35">
      <c r="A36" s="182"/>
      <c r="C36" s="45"/>
      <c r="E36" s="185">
        <v>44039</v>
      </c>
      <c r="F36" s="73"/>
      <c r="G36" s="11" t="s">
        <v>339</v>
      </c>
      <c r="H36" s="11">
        <v>206</v>
      </c>
      <c r="I36" s="11"/>
      <c r="J36" s="17">
        <f t="shared" si="1"/>
        <v>206</v>
      </c>
      <c r="K36" s="11"/>
      <c r="L36" s="11" t="s">
        <v>7</v>
      </c>
      <c r="M36" s="135"/>
      <c r="N36" s="73"/>
      <c r="O36" s="39"/>
      <c r="P36" s="69"/>
      <c r="Q36" s="64"/>
      <c r="R36" s="59"/>
      <c r="S36" s="64"/>
      <c r="T36" s="55"/>
      <c r="U36" s="65"/>
      <c r="V36" s="55"/>
      <c r="W36" s="65"/>
      <c r="X36" s="64"/>
      <c r="Y36" s="66"/>
      <c r="Z36" s="15"/>
      <c r="AA36" s="23"/>
      <c r="AB36" s="23"/>
      <c r="AC36" s="23"/>
      <c r="AD36" s="23"/>
    </row>
    <row r="37" spans="1:30" ht="15.5" x14ac:dyDescent="0.35">
      <c r="A37" s="182"/>
      <c r="C37" s="45"/>
      <c r="E37" s="185">
        <v>44042</v>
      </c>
      <c r="F37" s="73"/>
      <c r="G37" s="11" t="s">
        <v>340</v>
      </c>
      <c r="H37" s="11">
        <v>344.64</v>
      </c>
      <c r="I37" s="11"/>
      <c r="J37" s="17">
        <f t="shared" si="1"/>
        <v>344.64</v>
      </c>
      <c r="K37" s="11"/>
      <c r="L37" s="11" t="s">
        <v>7</v>
      </c>
      <c r="M37" s="135"/>
      <c r="N37" s="73"/>
      <c r="O37" s="39"/>
      <c r="P37" s="69"/>
      <c r="Q37" s="64"/>
      <c r="R37" s="59"/>
      <c r="S37" s="64"/>
      <c r="T37" s="55"/>
      <c r="U37" s="65"/>
      <c r="V37" s="55"/>
      <c r="W37" s="65"/>
      <c r="X37" s="64"/>
      <c r="Y37" s="66"/>
      <c r="Z37" s="15"/>
      <c r="AA37" s="23"/>
      <c r="AB37" s="23"/>
      <c r="AC37" s="23"/>
      <c r="AD37" s="23"/>
    </row>
    <row r="38" spans="1:30" ht="15.5" x14ac:dyDescent="0.35">
      <c r="A38" s="182"/>
      <c r="C38" s="45"/>
      <c r="E38" s="185">
        <v>44056</v>
      </c>
      <c r="F38" s="73"/>
      <c r="G38" s="11" t="s">
        <v>341</v>
      </c>
      <c r="H38" s="11">
        <v>34.979999999999997</v>
      </c>
      <c r="I38" s="11"/>
      <c r="J38" s="17">
        <f t="shared" si="1"/>
        <v>34.979999999999997</v>
      </c>
      <c r="K38" s="11"/>
      <c r="L38" s="11" t="s">
        <v>8</v>
      </c>
      <c r="M38" s="135"/>
      <c r="N38" s="73"/>
      <c r="O38" s="39"/>
      <c r="P38" s="69"/>
      <c r="Q38" s="64"/>
      <c r="R38" s="59"/>
      <c r="S38" s="64"/>
      <c r="T38" s="55"/>
      <c r="U38" s="65"/>
      <c r="V38" s="55"/>
      <c r="W38" s="65"/>
      <c r="X38" s="64"/>
      <c r="Y38" s="66"/>
      <c r="Z38" s="15"/>
      <c r="AA38" s="23"/>
      <c r="AB38" s="23"/>
      <c r="AC38" s="23"/>
      <c r="AD38" s="23"/>
    </row>
    <row r="39" spans="1:30" ht="15.5" x14ac:dyDescent="0.35">
      <c r="A39" s="182"/>
      <c r="C39" s="45"/>
      <c r="E39" s="161">
        <v>44056</v>
      </c>
      <c r="F39" s="73"/>
      <c r="G39" s="11" t="s">
        <v>342</v>
      </c>
      <c r="H39" s="94">
        <v>-33</v>
      </c>
      <c r="I39" s="94"/>
      <c r="J39" s="162">
        <f t="shared" si="1"/>
        <v>-33</v>
      </c>
      <c r="K39" s="94"/>
      <c r="L39" s="94" t="s">
        <v>8</v>
      </c>
      <c r="M39" s="135"/>
      <c r="N39" s="73"/>
      <c r="O39" s="167"/>
      <c r="P39" s="282"/>
      <c r="Q39" s="64"/>
      <c r="R39" s="59"/>
      <c r="S39" s="64"/>
      <c r="T39" s="55"/>
      <c r="U39" s="65"/>
      <c r="V39" s="55"/>
      <c r="W39" s="65"/>
      <c r="X39" s="64"/>
      <c r="Y39" s="66"/>
      <c r="Z39" s="15"/>
      <c r="AA39" s="23"/>
      <c r="AB39" s="23"/>
      <c r="AC39" s="23"/>
      <c r="AD39" s="23"/>
    </row>
    <row r="40" spans="1:30" ht="15.5" x14ac:dyDescent="0.35">
      <c r="A40" s="182"/>
      <c r="C40" s="45"/>
      <c r="E40" s="185">
        <v>44063</v>
      </c>
      <c r="F40" s="73"/>
      <c r="G40" s="11" t="s">
        <v>343</v>
      </c>
      <c r="H40" s="11">
        <v>247.5</v>
      </c>
      <c r="I40" s="11"/>
      <c r="J40" s="17">
        <f t="shared" si="1"/>
        <v>247.5</v>
      </c>
      <c r="K40" s="11"/>
      <c r="L40" s="11" t="s">
        <v>8</v>
      </c>
      <c r="M40" s="135"/>
      <c r="N40" s="73"/>
      <c r="O40" s="39"/>
      <c r="P40" s="69"/>
      <c r="Q40" s="64"/>
      <c r="R40" s="59"/>
      <c r="S40" s="64"/>
      <c r="T40" s="55"/>
      <c r="U40" s="65"/>
      <c r="V40" s="55"/>
      <c r="W40" s="65"/>
      <c r="X40" s="64"/>
      <c r="Y40" s="66"/>
      <c r="Z40" s="15"/>
      <c r="AA40" s="23"/>
      <c r="AB40" s="23"/>
      <c r="AC40" s="23"/>
      <c r="AD40" s="23"/>
    </row>
    <row r="41" spans="1:30" ht="15.5" x14ac:dyDescent="0.35">
      <c r="A41" s="182"/>
      <c r="C41" s="45"/>
      <c r="E41" s="185">
        <v>44063</v>
      </c>
      <c r="F41" s="73"/>
      <c r="G41" s="11" t="s">
        <v>344</v>
      </c>
      <c r="H41" s="11">
        <v>141.75</v>
      </c>
      <c r="I41" s="11"/>
      <c r="J41" s="17">
        <f t="shared" si="1"/>
        <v>141.75</v>
      </c>
      <c r="K41" s="11"/>
      <c r="L41" s="11" t="s">
        <v>8</v>
      </c>
      <c r="M41" s="135"/>
      <c r="N41" s="73"/>
      <c r="O41" s="39"/>
      <c r="P41" s="69"/>
      <c r="Q41" s="64"/>
      <c r="R41" s="59"/>
      <c r="S41" s="64"/>
      <c r="T41" s="55"/>
      <c r="U41" s="65"/>
      <c r="V41" s="55"/>
      <c r="W41" s="65"/>
      <c r="X41" s="64"/>
      <c r="Y41" s="66"/>
      <c r="Z41" s="15"/>
      <c r="AA41" s="23"/>
      <c r="AB41" s="23"/>
      <c r="AC41" s="23"/>
      <c r="AD41" s="23"/>
    </row>
    <row r="42" spans="1:30" ht="15.5" x14ac:dyDescent="0.35">
      <c r="A42" s="182"/>
      <c r="C42" s="45"/>
      <c r="E42" s="185">
        <v>44074</v>
      </c>
      <c r="F42" s="73"/>
      <c r="G42" s="11" t="s">
        <v>345</v>
      </c>
      <c r="H42" s="11">
        <v>2.93</v>
      </c>
      <c r="I42" s="11"/>
      <c r="J42" s="17">
        <f t="shared" si="1"/>
        <v>2.93</v>
      </c>
      <c r="K42" s="11"/>
      <c r="L42" s="11" t="s">
        <v>8</v>
      </c>
      <c r="M42" s="11"/>
      <c r="N42" s="73"/>
      <c r="O42" s="39"/>
      <c r="P42" s="69"/>
      <c r="Q42" s="64"/>
      <c r="R42" s="59"/>
      <c r="S42" s="64"/>
      <c r="T42" s="55"/>
      <c r="U42" s="65"/>
      <c r="V42" s="55"/>
      <c r="W42" s="65"/>
      <c r="X42" s="64"/>
      <c r="Y42" s="66"/>
      <c r="Z42" s="15"/>
      <c r="AA42" s="23"/>
      <c r="AB42" s="23"/>
      <c r="AC42" s="23"/>
      <c r="AD42" s="23"/>
    </row>
    <row r="43" spans="1:30" ht="15.5" x14ac:dyDescent="0.35">
      <c r="A43" s="182"/>
      <c r="C43" s="45"/>
      <c r="E43" s="185">
        <v>44077</v>
      </c>
      <c r="F43" s="73"/>
      <c r="G43" s="11" t="s">
        <v>346</v>
      </c>
      <c r="H43" s="11">
        <v>376.92</v>
      </c>
      <c r="I43" s="11"/>
      <c r="J43" s="17">
        <f t="shared" si="1"/>
        <v>376.92</v>
      </c>
      <c r="K43" s="11"/>
      <c r="L43" s="11" t="s">
        <v>9</v>
      </c>
      <c r="M43" s="11"/>
      <c r="N43" s="73"/>
      <c r="O43" s="39" t="s">
        <v>43</v>
      </c>
      <c r="P43" s="69">
        <v>44077</v>
      </c>
      <c r="Q43" s="64"/>
      <c r="R43" s="59"/>
      <c r="S43" s="64"/>
      <c r="T43" s="55"/>
      <c r="U43" s="65"/>
      <c r="V43" s="55"/>
      <c r="W43" s="65"/>
      <c r="X43" s="64"/>
      <c r="Y43" s="66"/>
      <c r="Z43" s="15"/>
      <c r="AA43" s="23"/>
      <c r="AB43" s="23"/>
      <c r="AC43" s="23"/>
      <c r="AD43" s="23"/>
    </row>
    <row r="44" spans="1:30" ht="15.5" x14ac:dyDescent="0.35">
      <c r="A44" s="182"/>
      <c r="C44" s="45"/>
      <c r="E44" s="185">
        <v>44081</v>
      </c>
      <c r="F44" s="73"/>
      <c r="G44" s="11" t="s">
        <v>347</v>
      </c>
      <c r="H44" s="11">
        <v>97.3</v>
      </c>
      <c r="I44" s="11">
        <v>0.12</v>
      </c>
      <c r="J44" s="17">
        <f t="shared" si="1"/>
        <v>97.42</v>
      </c>
      <c r="K44" s="11"/>
      <c r="L44" s="11" t="s">
        <v>9</v>
      </c>
      <c r="M44" s="11"/>
      <c r="N44" s="73"/>
      <c r="O44" s="39"/>
      <c r="P44" s="69"/>
      <c r="Q44" s="64"/>
      <c r="R44" s="59"/>
      <c r="S44" s="64"/>
      <c r="T44" s="55"/>
      <c r="U44" s="65"/>
      <c r="V44" s="55"/>
      <c r="W44" s="65"/>
      <c r="X44" s="64"/>
      <c r="Y44" s="66"/>
      <c r="Z44" s="15"/>
      <c r="AA44" s="23"/>
      <c r="AB44" s="23"/>
      <c r="AC44" s="23"/>
      <c r="AD44" s="23"/>
    </row>
    <row r="45" spans="1:30" ht="15.5" x14ac:dyDescent="0.35">
      <c r="A45" s="182"/>
      <c r="C45" s="45"/>
      <c r="E45" s="185">
        <v>44042</v>
      </c>
      <c r="F45" s="73"/>
      <c r="G45" s="11" t="s">
        <v>348</v>
      </c>
      <c r="H45" s="11">
        <v>4958.32</v>
      </c>
      <c r="I45" s="11"/>
      <c r="J45" s="17">
        <f t="shared" si="1"/>
        <v>4958.32</v>
      </c>
      <c r="K45" s="11"/>
      <c r="L45" s="11" t="s">
        <v>9</v>
      </c>
      <c r="M45" s="11"/>
      <c r="N45" s="73"/>
      <c r="O45" s="39"/>
      <c r="P45" s="69"/>
      <c r="Q45" s="64"/>
      <c r="R45" s="59"/>
      <c r="S45" s="64"/>
      <c r="T45" s="55"/>
      <c r="U45" s="65"/>
      <c r="V45" s="55"/>
      <c r="W45" s="65"/>
      <c r="X45" s="64"/>
      <c r="Y45" s="66"/>
      <c r="Z45" s="15"/>
      <c r="AA45" s="23"/>
      <c r="AB45" s="23"/>
      <c r="AC45" s="23"/>
      <c r="AD45" s="23"/>
    </row>
    <row r="46" spans="1:30" ht="15.5" x14ac:dyDescent="0.35">
      <c r="A46" s="182"/>
      <c r="C46" s="45"/>
      <c r="E46" s="185">
        <v>44060</v>
      </c>
      <c r="F46" s="73"/>
      <c r="G46" s="11" t="s">
        <v>349</v>
      </c>
      <c r="H46" s="11">
        <v>1593</v>
      </c>
      <c r="I46" s="11"/>
      <c r="J46" s="17">
        <f t="shared" ref="J46:J73" si="2">H46+I46</f>
        <v>1593</v>
      </c>
      <c r="K46" s="11"/>
      <c r="L46" s="11" t="s">
        <v>8</v>
      </c>
      <c r="M46" s="11"/>
      <c r="N46" s="73"/>
      <c r="O46" s="39"/>
      <c r="P46" s="69"/>
      <c r="Q46" s="64"/>
      <c r="R46" s="59"/>
      <c r="S46" s="64"/>
      <c r="T46" s="55"/>
      <c r="U46" s="65"/>
      <c r="V46" s="55"/>
      <c r="W46" s="65"/>
      <c r="X46" s="64"/>
      <c r="Y46" s="66"/>
      <c r="Z46" s="15"/>
      <c r="AA46" s="23"/>
      <c r="AB46" s="23"/>
      <c r="AC46" s="23"/>
      <c r="AD46" s="23"/>
    </row>
    <row r="47" spans="1:30" ht="15.5" x14ac:dyDescent="0.35">
      <c r="A47" s="182"/>
      <c r="C47" s="45"/>
      <c r="E47" s="185">
        <v>44084</v>
      </c>
      <c r="F47" s="73"/>
      <c r="G47" s="11" t="s">
        <v>350</v>
      </c>
      <c r="H47" s="11">
        <v>117.3</v>
      </c>
      <c r="I47" s="11"/>
      <c r="J47" s="17">
        <f t="shared" si="2"/>
        <v>117.3</v>
      </c>
      <c r="K47" s="11"/>
      <c r="L47" s="11" t="s">
        <v>9</v>
      </c>
      <c r="M47" s="11"/>
      <c r="N47" s="73"/>
      <c r="O47" s="39"/>
      <c r="P47" s="69"/>
      <c r="Q47" s="64"/>
      <c r="R47" s="59"/>
      <c r="S47" s="64"/>
      <c r="T47" s="55"/>
      <c r="U47" s="65"/>
      <c r="V47" s="55"/>
      <c r="W47" s="65"/>
      <c r="X47" s="64"/>
      <c r="Y47" s="66"/>
      <c r="Z47" s="15"/>
      <c r="AA47" s="23"/>
      <c r="AB47" s="23"/>
      <c r="AC47" s="23"/>
      <c r="AD47" s="23"/>
    </row>
    <row r="48" spans="1:30" ht="15.5" x14ac:dyDescent="0.35">
      <c r="A48" s="182"/>
      <c r="C48" s="45"/>
      <c r="E48" s="185">
        <v>44084</v>
      </c>
      <c r="F48" s="73"/>
      <c r="G48" s="11" t="s">
        <v>351</v>
      </c>
      <c r="H48" s="11">
        <v>23.96</v>
      </c>
      <c r="I48" s="11"/>
      <c r="J48" s="17">
        <f t="shared" si="2"/>
        <v>23.96</v>
      </c>
      <c r="K48" s="11"/>
      <c r="L48" s="11" t="s">
        <v>9</v>
      </c>
      <c r="M48" s="11"/>
      <c r="N48" s="73"/>
      <c r="O48" s="39" t="s">
        <v>77</v>
      </c>
      <c r="P48" s="69">
        <v>44084</v>
      </c>
      <c r="Q48" s="64"/>
      <c r="R48" s="59"/>
      <c r="S48" s="64"/>
      <c r="T48" s="55"/>
      <c r="U48" s="65"/>
      <c r="V48" s="55"/>
      <c r="W48" s="65"/>
      <c r="X48" s="64"/>
      <c r="Y48" s="66"/>
      <c r="Z48" s="15"/>
      <c r="AA48" s="23"/>
      <c r="AB48" s="23"/>
      <c r="AC48" s="23"/>
      <c r="AD48" s="23"/>
    </row>
    <row r="49" spans="1:30" ht="15.5" x14ac:dyDescent="0.35">
      <c r="A49" s="182"/>
      <c r="C49" s="45"/>
      <c r="E49" s="185">
        <v>44089</v>
      </c>
      <c r="F49" s="73"/>
      <c r="G49" s="11" t="s">
        <v>352</v>
      </c>
      <c r="H49" s="11">
        <v>170</v>
      </c>
      <c r="I49" s="11"/>
      <c r="J49" s="17">
        <f t="shared" si="2"/>
        <v>170</v>
      </c>
      <c r="K49" s="11"/>
      <c r="L49" s="11" t="s">
        <v>9</v>
      </c>
      <c r="M49" s="11"/>
      <c r="N49" s="73"/>
      <c r="O49" s="39"/>
      <c r="P49" s="69"/>
      <c r="Q49" s="64"/>
      <c r="R49" s="59"/>
      <c r="S49" s="64"/>
      <c r="T49" s="55"/>
      <c r="U49" s="65"/>
      <c r="V49" s="55"/>
      <c r="W49" s="65"/>
      <c r="X49" s="64"/>
      <c r="Y49" s="66"/>
      <c r="Z49" s="15"/>
      <c r="AA49" s="23"/>
      <c r="AB49" s="23"/>
      <c r="AC49" s="23"/>
      <c r="AD49" s="23"/>
    </row>
    <row r="50" spans="1:30" ht="15.5" x14ac:dyDescent="0.35">
      <c r="A50" s="182"/>
      <c r="C50" s="45"/>
      <c r="E50" s="185">
        <v>44090</v>
      </c>
      <c r="F50" s="73"/>
      <c r="G50" s="11" t="s">
        <v>353</v>
      </c>
      <c r="H50" s="11">
        <v>69.03</v>
      </c>
      <c r="I50" s="11"/>
      <c r="J50" s="17">
        <f t="shared" si="2"/>
        <v>69.03</v>
      </c>
      <c r="K50" s="11"/>
      <c r="L50" s="11" t="s">
        <v>9</v>
      </c>
      <c r="M50" s="11"/>
      <c r="N50" s="73"/>
      <c r="O50" s="39"/>
      <c r="P50" s="69"/>
      <c r="Q50" s="64"/>
      <c r="R50" s="59"/>
      <c r="S50" s="64"/>
      <c r="T50" s="55"/>
      <c r="U50" s="65"/>
      <c r="V50" s="55"/>
      <c r="W50" s="65"/>
      <c r="X50" s="64"/>
      <c r="Y50" s="66"/>
      <c r="Z50" s="15"/>
      <c r="AA50" s="23"/>
      <c r="AB50" s="23"/>
      <c r="AC50" s="23"/>
      <c r="AD50" s="23"/>
    </row>
    <row r="51" spans="1:30" ht="15.5" x14ac:dyDescent="0.35">
      <c r="A51" s="182"/>
      <c r="C51" s="45"/>
      <c r="E51" s="185">
        <v>44100</v>
      </c>
      <c r="F51" s="73"/>
      <c r="G51" s="11" t="s">
        <v>354</v>
      </c>
      <c r="H51" s="11">
        <v>70</v>
      </c>
      <c r="I51" s="11"/>
      <c r="J51" s="17">
        <f t="shared" si="2"/>
        <v>70</v>
      </c>
      <c r="K51" s="11"/>
      <c r="L51" s="11" t="s">
        <v>9</v>
      </c>
      <c r="M51" s="11"/>
      <c r="N51" s="73"/>
      <c r="O51" s="39"/>
      <c r="P51" s="69"/>
      <c r="Q51" s="64"/>
      <c r="R51" s="59"/>
      <c r="S51" s="64"/>
      <c r="T51" s="55"/>
      <c r="U51" s="65"/>
      <c r="V51" s="55"/>
      <c r="W51" s="65"/>
      <c r="X51" s="64"/>
      <c r="Y51" s="66"/>
      <c r="Z51" s="15"/>
      <c r="AA51" s="23"/>
      <c r="AB51" s="23"/>
      <c r="AC51" s="23"/>
      <c r="AD51" s="23"/>
    </row>
    <row r="52" spans="1:30" ht="15.5" x14ac:dyDescent="0.35">
      <c r="A52" s="182"/>
      <c r="C52" s="45"/>
      <c r="E52" s="185">
        <v>44106</v>
      </c>
      <c r="F52" s="73"/>
      <c r="G52" s="11" t="s">
        <v>355</v>
      </c>
      <c r="H52" s="11">
        <v>170.51</v>
      </c>
      <c r="I52" s="11"/>
      <c r="J52" s="17">
        <f t="shared" si="2"/>
        <v>170.51</v>
      </c>
      <c r="K52" s="11"/>
      <c r="L52" s="11" t="s">
        <v>10</v>
      </c>
      <c r="M52" s="11"/>
      <c r="N52" s="73"/>
      <c r="O52" s="39"/>
      <c r="P52" s="69"/>
      <c r="Q52" s="64"/>
      <c r="R52" s="59"/>
      <c r="S52" s="64"/>
      <c r="T52" s="55"/>
      <c r="U52" s="65"/>
      <c r="V52" s="55"/>
      <c r="W52" s="65"/>
      <c r="X52" s="64"/>
      <c r="Y52" s="66"/>
      <c r="Z52" s="15"/>
      <c r="AA52" s="23"/>
      <c r="AB52" s="23"/>
      <c r="AC52" s="23"/>
      <c r="AD52" s="23"/>
    </row>
    <row r="53" spans="1:30" ht="15.5" x14ac:dyDescent="0.35">
      <c r="A53" s="182"/>
      <c r="C53" s="45"/>
      <c r="E53" s="185">
        <v>44095</v>
      </c>
      <c r="F53" s="73"/>
      <c r="G53" s="11" t="s">
        <v>356</v>
      </c>
      <c r="H53" s="11">
        <v>210</v>
      </c>
      <c r="I53" s="11"/>
      <c r="J53" s="17">
        <f t="shared" si="2"/>
        <v>210</v>
      </c>
      <c r="K53" s="11"/>
      <c r="L53" s="11" t="s">
        <v>9</v>
      </c>
      <c r="M53" s="135"/>
      <c r="N53" s="73"/>
      <c r="O53" s="39"/>
      <c r="P53" s="69"/>
      <c r="Q53" s="64"/>
      <c r="R53" s="59"/>
      <c r="S53" s="64"/>
      <c r="T53" s="55"/>
      <c r="U53" s="65"/>
      <c r="V53" s="55"/>
      <c r="W53" s="65"/>
      <c r="X53" s="64"/>
      <c r="Y53" s="66"/>
      <c r="Z53" s="15"/>
      <c r="AA53" s="23"/>
      <c r="AB53" s="23"/>
      <c r="AC53" s="23"/>
      <c r="AD53" s="23"/>
    </row>
    <row r="54" spans="1:30" ht="15.5" x14ac:dyDescent="0.35">
      <c r="A54" s="182"/>
      <c r="C54" s="45"/>
      <c r="E54" s="161">
        <v>44106</v>
      </c>
      <c r="F54" s="73"/>
      <c r="G54" s="11" t="s">
        <v>357</v>
      </c>
      <c r="H54" s="94">
        <v>-13.8</v>
      </c>
      <c r="I54" s="94"/>
      <c r="J54" s="162">
        <f t="shared" si="2"/>
        <v>-13.8</v>
      </c>
      <c r="K54" s="94"/>
      <c r="L54" s="94" t="s">
        <v>10</v>
      </c>
      <c r="M54" s="135"/>
      <c r="N54" s="73"/>
      <c r="O54" s="167"/>
      <c r="P54" s="282"/>
      <c r="Q54" s="64"/>
      <c r="R54" s="59"/>
      <c r="S54" s="64"/>
      <c r="T54" s="55"/>
      <c r="U54" s="65"/>
      <c r="V54" s="55"/>
      <c r="W54" s="65"/>
      <c r="X54" s="64"/>
      <c r="Y54" s="66"/>
      <c r="Z54" s="15"/>
      <c r="AA54" s="23"/>
      <c r="AB54" s="23"/>
      <c r="AC54" s="23"/>
      <c r="AD54" s="23"/>
    </row>
    <row r="55" spans="1:30" ht="15.5" x14ac:dyDescent="0.35">
      <c r="A55" s="182"/>
      <c r="C55" s="45"/>
      <c r="E55" s="185">
        <v>44098</v>
      </c>
      <c r="F55" s="73"/>
      <c r="G55" s="11" t="s">
        <v>358</v>
      </c>
      <c r="H55" s="11">
        <v>126.5</v>
      </c>
      <c r="I55" s="11">
        <v>10.75</v>
      </c>
      <c r="J55" s="17">
        <f t="shared" si="2"/>
        <v>137.25</v>
      </c>
      <c r="K55" s="11"/>
      <c r="L55" s="11" t="s">
        <v>9</v>
      </c>
      <c r="M55" s="135"/>
      <c r="N55" s="73"/>
      <c r="O55" s="39" t="s">
        <v>43</v>
      </c>
      <c r="P55" s="69">
        <v>44098</v>
      </c>
      <c r="Q55" s="64"/>
      <c r="R55" s="59"/>
      <c r="S55" s="64"/>
      <c r="T55" s="55"/>
      <c r="U55" s="65"/>
      <c r="V55" s="55"/>
      <c r="W55" s="65"/>
      <c r="X55" s="64"/>
      <c r="Y55" s="66"/>
      <c r="Z55" s="15"/>
      <c r="AA55" s="23"/>
      <c r="AB55" s="23"/>
      <c r="AC55" s="23"/>
      <c r="AD55" s="23"/>
    </row>
    <row r="56" spans="1:30" ht="15.5" x14ac:dyDescent="0.35">
      <c r="A56" s="182"/>
      <c r="C56" s="45"/>
      <c r="E56" s="185">
        <v>44098</v>
      </c>
      <c r="F56" s="73"/>
      <c r="G56" s="11" t="s">
        <v>359</v>
      </c>
      <c r="H56" s="11">
        <v>13.8</v>
      </c>
      <c r="I56" s="11"/>
      <c r="J56" s="17">
        <f t="shared" si="2"/>
        <v>13.8</v>
      </c>
      <c r="K56" s="11"/>
      <c r="L56" s="11" t="s">
        <v>9</v>
      </c>
      <c r="M56" s="135"/>
      <c r="N56" s="73"/>
      <c r="O56" s="39" t="s">
        <v>43</v>
      </c>
      <c r="P56" s="69">
        <v>44098</v>
      </c>
      <c r="Q56" s="64"/>
      <c r="R56" s="59"/>
      <c r="S56" s="64"/>
      <c r="T56" s="55"/>
      <c r="U56" s="65"/>
      <c r="V56" s="55"/>
      <c r="W56" s="65"/>
      <c r="X56" s="64"/>
      <c r="Y56" s="66"/>
      <c r="Z56" s="15"/>
      <c r="AA56" s="23"/>
      <c r="AB56" s="23"/>
      <c r="AC56" s="23"/>
      <c r="AD56" s="23"/>
    </row>
    <row r="57" spans="1:30" x14ac:dyDescent="0.35">
      <c r="A57" s="24"/>
      <c r="C57" s="43"/>
      <c r="E57" s="73"/>
      <c r="F57" s="73"/>
      <c r="G57" s="73"/>
      <c r="H57" s="73"/>
      <c r="I57" s="73"/>
      <c r="J57" s="17">
        <f t="shared" si="2"/>
        <v>0</v>
      </c>
      <c r="K57" s="73"/>
      <c r="L57" s="73"/>
      <c r="M57" s="135"/>
      <c r="N57" s="73"/>
      <c r="O57" s="73"/>
      <c r="P57" s="73"/>
      <c r="Q57" s="64"/>
      <c r="R57" s="59"/>
      <c r="S57" s="64"/>
      <c r="T57" s="55"/>
      <c r="U57" s="65"/>
      <c r="V57" s="55"/>
      <c r="W57" s="65"/>
      <c r="X57" s="64"/>
      <c r="Y57" s="66"/>
      <c r="Z57" s="15"/>
      <c r="AA57" s="23"/>
      <c r="AB57" s="23"/>
      <c r="AC57" s="23"/>
      <c r="AD57" s="23"/>
    </row>
    <row r="58" spans="1:30" x14ac:dyDescent="0.35">
      <c r="A58" s="24"/>
      <c r="C58" s="43"/>
      <c r="E58" s="73"/>
      <c r="F58" s="73"/>
      <c r="G58" s="73"/>
      <c r="H58" s="73"/>
      <c r="I58" s="73"/>
      <c r="J58" s="17">
        <f t="shared" si="2"/>
        <v>0</v>
      </c>
      <c r="K58" s="73"/>
      <c r="L58" s="73"/>
      <c r="M58" s="135"/>
      <c r="N58" s="73"/>
      <c r="O58" s="73"/>
      <c r="P58" s="73"/>
      <c r="Q58" s="64"/>
      <c r="R58" s="59"/>
      <c r="S58" s="64"/>
      <c r="T58" s="55"/>
      <c r="U58" s="65"/>
      <c r="V58" s="55"/>
      <c r="W58" s="65"/>
      <c r="X58" s="64"/>
      <c r="Y58" s="66"/>
      <c r="Z58" s="15"/>
      <c r="AA58" s="23"/>
      <c r="AB58" s="23"/>
      <c r="AC58" s="23"/>
      <c r="AD58" s="23"/>
    </row>
    <row r="59" spans="1:30" x14ac:dyDescent="0.35">
      <c r="A59" s="24"/>
      <c r="C59" s="43"/>
      <c r="E59" s="73"/>
      <c r="F59" s="73"/>
      <c r="G59" s="73"/>
      <c r="H59" s="73"/>
      <c r="I59" s="73"/>
      <c r="J59" s="17">
        <f t="shared" si="2"/>
        <v>0</v>
      </c>
      <c r="K59" s="73"/>
      <c r="L59" s="73"/>
      <c r="M59" s="135"/>
      <c r="N59" s="73"/>
      <c r="O59" s="73"/>
      <c r="P59" s="73"/>
      <c r="Q59" s="64"/>
      <c r="R59" s="59"/>
      <c r="S59" s="64"/>
      <c r="T59" s="55"/>
      <c r="U59" s="65"/>
      <c r="V59" s="55"/>
      <c r="W59" s="65"/>
      <c r="X59" s="64"/>
      <c r="Y59" s="66"/>
      <c r="Z59" s="15"/>
      <c r="AA59" s="23"/>
      <c r="AB59" s="23"/>
      <c r="AC59" s="23"/>
      <c r="AD59" s="23"/>
    </row>
    <row r="60" spans="1:30" x14ac:dyDescent="0.35">
      <c r="A60" s="24"/>
      <c r="C60" s="43"/>
      <c r="E60" s="73"/>
      <c r="F60" s="73"/>
      <c r="G60" s="73"/>
      <c r="H60" s="73"/>
      <c r="I60" s="73"/>
      <c r="J60" s="17">
        <f t="shared" si="2"/>
        <v>0</v>
      </c>
      <c r="K60" s="73"/>
      <c r="L60" s="73"/>
      <c r="M60" s="135"/>
      <c r="N60" s="73"/>
      <c r="O60" s="73"/>
      <c r="P60" s="73"/>
      <c r="Q60" s="15"/>
      <c r="R60" s="59"/>
      <c r="S60" s="64"/>
      <c r="T60" s="55"/>
      <c r="U60" s="65"/>
      <c r="V60" s="55"/>
      <c r="W60" s="65"/>
      <c r="X60" s="64"/>
      <c r="Y60" s="66"/>
      <c r="Z60" s="15"/>
      <c r="AA60" s="23"/>
      <c r="AB60" s="23"/>
      <c r="AC60" s="23"/>
      <c r="AD60" s="23"/>
    </row>
    <row r="61" spans="1:30" x14ac:dyDescent="0.35">
      <c r="A61" s="24"/>
      <c r="C61" s="43"/>
      <c r="E61" s="73"/>
      <c r="F61" s="73"/>
      <c r="G61" s="73"/>
      <c r="H61" s="73"/>
      <c r="I61" s="73"/>
      <c r="J61" s="17">
        <f t="shared" si="2"/>
        <v>0</v>
      </c>
      <c r="K61" s="73"/>
      <c r="L61" s="73"/>
      <c r="M61" s="135"/>
      <c r="N61" s="73"/>
      <c r="O61" s="73"/>
      <c r="P61" s="73"/>
      <c r="Q61" s="15"/>
      <c r="R61" s="59"/>
      <c r="S61" s="64"/>
      <c r="T61" s="55"/>
      <c r="U61" s="65"/>
      <c r="V61" s="55"/>
      <c r="W61" s="65"/>
      <c r="X61" s="64"/>
      <c r="Y61" s="66"/>
      <c r="Z61" s="15"/>
      <c r="AA61" s="23"/>
      <c r="AB61" s="23"/>
      <c r="AC61" s="23"/>
      <c r="AD61" s="23"/>
    </row>
    <row r="62" spans="1:30" x14ac:dyDescent="0.35">
      <c r="A62" s="24"/>
      <c r="C62" s="43"/>
      <c r="E62" s="73"/>
      <c r="F62" s="73"/>
      <c r="G62" s="73"/>
      <c r="H62" s="73"/>
      <c r="I62" s="73"/>
      <c r="J62" s="17">
        <f t="shared" si="2"/>
        <v>0</v>
      </c>
      <c r="K62" s="73"/>
      <c r="L62" s="73"/>
      <c r="M62" s="135"/>
      <c r="N62" s="73"/>
      <c r="O62" s="73"/>
      <c r="P62" s="73"/>
      <c r="Q62" s="15"/>
      <c r="R62" s="59"/>
      <c r="S62" s="64"/>
      <c r="T62" s="55"/>
      <c r="U62" s="65"/>
      <c r="V62" s="55"/>
      <c r="W62" s="65"/>
      <c r="X62" s="64"/>
      <c r="Y62" s="66"/>
      <c r="Z62" s="15"/>
      <c r="AA62" s="23"/>
      <c r="AB62" s="23"/>
      <c r="AC62" s="23"/>
      <c r="AD62" s="23"/>
    </row>
    <row r="63" spans="1:30" x14ac:dyDescent="0.35">
      <c r="A63" s="24"/>
      <c r="C63" s="43"/>
      <c r="E63" s="73"/>
      <c r="F63" s="73"/>
      <c r="G63" s="73"/>
      <c r="H63" s="73"/>
      <c r="I63" s="73"/>
      <c r="J63" s="17">
        <f t="shared" si="2"/>
        <v>0</v>
      </c>
      <c r="K63" s="73"/>
      <c r="L63" s="73"/>
      <c r="M63" s="135"/>
      <c r="N63" s="73"/>
      <c r="O63" s="73"/>
      <c r="P63" s="73"/>
      <c r="Q63" s="15"/>
      <c r="R63" s="59"/>
      <c r="S63" s="64"/>
      <c r="T63" s="55"/>
      <c r="U63" s="65"/>
      <c r="V63" s="55"/>
      <c r="W63" s="65"/>
      <c r="X63" s="64"/>
      <c r="Y63" s="66"/>
      <c r="Z63" s="15"/>
      <c r="AA63" s="23"/>
      <c r="AB63" s="23"/>
      <c r="AC63" s="23"/>
      <c r="AD63" s="23"/>
    </row>
    <row r="64" spans="1:30" x14ac:dyDescent="0.35">
      <c r="A64" s="24"/>
      <c r="C64" s="44"/>
      <c r="E64" s="73"/>
      <c r="F64" s="73"/>
      <c r="G64" s="73"/>
      <c r="H64" s="73"/>
      <c r="I64" s="73"/>
      <c r="J64" s="17">
        <f t="shared" si="2"/>
        <v>0</v>
      </c>
      <c r="K64" s="73"/>
      <c r="L64" s="73"/>
      <c r="M64" s="135"/>
      <c r="N64" s="73"/>
      <c r="O64" s="73"/>
      <c r="P64" s="73"/>
      <c r="Q64" s="15"/>
      <c r="R64" s="59"/>
      <c r="S64" s="64"/>
      <c r="T64" s="55"/>
      <c r="U64" s="65"/>
      <c r="V64" s="55"/>
      <c r="W64" s="65"/>
      <c r="X64" s="64"/>
      <c r="Y64" s="66"/>
      <c r="Z64" s="15"/>
      <c r="AA64" s="23"/>
      <c r="AB64" s="23"/>
      <c r="AC64" s="23"/>
      <c r="AD64" s="23"/>
    </row>
    <row r="65" spans="1:30" x14ac:dyDescent="0.35">
      <c r="A65" s="24"/>
      <c r="C65" s="44"/>
      <c r="E65" s="73"/>
      <c r="F65" s="73"/>
      <c r="G65" s="73"/>
      <c r="H65" s="73"/>
      <c r="I65" s="73"/>
      <c r="J65" s="17">
        <f t="shared" si="2"/>
        <v>0</v>
      </c>
      <c r="K65" s="73"/>
      <c r="L65" s="73"/>
      <c r="M65" s="135"/>
      <c r="N65" s="73"/>
      <c r="O65" s="73"/>
      <c r="P65" s="73"/>
      <c r="Q65" s="15"/>
      <c r="R65" s="59"/>
      <c r="S65" s="64"/>
      <c r="T65" s="55"/>
      <c r="U65" s="65"/>
      <c r="V65" s="55"/>
      <c r="W65" s="65"/>
      <c r="X65" s="64"/>
      <c r="Y65" s="66"/>
      <c r="Z65" s="15"/>
      <c r="AA65" s="23"/>
      <c r="AB65" s="23"/>
      <c r="AC65" s="23"/>
      <c r="AD65" s="23"/>
    </row>
    <row r="66" spans="1:30" x14ac:dyDescent="0.35">
      <c r="A66" s="24"/>
      <c r="E66" s="73"/>
      <c r="F66" s="73"/>
      <c r="G66" s="73"/>
      <c r="H66" s="73"/>
      <c r="I66" s="73"/>
      <c r="J66" s="17">
        <f t="shared" si="2"/>
        <v>0</v>
      </c>
      <c r="K66" s="73"/>
      <c r="L66" s="73"/>
      <c r="M66" s="135"/>
      <c r="N66" s="73"/>
      <c r="O66" s="73"/>
      <c r="P66" s="73"/>
      <c r="Q66" s="15"/>
      <c r="R66" s="59"/>
      <c r="S66" s="64"/>
      <c r="T66" s="55"/>
      <c r="U66" s="65"/>
      <c r="V66" s="55"/>
      <c r="W66" s="65"/>
      <c r="X66" s="64"/>
      <c r="Y66" s="66"/>
      <c r="Z66" s="15"/>
      <c r="AA66" s="23"/>
      <c r="AB66" s="23"/>
      <c r="AC66" s="23"/>
      <c r="AD66" s="23"/>
    </row>
    <row r="67" spans="1:30" x14ac:dyDescent="0.35">
      <c r="A67" s="24"/>
      <c r="E67" s="73"/>
      <c r="F67" s="73"/>
      <c r="G67" s="73"/>
      <c r="H67" s="73"/>
      <c r="I67" s="73"/>
      <c r="J67" s="17">
        <f t="shared" si="2"/>
        <v>0</v>
      </c>
      <c r="K67" s="73"/>
      <c r="L67" s="73"/>
      <c r="M67" s="135"/>
      <c r="N67" s="73"/>
      <c r="O67" s="73"/>
      <c r="P67" s="73"/>
      <c r="Q67" s="15"/>
      <c r="R67" s="59"/>
      <c r="S67" s="64"/>
      <c r="T67" s="55"/>
      <c r="U67" s="65"/>
      <c r="V67" s="55"/>
      <c r="W67" s="65"/>
      <c r="X67" s="64"/>
      <c r="Y67" s="66"/>
      <c r="Z67" s="15"/>
      <c r="AA67" s="23"/>
      <c r="AB67" s="23"/>
      <c r="AC67" s="23"/>
      <c r="AD67" s="23"/>
    </row>
    <row r="68" spans="1:30" x14ac:dyDescent="0.35">
      <c r="A68" s="24"/>
      <c r="E68" s="73"/>
      <c r="F68" s="73"/>
      <c r="G68" s="73"/>
      <c r="H68" s="73"/>
      <c r="I68" s="73"/>
      <c r="J68" s="17">
        <f t="shared" si="2"/>
        <v>0</v>
      </c>
      <c r="K68" s="73"/>
      <c r="L68" s="73"/>
      <c r="M68" s="135"/>
      <c r="N68" s="73"/>
      <c r="O68" s="73"/>
      <c r="P68" s="73"/>
      <c r="Q68" s="15"/>
      <c r="R68" s="59"/>
      <c r="S68" s="64"/>
      <c r="T68" s="55"/>
      <c r="U68" s="65"/>
      <c r="V68" s="55"/>
      <c r="W68" s="65"/>
      <c r="X68" s="64"/>
      <c r="Y68" s="66"/>
      <c r="Z68" s="15"/>
      <c r="AA68" s="23"/>
      <c r="AB68" s="23"/>
      <c r="AC68" s="23"/>
      <c r="AD68" s="23"/>
    </row>
    <row r="69" spans="1:30" x14ac:dyDescent="0.35">
      <c r="A69" s="24"/>
      <c r="E69" s="73"/>
      <c r="F69" s="73"/>
      <c r="G69" s="73"/>
      <c r="H69" s="73"/>
      <c r="I69" s="73"/>
      <c r="J69" s="17">
        <f t="shared" si="2"/>
        <v>0</v>
      </c>
      <c r="K69" s="73"/>
      <c r="L69" s="73"/>
      <c r="M69" s="135"/>
      <c r="N69" s="73"/>
      <c r="O69" s="73"/>
      <c r="P69" s="73"/>
      <c r="Q69" s="15"/>
      <c r="R69" s="59"/>
      <c r="S69" s="64"/>
      <c r="T69" s="55"/>
      <c r="U69" s="65"/>
      <c r="V69" s="55"/>
      <c r="W69" s="65"/>
      <c r="X69" s="64"/>
      <c r="Y69" s="66"/>
      <c r="Z69" s="15"/>
      <c r="AA69" s="23"/>
      <c r="AB69" s="23"/>
      <c r="AC69" s="23"/>
      <c r="AD69" s="23"/>
    </row>
    <row r="70" spans="1:30" x14ac:dyDescent="0.35">
      <c r="A70" s="24"/>
      <c r="E70" s="73"/>
      <c r="F70" s="73"/>
      <c r="G70" s="73"/>
      <c r="H70" s="73"/>
      <c r="I70" s="73"/>
      <c r="J70" s="17">
        <f t="shared" si="2"/>
        <v>0</v>
      </c>
      <c r="K70" s="73"/>
      <c r="L70" s="73"/>
      <c r="M70" s="135"/>
      <c r="N70" s="73"/>
      <c r="O70" s="73"/>
      <c r="P70" s="73"/>
      <c r="Q70" s="15"/>
      <c r="R70" s="59"/>
      <c r="S70" s="64"/>
      <c r="T70" s="55"/>
      <c r="U70" s="65"/>
      <c r="V70" s="55"/>
      <c r="W70" s="65"/>
      <c r="X70" s="64"/>
      <c r="Y70" s="66"/>
      <c r="Z70" s="15"/>
      <c r="AA70" s="23"/>
      <c r="AB70" s="23"/>
      <c r="AC70" s="23"/>
      <c r="AD70" s="23"/>
    </row>
    <row r="71" spans="1:30" x14ac:dyDescent="0.35">
      <c r="A71" s="24"/>
      <c r="E71" s="73"/>
      <c r="F71" s="73"/>
      <c r="G71" s="73"/>
      <c r="H71" s="73"/>
      <c r="I71" s="73"/>
      <c r="J71" s="17">
        <f t="shared" si="2"/>
        <v>0</v>
      </c>
      <c r="K71" s="73"/>
      <c r="L71" s="73"/>
      <c r="M71" s="135"/>
      <c r="N71" s="73"/>
      <c r="O71" s="73"/>
      <c r="P71" s="73"/>
      <c r="Q71" s="15"/>
      <c r="R71" s="59"/>
      <c r="S71" s="64"/>
      <c r="T71" s="55"/>
      <c r="U71" s="65"/>
      <c r="V71" s="55"/>
      <c r="W71" s="65"/>
      <c r="X71" s="64"/>
      <c r="Y71" s="66"/>
      <c r="Z71" s="15"/>
      <c r="AA71" s="23"/>
      <c r="AB71" s="23"/>
      <c r="AC71" s="23"/>
      <c r="AD71" s="23"/>
    </row>
    <row r="72" spans="1:30" x14ac:dyDescent="0.35">
      <c r="A72" s="24"/>
      <c r="E72" s="73"/>
      <c r="F72" s="73"/>
      <c r="G72" s="73"/>
      <c r="H72" s="73"/>
      <c r="I72" s="73"/>
      <c r="J72" s="17">
        <f t="shared" si="2"/>
        <v>0</v>
      </c>
      <c r="K72" s="73"/>
      <c r="L72" s="73"/>
      <c r="M72" s="135"/>
      <c r="N72" s="73"/>
      <c r="O72" s="73"/>
      <c r="P72" s="73"/>
      <c r="Q72" s="15"/>
      <c r="R72" s="59"/>
      <c r="S72" s="64"/>
      <c r="T72" s="55"/>
      <c r="U72" s="65"/>
      <c r="V72" s="55"/>
      <c r="W72" s="65"/>
      <c r="X72" s="64"/>
      <c r="Y72" s="66"/>
      <c r="Z72" s="15"/>
      <c r="AA72" s="23"/>
      <c r="AB72" s="23"/>
      <c r="AC72" s="23"/>
      <c r="AD72" s="23"/>
    </row>
    <row r="73" spans="1:30" x14ac:dyDescent="0.35">
      <c r="A73" s="24"/>
      <c r="E73" s="73"/>
      <c r="F73" s="73"/>
      <c r="G73" s="73"/>
      <c r="H73" s="73"/>
      <c r="I73" s="73"/>
      <c r="J73" s="17">
        <f t="shared" si="2"/>
        <v>0</v>
      </c>
      <c r="K73" s="73"/>
      <c r="L73" s="73"/>
      <c r="M73" s="135"/>
      <c r="N73" s="73"/>
      <c r="O73" s="73"/>
      <c r="P73" s="73"/>
      <c r="Q73" s="15"/>
      <c r="R73" s="59"/>
      <c r="S73" s="64"/>
      <c r="T73" s="55"/>
      <c r="U73" s="65"/>
      <c r="V73" s="55"/>
      <c r="W73" s="65"/>
      <c r="X73" s="64"/>
      <c r="Y73" s="66"/>
      <c r="Z73" s="15"/>
      <c r="AA73" s="23"/>
      <c r="AB73" s="23"/>
      <c r="AC73" s="23"/>
      <c r="AD73" s="23"/>
    </row>
    <row r="74" spans="1:30" x14ac:dyDescent="0.35">
      <c r="A74" s="24"/>
      <c r="E74" s="18"/>
      <c r="F74" s="73"/>
      <c r="G74" s="11"/>
      <c r="H74" s="36"/>
      <c r="I74" s="36"/>
      <c r="J74" s="17">
        <f t="shared" ref="J74:J84" si="3">H74+I74</f>
        <v>0</v>
      </c>
      <c r="K74" s="36"/>
      <c r="L74" s="11"/>
      <c r="M74" s="135"/>
      <c r="N74" s="73"/>
      <c r="O74" s="39"/>
      <c r="P74" s="11"/>
      <c r="Q74" s="15"/>
      <c r="R74" s="59"/>
      <c r="S74" s="64"/>
      <c r="T74" s="55"/>
      <c r="U74" s="65"/>
      <c r="V74" s="55"/>
      <c r="W74" s="65"/>
      <c r="X74" s="64"/>
      <c r="Y74" s="66"/>
      <c r="Z74" s="15"/>
      <c r="AA74" s="23"/>
      <c r="AB74" s="23"/>
      <c r="AC74" s="23"/>
      <c r="AD74" s="23"/>
    </row>
    <row r="75" spans="1:30" x14ac:dyDescent="0.35">
      <c r="A75" s="23"/>
      <c r="E75" s="18"/>
      <c r="F75" s="73"/>
      <c r="G75" s="11"/>
      <c r="H75" s="36"/>
      <c r="I75" s="36"/>
      <c r="J75" s="17">
        <f t="shared" si="3"/>
        <v>0</v>
      </c>
      <c r="K75" s="36"/>
      <c r="L75" s="11"/>
      <c r="M75" s="135"/>
      <c r="N75" s="73"/>
      <c r="O75" s="39"/>
      <c r="P75" s="11"/>
      <c r="Q75" s="15"/>
      <c r="R75" s="60"/>
      <c r="S75" s="64"/>
      <c r="T75" s="55"/>
      <c r="U75" s="65"/>
      <c r="V75" s="55"/>
      <c r="W75" s="65"/>
      <c r="X75" s="64"/>
      <c r="Y75" s="66"/>
      <c r="Z75" s="15"/>
      <c r="AA75" s="23"/>
      <c r="AB75" s="23"/>
      <c r="AC75" s="23"/>
      <c r="AD75" s="23"/>
    </row>
    <row r="76" spans="1:30" ht="18.5" x14ac:dyDescent="0.45">
      <c r="E76" s="18"/>
      <c r="F76" s="73"/>
      <c r="G76" s="11"/>
      <c r="H76" s="36"/>
      <c r="I76" s="36"/>
      <c r="J76" s="17">
        <f t="shared" si="3"/>
        <v>0</v>
      </c>
      <c r="K76" s="36"/>
      <c r="L76" s="11"/>
      <c r="M76" s="135"/>
      <c r="N76" s="73"/>
      <c r="O76" s="39"/>
      <c r="P76" s="11"/>
      <c r="Q76" s="15"/>
      <c r="R76" s="67"/>
      <c r="S76" s="25"/>
      <c r="T76" s="55"/>
      <c r="U76" s="68"/>
      <c r="V76" s="55"/>
      <c r="W76" s="68"/>
      <c r="X76" s="64"/>
      <c r="Y76" s="66"/>
      <c r="Z76" s="15"/>
      <c r="AA76" s="35"/>
      <c r="AB76" s="23"/>
      <c r="AC76" s="23"/>
      <c r="AD76" s="23"/>
    </row>
    <row r="77" spans="1:30" x14ac:dyDescent="0.35">
      <c r="E77" s="18"/>
      <c r="F77" s="73"/>
      <c r="G77" s="11"/>
      <c r="H77" s="36"/>
      <c r="I77" s="36"/>
      <c r="J77" s="17">
        <f t="shared" si="3"/>
        <v>0</v>
      </c>
      <c r="K77" s="36"/>
      <c r="L77" s="11"/>
      <c r="M77" s="135"/>
      <c r="N77" s="73"/>
      <c r="O77" s="39"/>
      <c r="P77" s="11"/>
      <c r="Q77" s="16"/>
      <c r="R77" s="74"/>
      <c r="S77" s="75"/>
      <c r="T77" s="16"/>
      <c r="U77" s="16"/>
      <c r="V77" s="16"/>
      <c r="W77" s="16"/>
      <c r="X77" s="34"/>
      <c r="Y77" s="16"/>
      <c r="Z77" s="16"/>
      <c r="AA77" s="27"/>
      <c r="AB77" s="23"/>
      <c r="AC77" s="23"/>
      <c r="AD77" s="23"/>
    </row>
    <row r="78" spans="1:30" x14ac:dyDescent="0.35">
      <c r="E78" s="18"/>
      <c r="F78" s="73"/>
      <c r="G78" s="11"/>
      <c r="H78" s="36"/>
      <c r="I78" s="36"/>
      <c r="J78" s="17">
        <f t="shared" si="3"/>
        <v>0</v>
      </c>
      <c r="K78" s="36"/>
      <c r="L78" s="11"/>
      <c r="M78" s="135"/>
      <c r="N78" s="73"/>
      <c r="O78" s="39"/>
      <c r="P78" s="11"/>
      <c r="Q78" s="23"/>
      <c r="R78" s="28"/>
      <c r="S78" s="28"/>
      <c r="T78" s="25"/>
      <c r="U78" s="29"/>
      <c r="V78" s="30"/>
      <c r="W78" s="30"/>
      <c r="X78" s="30"/>
      <c r="Y78" s="23"/>
      <c r="Z78" s="23"/>
      <c r="AA78" s="31"/>
      <c r="AB78" s="23"/>
      <c r="AC78" s="23"/>
      <c r="AD78" s="23"/>
    </row>
    <row r="79" spans="1:30" x14ac:dyDescent="0.35">
      <c r="E79" s="18"/>
      <c r="F79" s="73"/>
      <c r="G79" s="11"/>
      <c r="H79" s="36"/>
      <c r="I79" s="36"/>
      <c r="J79" s="17">
        <f t="shared" si="3"/>
        <v>0</v>
      </c>
      <c r="K79" s="36"/>
      <c r="L79" s="11"/>
      <c r="M79" s="135"/>
      <c r="N79" s="73"/>
      <c r="O79" s="39"/>
      <c r="P79" s="11"/>
      <c r="Q79" s="23"/>
      <c r="R79" s="32"/>
      <c r="S79" s="30"/>
      <c r="T79" s="28"/>
      <c r="U79" s="29"/>
      <c r="V79" s="30"/>
      <c r="W79" s="30"/>
      <c r="X79" s="30"/>
      <c r="Y79" s="23"/>
      <c r="Z79" s="23"/>
      <c r="AA79" s="31"/>
      <c r="AB79" s="23"/>
      <c r="AC79" s="23"/>
      <c r="AD79" s="23"/>
    </row>
    <row r="80" spans="1:30" x14ac:dyDescent="0.35">
      <c r="E80" s="18"/>
      <c r="F80" s="73"/>
      <c r="G80" s="11"/>
      <c r="H80" s="36"/>
      <c r="I80" s="36"/>
      <c r="J80" s="17">
        <f t="shared" si="3"/>
        <v>0</v>
      </c>
      <c r="K80" s="36"/>
      <c r="L80" s="11"/>
      <c r="M80" s="135"/>
      <c r="N80" s="73"/>
      <c r="O80" s="39"/>
      <c r="P80" s="11"/>
      <c r="Q80" s="23"/>
      <c r="R80" s="25"/>
      <c r="S80" s="25"/>
      <c r="T80" s="25"/>
      <c r="U80" s="26"/>
      <c r="V80" s="25"/>
      <c r="W80" s="25"/>
      <c r="X80" s="25"/>
      <c r="Y80" s="23"/>
      <c r="Z80" s="23"/>
      <c r="AA80" s="27"/>
      <c r="AB80" s="23"/>
      <c r="AC80" s="23"/>
      <c r="AD80" s="23"/>
    </row>
    <row r="81" spans="5:30" x14ac:dyDescent="0.35">
      <c r="E81" s="18"/>
      <c r="F81" s="73"/>
      <c r="G81" s="11"/>
      <c r="H81" s="36"/>
      <c r="I81" s="36"/>
      <c r="J81" s="17">
        <f t="shared" si="3"/>
        <v>0</v>
      </c>
      <c r="K81" s="36"/>
      <c r="L81" s="11"/>
      <c r="M81" s="135"/>
      <c r="N81" s="73"/>
      <c r="O81" s="39"/>
      <c r="P81" s="11"/>
      <c r="R81" s="25"/>
      <c r="S81" s="25"/>
      <c r="T81" s="25"/>
      <c r="U81" s="26"/>
      <c r="V81" s="25"/>
      <c r="W81" s="25"/>
      <c r="X81" s="25"/>
      <c r="AA81" s="27"/>
      <c r="AB81" s="23"/>
      <c r="AC81" s="23"/>
      <c r="AD81" s="23"/>
    </row>
    <row r="82" spans="5:30" x14ac:dyDescent="0.35">
      <c r="E82" s="18"/>
      <c r="F82" s="73"/>
      <c r="G82" s="11"/>
      <c r="H82" s="36"/>
      <c r="I82" s="36"/>
      <c r="J82" s="17">
        <f t="shared" si="3"/>
        <v>0</v>
      </c>
      <c r="K82" s="36"/>
      <c r="L82" s="11"/>
      <c r="M82" s="135"/>
      <c r="N82" s="73"/>
      <c r="O82" s="39"/>
      <c r="P82" s="11"/>
      <c r="R82" s="25"/>
      <c r="S82" s="25"/>
      <c r="T82" s="25"/>
      <c r="U82" s="26"/>
      <c r="V82" s="25"/>
      <c r="W82" s="25"/>
      <c r="X82" s="25"/>
      <c r="AA82" s="27"/>
      <c r="AB82" s="23"/>
      <c r="AC82" s="23"/>
      <c r="AD82" s="23"/>
    </row>
    <row r="83" spans="5:30" x14ac:dyDescent="0.35">
      <c r="E83" s="19"/>
      <c r="F83" s="73"/>
      <c r="G83" s="11"/>
      <c r="H83" s="36"/>
      <c r="I83" s="36"/>
      <c r="J83" s="17">
        <f t="shared" si="3"/>
        <v>0</v>
      </c>
      <c r="K83" s="36"/>
      <c r="L83" s="11"/>
      <c r="M83" s="135"/>
      <c r="N83" s="73"/>
      <c r="O83" s="39"/>
      <c r="P83" s="11"/>
      <c r="R83" s="25"/>
      <c r="S83" s="25"/>
      <c r="T83" s="25"/>
      <c r="U83" s="26"/>
      <c r="V83" s="25"/>
      <c r="W83" s="25"/>
      <c r="X83" s="25"/>
      <c r="AA83" s="27"/>
      <c r="AB83" s="23"/>
      <c r="AC83" s="23"/>
      <c r="AD83" s="23"/>
    </row>
    <row r="84" spans="5:30" x14ac:dyDescent="0.35">
      <c r="E84" s="20"/>
      <c r="F84" s="73"/>
      <c r="G84" s="10"/>
      <c r="H84" s="310"/>
      <c r="I84" s="310"/>
      <c r="J84" s="17">
        <f t="shared" si="3"/>
        <v>0</v>
      </c>
      <c r="K84" s="310"/>
      <c r="L84" s="11"/>
      <c r="M84" s="135"/>
      <c r="N84" s="73"/>
      <c r="O84" s="39"/>
      <c r="P84" s="11"/>
      <c r="R84" s="34"/>
      <c r="S84" s="34"/>
      <c r="T84" s="34"/>
      <c r="U84" s="34"/>
      <c r="V84" s="34"/>
      <c r="W84" s="34"/>
      <c r="X84" s="34"/>
      <c r="AA84" s="34"/>
      <c r="AB84" s="23"/>
      <c r="AC84" s="23"/>
      <c r="AD84" s="23"/>
    </row>
    <row r="85" spans="5:30" ht="15" thickBot="1" x14ac:dyDescent="0.4">
      <c r="E85" s="303"/>
      <c r="F85" s="303"/>
      <c r="G85" s="303"/>
      <c r="H85" s="305">
        <f>SUBTOTAL(9,H5:H84)</f>
        <v>42695.030000000006</v>
      </c>
      <c r="I85" s="305">
        <f>SUBTOTAL(9,I5:I84)</f>
        <v>10.88</v>
      </c>
      <c r="J85" s="305">
        <f>SUBTOTAL(9,J5:J84)</f>
        <v>42705.91</v>
      </c>
      <c r="K85" s="305">
        <f>SUM(K10:K83)</f>
        <v>0</v>
      </c>
      <c r="L85" s="318"/>
      <c r="M85" s="135"/>
      <c r="N85" s="318"/>
      <c r="O85" s="319"/>
      <c r="P85" s="319"/>
    </row>
    <row r="86" spans="5:30" ht="15" thickTop="1" x14ac:dyDescent="0.35">
      <c r="H86" s="52"/>
      <c r="M86" s="135"/>
    </row>
    <row r="87" spans="5:30" x14ac:dyDescent="0.35">
      <c r="M87" s="135"/>
    </row>
    <row r="88" spans="5:30" x14ac:dyDescent="0.35">
      <c r="M88" s="135"/>
    </row>
    <row r="89" spans="5:30" x14ac:dyDescent="0.35">
      <c r="M89" s="135"/>
    </row>
    <row r="90" spans="5:30" x14ac:dyDescent="0.35">
      <c r="M90" s="135"/>
    </row>
    <row r="91" spans="5:30" x14ac:dyDescent="0.35">
      <c r="M91" s="135"/>
    </row>
    <row r="92" spans="5:30" x14ac:dyDescent="0.35">
      <c r="M92" s="135"/>
    </row>
    <row r="93" spans="5:30" x14ac:dyDescent="0.35">
      <c r="M93" s="135"/>
    </row>
    <row r="94" spans="5:30" x14ac:dyDescent="0.35">
      <c r="M94" s="135"/>
    </row>
    <row r="95" spans="5:30" x14ac:dyDescent="0.35">
      <c r="M95" s="135"/>
    </row>
    <row r="96" spans="5:30" x14ac:dyDescent="0.35">
      <c r="M96" s="135"/>
    </row>
    <row r="97" spans="13:13" x14ac:dyDescent="0.35">
      <c r="M97" s="135"/>
    </row>
    <row r="98" spans="13:13" x14ac:dyDescent="0.35">
      <c r="M98" s="135"/>
    </row>
    <row r="99" spans="13:13" x14ac:dyDescent="0.35">
      <c r="M99" s="135"/>
    </row>
    <row r="100" spans="13:13" x14ac:dyDescent="0.35">
      <c r="M100" s="135"/>
    </row>
    <row r="101" spans="13:13" x14ac:dyDescent="0.35">
      <c r="M101" s="135"/>
    </row>
    <row r="102" spans="13:13" x14ac:dyDescent="0.35">
      <c r="M102" s="135"/>
    </row>
    <row r="103" spans="13:13" x14ac:dyDescent="0.35">
      <c r="M103" s="135"/>
    </row>
    <row r="104" spans="13:13" x14ac:dyDescent="0.35">
      <c r="M104" s="135"/>
    </row>
    <row r="105" spans="13:13" x14ac:dyDescent="0.35">
      <c r="M105" s="135"/>
    </row>
    <row r="106" spans="13:13" x14ac:dyDescent="0.35">
      <c r="M106" s="135"/>
    </row>
    <row r="107" spans="13:13" x14ac:dyDescent="0.35">
      <c r="M107" s="135"/>
    </row>
    <row r="108" spans="13:13" x14ac:dyDescent="0.35">
      <c r="M108" s="135"/>
    </row>
    <row r="109" spans="13:13" x14ac:dyDescent="0.35">
      <c r="M109" s="135"/>
    </row>
    <row r="110" spans="13:13" x14ac:dyDescent="0.35">
      <c r="M110" s="135"/>
    </row>
    <row r="111" spans="13:13" x14ac:dyDescent="0.35">
      <c r="M111" s="135"/>
    </row>
    <row r="112" spans="13:13" x14ac:dyDescent="0.35">
      <c r="M112" s="135"/>
    </row>
    <row r="113" spans="13:13" x14ac:dyDescent="0.35">
      <c r="M113" s="135"/>
    </row>
    <row r="114" spans="13:13" x14ac:dyDescent="0.35">
      <c r="M114" s="135"/>
    </row>
    <row r="115" spans="13:13" x14ac:dyDescent="0.35">
      <c r="M115" s="135"/>
    </row>
    <row r="116" spans="13:13" x14ac:dyDescent="0.35">
      <c r="M116" s="135"/>
    </row>
    <row r="117" spans="13:13" x14ac:dyDescent="0.35">
      <c r="M117" s="135"/>
    </row>
    <row r="118" spans="13:13" x14ac:dyDescent="0.35">
      <c r="M118" s="135"/>
    </row>
    <row r="119" spans="13:13" x14ac:dyDescent="0.35">
      <c r="M119" s="135"/>
    </row>
    <row r="120" spans="13:13" x14ac:dyDescent="0.35">
      <c r="M120" s="135"/>
    </row>
    <row r="121" spans="13:13" x14ac:dyDescent="0.35">
      <c r="M121" s="135"/>
    </row>
    <row r="122" spans="13:13" x14ac:dyDescent="0.35">
      <c r="M122" s="135"/>
    </row>
    <row r="123" spans="13:13" x14ac:dyDescent="0.35">
      <c r="M123" s="135"/>
    </row>
    <row r="124" spans="13:13" x14ac:dyDescent="0.35">
      <c r="M124" s="135"/>
    </row>
    <row r="125" spans="13:13" x14ac:dyDescent="0.35">
      <c r="M125" s="135"/>
    </row>
    <row r="126" spans="13:13" x14ac:dyDescent="0.35">
      <c r="M126" s="135"/>
    </row>
    <row r="127" spans="13:13" x14ac:dyDescent="0.35">
      <c r="M127" s="135"/>
    </row>
    <row r="128" spans="13:13" x14ac:dyDescent="0.35">
      <c r="M128" s="135"/>
    </row>
    <row r="129" spans="13:13" x14ac:dyDescent="0.35">
      <c r="M129" s="135"/>
    </row>
    <row r="130" spans="13:13" x14ac:dyDescent="0.35">
      <c r="M130" s="135"/>
    </row>
    <row r="131" spans="13:13" x14ac:dyDescent="0.35">
      <c r="M131" s="135"/>
    </row>
    <row r="132" spans="13:13" x14ac:dyDescent="0.35">
      <c r="M132" s="135"/>
    </row>
    <row r="133" spans="13:13" x14ac:dyDescent="0.35">
      <c r="M133" s="135"/>
    </row>
    <row r="134" spans="13:13" x14ac:dyDescent="0.35">
      <c r="M134" s="135"/>
    </row>
    <row r="135" spans="13:13" x14ac:dyDescent="0.35">
      <c r="M135" s="135"/>
    </row>
    <row r="136" spans="13:13" x14ac:dyDescent="0.35">
      <c r="M136" s="135"/>
    </row>
    <row r="137" spans="13:13" x14ac:dyDescent="0.35">
      <c r="M137" s="135"/>
    </row>
    <row r="138" spans="13:13" x14ac:dyDescent="0.35">
      <c r="M138" s="135"/>
    </row>
    <row r="139" spans="13:13" x14ac:dyDescent="0.35">
      <c r="M139" s="135"/>
    </row>
    <row r="140" spans="13:13" x14ac:dyDescent="0.35">
      <c r="M140" s="135"/>
    </row>
    <row r="141" spans="13:13" x14ac:dyDescent="0.35">
      <c r="M141" s="135"/>
    </row>
    <row r="142" spans="13:13" x14ac:dyDescent="0.35">
      <c r="M142" s="135"/>
    </row>
    <row r="143" spans="13:13" x14ac:dyDescent="0.35">
      <c r="M143" s="135"/>
    </row>
    <row r="144" spans="13:13" x14ac:dyDescent="0.35">
      <c r="M144" s="135"/>
    </row>
    <row r="145" spans="13:13" x14ac:dyDescent="0.35">
      <c r="M145" s="135"/>
    </row>
    <row r="146" spans="13:13" x14ac:dyDescent="0.35">
      <c r="M146" s="135"/>
    </row>
    <row r="147" spans="13:13" x14ac:dyDescent="0.35">
      <c r="M147" s="135"/>
    </row>
    <row r="148" spans="13:13" x14ac:dyDescent="0.35">
      <c r="M148" s="135"/>
    </row>
    <row r="149" spans="13:13" x14ac:dyDescent="0.35">
      <c r="M149" s="135"/>
    </row>
    <row r="150" spans="13:13" x14ac:dyDescent="0.35">
      <c r="M150" s="135"/>
    </row>
    <row r="151" spans="13:13" x14ac:dyDescent="0.35">
      <c r="M151" s="135"/>
    </row>
    <row r="152" spans="13:13" x14ac:dyDescent="0.35">
      <c r="M152" s="135"/>
    </row>
    <row r="153" spans="13:13" x14ac:dyDescent="0.35">
      <c r="M153" s="135"/>
    </row>
    <row r="154" spans="13:13" x14ac:dyDescent="0.35">
      <c r="M154" s="135"/>
    </row>
    <row r="155" spans="13:13" x14ac:dyDescent="0.35">
      <c r="M155" s="135"/>
    </row>
    <row r="156" spans="13:13" x14ac:dyDescent="0.35">
      <c r="M156" s="135"/>
    </row>
    <row r="157" spans="13:13" x14ac:dyDescent="0.35">
      <c r="M157" s="135"/>
    </row>
    <row r="158" spans="13:13" x14ac:dyDescent="0.35">
      <c r="M158" s="135"/>
    </row>
    <row r="159" spans="13:13" x14ac:dyDescent="0.35">
      <c r="M159" s="135"/>
    </row>
    <row r="160" spans="13:13" x14ac:dyDescent="0.35">
      <c r="M160" s="135"/>
    </row>
    <row r="161" spans="13:13" x14ac:dyDescent="0.35">
      <c r="M161" s="135"/>
    </row>
    <row r="162" spans="13:13" x14ac:dyDescent="0.35">
      <c r="M162" s="135"/>
    </row>
    <row r="163" spans="13:13" x14ac:dyDescent="0.35">
      <c r="M163" s="135"/>
    </row>
    <row r="164" spans="13:13" x14ac:dyDescent="0.35">
      <c r="M164" s="135"/>
    </row>
    <row r="165" spans="13:13" x14ac:dyDescent="0.35">
      <c r="M165" s="135"/>
    </row>
    <row r="166" spans="13:13" x14ac:dyDescent="0.35">
      <c r="M166" s="135"/>
    </row>
    <row r="167" spans="13:13" x14ac:dyDescent="0.35">
      <c r="M167" s="135"/>
    </row>
    <row r="168" spans="13:13" x14ac:dyDescent="0.35">
      <c r="M168" s="135"/>
    </row>
    <row r="169" spans="13:13" x14ac:dyDescent="0.35">
      <c r="M169" s="135"/>
    </row>
    <row r="170" spans="13:13" x14ac:dyDescent="0.35">
      <c r="M170" s="135"/>
    </row>
    <row r="171" spans="13:13" x14ac:dyDescent="0.35">
      <c r="M171" s="135"/>
    </row>
    <row r="172" spans="13:13" x14ac:dyDescent="0.35">
      <c r="M172" s="135"/>
    </row>
    <row r="173" spans="13:13" x14ac:dyDescent="0.35">
      <c r="M173" s="135"/>
    </row>
    <row r="174" spans="13:13" x14ac:dyDescent="0.35">
      <c r="M174" s="135"/>
    </row>
    <row r="175" spans="13:13" x14ac:dyDescent="0.35">
      <c r="M175" s="316"/>
    </row>
    <row r="176" spans="13:13" x14ac:dyDescent="0.35">
      <c r="M176" s="318"/>
    </row>
  </sheetData>
  <autoFilter ref="E4:N84" xr:uid="{00000000-0009-0000-0000-000002000000}">
    <sortState xmlns:xlrd2="http://schemas.microsoft.com/office/spreadsheetml/2017/richdata2" ref="E8:N44">
      <sortCondition ref="E4:E76"/>
    </sortState>
  </autoFilter>
  <mergeCells count="4">
    <mergeCell ref="A3:B3"/>
    <mergeCell ref="R3:Z3"/>
    <mergeCell ref="B4:B8"/>
    <mergeCell ref="E3:P3"/>
  </mergeCells>
  <phoneticPr fontId="38" type="noConversion"/>
  <conditionalFormatting sqref="O5:P84 E5:E84 G5:L84">
    <cfRule type="expression" dxfId="239" priority="1128">
      <formula>$O5=""</formula>
    </cfRule>
  </conditionalFormatting>
  <conditionalFormatting sqref="M5:M175">
    <cfRule type="expression" dxfId="238" priority="1">
      <formula>$O5=""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2:BP176"/>
  <sheetViews>
    <sheetView showGridLines="0" topLeftCell="BA1" zoomScale="80" zoomScaleNormal="80" workbookViewId="0">
      <selection activeCell="BM1" sqref="BM1:BM1048576"/>
    </sheetView>
  </sheetViews>
  <sheetFormatPr baseColWidth="10" defaultRowHeight="14.5" x14ac:dyDescent="0.35"/>
  <cols>
    <col min="1" max="1" width="53.7265625" bestFit="1" customWidth="1"/>
    <col min="2" max="2" width="17.453125" customWidth="1"/>
    <col min="3" max="3" width="20.1796875" customWidth="1"/>
    <col min="4" max="4" width="18.453125" customWidth="1"/>
    <col min="5" max="5" width="17.7265625" bestFit="1" customWidth="1"/>
    <col min="6" max="6" width="16.7265625" customWidth="1"/>
    <col min="7" max="7" width="44.81640625" customWidth="1"/>
    <col min="8" max="8" width="12.81640625" bestFit="1" customWidth="1"/>
    <col min="9" max="9" width="19.453125" customWidth="1"/>
    <col min="11" max="11" width="15.81640625" customWidth="1"/>
    <col min="13" max="13" width="19.7265625" hidden="1" customWidth="1"/>
    <col min="14" max="14" width="14.81640625" customWidth="1"/>
    <col min="16" max="16" width="15" bestFit="1" customWidth="1"/>
    <col min="18" max="18" width="12.54296875" customWidth="1"/>
    <col min="19" max="19" width="20.1796875" bestFit="1" customWidth="1"/>
    <col min="20" max="20" width="19" customWidth="1"/>
    <col min="21" max="21" width="10.54296875" bestFit="1" customWidth="1"/>
    <col min="22" max="22" width="20.453125" bestFit="1" customWidth="1"/>
    <col min="23" max="23" width="10.453125" bestFit="1" customWidth="1"/>
    <col min="24" max="24" width="9.453125" bestFit="1" customWidth="1"/>
    <col min="25" max="25" width="9.453125" customWidth="1"/>
    <col min="26" max="26" width="19.7265625" hidden="1" customWidth="1"/>
    <col min="27" max="27" width="12.7265625" customWidth="1"/>
    <col min="28" max="28" width="13.7265625" bestFit="1" customWidth="1"/>
    <col min="29" max="29" width="13.26953125" bestFit="1" customWidth="1"/>
    <col min="31" max="31" width="12.7265625" customWidth="1"/>
    <col min="32" max="32" width="16.1796875" customWidth="1"/>
    <col min="33" max="33" width="16.26953125" customWidth="1"/>
    <col min="34" max="34" width="10.453125" customWidth="1"/>
    <col min="35" max="35" width="11" bestFit="1" customWidth="1"/>
    <col min="36" max="36" width="9.54296875" bestFit="1" customWidth="1"/>
    <col min="37" max="37" width="20.453125" bestFit="1" customWidth="1"/>
    <col min="38" max="38" width="10.453125" bestFit="1" customWidth="1"/>
    <col min="39" max="39" width="19.7265625" hidden="1" customWidth="1"/>
    <col min="40" max="40" width="12" customWidth="1"/>
    <col min="41" max="41" width="13.7265625" bestFit="1" customWidth="1"/>
    <col min="42" max="42" width="13.26953125" bestFit="1" customWidth="1"/>
    <col min="44" max="44" width="13.81640625" customWidth="1"/>
    <col min="45" max="45" width="14.453125" customWidth="1"/>
    <col min="46" max="46" width="14.81640625" customWidth="1"/>
    <col min="47" max="47" width="9.54296875" bestFit="1" customWidth="1"/>
    <col min="48" max="48" width="11.7265625" customWidth="1"/>
    <col min="49" max="49" width="10.453125" bestFit="1" customWidth="1"/>
    <col min="50" max="50" width="7.54296875" bestFit="1" customWidth="1"/>
    <col min="51" max="51" width="9.7265625" customWidth="1"/>
    <col min="52" max="52" width="19.7265625" hidden="1" customWidth="1"/>
    <col min="53" max="53" width="13.54296875" customWidth="1"/>
    <col min="54" max="54" width="12.54296875" customWidth="1"/>
    <col min="57" max="57" width="14.453125" customWidth="1"/>
    <col min="58" max="58" width="16.453125" customWidth="1"/>
    <col min="59" max="59" width="31" customWidth="1"/>
    <col min="60" max="60" width="11.54296875" customWidth="1"/>
    <col min="61" max="61" width="12.1796875" customWidth="1"/>
    <col min="62" max="62" width="11.81640625" customWidth="1"/>
    <col min="63" max="63" width="10.81640625" bestFit="1" customWidth="1"/>
    <col min="64" max="64" width="13.7265625" bestFit="1" customWidth="1"/>
    <col min="65" max="65" width="19.7265625" hidden="1" customWidth="1"/>
    <col min="66" max="66" width="13.26953125" bestFit="1" customWidth="1"/>
  </cols>
  <sheetData>
    <row r="2" spans="1:68" ht="15" customHeight="1" thickBot="1" x14ac:dyDescent="0.4"/>
    <row r="3" spans="1:68" ht="18.75" customHeight="1" thickBot="1" x14ac:dyDescent="0.5">
      <c r="A3" s="466" t="s">
        <v>46</v>
      </c>
      <c r="B3" s="465"/>
      <c r="D3" s="21"/>
      <c r="E3" s="455" t="s">
        <v>128</v>
      </c>
      <c r="F3" s="456"/>
      <c r="G3" s="456"/>
      <c r="H3" s="456"/>
      <c r="I3" s="456"/>
      <c r="J3" s="456"/>
      <c r="K3" s="456"/>
      <c r="L3" s="456"/>
      <c r="M3" s="456"/>
      <c r="N3" s="456"/>
      <c r="O3" s="456"/>
      <c r="P3" s="456"/>
      <c r="R3" s="455" t="s">
        <v>50</v>
      </c>
      <c r="S3" s="456"/>
      <c r="T3" s="456"/>
      <c r="U3" s="456"/>
      <c r="V3" s="456"/>
      <c r="W3" s="456"/>
      <c r="X3" s="456"/>
      <c r="Y3" s="456"/>
      <c r="Z3" s="456"/>
      <c r="AA3" s="456"/>
      <c r="AB3" s="456"/>
      <c r="AC3" s="456"/>
      <c r="AD3" s="183"/>
      <c r="AE3" s="455" t="s">
        <v>69</v>
      </c>
      <c r="AF3" s="456"/>
      <c r="AG3" s="456"/>
      <c r="AH3" s="456"/>
      <c r="AI3" s="456"/>
      <c r="AJ3" s="456"/>
      <c r="AK3" s="456"/>
      <c r="AL3" s="456"/>
      <c r="AM3" s="456"/>
      <c r="AN3" s="456"/>
      <c r="AO3" s="456"/>
      <c r="AP3" s="456"/>
      <c r="AR3" s="455" t="s">
        <v>23</v>
      </c>
      <c r="AS3" s="456"/>
      <c r="AT3" s="456"/>
      <c r="AU3" s="456"/>
      <c r="AV3" s="456"/>
      <c r="AW3" s="456"/>
      <c r="AX3" s="456"/>
      <c r="AY3" s="456"/>
      <c r="AZ3" s="456"/>
      <c r="BA3" s="456"/>
      <c r="BB3" s="456"/>
      <c r="BC3" s="456"/>
      <c r="BE3" s="455" t="s">
        <v>124</v>
      </c>
      <c r="BF3" s="456"/>
      <c r="BG3" s="456"/>
      <c r="BH3" s="456"/>
      <c r="BI3" s="456"/>
      <c r="BJ3" s="456"/>
      <c r="BK3" s="456"/>
      <c r="BL3" s="456"/>
      <c r="BM3" s="456"/>
      <c r="BN3" s="456"/>
      <c r="BO3" s="456"/>
      <c r="BP3" s="456"/>
    </row>
    <row r="4" spans="1:68" ht="25.5" customHeight="1" x14ac:dyDescent="0.35">
      <c r="A4" s="219" t="s">
        <v>40</v>
      </c>
      <c r="B4" s="469" t="s">
        <v>49</v>
      </c>
      <c r="D4" s="22"/>
      <c r="E4" s="296" t="s">
        <v>172</v>
      </c>
      <c r="F4" s="296" t="s">
        <v>173</v>
      </c>
      <c r="G4" s="71" t="s">
        <v>174</v>
      </c>
      <c r="H4" s="71" t="s">
        <v>34</v>
      </c>
      <c r="I4" s="71" t="s">
        <v>170</v>
      </c>
      <c r="J4" s="71" t="s">
        <v>171</v>
      </c>
      <c r="K4" s="71" t="s">
        <v>100</v>
      </c>
      <c r="L4" s="71" t="s">
        <v>36</v>
      </c>
      <c r="M4" s="71" t="s">
        <v>613</v>
      </c>
      <c r="N4" s="71" t="s">
        <v>169</v>
      </c>
      <c r="O4" s="71" t="s">
        <v>42</v>
      </c>
      <c r="P4" s="71" t="s">
        <v>45</v>
      </c>
      <c r="Q4" s="12"/>
      <c r="R4" s="296" t="s">
        <v>172</v>
      </c>
      <c r="S4" s="296" t="s">
        <v>173</v>
      </c>
      <c r="T4" s="71" t="s">
        <v>174</v>
      </c>
      <c r="U4" s="71" t="s">
        <v>34</v>
      </c>
      <c r="V4" s="71" t="s">
        <v>170</v>
      </c>
      <c r="W4" s="71" t="s">
        <v>171</v>
      </c>
      <c r="X4" s="71" t="s">
        <v>100</v>
      </c>
      <c r="Y4" s="71" t="s">
        <v>36</v>
      </c>
      <c r="Z4" s="71" t="s">
        <v>613</v>
      </c>
      <c r="AA4" s="71" t="s">
        <v>169</v>
      </c>
      <c r="AB4" s="71" t="s">
        <v>42</v>
      </c>
      <c r="AC4" s="71" t="s">
        <v>45</v>
      </c>
      <c r="AD4" s="184"/>
      <c r="AE4" s="296" t="s">
        <v>172</v>
      </c>
      <c r="AF4" s="296" t="s">
        <v>173</v>
      </c>
      <c r="AG4" s="71" t="s">
        <v>174</v>
      </c>
      <c r="AH4" s="71" t="s">
        <v>34</v>
      </c>
      <c r="AI4" s="71" t="s">
        <v>170</v>
      </c>
      <c r="AJ4" s="71" t="s">
        <v>171</v>
      </c>
      <c r="AK4" s="71" t="s">
        <v>100</v>
      </c>
      <c r="AL4" s="71" t="s">
        <v>36</v>
      </c>
      <c r="AM4" s="71" t="s">
        <v>613</v>
      </c>
      <c r="AN4" s="71" t="s">
        <v>169</v>
      </c>
      <c r="AO4" s="71" t="s">
        <v>42</v>
      </c>
      <c r="AP4" s="71" t="s">
        <v>45</v>
      </c>
      <c r="AR4" s="54" t="s">
        <v>172</v>
      </c>
      <c r="AS4" s="54" t="s">
        <v>173</v>
      </c>
      <c r="AT4" s="54" t="s">
        <v>174</v>
      </c>
      <c r="AU4" s="54" t="s">
        <v>34</v>
      </c>
      <c r="AV4" s="54" t="s">
        <v>170</v>
      </c>
      <c r="AW4" s="54" t="s">
        <v>171</v>
      </c>
      <c r="AX4" s="54" t="s">
        <v>100</v>
      </c>
      <c r="AY4" s="54" t="s">
        <v>36</v>
      </c>
      <c r="AZ4" s="71" t="s">
        <v>613</v>
      </c>
      <c r="BA4" s="71" t="s">
        <v>169</v>
      </c>
      <c r="BB4" s="54" t="s">
        <v>42</v>
      </c>
      <c r="BC4" s="54" t="s">
        <v>45</v>
      </c>
      <c r="BE4" s="54" t="s">
        <v>172</v>
      </c>
      <c r="BF4" s="54" t="s">
        <v>173</v>
      </c>
      <c r="BG4" s="54" t="s">
        <v>174</v>
      </c>
      <c r="BH4" s="54" t="s">
        <v>34</v>
      </c>
      <c r="BI4" s="54" t="s">
        <v>170</v>
      </c>
      <c r="BJ4" s="54" t="s">
        <v>171</v>
      </c>
      <c r="BK4" s="54" t="s">
        <v>100</v>
      </c>
      <c r="BL4" s="54" t="s">
        <v>36</v>
      </c>
      <c r="BM4" s="71" t="s">
        <v>613</v>
      </c>
      <c r="BN4" s="54" t="s">
        <v>175</v>
      </c>
      <c r="BO4" s="54" t="s">
        <v>42</v>
      </c>
      <c r="BP4" s="54" t="s">
        <v>45</v>
      </c>
    </row>
    <row r="5" spans="1:68" ht="18.75" customHeight="1" x14ac:dyDescent="0.35">
      <c r="A5" s="219" t="s">
        <v>50</v>
      </c>
      <c r="B5" s="461"/>
      <c r="E5" s="185">
        <v>43843</v>
      </c>
      <c r="F5" s="73"/>
      <c r="G5" s="11" t="s">
        <v>360</v>
      </c>
      <c r="H5" s="11">
        <v>56</v>
      </c>
      <c r="I5" s="11"/>
      <c r="J5" s="186">
        <f t="shared" ref="J5:J18" si="0">H5+I5</f>
        <v>56</v>
      </c>
      <c r="K5" s="11"/>
      <c r="L5" s="11" t="s">
        <v>1</v>
      </c>
      <c r="M5" s="39"/>
      <c r="N5" s="69"/>
      <c r="O5" s="69" t="s">
        <v>43</v>
      </c>
      <c r="P5" s="69">
        <v>43843</v>
      </c>
      <c r="Q5" s="13"/>
      <c r="R5" s="185">
        <v>43903</v>
      </c>
      <c r="S5" s="73"/>
      <c r="T5" s="11" t="s">
        <v>50</v>
      </c>
      <c r="U5" s="11">
        <v>172.53</v>
      </c>
      <c r="V5" s="11">
        <v>14.67</v>
      </c>
      <c r="W5" s="186">
        <f>U5+V5</f>
        <v>187.2</v>
      </c>
      <c r="X5" s="11"/>
      <c r="Y5" s="11" t="s">
        <v>3</v>
      </c>
      <c r="Z5" s="39"/>
      <c r="AA5" s="11"/>
      <c r="AB5" s="69" t="s">
        <v>43</v>
      </c>
      <c r="AC5" s="69">
        <v>43903</v>
      </c>
      <c r="AD5" s="187"/>
      <c r="AE5" s="185">
        <v>43969</v>
      </c>
      <c r="AF5" s="185"/>
      <c r="AG5" s="138" t="s">
        <v>69</v>
      </c>
      <c r="AH5" s="186">
        <v>65</v>
      </c>
      <c r="AI5" s="186">
        <v>5.53</v>
      </c>
      <c r="AJ5" s="186">
        <f>AH5+AI5</f>
        <v>70.53</v>
      </c>
      <c r="AL5" s="138" t="s">
        <v>13</v>
      </c>
      <c r="AM5" s="39"/>
      <c r="AO5" s="138" t="s">
        <v>78</v>
      </c>
      <c r="AP5" s="185">
        <v>43969</v>
      </c>
      <c r="AR5" s="185">
        <v>43956</v>
      </c>
      <c r="AT5" s="39" t="s">
        <v>23</v>
      </c>
      <c r="AU5" s="39">
        <v>79.819999999999993</v>
      </c>
      <c r="AV5" s="39">
        <v>6.78</v>
      </c>
      <c r="AW5" s="186">
        <f>AU5+AV5</f>
        <v>86.6</v>
      </c>
      <c r="AX5" s="73"/>
      <c r="AY5" s="39" t="s">
        <v>13</v>
      </c>
      <c r="AZ5" s="39"/>
      <c r="BA5" s="73"/>
      <c r="BB5" s="39" t="s">
        <v>43</v>
      </c>
      <c r="BC5" s="89">
        <v>43956</v>
      </c>
      <c r="BE5" s="185">
        <v>44015</v>
      </c>
      <c r="BF5" s="73"/>
      <c r="BG5" s="11" t="s">
        <v>161</v>
      </c>
      <c r="BH5" s="11">
        <v>625</v>
      </c>
      <c r="BI5" s="11"/>
      <c r="BJ5" s="186">
        <f t="shared" ref="BJ5:BJ12" si="1">BH5+BI5</f>
        <v>625</v>
      </c>
      <c r="BK5" s="11"/>
      <c r="BL5" s="11" t="s">
        <v>7</v>
      </c>
      <c r="BM5" s="39"/>
      <c r="BN5" s="73"/>
      <c r="BO5" s="69" t="s">
        <v>78</v>
      </c>
      <c r="BP5" s="69">
        <v>44018</v>
      </c>
    </row>
    <row r="6" spans="1:68" ht="18.75" customHeight="1" x14ac:dyDescent="0.35">
      <c r="A6" s="219" t="s">
        <v>69</v>
      </c>
      <c r="B6" s="461"/>
      <c r="E6" s="185">
        <v>43865</v>
      </c>
      <c r="F6" s="73"/>
      <c r="G6" s="11" t="s">
        <v>361</v>
      </c>
      <c r="H6" s="39">
        <v>36.19</v>
      </c>
      <c r="I6" s="39">
        <v>3.08</v>
      </c>
      <c r="J6" s="186">
        <f t="shared" si="0"/>
        <v>39.269999999999996</v>
      </c>
      <c r="K6" s="39"/>
      <c r="L6" s="39" t="s">
        <v>2</v>
      </c>
      <c r="M6" s="39"/>
      <c r="N6" s="39"/>
      <c r="O6" s="39" t="s">
        <v>77</v>
      </c>
      <c r="P6" s="89">
        <v>43865</v>
      </c>
      <c r="Q6" s="13"/>
      <c r="R6" s="185">
        <v>44098</v>
      </c>
      <c r="S6" s="73"/>
      <c r="T6" s="11" t="s">
        <v>50</v>
      </c>
      <c r="U6" s="11">
        <v>6.64</v>
      </c>
      <c r="V6" s="11">
        <v>0.56000000000000005</v>
      </c>
      <c r="W6" s="186">
        <f>U6+V6</f>
        <v>7.1999999999999993</v>
      </c>
      <c r="X6" s="11"/>
      <c r="Y6" s="11" t="s">
        <v>9</v>
      </c>
      <c r="Z6" s="39"/>
      <c r="AA6" s="11"/>
      <c r="AB6" s="69" t="s">
        <v>77</v>
      </c>
      <c r="AC6" s="69">
        <v>44098</v>
      </c>
      <c r="AD6" s="187"/>
      <c r="AE6" s="185"/>
      <c r="AF6" s="185"/>
      <c r="AG6" s="185"/>
      <c r="AH6" s="11"/>
      <c r="AI6" s="11"/>
      <c r="AJ6" s="11"/>
      <c r="AK6" s="186">
        <f t="shared" ref="AK6:AK68" si="2">AI6+AJ6</f>
        <v>0</v>
      </c>
      <c r="AL6" s="11"/>
      <c r="AM6" s="39"/>
      <c r="AN6" s="11"/>
      <c r="AO6" s="69"/>
      <c r="AP6" s="69"/>
      <c r="AR6" s="185"/>
      <c r="AS6" s="11"/>
      <c r="AT6" s="11"/>
      <c r="AU6" s="11"/>
      <c r="AV6" s="186">
        <f t="shared" ref="AV6:AV69" si="3">AT6+AU6</f>
        <v>0</v>
      </c>
      <c r="AW6" s="11"/>
      <c r="AX6" s="11"/>
      <c r="AY6" s="69"/>
      <c r="AZ6" s="39"/>
      <c r="BA6" s="69"/>
      <c r="BB6" s="73"/>
      <c r="BC6" s="73"/>
      <c r="BE6" s="185">
        <v>44010</v>
      </c>
      <c r="BF6" s="73"/>
      <c r="BG6" s="11" t="s">
        <v>125</v>
      </c>
      <c r="BH6" s="11">
        <v>249.55</v>
      </c>
      <c r="BI6" s="11"/>
      <c r="BJ6" s="186">
        <f t="shared" si="1"/>
        <v>249.55</v>
      </c>
      <c r="BK6" s="11"/>
      <c r="BL6" s="11" t="s">
        <v>6</v>
      </c>
      <c r="BM6" s="39"/>
      <c r="BN6" s="73"/>
      <c r="BO6" s="69" t="s">
        <v>77</v>
      </c>
      <c r="BP6" s="69">
        <v>44012</v>
      </c>
    </row>
    <row r="7" spans="1:68" ht="18.75" customHeight="1" x14ac:dyDescent="0.35">
      <c r="A7" s="219" t="s">
        <v>23</v>
      </c>
      <c r="B7" s="461"/>
      <c r="E7" s="185">
        <v>43899</v>
      </c>
      <c r="F7" s="73"/>
      <c r="G7" s="11" t="s">
        <v>362</v>
      </c>
      <c r="H7" s="11">
        <v>60.98</v>
      </c>
      <c r="I7" s="11">
        <v>4.58</v>
      </c>
      <c r="J7" s="186">
        <f t="shared" si="0"/>
        <v>65.56</v>
      </c>
      <c r="K7" s="11"/>
      <c r="L7" s="11" t="s">
        <v>3</v>
      </c>
      <c r="M7" s="39"/>
      <c r="N7" s="39"/>
      <c r="O7" s="39" t="s">
        <v>77</v>
      </c>
      <c r="P7" s="69">
        <v>43899</v>
      </c>
      <c r="Q7" s="13"/>
      <c r="R7" s="185"/>
      <c r="S7" s="11"/>
      <c r="T7" s="11"/>
      <c r="U7" s="11"/>
      <c r="V7" s="186">
        <f t="shared" ref="V7:V69" si="4">T7+U7</f>
        <v>0</v>
      </c>
      <c r="W7" s="11"/>
      <c r="X7" s="11"/>
      <c r="Y7" s="11"/>
      <c r="Z7" s="39"/>
      <c r="AA7" s="11"/>
      <c r="AB7" s="69"/>
      <c r="AC7" s="69"/>
      <c r="AD7" s="187"/>
      <c r="AE7" s="185"/>
      <c r="AF7" s="185"/>
      <c r="AG7" s="185"/>
      <c r="AH7" s="11"/>
      <c r="AI7" s="11"/>
      <c r="AJ7" s="11"/>
      <c r="AK7" s="186">
        <f t="shared" si="2"/>
        <v>0</v>
      </c>
      <c r="AL7" s="11"/>
      <c r="AM7" s="39"/>
      <c r="AN7" s="11"/>
      <c r="AO7" s="69"/>
      <c r="AP7" s="69"/>
      <c r="AR7" s="185"/>
      <c r="AS7" s="11"/>
      <c r="AT7" s="11"/>
      <c r="AU7" s="11"/>
      <c r="AV7" s="186">
        <f t="shared" si="3"/>
        <v>0</v>
      </c>
      <c r="AW7" s="11"/>
      <c r="AX7" s="11"/>
      <c r="AY7" s="69"/>
      <c r="AZ7" s="39"/>
      <c r="BA7" s="69"/>
      <c r="BB7" s="73"/>
      <c r="BC7" s="73"/>
      <c r="BE7" s="185">
        <v>44005</v>
      </c>
      <c r="BF7" s="73"/>
      <c r="BG7" s="11" t="s">
        <v>126</v>
      </c>
      <c r="BH7" s="11">
        <v>1676</v>
      </c>
      <c r="BI7" s="11">
        <v>142.46</v>
      </c>
      <c r="BJ7" s="186">
        <f t="shared" si="1"/>
        <v>1818.46</v>
      </c>
      <c r="BK7" s="11"/>
      <c r="BL7" s="11" t="s">
        <v>6</v>
      </c>
      <c r="BM7" s="39"/>
      <c r="BN7" s="73"/>
      <c r="BO7" s="69" t="s">
        <v>127</v>
      </c>
      <c r="BP7" s="69">
        <v>44021</v>
      </c>
    </row>
    <row r="8" spans="1:68" ht="18.75" customHeight="1" x14ac:dyDescent="0.35">
      <c r="A8" s="219" t="s">
        <v>121</v>
      </c>
      <c r="B8" s="461"/>
      <c r="E8" s="185">
        <v>43923</v>
      </c>
      <c r="F8" s="73"/>
      <c r="G8" s="11" t="s">
        <v>363</v>
      </c>
      <c r="H8" s="186">
        <v>100.41</v>
      </c>
      <c r="I8" s="186">
        <v>5.08</v>
      </c>
      <c r="J8" s="186">
        <f t="shared" si="0"/>
        <v>105.49</v>
      </c>
      <c r="K8" s="186"/>
      <c r="L8" s="138" t="s">
        <v>4</v>
      </c>
      <c r="M8" s="39"/>
      <c r="N8" s="69"/>
      <c r="O8" s="69" t="s">
        <v>43</v>
      </c>
      <c r="P8" s="69">
        <v>43923</v>
      </c>
      <c r="Q8" s="13"/>
      <c r="R8" s="185"/>
      <c r="S8" s="138"/>
      <c r="T8" s="186"/>
      <c r="U8" s="186"/>
      <c r="V8" s="186">
        <f t="shared" si="4"/>
        <v>0</v>
      </c>
      <c r="W8" s="186"/>
      <c r="X8" s="138"/>
      <c r="Y8" s="138"/>
      <c r="Z8" s="39"/>
      <c r="AA8" s="138"/>
      <c r="AB8" s="69"/>
      <c r="AC8" s="69"/>
      <c r="AE8" s="185"/>
      <c r="AF8" s="185"/>
      <c r="AG8" s="185"/>
      <c r="AH8" s="138"/>
      <c r="AI8" s="186"/>
      <c r="AJ8" s="186"/>
      <c r="AK8" s="186">
        <f t="shared" si="2"/>
        <v>0</v>
      </c>
      <c r="AL8" s="186"/>
      <c r="AM8" s="39"/>
      <c r="AN8" s="138"/>
      <c r="AO8" s="69"/>
      <c r="AP8" s="69"/>
      <c r="AR8" s="185"/>
      <c r="AS8" s="138"/>
      <c r="AT8" s="186"/>
      <c r="AU8" s="186"/>
      <c r="AV8" s="186">
        <f t="shared" si="3"/>
        <v>0</v>
      </c>
      <c r="AW8" s="186"/>
      <c r="AX8" s="138"/>
      <c r="AY8" s="69"/>
      <c r="AZ8" s="39"/>
      <c r="BA8" s="69"/>
      <c r="BB8" s="73"/>
      <c r="BC8" s="73"/>
      <c r="BE8" s="185">
        <v>44039</v>
      </c>
      <c r="BF8" s="73"/>
      <c r="BG8" s="11" t="s">
        <v>161</v>
      </c>
      <c r="BH8" s="186">
        <v>500</v>
      </c>
      <c r="BI8" s="186"/>
      <c r="BJ8" s="186">
        <f t="shared" si="1"/>
        <v>500</v>
      </c>
      <c r="BK8" s="186"/>
      <c r="BL8" s="138" t="s">
        <v>7</v>
      </c>
      <c r="BM8" s="39"/>
      <c r="BN8" s="73"/>
      <c r="BO8" s="69" t="s">
        <v>78</v>
      </c>
      <c r="BP8" s="69">
        <v>44019</v>
      </c>
    </row>
    <row r="9" spans="1:68" ht="18.75" customHeight="1" x14ac:dyDescent="0.35">
      <c r="A9" s="216"/>
      <c r="B9" s="461"/>
      <c r="E9" s="185">
        <v>43928</v>
      </c>
      <c r="F9" s="73"/>
      <c r="G9" s="11" t="s">
        <v>364</v>
      </c>
      <c r="H9" s="11">
        <v>28.71</v>
      </c>
      <c r="I9" s="11">
        <v>2.44</v>
      </c>
      <c r="J9" s="186">
        <f t="shared" si="0"/>
        <v>31.150000000000002</v>
      </c>
      <c r="K9" s="11"/>
      <c r="L9" s="11" t="s">
        <v>4</v>
      </c>
      <c r="M9" s="114"/>
      <c r="N9" s="69"/>
      <c r="O9" s="69" t="s">
        <v>43</v>
      </c>
      <c r="P9" s="69">
        <v>43928</v>
      </c>
      <c r="Q9" s="13"/>
      <c r="R9" s="185"/>
      <c r="S9" s="11"/>
      <c r="T9" s="11"/>
      <c r="U9" s="11"/>
      <c r="V9" s="186">
        <f t="shared" si="4"/>
        <v>0</v>
      </c>
      <c r="W9" s="11"/>
      <c r="X9" s="11"/>
      <c r="Y9" s="11"/>
      <c r="Z9" s="114"/>
      <c r="AA9" s="11"/>
      <c r="AB9" s="69"/>
      <c r="AC9" s="69"/>
      <c r="AD9" s="187"/>
      <c r="AE9" s="185"/>
      <c r="AF9" s="185"/>
      <c r="AG9" s="185"/>
      <c r="AH9" s="11"/>
      <c r="AI9" s="11"/>
      <c r="AJ9" s="11"/>
      <c r="AK9" s="186">
        <f t="shared" si="2"/>
        <v>0</v>
      </c>
      <c r="AL9" s="11"/>
      <c r="AM9" s="114"/>
      <c r="AN9" s="11"/>
      <c r="AO9" s="69"/>
      <c r="AP9" s="69"/>
      <c r="AR9" s="185"/>
      <c r="AS9" s="11"/>
      <c r="AT9" s="11"/>
      <c r="AU9" s="11"/>
      <c r="AV9" s="186">
        <f t="shared" si="3"/>
        <v>0</v>
      </c>
      <c r="AW9" s="11"/>
      <c r="AX9" s="11"/>
      <c r="AY9" s="69"/>
      <c r="AZ9" s="114"/>
      <c r="BA9" s="69"/>
      <c r="BB9" s="73"/>
      <c r="BC9" s="73"/>
      <c r="BE9" s="185">
        <v>44056</v>
      </c>
      <c r="BF9" s="73"/>
      <c r="BG9" s="11" t="s">
        <v>155</v>
      </c>
      <c r="BH9" s="11">
        <v>803.32</v>
      </c>
      <c r="BI9" s="11">
        <v>68.28</v>
      </c>
      <c r="BJ9" s="186">
        <f t="shared" si="1"/>
        <v>871.6</v>
      </c>
      <c r="BK9" s="11"/>
      <c r="BL9" s="11" t="s">
        <v>8</v>
      </c>
      <c r="BM9" s="114"/>
      <c r="BN9" s="73"/>
      <c r="BO9" s="69" t="s">
        <v>77</v>
      </c>
      <c r="BP9" s="69">
        <v>44057</v>
      </c>
    </row>
    <row r="10" spans="1:68" ht="15.75" customHeight="1" thickBot="1" x14ac:dyDescent="0.4">
      <c r="A10" s="220"/>
      <c r="B10" s="462"/>
      <c r="C10" s="57"/>
      <c r="E10" s="185">
        <v>43941</v>
      </c>
      <c r="F10" s="73"/>
      <c r="G10" s="11" t="s">
        <v>365</v>
      </c>
      <c r="H10" s="11">
        <v>24.38</v>
      </c>
      <c r="I10" s="11">
        <v>1.24</v>
      </c>
      <c r="J10" s="186">
        <f t="shared" si="0"/>
        <v>25.619999999999997</v>
      </c>
      <c r="K10" s="11"/>
      <c r="L10" s="11" t="s">
        <v>4</v>
      </c>
      <c r="M10" s="138"/>
      <c r="N10" s="69"/>
      <c r="O10" s="69" t="s">
        <v>43</v>
      </c>
      <c r="P10" s="69">
        <v>43941</v>
      </c>
      <c r="Q10" s="14"/>
      <c r="R10" s="185"/>
      <c r="S10" s="138"/>
      <c r="T10" s="186"/>
      <c r="U10" s="186"/>
      <c r="V10" s="186">
        <f t="shared" si="4"/>
        <v>0</v>
      </c>
      <c r="W10" s="186"/>
      <c r="X10" s="138"/>
      <c r="Y10" s="138"/>
      <c r="Z10" s="138"/>
      <c r="AA10" s="138"/>
      <c r="AB10" s="69"/>
      <c r="AC10" s="69"/>
      <c r="AD10" s="188"/>
      <c r="AE10" s="185"/>
      <c r="AF10" s="185"/>
      <c r="AG10" s="185"/>
      <c r="AH10" s="138"/>
      <c r="AI10" s="186"/>
      <c r="AJ10" s="186"/>
      <c r="AK10" s="186">
        <f t="shared" si="2"/>
        <v>0</v>
      </c>
      <c r="AL10" s="186"/>
      <c r="AM10" s="138"/>
      <c r="AN10" s="138"/>
      <c r="AO10" s="69"/>
      <c r="AP10" s="69"/>
      <c r="AR10" s="185"/>
      <c r="AS10" s="138"/>
      <c r="AT10" s="186"/>
      <c r="AU10" s="186"/>
      <c r="AV10" s="186">
        <f t="shared" si="3"/>
        <v>0</v>
      </c>
      <c r="AW10" s="186"/>
      <c r="AX10" s="138"/>
      <c r="AY10" s="69"/>
      <c r="AZ10" s="138"/>
      <c r="BA10" s="69"/>
      <c r="BB10" s="73"/>
      <c r="BC10" s="73"/>
      <c r="BE10" s="185">
        <v>44079</v>
      </c>
      <c r="BF10" s="73"/>
      <c r="BG10" s="11" t="s">
        <v>161</v>
      </c>
      <c r="BH10" s="186">
        <v>425</v>
      </c>
      <c r="BI10" s="186"/>
      <c r="BJ10" s="186">
        <f t="shared" si="1"/>
        <v>425</v>
      </c>
      <c r="BK10" s="186"/>
      <c r="BL10" s="138" t="s">
        <v>9</v>
      </c>
      <c r="BM10" s="138"/>
      <c r="BN10" s="73"/>
      <c r="BO10" s="69" t="s">
        <v>78</v>
      </c>
      <c r="BP10" s="69">
        <v>44084</v>
      </c>
    </row>
    <row r="11" spans="1:68" ht="18.649999999999999" customHeight="1" x14ac:dyDescent="0.35">
      <c r="A11" s="182"/>
      <c r="B11" s="56"/>
      <c r="C11" s="57"/>
      <c r="E11" s="185">
        <v>43969</v>
      </c>
      <c r="F11" s="73"/>
      <c r="G11" s="11" t="s">
        <v>366</v>
      </c>
      <c r="H11" s="11">
        <v>1569.25</v>
      </c>
      <c r="I11" s="11">
        <v>149.08000000000001</v>
      </c>
      <c r="J11" s="186">
        <f t="shared" si="0"/>
        <v>1718.33</v>
      </c>
      <c r="K11" s="11"/>
      <c r="L11" s="11" t="s">
        <v>13</v>
      </c>
      <c r="M11" s="138"/>
      <c r="N11" s="69"/>
      <c r="O11" s="69" t="s">
        <v>43</v>
      </c>
      <c r="P11" s="69">
        <v>43969</v>
      </c>
      <c r="Q11" s="15"/>
      <c r="R11" s="185"/>
      <c r="S11" s="11"/>
      <c r="T11" s="11"/>
      <c r="U11" s="11"/>
      <c r="V11" s="186">
        <f t="shared" si="4"/>
        <v>0</v>
      </c>
      <c r="W11" s="11"/>
      <c r="X11" s="11"/>
      <c r="Y11" s="11"/>
      <c r="Z11" s="138"/>
      <c r="AA11" s="11"/>
      <c r="AB11" s="69"/>
      <c r="AC11" s="69"/>
      <c r="AD11" s="66"/>
      <c r="AE11" s="185"/>
      <c r="AF11" s="185"/>
      <c r="AG11" s="185"/>
      <c r="AH11" s="11"/>
      <c r="AI11" s="11"/>
      <c r="AJ11" s="11"/>
      <c r="AK11" s="186">
        <f t="shared" si="2"/>
        <v>0</v>
      </c>
      <c r="AL11" s="11"/>
      <c r="AM11" s="138"/>
      <c r="AN11" s="11"/>
      <c r="AO11" s="69"/>
      <c r="AP11" s="69"/>
      <c r="AR11" s="185"/>
      <c r="AS11" s="11"/>
      <c r="AT11" s="11"/>
      <c r="AU11" s="11"/>
      <c r="AV11" s="186">
        <f t="shared" si="3"/>
        <v>0</v>
      </c>
      <c r="AW11" s="11"/>
      <c r="AX11" s="11"/>
      <c r="AY11" s="69"/>
      <c r="AZ11" s="138"/>
      <c r="BA11" s="69"/>
      <c r="BB11" s="73"/>
      <c r="BC11" s="73"/>
      <c r="BE11" s="185">
        <v>43831</v>
      </c>
      <c r="BF11" s="73"/>
      <c r="BG11" s="11" t="s">
        <v>162</v>
      </c>
      <c r="BH11" s="11">
        <v>400</v>
      </c>
      <c r="BI11" s="11">
        <v>34</v>
      </c>
      <c r="BJ11" s="186">
        <f t="shared" si="1"/>
        <v>434</v>
      </c>
      <c r="BK11" s="11"/>
      <c r="BL11" s="11" t="s">
        <v>1</v>
      </c>
      <c r="BM11" s="138"/>
      <c r="BN11" s="73"/>
      <c r="BO11" s="69" t="s">
        <v>78</v>
      </c>
      <c r="BP11" s="69">
        <v>44086</v>
      </c>
    </row>
    <row r="12" spans="1:68" ht="14.5" customHeight="1" x14ac:dyDescent="0.35">
      <c r="A12" s="117"/>
      <c r="B12" s="118" t="s">
        <v>84</v>
      </c>
      <c r="C12" s="44"/>
      <c r="E12" s="185">
        <v>43969</v>
      </c>
      <c r="F12" s="73"/>
      <c r="G12" s="11" t="s">
        <v>367</v>
      </c>
      <c r="H12" s="186">
        <v>58.19</v>
      </c>
      <c r="I12" s="186">
        <v>3.09</v>
      </c>
      <c r="J12" s="186">
        <f t="shared" si="0"/>
        <v>61.28</v>
      </c>
      <c r="K12" s="186"/>
      <c r="L12" s="138" t="s">
        <v>13</v>
      </c>
      <c r="M12" s="95"/>
      <c r="N12" s="69"/>
      <c r="O12" s="69" t="s">
        <v>43</v>
      </c>
      <c r="P12" s="69">
        <v>43969</v>
      </c>
      <c r="Q12" s="15"/>
      <c r="R12" s="185"/>
      <c r="S12" s="11"/>
      <c r="T12" s="11"/>
      <c r="U12" s="11"/>
      <c r="V12" s="186">
        <f t="shared" si="4"/>
        <v>0</v>
      </c>
      <c r="W12" s="11"/>
      <c r="X12" s="11"/>
      <c r="Y12" s="11"/>
      <c r="Z12" s="95"/>
      <c r="AA12" s="11"/>
      <c r="AB12" s="69"/>
      <c r="AC12" s="69"/>
      <c r="AD12" s="66"/>
      <c r="AE12" s="185"/>
      <c r="AF12" s="185"/>
      <c r="AG12" s="185"/>
      <c r="AH12" s="11"/>
      <c r="AI12" s="11"/>
      <c r="AJ12" s="11"/>
      <c r="AK12" s="186">
        <f t="shared" si="2"/>
        <v>0</v>
      </c>
      <c r="AL12" s="11"/>
      <c r="AM12" s="95"/>
      <c r="AN12" s="11"/>
      <c r="AO12" s="69"/>
      <c r="AP12" s="69"/>
      <c r="AR12" s="185"/>
      <c r="AS12" s="11"/>
      <c r="AT12" s="11"/>
      <c r="AU12" s="11"/>
      <c r="AV12" s="186">
        <f t="shared" si="3"/>
        <v>0</v>
      </c>
      <c r="AW12" s="11"/>
      <c r="AX12" s="11"/>
      <c r="AY12" s="69"/>
      <c r="AZ12" s="95"/>
      <c r="BA12" s="69"/>
      <c r="BB12" s="73"/>
      <c r="BC12" s="73"/>
      <c r="BE12" s="185">
        <v>44070</v>
      </c>
      <c r="BF12" s="73"/>
      <c r="BG12" s="11" t="s">
        <v>164</v>
      </c>
      <c r="BH12" s="11">
        <v>370</v>
      </c>
      <c r="BI12" s="11">
        <v>31.45</v>
      </c>
      <c r="BJ12" s="186">
        <f t="shared" si="1"/>
        <v>401.45</v>
      </c>
      <c r="BK12" s="11"/>
      <c r="BL12" s="11" t="s">
        <v>8</v>
      </c>
      <c r="BM12" s="95"/>
      <c r="BN12" s="73"/>
      <c r="BO12" s="69" t="s">
        <v>54</v>
      </c>
      <c r="BP12" s="69">
        <v>44091</v>
      </c>
    </row>
    <row r="13" spans="1:68" ht="14.5" customHeight="1" x14ac:dyDescent="0.35">
      <c r="A13" s="116"/>
      <c r="B13" s="118" t="s">
        <v>85</v>
      </c>
      <c r="C13" s="43"/>
      <c r="E13" s="185">
        <v>43969</v>
      </c>
      <c r="F13" s="73"/>
      <c r="G13" s="11" t="s">
        <v>368</v>
      </c>
      <c r="H13" s="11">
        <v>6.99</v>
      </c>
      <c r="I13" s="11"/>
      <c r="J13" s="186">
        <f t="shared" si="0"/>
        <v>6.99</v>
      </c>
      <c r="K13" s="11"/>
      <c r="L13" s="11" t="s">
        <v>13</v>
      </c>
      <c r="M13" s="138"/>
      <c r="N13" s="69"/>
      <c r="O13" s="69" t="s">
        <v>77</v>
      </c>
      <c r="P13" s="69">
        <v>43969</v>
      </c>
      <c r="Q13" s="15"/>
      <c r="R13" s="185"/>
      <c r="S13" s="11"/>
      <c r="T13" s="11"/>
      <c r="U13" s="11"/>
      <c r="V13" s="186">
        <f t="shared" si="4"/>
        <v>0</v>
      </c>
      <c r="W13" s="11"/>
      <c r="X13" s="11"/>
      <c r="Y13" s="11"/>
      <c r="Z13" s="138"/>
      <c r="AA13" s="11"/>
      <c r="AB13" s="69"/>
      <c r="AC13" s="69"/>
      <c r="AD13" s="66"/>
      <c r="AE13" s="185"/>
      <c r="AF13" s="185"/>
      <c r="AG13" s="185"/>
      <c r="AH13" s="11"/>
      <c r="AI13" s="11"/>
      <c r="AJ13" s="11"/>
      <c r="AK13" s="186">
        <f t="shared" si="2"/>
        <v>0</v>
      </c>
      <c r="AL13" s="11"/>
      <c r="AM13" s="138"/>
      <c r="AN13" s="11"/>
      <c r="AO13" s="69"/>
      <c r="AP13" s="69"/>
      <c r="AR13" s="185"/>
      <c r="AS13" s="11"/>
      <c r="AT13" s="11"/>
      <c r="AU13" s="11"/>
      <c r="AV13" s="186">
        <f t="shared" si="3"/>
        <v>0</v>
      </c>
      <c r="AW13" s="11"/>
      <c r="AX13" s="11"/>
      <c r="AY13" s="69"/>
      <c r="AZ13" s="138"/>
      <c r="BA13" s="69"/>
      <c r="BB13" s="73"/>
      <c r="BC13" s="73"/>
      <c r="BE13" s="185"/>
      <c r="BF13" s="11"/>
      <c r="BG13" s="11"/>
      <c r="BH13" s="11"/>
      <c r="BI13" s="186">
        <f t="shared" ref="BI13:BI68" si="5">BG13+BH13</f>
        <v>0</v>
      </c>
      <c r="BJ13" s="11"/>
      <c r="BK13" s="11"/>
      <c r="BL13" s="69"/>
      <c r="BM13" s="138"/>
      <c r="BN13" s="69"/>
      <c r="BO13" s="73"/>
      <c r="BP13" s="73"/>
    </row>
    <row r="14" spans="1:68" x14ac:dyDescent="0.35">
      <c r="A14" s="170" t="s">
        <v>94</v>
      </c>
      <c r="C14" s="43"/>
      <c r="E14" s="185">
        <v>43976</v>
      </c>
      <c r="F14" s="73"/>
      <c r="G14" s="11" t="s">
        <v>369</v>
      </c>
      <c r="H14" s="11">
        <v>6.85</v>
      </c>
      <c r="I14" s="11"/>
      <c r="J14" s="186">
        <f t="shared" si="0"/>
        <v>6.85</v>
      </c>
      <c r="K14" s="11"/>
      <c r="L14" s="11" t="s">
        <v>13</v>
      </c>
      <c r="M14" s="138"/>
      <c r="N14" s="69"/>
      <c r="O14" s="69" t="s">
        <v>77</v>
      </c>
      <c r="P14" s="69">
        <v>43976</v>
      </c>
      <c r="Q14" s="15"/>
      <c r="R14" s="185"/>
      <c r="S14" s="11"/>
      <c r="T14" s="11"/>
      <c r="U14" s="11"/>
      <c r="V14" s="186">
        <f t="shared" si="4"/>
        <v>0</v>
      </c>
      <c r="W14" s="11"/>
      <c r="X14" s="11"/>
      <c r="Y14" s="11"/>
      <c r="Z14" s="138"/>
      <c r="AA14" s="11"/>
      <c r="AB14" s="39"/>
      <c r="AC14" s="69"/>
      <c r="AD14" s="66"/>
      <c r="AE14" s="185"/>
      <c r="AF14" s="185"/>
      <c r="AG14" s="185"/>
      <c r="AH14" s="11"/>
      <c r="AI14" s="11"/>
      <c r="AJ14" s="11"/>
      <c r="AK14" s="186">
        <f t="shared" si="2"/>
        <v>0</v>
      </c>
      <c r="AL14" s="11"/>
      <c r="AM14" s="138"/>
      <c r="AN14" s="11"/>
      <c r="AO14" s="39"/>
      <c r="AP14" s="69"/>
      <c r="AR14" s="185"/>
      <c r="AS14" s="11"/>
      <c r="AT14" s="11"/>
      <c r="AU14" s="11"/>
      <c r="AV14" s="186">
        <f t="shared" si="3"/>
        <v>0</v>
      </c>
      <c r="AW14" s="11"/>
      <c r="AX14" s="11"/>
      <c r="AY14" s="39"/>
      <c r="AZ14" s="138"/>
      <c r="BA14" s="69"/>
      <c r="BB14" s="73"/>
      <c r="BC14" s="73"/>
      <c r="BE14" s="185"/>
      <c r="BF14" s="11"/>
      <c r="BG14" s="11"/>
      <c r="BH14" s="11"/>
      <c r="BI14" s="186">
        <f t="shared" si="5"/>
        <v>0</v>
      </c>
      <c r="BJ14" s="11"/>
      <c r="BK14" s="11"/>
      <c r="BL14" s="39"/>
      <c r="BM14" s="138"/>
      <c r="BN14" s="69"/>
      <c r="BO14" s="73"/>
      <c r="BP14" s="73"/>
    </row>
    <row r="15" spans="1:68" ht="18.649999999999999" customHeight="1" x14ac:dyDescent="0.35">
      <c r="A15" s="182"/>
      <c r="B15" s="56"/>
      <c r="C15" s="43"/>
      <c r="E15" s="185">
        <v>44001</v>
      </c>
      <c r="F15" s="73"/>
      <c r="G15" s="11" t="s">
        <v>370</v>
      </c>
      <c r="H15" s="186">
        <v>34.950000000000003</v>
      </c>
      <c r="I15" s="186"/>
      <c r="J15" s="186">
        <f t="shared" si="0"/>
        <v>34.950000000000003</v>
      </c>
      <c r="K15" s="186"/>
      <c r="L15" s="138" t="s">
        <v>6</v>
      </c>
      <c r="M15" s="39"/>
      <c r="N15" s="39"/>
      <c r="O15" s="39" t="s">
        <v>77</v>
      </c>
      <c r="P15" s="69">
        <v>44001</v>
      </c>
      <c r="Q15" s="15"/>
      <c r="R15" s="185"/>
      <c r="S15" s="138"/>
      <c r="T15" s="186"/>
      <c r="U15" s="186"/>
      <c r="V15" s="186">
        <f t="shared" si="4"/>
        <v>0</v>
      </c>
      <c r="W15" s="186"/>
      <c r="X15" s="138"/>
      <c r="Y15" s="138"/>
      <c r="Z15" s="39"/>
      <c r="AA15" s="138"/>
      <c r="AB15" s="138"/>
      <c r="AC15" s="185"/>
      <c r="AD15" s="66"/>
      <c r="AE15" s="185"/>
      <c r="AF15" s="185"/>
      <c r="AG15" s="185"/>
      <c r="AH15" s="138"/>
      <c r="AI15" s="186"/>
      <c r="AJ15" s="186"/>
      <c r="AK15" s="186">
        <f t="shared" si="2"/>
        <v>0</v>
      </c>
      <c r="AL15" s="186"/>
      <c r="AM15" s="39"/>
      <c r="AN15" s="138"/>
      <c r="AO15" s="138"/>
      <c r="AP15" s="185"/>
      <c r="AR15" s="185"/>
      <c r="AS15" s="138"/>
      <c r="AT15" s="186"/>
      <c r="AU15" s="186"/>
      <c r="AV15" s="186">
        <f t="shared" si="3"/>
        <v>0</v>
      </c>
      <c r="AW15" s="186"/>
      <c r="AX15" s="138"/>
      <c r="AY15" s="138"/>
      <c r="AZ15" s="39"/>
      <c r="BA15" s="185"/>
      <c r="BB15" s="73"/>
      <c r="BC15" s="73"/>
      <c r="BE15" s="185"/>
      <c r="BF15" s="138"/>
      <c r="BG15" s="186"/>
      <c r="BH15" s="186"/>
      <c r="BI15" s="186">
        <f t="shared" si="5"/>
        <v>0</v>
      </c>
      <c r="BJ15" s="186"/>
      <c r="BK15" s="138"/>
      <c r="BL15" s="138"/>
      <c r="BM15" s="39"/>
      <c r="BN15" s="185"/>
      <c r="BO15" s="73"/>
      <c r="BP15" s="73"/>
    </row>
    <row r="16" spans="1:68" ht="18.649999999999999" customHeight="1" x14ac:dyDescent="0.35">
      <c r="C16" s="43"/>
      <c r="E16" s="185">
        <v>44014</v>
      </c>
      <c r="F16" s="73"/>
      <c r="G16" s="11" t="s">
        <v>371</v>
      </c>
      <c r="H16" s="11">
        <v>39</v>
      </c>
      <c r="I16" s="11"/>
      <c r="J16" s="186">
        <f t="shared" si="0"/>
        <v>39</v>
      </c>
      <c r="K16" s="11"/>
      <c r="L16" s="11" t="s">
        <v>7</v>
      </c>
      <c r="M16" s="19"/>
      <c r="N16" s="39"/>
      <c r="O16" s="39" t="s">
        <v>130</v>
      </c>
      <c r="P16" s="69">
        <v>44014</v>
      </c>
      <c r="Q16" s="15"/>
      <c r="R16" s="185"/>
      <c r="S16" s="11"/>
      <c r="T16" s="11"/>
      <c r="U16" s="11"/>
      <c r="V16" s="186">
        <f t="shared" si="4"/>
        <v>0</v>
      </c>
      <c r="W16" s="11"/>
      <c r="X16" s="11"/>
      <c r="Y16" s="11"/>
      <c r="Z16" s="19"/>
      <c r="AA16" s="11"/>
      <c r="AB16" s="39"/>
      <c r="AC16" s="69"/>
      <c r="AD16" s="66"/>
      <c r="AE16" s="185"/>
      <c r="AF16" s="185"/>
      <c r="AG16" s="185"/>
      <c r="AH16" s="11"/>
      <c r="AI16" s="11"/>
      <c r="AJ16" s="11"/>
      <c r="AK16" s="186">
        <f t="shared" si="2"/>
        <v>0</v>
      </c>
      <c r="AL16" s="11"/>
      <c r="AM16" s="19"/>
      <c r="AN16" s="11"/>
      <c r="AO16" s="39"/>
      <c r="AP16" s="69"/>
      <c r="AR16" s="185"/>
      <c r="AS16" s="11"/>
      <c r="AT16" s="11"/>
      <c r="AU16" s="11"/>
      <c r="AV16" s="186">
        <f t="shared" si="3"/>
        <v>0</v>
      </c>
      <c r="AW16" s="11"/>
      <c r="AX16" s="11"/>
      <c r="AY16" s="39"/>
      <c r="AZ16" s="19"/>
      <c r="BA16" s="69"/>
      <c r="BB16" s="73"/>
      <c r="BC16" s="73"/>
      <c r="BE16" s="185"/>
      <c r="BF16" s="11"/>
      <c r="BG16" s="11"/>
      <c r="BH16" s="11"/>
      <c r="BI16" s="186">
        <f t="shared" si="5"/>
        <v>0</v>
      </c>
      <c r="BJ16" s="11"/>
      <c r="BK16" s="11"/>
      <c r="BL16" s="39"/>
      <c r="BM16" s="19"/>
      <c r="BN16" s="69"/>
      <c r="BO16" s="73"/>
      <c r="BP16" s="73"/>
    </row>
    <row r="17" spans="1:68" ht="14.5" customHeight="1" x14ac:dyDescent="0.35">
      <c r="A17" s="24"/>
      <c r="C17" s="43"/>
      <c r="E17" s="185">
        <v>44025</v>
      </c>
      <c r="F17" s="73"/>
      <c r="G17" s="11" t="s">
        <v>372</v>
      </c>
      <c r="H17" s="11">
        <v>16.86</v>
      </c>
      <c r="I17" s="11"/>
      <c r="J17" s="186">
        <f t="shared" si="0"/>
        <v>16.86</v>
      </c>
      <c r="K17" s="11"/>
      <c r="L17" s="11" t="s">
        <v>7</v>
      </c>
      <c r="M17" s="138"/>
      <c r="N17" s="39"/>
      <c r="O17" s="39" t="s">
        <v>43</v>
      </c>
      <c r="P17" s="69">
        <v>44025</v>
      </c>
      <c r="Q17" s="15"/>
      <c r="R17" s="185"/>
      <c r="S17" s="39"/>
      <c r="T17" s="39"/>
      <c r="U17" s="39"/>
      <c r="V17" s="186">
        <f t="shared" si="4"/>
        <v>0</v>
      </c>
      <c r="W17" s="39"/>
      <c r="X17" s="39"/>
      <c r="Y17" s="39"/>
      <c r="Z17" s="138"/>
      <c r="AA17" s="39"/>
      <c r="AB17" s="39"/>
      <c r="AC17" s="89"/>
      <c r="AD17" s="66"/>
      <c r="AE17" s="185"/>
      <c r="AF17" s="185"/>
      <c r="AG17" s="185"/>
      <c r="AH17" s="39"/>
      <c r="AI17" s="39"/>
      <c r="AJ17" s="39"/>
      <c r="AK17" s="186">
        <f t="shared" si="2"/>
        <v>0</v>
      </c>
      <c r="AL17" s="39"/>
      <c r="AM17" s="138"/>
      <c r="AN17" s="39"/>
      <c r="AO17" s="39"/>
      <c r="AP17" s="89"/>
      <c r="AR17" s="185"/>
      <c r="AS17" s="39"/>
      <c r="AT17" s="39"/>
      <c r="AU17" s="39"/>
      <c r="AV17" s="186">
        <f t="shared" si="3"/>
        <v>0</v>
      </c>
      <c r="AW17" s="39"/>
      <c r="AX17" s="39"/>
      <c r="AY17" s="39"/>
      <c r="AZ17" s="138"/>
      <c r="BA17" s="89"/>
      <c r="BB17" s="73"/>
      <c r="BC17" s="73"/>
      <c r="BE17" s="185"/>
      <c r="BF17" s="39"/>
      <c r="BG17" s="39"/>
      <c r="BH17" s="39"/>
      <c r="BI17" s="186">
        <f t="shared" si="5"/>
        <v>0</v>
      </c>
      <c r="BJ17" s="39"/>
      <c r="BK17" s="39"/>
      <c r="BL17" s="39"/>
      <c r="BM17" s="138"/>
      <c r="BN17" s="89"/>
      <c r="BO17" s="73"/>
      <c r="BP17" s="73"/>
    </row>
    <row r="18" spans="1:68" ht="14.5" customHeight="1" x14ac:dyDescent="0.35">
      <c r="A18" s="24"/>
      <c r="C18" s="43"/>
      <c r="E18" s="185">
        <v>44027</v>
      </c>
      <c r="F18" s="73"/>
      <c r="G18" s="11" t="s">
        <v>373</v>
      </c>
      <c r="H18" s="11">
        <v>6.99</v>
      </c>
      <c r="I18" s="11"/>
      <c r="J18" s="186">
        <f t="shared" si="0"/>
        <v>6.99</v>
      </c>
      <c r="K18" s="11"/>
      <c r="L18" s="11" t="s">
        <v>7</v>
      </c>
      <c r="M18" s="138"/>
      <c r="N18" s="39"/>
      <c r="O18" s="39" t="s">
        <v>77</v>
      </c>
      <c r="P18" s="69">
        <v>44027</v>
      </c>
      <c r="Q18" s="15"/>
      <c r="R18" s="185"/>
      <c r="S18" s="39"/>
      <c r="T18" s="39"/>
      <c r="U18" s="39"/>
      <c r="V18" s="186">
        <f t="shared" si="4"/>
        <v>0</v>
      </c>
      <c r="W18" s="39"/>
      <c r="X18" s="39"/>
      <c r="Y18" s="39"/>
      <c r="Z18" s="138"/>
      <c r="AA18" s="39"/>
      <c r="AB18" s="39"/>
      <c r="AC18" s="89"/>
      <c r="AD18" s="66"/>
      <c r="AE18" s="185"/>
      <c r="AF18" s="185"/>
      <c r="AG18" s="185"/>
      <c r="AH18" s="39"/>
      <c r="AI18" s="39"/>
      <c r="AJ18" s="39"/>
      <c r="AK18" s="186">
        <f t="shared" si="2"/>
        <v>0</v>
      </c>
      <c r="AL18" s="39"/>
      <c r="AM18" s="138"/>
      <c r="AN18" s="39"/>
      <c r="AO18" s="39"/>
      <c r="AP18" s="89"/>
      <c r="AR18" s="185"/>
      <c r="AS18" s="39"/>
      <c r="AT18" s="39"/>
      <c r="AU18" s="39"/>
      <c r="AV18" s="186">
        <f t="shared" si="3"/>
        <v>0</v>
      </c>
      <c r="AW18" s="39"/>
      <c r="AX18" s="39"/>
      <c r="AY18" s="39"/>
      <c r="AZ18" s="138"/>
      <c r="BA18" s="89"/>
      <c r="BB18" s="73"/>
      <c r="BC18" s="73"/>
      <c r="BE18" s="185"/>
      <c r="BF18" s="39"/>
      <c r="BG18" s="39"/>
      <c r="BH18" s="39"/>
      <c r="BI18" s="186">
        <f t="shared" si="5"/>
        <v>0</v>
      </c>
      <c r="BJ18" s="39"/>
      <c r="BK18" s="39"/>
      <c r="BL18" s="39"/>
      <c r="BM18" s="138"/>
      <c r="BN18" s="89"/>
      <c r="BO18" s="73"/>
      <c r="BP18" s="73"/>
    </row>
    <row r="19" spans="1:68" ht="14.5" customHeight="1" x14ac:dyDescent="0.35">
      <c r="A19" s="24"/>
      <c r="C19" s="43"/>
      <c r="E19" s="185">
        <v>44027</v>
      </c>
      <c r="F19" s="73"/>
      <c r="G19" s="11" t="s">
        <v>374</v>
      </c>
      <c r="H19" s="11">
        <v>21.97</v>
      </c>
      <c r="I19" s="11">
        <v>1.87</v>
      </c>
      <c r="J19" s="186">
        <v>23.84</v>
      </c>
      <c r="K19" s="11"/>
      <c r="L19" s="11" t="s">
        <v>7</v>
      </c>
      <c r="M19" s="138"/>
      <c r="N19" s="39"/>
      <c r="O19" s="39" t="s">
        <v>43</v>
      </c>
      <c r="P19" s="69">
        <v>44027</v>
      </c>
      <c r="Q19" s="15"/>
      <c r="R19" s="185"/>
      <c r="S19" s="138"/>
      <c r="T19" s="186"/>
      <c r="U19" s="186"/>
      <c r="V19" s="186">
        <f t="shared" si="4"/>
        <v>0</v>
      </c>
      <c r="W19" s="186"/>
      <c r="X19" s="138"/>
      <c r="Y19" s="138"/>
      <c r="Z19" s="138"/>
      <c r="AA19" s="138"/>
      <c r="AB19" s="39"/>
      <c r="AC19" s="69"/>
      <c r="AD19" s="66"/>
      <c r="AE19" s="185"/>
      <c r="AF19" s="185"/>
      <c r="AG19" s="185"/>
      <c r="AH19" s="138"/>
      <c r="AI19" s="186"/>
      <c r="AJ19" s="186"/>
      <c r="AK19" s="186">
        <f t="shared" si="2"/>
        <v>0</v>
      </c>
      <c r="AL19" s="186"/>
      <c r="AM19" s="138"/>
      <c r="AN19" s="138"/>
      <c r="AO19" s="39"/>
      <c r="AP19" s="69"/>
      <c r="AR19" s="185"/>
      <c r="AS19" s="138"/>
      <c r="AT19" s="186"/>
      <c r="AU19" s="186"/>
      <c r="AV19" s="186">
        <f t="shared" si="3"/>
        <v>0</v>
      </c>
      <c r="AW19" s="186"/>
      <c r="AX19" s="138"/>
      <c r="AY19" s="39"/>
      <c r="AZ19" s="138"/>
      <c r="BA19" s="69"/>
      <c r="BB19" s="73"/>
      <c r="BC19" s="73"/>
      <c r="BE19" s="185"/>
      <c r="BF19" s="138"/>
      <c r="BG19" s="186"/>
      <c r="BH19" s="186"/>
      <c r="BI19" s="186">
        <f t="shared" si="5"/>
        <v>0</v>
      </c>
      <c r="BJ19" s="186"/>
      <c r="BK19" s="138"/>
      <c r="BL19" s="39"/>
      <c r="BM19" s="138"/>
      <c r="BN19" s="69"/>
      <c r="BO19" s="73"/>
      <c r="BP19" s="73"/>
    </row>
    <row r="20" spans="1:68" ht="14.5" customHeight="1" x14ac:dyDescent="0.35">
      <c r="A20" s="24"/>
      <c r="C20" s="44"/>
      <c r="E20" s="185">
        <v>44033</v>
      </c>
      <c r="F20" s="73"/>
      <c r="G20" s="11" t="s">
        <v>375</v>
      </c>
      <c r="H20" s="11">
        <v>88</v>
      </c>
      <c r="I20" s="11"/>
      <c r="J20" s="186">
        <f>H20+I20</f>
        <v>88</v>
      </c>
      <c r="K20" s="11"/>
      <c r="L20" s="11" t="s">
        <v>7</v>
      </c>
      <c r="M20" s="138"/>
      <c r="N20" s="39"/>
      <c r="O20" s="39" t="s">
        <v>78</v>
      </c>
      <c r="P20" s="69">
        <v>44033</v>
      </c>
      <c r="Q20" s="15"/>
      <c r="R20" s="185"/>
      <c r="S20" s="138"/>
      <c r="T20" s="186"/>
      <c r="U20" s="186"/>
      <c r="V20" s="186">
        <f t="shared" si="4"/>
        <v>0</v>
      </c>
      <c r="W20" s="186"/>
      <c r="X20" s="186"/>
      <c r="Y20" s="186"/>
      <c r="Z20" s="138"/>
      <c r="AA20" s="186"/>
      <c r="AB20" s="186"/>
      <c r="AC20" s="186"/>
      <c r="AD20" s="66"/>
      <c r="AE20" s="185"/>
      <c r="AF20" s="185"/>
      <c r="AG20" s="185"/>
      <c r="AH20" s="138"/>
      <c r="AI20" s="186"/>
      <c r="AJ20" s="186"/>
      <c r="AK20" s="186">
        <f t="shared" si="2"/>
        <v>0</v>
      </c>
      <c r="AL20" s="186"/>
      <c r="AM20" s="138"/>
      <c r="AN20" s="186"/>
      <c r="AO20" s="186"/>
      <c r="AP20" s="186"/>
      <c r="AR20" s="185"/>
      <c r="AS20" s="138"/>
      <c r="AT20" s="186"/>
      <c r="AU20" s="186"/>
      <c r="AV20" s="186">
        <f t="shared" si="3"/>
        <v>0</v>
      </c>
      <c r="AW20" s="186"/>
      <c r="AX20" s="186"/>
      <c r="AY20" s="186"/>
      <c r="AZ20" s="138"/>
      <c r="BA20" s="186"/>
      <c r="BB20" s="73"/>
      <c r="BC20" s="73"/>
      <c r="BE20" s="185"/>
      <c r="BF20" s="138"/>
      <c r="BG20" s="186"/>
      <c r="BH20" s="186"/>
      <c r="BI20" s="186">
        <f t="shared" si="5"/>
        <v>0</v>
      </c>
      <c r="BJ20" s="186"/>
      <c r="BK20" s="186"/>
      <c r="BL20" s="186"/>
      <c r="BM20" s="138"/>
      <c r="BN20" s="186"/>
      <c r="BO20" s="73"/>
      <c r="BP20" s="73"/>
    </row>
    <row r="21" spans="1:68" ht="15.65" customHeight="1" x14ac:dyDescent="0.35">
      <c r="A21" s="24"/>
      <c r="C21" s="45"/>
      <c r="E21" s="185">
        <v>44033</v>
      </c>
      <c r="F21" s="73"/>
      <c r="G21" s="11" t="s">
        <v>376</v>
      </c>
      <c r="H21" s="11">
        <v>28.67</v>
      </c>
      <c r="I21" s="11"/>
      <c r="J21" s="186">
        <f>H21+I21</f>
        <v>28.67</v>
      </c>
      <c r="K21" s="11"/>
      <c r="L21" s="11" t="s">
        <v>7</v>
      </c>
      <c r="M21" s="17"/>
      <c r="N21" s="39"/>
      <c r="O21" s="39" t="s">
        <v>43</v>
      </c>
      <c r="P21" s="69">
        <v>44033</v>
      </c>
      <c r="Q21" s="15"/>
      <c r="R21" s="185"/>
      <c r="S21" s="138"/>
      <c r="T21" s="186"/>
      <c r="U21" s="186"/>
      <c r="V21" s="186">
        <f t="shared" si="4"/>
        <v>0</v>
      </c>
      <c r="W21" s="186"/>
      <c r="X21" s="186"/>
      <c r="Y21" s="186"/>
      <c r="Z21" s="17"/>
      <c r="AA21" s="186"/>
      <c r="AB21" s="186"/>
      <c r="AC21" s="186"/>
      <c r="AD21" s="66"/>
      <c r="AE21" s="185"/>
      <c r="AF21" s="185"/>
      <c r="AG21" s="185"/>
      <c r="AH21" s="138"/>
      <c r="AI21" s="186"/>
      <c r="AJ21" s="186"/>
      <c r="AK21" s="186">
        <f t="shared" si="2"/>
        <v>0</v>
      </c>
      <c r="AL21" s="186"/>
      <c r="AM21" s="17"/>
      <c r="AN21" s="186"/>
      <c r="AO21" s="186"/>
      <c r="AP21" s="186"/>
      <c r="AR21" s="185"/>
      <c r="AS21" s="138"/>
      <c r="AT21" s="186"/>
      <c r="AU21" s="186"/>
      <c r="AV21" s="186">
        <f t="shared" si="3"/>
        <v>0</v>
      </c>
      <c r="AW21" s="186"/>
      <c r="AX21" s="186"/>
      <c r="AY21" s="186"/>
      <c r="AZ21" s="17"/>
      <c r="BA21" s="186"/>
      <c r="BB21" s="73"/>
      <c r="BC21" s="73"/>
      <c r="BE21" s="185"/>
      <c r="BF21" s="138"/>
      <c r="BG21" s="186"/>
      <c r="BH21" s="186"/>
      <c r="BI21" s="186">
        <f t="shared" si="5"/>
        <v>0</v>
      </c>
      <c r="BJ21" s="186"/>
      <c r="BK21" s="186"/>
      <c r="BL21" s="186"/>
      <c r="BM21" s="17"/>
      <c r="BN21" s="186"/>
      <c r="BO21" s="73"/>
      <c r="BP21" s="73"/>
    </row>
    <row r="22" spans="1:68" ht="14.5" customHeight="1" x14ac:dyDescent="0.35">
      <c r="A22" s="24"/>
      <c r="C22" s="43"/>
      <c r="E22" s="185">
        <v>44047</v>
      </c>
      <c r="F22" s="73"/>
      <c r="G22" s="11" t="s">
        <v>377</v>
      </c>
      <c r="H22" s="11">
        <v>71.260000000000005</v>
      </c>
      <c r="I22" s="11"/>
      <c r="J22" s="186">
        <f>H22+I22</f>
        <v>71.260000000000005</v>
      </c>
      <c r="K22" s="11"/>
      <c r="L22" s="11" t="s">
        <v>8</v>
      </c>
      <c r="M22" s="138"/>
      <c r="N22" s="39"/>
      <c r="O22" s="39" t="s">
        <v>43</v>
      </c>
      <c r="P22" s="69">
        <v>44047</v>
      </c>
      <c r="Q22" s="15"/>
      <c r="R22" s="185"/>
      <c r="S22" s="138"/>
      <c r="T22" s="186"/>
      <c r="U22" s="186"/>
      <c r="V22" s="186">
        <f t="shared" si="4"/>
        <v>0</v>
      </c>
      <c r="W22" s="186"/>
      <c r="X22" s="186"/>
      <c r="Y22" s="186"/>
      <c r="Z22" s="138"/>
      <c r="AA22" s="186"/>
      <c r="AB22" s="186"/>
      <c r="AC22" s="186"/>
      <c r="AD22" s="66"/>
      <c r="AE22" s="185"/>
      <c r="AF22" s="185"/>
      <c r="AG22" s="185"/>
      <c r="AH22" s="138"/>
      <c r="AI22" s="186"/>
      <c r="AJ22" s="186"/>
      <c r="AK22" s="186">
        <f t="shared" si="2"/>
        <v>0</v>
      </c>
      <c r="AL22" s="186"/>
      <c r="AM22" s="138"/>
      <c r="AN22" s="186"/>
      <c r="AO22" s="186"/>
      <c r="AP22" s="186"/>
      <c r="AR22" s="185"/>
      <c r="AS22" s="138"/>
      <c r="AT22" s="186"/>
      <c r="AU22" s="186"/>
      <c r="AV22" s="186">
        <f t="shared" si="3"/>
        <v>0</v>
      </c>
      <c r="AW22" s="186"/>
      <c r="AX22" s="186"/>
      <c r="AY22" s="186"/>
      <c r="AZ22" s="138"/>
      <c r="BA22" s="186"/>
      <c r="BB22" s="73"/>
      <c r="BC22" s="73"/>
      <c r="BE22" s="185"/>
      <c r="BF22" s="138"/>
      <c r="BG22" s="186"/>
      <c r="BH22" s="186"/>
      <c r="BI22" s="186">
        <f t="shared" si="5"/>
        <v>0</v>
      </c>
      <c r="BJ22" s="186"/>
      <c r="BK22" s="186"/>
      <c r="BL22" s="186"/>
      <c r="BM22" s="138"/>
      <c r="BN22" s="186"/>
      <c r="BO22" s="73"/>
      <c r="BP22" s="73"/>
    </row>
    <row r="23" spans="1:68" ht="14.5" customHeight="1" x14ac:dyDescent="0.35">
      <c r="A23" s="24"/>
      <c r="C23" s="43"/>
      <c r="E23" s="185">
        <v>44048</v>
      </c>
      <c r="F23" s="73"/>
      <c r="G23" s="11" t="s">
        <v>378</v>
      </c>
      <c r="H23" s="11">
        <v>78</v>
      </c>
      <c r="I23" s="11"/>
      <c r="J23" s="186">
        <f>H23+I23</f>
        <v>78</v>
      </c>
      <c r="K23" s="11"/>
      <c r="L23" s="11" t="s">
        <v>8</v>
      </c>
      <c r="M23" s="138"/>
      <c r="N23" s="39"/>
      <c r="O23" s="39" t="s">
        <v>130</v>
      </c>
      <c r="P23" s="69">
        <v>44048</v>
      </c>
      <c r="Q23" s="15"/>
      <c r="R23" s="185"/>
      <c r="S23" s="138"/>
      <c r="T23" s="186"/>
      <c r="U23" s="186"/>
      <c r="V23" s="186">
        <f t="shared" si="4"/>
        <v>0</v>
      </c>
      <c r="W23" s="186"/>
      <c r="X23" s="186"/>
      <c r="Y23" s="186"/>
      <c r="Z23" s="138"/>
      <c r="AA23" s="186"/>
      <c r="AB23" s="186"/>
      <c r="AC23" s="186"/>
      <c r="AD23" s="66"/>
      <c r="AE23" s="185"/>
      <c r="AF23" s="185"/>
      <c r="AG23" s="185"/>
      <c r="AH23" s="138"/>
      <c r="AI23" s="186"/>
      <c r="AJ23" s="186"/>
      <c r="AK23" s="186">
        <f t="shared" si="2"/>
        <v>0</v>
      </c>
      <c r="AL23" s="186"/>
      <c r="AM23" s="138"/>
      <c r="AN23" s="186"/>
      <c r="AO23" s="186"/>
      <c r="AP23" s="186"/>
      <c r="AR23" s="185"/>
      <c r="AS23" s="138"/>
      <c r="AT23" s="186"/>
      <c r="AU23" s="186"/>
      <c r="AV23" s="186">
        <f t="shared" si="3"/>
        <v>0</v>
      </c>
      <c r="AW23" s="186"/>
      <c r="AX23" s="186"/>
      <c r="AY23" s="186"/>
      <c r="AZ23" s="138"/>
      <c r="BA23" s="186"/>
      <c r="BB23" s="73"/>
      <c r="BC23" s="73"/>
      <c r="BE23" s="185"/>
      <c r="BF23" s="138"/>
      <c r="BG23" s="186"/>
      <c r="BH23" s="186"/>
      <c r="BI23" s="186">
        <f t="shared" si="5"/>
        <v>0</v>
      </c>
      <c r="BJ23" s="186"/>
      <c r="BK23" s="186"/>
      <c r="BL23" s="186"/>
      <c r="BM23" s="138"/>
      <c r="BN23" s="186"/>
      <c r="BO23" s="73"/>
      <c r="BP23" s="73"/>
    </row>
    <row r="24" spans="1:68" ht="14.5" customHeight="1" x14ac:dyDescent="0.35">
      <c r="A24" s="24"/>
      <c r="C24" s="43"/>
      <c r="E24" s="185">
        <v>44051</v>
      </c>
      <c r="F24" s="73"/>
      <c r="G24" s="11" t="s">
        <v>379</v>
      </c>
      <c r="H24" s="11">
        <v>12.46</v>
      </c>
      <c r="I24" s="11"/>
      <c r="J24" s="186">
        <f>H24+I24</f>
        <v>12.46</v>
      </c>
      <c r="K24" s="11"/>
      <c r="L24" s="11" t="s">
        <v>8</v>
      </c>
      <c r="M24" s="114"/>
      <c r="N24" s="39"/>
      <c r="O24" s="39" t="s">
        <v>77</v>
      </c>
      <c r="P24" s="69">
        <v>44051</v>
      </c>
      <c r="Q24" s="15"/>
      <c r="R24" s="185"/>
      <c r="S24" s="138"/>
      <c r="T24" s="186"/>
      <c r="U24" s="186"/>
      <c r="V24" s="186">
        <f t="shared" si="4"/>
        <v>0</v>
      </c>
      <c r="W24" s="186"/>
      <c r="X24" s="186"/>
      <c r="Y24" s="186"/>
      <c r="Z24" s="114"/>
      <c r="AA24" s="186"/>
      <c r="AB24" s="186"/>
      <c r="AC24" s="186"/>
      <c r="AD24" s="66"/>
      <c r="AE24" s="185"/>
      <c r="AF24" s="185"/>
      <c r="AG24" s="185"/>
      <c r="AH24" s="138"/>
      <c r="AI24" s="186"/>
      <c r="AJ24" s="186"/>
      <c r="AK24" s="186">
        <f t="shared" si="2"/>
        <v>0</v>
      </c>
      <c r="AL24" s="186"/>
      <c r="AM24" s="114"/>
      <c r="AN24" s="186"/>
      <c r="AO24" s="186"/>
      <c r="AP24" s="186"/>
      <c r="AR24" s="185"/>
      <c r="AS24" s="138"/>
      <c r="AT24" s="186"/>
      <c r="AU24" s="186"/>
      <c r="AV24" s="186">
        <f t="shared" si="3"/>
        <v>0</v>
      </c>
      <c r="AW24" s="186"/>
      <c r="AX24" s="186"/>
      <c r="AY24" s="186"/>
      <c r="AZ24" s="114"/>
      <c r="BA24" s="186"/>
      <c r="BB24" s="73"/>
      <c r="BC24" s="73"/>
      <c r="BE24" s="185"/>
      <c r="BF24" s="138"/>
      <c r="BG24" s="186"/>
      <c r="BH24" s="186"/>
      <c r="BI24" s="186">
        <f t="shared" si="5"/>
        <v>0</v>
      </c>
      <c r="BJ24" s="186"/>
      <c r="BK24" s="186"/>
      <c r="BL24" s="186"/>
      <c r="BM24" s="114"/>
      <c r="BN24" s="186"/>
      <c r="BO24" s="73"/>
      <c r="BP24" s="73"/>
    </row>
    <row r="25" spans="1:68" ht="14.5" customHeight="1" x14ac:dyDescent="0.35">
      <c r="A25" s="24"/>
      <c r="C25" s="43"/>
      <c r="E25" s="185">
        <v>44053</v>
      </c>
      <c r="F25" s="73"/>
      <c r="G25" s="11" t="s">
        <v>380</v>
      </c>
      <c r="H25" s="11">
        <v>8</v>
      </c>
      <c r="I25" s="11"/>
      <c r="J25" s="186">
        <v>8</v>
      </c>
      <c r="K25" s="11"/>
      <c r="L25" s="11" t="s">
        <v>8</v>
      </c>
      <c r="M25" s="135"/>
      <c r="N25" s="39"/>
      <c r="O25" s="39" t="s">
        <v>77</v>
      </c>
      <c r="P25" s="69">
        <v>44053</v>
      </c>
      <c r="Q25" s="15"/>
      <c r="R25" s="185"/>
      <c r="S25" s="138"/>
      <c r="T25" s="186"/>
      <c r="U25" s="186"/>
      <c r="V25" s="186">
        <f t="shared" si="4"/>
        <v>0</v>
      </c>
      <c r="W25" s="186"/>
      <c r="X25" s="186"/>
      <c r="Y25" s="186"/>
      <c r="Z25" s="135"/>
      <c r="AA25" s="186"/>
      <c r="AB25" s="186"/>
      <c r="AC25" s="186"/>
      <c r="AD25" s="66"/>
      <c r="AE25" s="185"/>
      <c r="AF25" s="185"/>
      <c r="AG25" s="185"/>
      <c r="AH25" s="138"/>
      <c r="AI25" s="186"/>
      <c r="AJ25" s="186"/>
      <c r="AK25" s="186">
        <f t="shared" si="2"/>
        <v>0</v>
      </c>
      <c r="AL25" s="186"/>
      <c r="AM25" s="135"/>
      <c r="AN25" s="186"/>
      <c r="AO25" s="186"/>
      <c r="AP25" s="186"/>
      <c r="AR25" s="185"/>
      <c r="AS25" s="138"/>
      <c r="AT25" s="186"/>
      <c r="AU25" s="186"/>
      <c r="AV25" s="186">
        <f t="shared" si="3"/>
        <v>0</v>
      </c>
      <c r="AW25" s="186"/>
      <c r="AX25" s="186"/>
      <c r="AY25" s="186"/>
      <c r="AZ25" s="135"/>
      <c r="BA25" s="186"/>
      <c r="BB25" s="73"/>
      <c r="BC25" s="73"/>
      <c r="BE25" s="185"/>
      <c r="BF25" s="138"/>
      <c r="BG25" s="186"/>
      <c r="BH25" s="186"/>
      <c r="BI25" s="186">
        <f t="shared" si="5"/>
        <v>0</v>
      </c>
      <c r="BJ25" s="186"/>
      <c r="BK25" s="186"/>
      <c r="BL25" s="186"/>
      <c r="BM25" s="135"/>
      <c r="BN25" s="186"/>
      <c r="BO25" s="73"/>
      <c r="BP25" s="73"/>
    </row>
    <row r="26" spans="1:68" ht="14.5" customHeight="1" x14ac:dyDescent="0.35">
      <c r="A26" s="24"/>
      <c r="C26" s="43"/>
      <c r="E26" s="185">
        <v>44057</v>
      </c>
      <c r="F26" s="73"/>
      <c r="G26" s="11" t="s">
        <v>381</v>
      </c>
      <c r="H26" s="11">
        <v>444.5</v>
      </c>
      <c r="I26" s="11"/>
      <c r="J26" s="186">
        <f>H26+I26</f>
        <v>444.5</v>
      </c>
      <c r="K26" s="11"/>
      <c r="L26" s="11" t="s">
        <v>8</v>
      </c>
      <c r="M26" s="39"/>
      <c r="N26" s="39"/>
      <c r="O26" s="39" t="s">
        <v>130</v>
      </c>
      <c r="P26" s="69">
        <v>44057</v>
      </c>
      <c r="Q26" s="15"/>
      <c r="R26" s="185"/>
      <c r="S26" s="138"/>
      <c r="T26" s="186"/>
      <c r="U26" s="186"/>
      <c r="V26" s="186">
        <f t="shared" si="4"/>
        <v>0</v>
      </c>
      <c r="W26" s="186"/>
      <c r="X26" s="186"/>
      <c r="Y26" s="186"/>
      <c r="Z26" s="39"/>
      <c r="AA26" s="186"/>
      <c r="AB26" s="186"/>
      <c r="AC26" s="186"/>
      <c r="AD26" s="66"/>
      <c r="AE26" s="185"/>
      <c r="AF26" s="185"/>
      <c r="AG26" s="185"/>
      <c r="AH26" s="138"/>
      <c r="AI26" s="186"/>
      <c r="AJ26" s="186"/>
      <c r="AK26" s="186">
        <f t="shared" si="2"/>
        <v>0</v>
      </c>
      <c r="AL26" s="186"/>
      <c r="AM26" s="39"/>
      <c r="AN26" s="186"/>
      <c r="AO26" s="186"/>
      <c r="AP26" s="186"/>
      <c r="AR26" s="185"/>
      <c r="AS26" s="138"/>
      <c r="AT26" s="186"/>
      <c r="AU26" s="186"/>
      <c r="AV26" s="186">
        <f t="shared" si="3"/>
        <v>0</v>
      </c>
      <c r="AW26" s="186"/>
      <c r="AX26" s="186"/>
      <c r="AY26" s="186"/>
      <c r="AZ26" s="39"/>
      <c r="BA26" s="186"/>
      <c r="BB26" s="73"/>
      <c r="BC26" s="73"/>
      <c r="BE26" s="185"/>
      <c r="BF26" s="138"/>
      <c r="BG26" s="186"/>
      <c r="BH26" s="186"/>
      <c r="BI26" s="186">
        <f t="shared" si="5"/>
        <v>0</v>
      </c>
      <c r="BJ26" s="186"/>
      <c r="BK26" s="186"/>
      <c r="BL26" s="186"/>
      <c r="BM26" s="39"/>
      <c r="BN26" s="186"/>
      <c r="BO26" s="73"/>
      <c r="BP26" s="73"/>
    </row>
    <row r="27" spans="1:68" ht="14.5" customHeight="1" x14ac:dyDescent="0.35">
      <c r="A27" s="24"/>
      <c r="C27" s="43"/>
      <c r="E27" s="185">
        <v>44057</v>
      </c>
      <c r="F27" s="73"/>
      <c r="G27" s="11" t="s">
        <v>382</v>
      </c>
      <c r="H27" s="11">
        <v>10.63</v>
      </c>
      <c r="I27" s="11"/>
      <c r="J27" s="186">
        <f>H27+I27</f>
        <v>10.63</v>
      </c>
      <c r="K27" s="11"/>
      <c r="L27" s="11" t="s">
        <v>8</v>
      </c>
      <c r="M27" s="135"/>
      <c r="N27" s="39"/>
      <c r="O27" s="39" t="s">
        <v>43</v>
      </c>
      <c r="P27" s="69">
        <v>44057</v>
      </c>
      <c r="Q27" s="15"/>
      <c r="R27" s="185"/>
      <c r="S27" s="138"/>
      <c r="T27" s="186"/>
      <c r="U27" s="186"/>
      <c r="V27" s="186">
        <f t="shared" si="4"/>
        <v>0</v>
      </c>
      <c r="W27" s="186"/>
      <c r="X27" s="186"/>
      <c r="Y27" s="186"/>
      <c r="Z27" s="135"/>
      <c r="AA27" s="186"/>
      <c r="AB27" s="186"/>
      <c r="AC27" s="186"/>
      <c r="AD27" s="66"/>
      <c r="AE27" s="185"/>
      <c r="AF27" s="185"/>
      <c r="AG27" s="185"/>
      <c r="AH27" s="138"/>
      <c r="AI27" s="186"/>
      <c r="AJ27" s="186"/>
      <c r="AK27" s="186">
        <f t="shared" si="2"/>
        <v>0</v>
      </c>
      <c r="AL27" s="186"/>
      <c r="AM27" s="135"/>
      <c r="AN27" s="186"/>
      <c r="AO27" s="186"/>
      <c r="AP27" s="186"/>
      <c r="AR27" s="185"/>
      <c r="AS27" s="138"/>
      <c r="AT27" s="186"/>
      <c r="AU27" s="186"/>
      <c r="AV27" s="186">
        <f t="shared" si="3"/>
        <v>0</v>
      </c>
      <c r="AW27" s="186"/>
      <c r="AX27" s="186"/>
      <c r="AY27" s="186"/>
      <c r="AZ27" s="135"/>
      <c r="BA27" s="186"/>
      <c r="BB27" s="73"/>
      <c r="BC27" s="73"/>
      <c r="BE27" s="185"/>
      <c r="BF27" s="138"/>
      <c r="BG27" s="186"/>
      <c r="BH27" s="186"/>
      <c r="BI27" s="186">
        <f t="shared" si="5"/>
        <v>0</v>
      </c>
      <c r="BJ27" s="186"/>
      <c r="BK27" s="186"/>
      <c r="BL27" s="186"/>
      <c r="BM27" s="135"/>
      <c r="BN27" s="186"/>
      <c r="BO27" s="73"/>
      <c r="BP27" s="73"/>
    </row>
    <row r="28" spans="1:68" ht="14.5" customHeight="1" x14ac:dyDescent="0.35">
      <c r="A28" s="24"/>
      <c r="C28" s="43"/>
      <c r="E28" s="185">
        <v>44057</v>
      </c>
      <c r="F28" s="73"/>
      <c r="G28" s="11" t="s">
        <v>383</v>
      </c>
      <c r="H28" s="11">
        <v>21.97</v>
      </c>
      <c r="I28" s="11">
        <v>1.87</v>
      </c>
      <c r="J28" s="186">
        <v>23.84</v>
      </c>
      <c r="K28" s="11"/>
      <c r="L28" s="11" t="s">
        <v>8</v>
      </c>
      <c r="M28" s="39"/>
      <c r="N28" s="39"/>
      <c r="O28" s="39" t="s">
        <v>43</v>
      </c>
      <c r="P28" s="69">
        <v>44057</v>
      </c>
      <c r="Q28" s="15"/>
      <c r="R28" s="185"/>
      <c r="S28" s="138"/>
      <c r="T28" s="186"/>
      <c r="U28" s="186"/>
      <c r="V28" s="186">
        <f t="shared" si="4"/>
        <v>0</v>
      </c>
      <c r="W28" s="186"/>
      <c r="X28" s="186"/>
      <c r="Y28" s="186"/>
      <c r="Z28" s="39"/>
      <c r="AA28" s="186"/>
      <c r="AB28" s="186"/>
      <c r="AC28" s="186"/>
      <c r="AD28" s="66"/>
      <c r="AE28" s="185"/>
      <c r="AF28" s="185"/>
      <c r="AG28" s="185"/>
      <c r="AH28" s="138"/>
      <c r="AI28" s="186"/>
      <c r="AJ28" s="186"/>
      <c r="AK28" s="186">
        <f t="shared" si="2"/>
        <v>0</v>
      </c>
      <c r="AL28" s="186"/>
      <c r="AM28" s="39"/>
      <c r="AN28" s="186"/>
      <c r="AO28" s="186"/>
      <c r="AP28" s="186"/>
      <c r="AR28" s="185"/>
      <c r="AS28" s="138"/>
      <c r="AT28" s="186"/>
      <c r="AU28" s="186"/>
      <c r="AV28" s="186">
        <f t="shared" si="3"/>
        <v>0</v>
      </c>
      <c r="AW28" s="186"/>
      <c r="AX28" s="186"/>
      <c r="AY28" s="186"/>
      <c r="AZ28" s="39"/>
      <c r="BA28" s="186"/>
      <c r="BB28" s="73"/>
      <c r="BC28" s="73"/>
      <c r="BE28" s="185"/>
      <c r="BF28" s="138"/>
      <c r="BG28" s="186"/>
      <c r="BH28" s="186"/>
      <c r="BI28" s="186">
        <f t="shared" si="5"/>
        <v>0</v>
      </c>
      <c r="BJ28" s="186"/>
      <c r="BK28" s="186"/>
      <c r="BL28" s="186"/>
      <c r="BM28" s="39"/>
      <c r="BN28" s="186"/>
      <c r="BO28" s="73"/>
      <c r="BP28" s="73"/>
    </row>
    <row r="29" spans="1:68" ht="14.5" customHeight="1" x14ac:dyDescent="0.35">
      <c r="A29" s="24"/>
      <c r="C29" s="44"/>
      <c r="E29" s="161">
        <v>44060</v>
      </c>
      <c r="F29" s="73"/>
      <c r="G29" s="11" t="s">
        <v>384</v>
      </c>
      <c r="H29" s="94">
        <v>-25</v>
      </c>
      <c r="I29" s="94"/>
      <c r="J29" s="162">
        <f t="shared" ref="J29:J60" si="6">H29+I29</f>
        <v>-25</v>
      </c>
      <c r="K29" s="94"/>
      <c r="L29" s="94" t="s">
        <v>8</v>
      </c>
      <c r="M29" s="114"/>
      <c r="N29" s="167"/>
      <c r="O29" s="167" t="s">
        <v>91</v>
      </c>
      <c r="P29" s="282">
        <v>44060</v>
      </c>
      <c r="Q29" s="15"/>
      <c r="R29" s="185"/>
      <c r="S29" s="138"/>
      <c r="T29" s="186"/>
      <c r="U29" s="186"/>
      <c r="V29" s="186">
        <f t="shared" si="4"/>
        <v>0</v>
      </c>
      <c r="W29" s="186"/>
      <c r="X29" s="186"/>
      <c r="Y29" s="186"/>
      <c r="Z29" s="114"/>
      <c r="AA29" s="186"/>
      <c r="AB29" s="186"/>
      <c r="AC29" s="186"/>
      <c r="AD29" s="66"/>
      <c r="AE29" s="185"/>
      <c r="AF29" s="185"/>
      <c r="AG29" s="185"/>
      <c r="AH29" s="138"/>
      <c r="AI29" s="186"/>
      <c r="AJ29" s="186"/>
      <c r="AK29" s="186">
        <f t="shared" si="2"/>
        <v>0</v>
      </c>
      <c r="AL29" s="186"/>
      <c r="AM29" s="114"/>
      <c r="AN29" s="186"/>
      <c r="AO29" s="186"/>
      <c r="AP29" s="186"/>
      <c r="AR29" s="185"/>
      <c r="AS29" s="138"/>
      <c r="AT29" s="186"/>
      <c r="AU29" s="186"/>
      <c r="AV29" s="186">
        <f t="shared" si="3"/>
        <v>0</v>
      </c>
      <c r="AW29" s="186"/>
      <c r="AX29" s="186"/>
      <c r="AY29" s="186"/>
      <c r="AZ29" s="114"/>
      <c r="BA29" s="186"/>
      <c r="BB29" s="73"/>
      <c r="BC29" s="73"/>
      <c r="BE29" s="185"/>
      <c r="BF29" s="138"/>
      <c r="BG29" s="186"/>
      <c r="BH29" s="186"/>
      <c r="BI29" s="186">
        <f t="shared" si="5"/>
        <v>0</v>
      </c>
      <c r="BJ29" s="186"/>
      <c r="BK29" s="186"/>
      <c r="BL29" s="186"/>
      <c r="BM29" s="114"/>
      <c r="BN29" s="186"/>
      <c r="BO29" s="73"/>
      <c r="BP29" s="73"/>
    </row>
    <row r="30" spans="1:68" ht="14.5" customHeight="1" x14ac:dyDescent="0.35">
      <c r="A30" s="24"/>
      <c r="C30" s="44"/>
      <c r="E30" s="185">
        <v>44060</v>
      </c>
      <c r="F30" s="73"/>
      <c r="G30" s="11" t="s">
        <v>385</v>
      </c>
      <c r="H30" s="11">
        <v>247</v>
      </c>
      <c r="I30" s="11"/>
      <c r="J30" s="186">
        <f t="shared" si="6"/>
        <v>247</v>
      </c>
      <c r="K30" s="11"/>
      <c r="L30" s="11" t="s">
        <v>8</v>
      </c>
      <c r="M30" s="114"/>
      <c r="N30" s="39"/>
      <c r="O30" s="39" t="s">
        <v>43</v>
      </c>
      <c r="P30" s="69">
        <v>44060</v>
      </c>
      <c r="Q30" s="15"/>
      <c r="R30" s="185"/>
      <c r="S30" s="138"/>
      <c r="T30" s="186"/>
      <c r="U30" s="186"/>
      <c r="V30" s="186">
        <f t="shared" si="4"/>
        <v>0</v>
      </c>
      <c r="W30" s="186"/>
      <c r="X30" s="186"/>
      <c r="Y30" s="186"/>
      <c r="Z30" s="114"/>
      <c r="AA30" s="186"/>
      <c r="AB30" s="186"/>
      <c r="AC30" s="186"/>
      <c r="AD30" s="66"/>
      <c r="AE30" s="185"/>
      <c r="AF30" s="185"/>
      <c r="AG30" s="185"/>
      <c r="AH30" s="138"/>
      <c r="AI30" s="186"/>
      <c r="AJ30" s="186"/>
      <c r="AK30" s="186">
        <f t="shared" si="2"/>
        <v>0</v>
      </c>
      <c r="AL30" s="186"/>
      <c r="AM30" s="114"/>
      <c r="AN30" s="186"/>
      <c r="AO30" s="186"/>
      <c r="AP30" s="186"/>
      <c r="AR30" s="185"/>
      <c r="AS30" s="138"/>
      <c r="AT30" s="186"/>
      <c r="AU30" s="186"/>
      <c r="AV30" s="186">
        <f t="shared" si="3"/>
        <v>0</v>
      </c>
      <c r="AW30" s="186"/>
      <c r="AX30" s="186"/>
      <c r="AY30" s="186"/>
      <c r="AZ30" s="114"/>
      <c r="BA30" s="186"/>
      <c r="BB30" s="73"/>
      <c r="BC30" s="73"/>
      <c r="BE30" s="185"/>
      <c r="BF30" s="138"/>
      <c r="BG30" s="186"/>
      <c r="BH30" s="186"/>
      <c r="BI30" s="186">
        <f t="shared" si="5"/>
        <v>0</v>
      </c>
      <c r="BJ30" s="186"/>
      <c r="BK30" s="186"/>
      <c r="BL30" s="186"/>
      <c r="BM30" s="114"/>
      <c r="BN30" s="186"/>
      <c r="BO30" s="73"/>
      <c r="BP30" s="73"/>
    </row>
    <row r="31" spans="1:68" ht="14.5" customHeight="1" x14ac:dyDescent="0.35">
      <c r="A31" s="24"/>
      <c r="E31" s="185">
        <v>44063</v>
      </c>
      <c r="F31" s="73"/>
      <c r="G31" s="11" t="s">
        <v>386</v>
      </c>
      <c r="H31" s="11">
        <v>46.52</v>
      </c>
      <c r="I31" s="11"/>
      <c r="J31" s="186">
        <f t="shared" si="6"/>
        <v>46.52</v>
      </c>
      <c r="K31" s="11"/>
      <c r="L31" s="11" t="s">
        <v>8</v>
      </c>
      <c r="M31" s="135"/>
      <c r="N31" s="39"/>
      <c r="O31" s="39" t="s">
        <v>43</v>
      </c>
      <c r="P31" s="69">
        <v>44063</v>
      </c>
      <c r="Q31" s="15"/>
      <c r="R31" s="185"/>
      <c r="S31" s="138"/>
      <c r="T31" s="186"/>
      <c r="U31" s="186"/>
      <c r="V31" s="186">
        <f t="shared" si="4"/>
        <v>0</v>
      </c>
      <c r="W31" s="186"/>
      <c r="X31" s="186"/>
      <c r="Y31" s="186"/>
      <c r="Z31" s="135"/>
      <c r="AA31" s="186"/>
      <c r="AB31" s="186"/>
      <c r="AC31" s="186"/>
      <c r="AD31" s="66"/>
      <c r="AE31" s="185"/>
      <c r="AF31" s="185"/>
      <c r="AG31" s="185"/>
      <c r="AH31" s="138"/>
      <c r="AI31" s="186"/>
      <c r="AJ31" s="186"/>
      <c r="AK31" s="186">
        <f t="shared" si="2"/>
        <v>0</v>
      </c>
      <c r="AL31" s="186"/>
      <c r="AM31" s="135"/>
      <c r="AN31" s="186"/>
      <c r="AO31" s="186"/>
      <c r="AP31" s="186"/>
      <c r="AR31" s="185"/>
      <c r="AS31" s="138"/>
      <c r="AT31" s="186"/>
      <c r="AU31" s="186"/>
      <c r="AV31" s="186">
        <f t="shared" si="3"/>
        <v>0</v>
      </c>
      <c r="AW31" s="186"/>
      <c r="AX31" s="186"/>
      <c r="AY31" s="186"/>
      <c r="AZ31" s="135"/>
      <c r="BA31" s="186"/>
      <c r="BB31" s="73"/>
      <c r="BC31" s="73"/>
      <c r="BE31" s="185"/>
      <c r="BF31" s="138"/>
      <c r="BG31" s="186"/>
      <c r="BH31" s="186"/>
      <c r="BI31" s="186">
        <f t="shared" si="5"/>
        <v>0</v>
      </c>
      <c r="BJ31" s="186"/>
      <c r="BK31" s="186"/>
      <c r="BL31" s="186"/>
      <c r="BM31" s="135"/>
      <c r="BN31" s="186"/>
      <c r="BO31" s="73"/>
      <c r="BP31" s="73"/>
    </row>
    <row r="32" spans="1:68" ht="14.5" customHeight="1" x14ac:dyDescent="0.35">
      <c r="A32" s="24"/>
      <c r="E32" s="185">
        <v>44064</v>
      </c>
      <c r="F32" s="73"/>
      <c r="G32" s="11" t="s">
        <v>387</v>
      </c>
      <c r="H32" s="11">
        <v>10.63</v>
      </c>
      <c r="I32" s="11"/>
      <c r="J32" s="186">
        <f t="shared" si="6"/>
        <v>10.63</v>
      </c>
      <c r="K32" s="11"/>
      <c r="L32" s="11" t="s">
        <v>8</v>
      </c>
      <c r="M32" s="135"/>
      <c r="N32" s="39"/>
      <c r="O32" s="39" t="s">
        <v>43</v>
      </c>
      <c r="P32" s="69">
        <v>44064</v>
      </c>
      <c r="Q32" s="15"/>
      <c r="R32" s="185"/>
      <c r="S32" s="138"/>
      <c r="T32" s="186"/>
      <c r="U32" s="186"/>
      <c r="V32" s="186">
        <f t="shared" si="4"/>
        <v>0</v>
      </c>
      <c r="W32" s="186"/>
      <c r="X32" s="186"/>
      <c r="Y32" s="186"/>
      <c r="Z32" s="135"/>
      <c r="AA32" s="186"/>
      <c r="AB32" s="186"/>
      <c r="AC32" s="186"/>
      <c r="AD32" s="66"/>
      <c r="AE32" s="185"/>
      <c r="AF32" s="185"/>
      <c r="AG32" s="185"/>
      <c r="AH32" s="138"/>
      <c r="AI32" s="186"/>
      <c r="AJ32" s="186"/>
      <c r="AK32" s="186">
        <f t="shared" si="2"/>
        <v>0</v>
      </c>
      <c r="AL32" s="186"/>
      <c r="AM32" s="135"/>
      <c r="AN32" s="186"/>
      <c r="AO32" s="186"/>
      <c r="AP32" s="186"/>
      <c r="AR32" s="185"/>
      <c r="AS32" s="138"/>
      <c r="AT32" s="186"/>
      <c r="AU32" s="186"/>
      <c r="AV32" s="186">
        <f t="shared" si="3"/>
        <v>0</v>
      </c>
      <c r="AW32" s="186"/>
      <c r="AX32" s="186"/>
      <c r="AY32" s="186"/>
      <c r="AZ32" s="135"/>
      <c r="BA32" s="186"/>
      <c r="BB32" s="73"/>
      <c r="BC32" s="73"/>
      <c r="BE32" s="185"/>
      <c r="BF32" s="138"/>
      <c r="BG32" s="186"/>
      <c r="BH32" s="186"/>
      <c r="BI32" s="186">
        <f t="shared" si="5"/>
        <v>0</v>
      </c>
      <c r="BJ32" s="186"/>
      <c r="BK32" s="186"/>
      <c r="BL32" s="186"/>
      <c r="BM32" s="135"/>
      <c r="BN32" s="186"/>
      <c r="BO32" s="73"/>
      <c r="BP32" s="73"/>
    </row>
    <row r="33" spans="1:68" ht="14.5" customHeight="1" x14ac:dyDescent="0.35">
      <c r="A33" s="24"/>
      <c r="E33" s="161">
        <v>44070</v>
      </c>
      <c r="F33" s="73"/>
      <c r="G33" s="11" t="s">
        <v>388</v>
      </c>
      <c r="H33" s="94">
        <v>-16.86</v>
      </c>
      <c r="I33" s="94"/>
      <c r="J33" s="162">
        <f t="shared" si="6"/>
        <v>-16.86</v>
      </c>
      <c r="K33" s="94"/>
      <c r="L33" s="94" t="s">
        <v>8</v>
      </c>
      <c r="M33" s="135"/>
      <c r="N33" s="167"/>
      <c r="O33" s="167"/>
      <c r="P33" s="282"/>
      <c r="Q33" s="15"/>
      <c r="R33" s="185"/>
      <c r="S33" s="138"/>
      <c r="T33" s="186"/>
      <c r="U33" s="186"/>
      <c r="V33" s="186">
        <f t="shared" si="4"/>
        <v>0</v>
      </c>
      <c r="W33" s="186"/>
      <c r="X33" s="186"/>
      <c r="Y33" s="186"/>
      <c r="Z33" s="135"/>
      <c r="AA33" s="186"/>
      <c r="AB33" s="186"/>
      <c r="AC33" s="186"/>
      <c r="AD33" s="66"/>
      <c r="AE33" s="185"/>
      <c r="AF33" s="185"/>
      <c r="AG33" s="185"/>
      <c r="AH33" s="138"/>
      <c r="AI33" s="186"/>
      <c r="AJ33" s="186"/>
      <c r="AK33" s="186">
        <f t="shared" si="2"/>
        <v>0</v>
      </c>
      <c r="AL33" s="186"/>
      <c r="AM33" s="135"/>
      <c r="AN33" s="186"/>
      <c r="AO33" s="186"/>
      <c r="AP33" s="186"/>
      <c r="AR33" s="185"/>
      <c r="AS33" s="138"/>
      <c r="AT33" s="186"/>
      <c r="AU33" s="186"/>
      <c r="AV33" s="186">
        <f t="shared" si="3"/>
        <v>0</v>
      </c>
      <c r="AW33" s="186"/>
      <c r="AX33" s="186"/>
      <c r="AY33" s="186"/>
      <c r="AZ33" s="135"/>
      <c r="BA33" s="186"/>
      <c r="BB33" s="73"/>
      <c r="BC33" s="73"/>
      <c r="BE33" s="185"/>
      <c r="BF33" s="138"/>
      <c r="BG33" s="186"/>
      <c r="BH33" s="186"/>
      <c r="BI33" s="186">
        <f t="shared" si="5"/>
        <v>0</v>
      </c>
      <c r="BJ33" s="186"/>
      <c r="BK33" s="186"/>
      <c r="BL33" s="186"/>
      <c r="BM33" s="135"/>
      <c r="BN33" s="186"/>
      <c r="BO33" s="73"/>
      <c r="BP33" s="73"/>
    </row>
    <row r="34" spans="1:68" ht="14.5" customHeight="1" x14ac:dyDescent="0.35">
      <c r="A34" s="24"/>
      <c r="E34" s="185">
        <v>44071</v>
      </c>
      <c r="F34" s="73"/>
      <c r="G34" s="11" t="s">
        <v>389</v>
      </c>
      <c r="H34" s="11">
        <v>160</v>
      </c>
      <c r="I34" s="11"/>
      <c r="J34" s="186">
        <f t="shared" si="6"/>
        <v>160</v>
      </c>
      <c r="K34" s="11"/>
      <c r="L34" s="11" t="s">
        <v>8</v>
      </c>
      <c r="M34" s="135"/>
      <c r="N34" s="39"/>
      <c r="O34" s="39" t="s">
        <v>77</v>
      </c>
      <c r="P34" s="69">
        <v>44071</v>
      </c>
      <c r="Q34" s="15"/>
      <c r="R34" s="185"/>
      <c r="S34" s="138"/>
      <c r="T34" s="186"/>
      <c r="U34" s="186"/>
      <c r="V34" s="186">
        <f t="shared" si="4"/>
        <v>0</v>
      </c>
      <c r="W34" s="186"/>
      <c r="X34" s="186"/>
      <c r="Y34" s="186"/>
      <c r="Z34" s="135"/>
      <c r="AA34" s="186"/>
      <c r="AB34" s="186"/>
      <c r="AC34" s="186"/>
      <c r="AD34" s="66"/>
      <c r="AE34" s="185"/>
      <c r="AF34" s="185"/>
      <c r="AG34" s="185"/>
      <c r="AH34" s="138"/>
      <c r="AI34" s="186"/>
      <c r="AJ34" s="186"/>
      <c r="AK34" s="186">
        <f t="shared" si="2"/>
        <v>0</v>
      </c>
      <c r="AL34" s="186"/>
      <c r="AM34" s="135"/>
      <c r="AN34" s="186"/>
      <c r="AO34" s="186"/>
      <c r="AP34" s="186"/>
      <c r="AR34" s="185"/>
      <c r="AS34" s="138"/>
      <c r="AT34" s="186"/>
      <c r="AU34" s="186"/>
      <c r="AV34" s="186">
        <f t="shared" si="3"/>
        <v>0</v>
      </c>
      <c r="AW34" s="186"/>
      <c r="AX34" s="186"/>
      <c r="AY34" s="186"/>
      <c r="AZ34" s="135"/>
      <c r="BA34" s="186"/>
      <c r="BB34" s="73"/>
      <c r="BC34" s="73"/>
      <c r="BE34" s="185"/>
      <c r="BF34" s="138"/>
      <c r="BG34" s="186"/>
      <c r="BH34" s="186"/>
      <c r="BI34" s="186">
        <f t="shared" si="5"/>
        <v>0</v>
      </c>
      <c r="BJ34" s="186"/>
      <c r="BK34" s="186"/>
      <c r="BL34" s="186"/>
      <c r="BM34" s="135"/>
      <c r="BN34" s="186"/>
      <c r="BO34" s="73"/>
      <c r="BP34" s="73"/>
    </row>
    <row r="35" spans="1:68" ht="14.5" customHeight="1" x14ac:dyDescent="0.35">
      <c r="A35" s="24"/>
      <c r="E35" s="185">
        <v>44081</v>
      </c>
      <c r="F35" s="73"/>
      <c r="G35" s="11" t="s">
        <v>390</v>
      </c>
      <c r="H35" s="11">
        <v>9.99</v>
      </c>
      <c r="I35" s="11">
        <v>0.85</v>
      </c>
      <c r="J35" s="186">
        <f t="shared" si="6"/>
        <v>10.84</v>
      </c>
      <c r="K35" s="11"/>
      <c r="L35" s="11" t="s">
        <v>9</v>
      </c>
      <c r="M35" s="135"/>
      <c r="N35" s="39"/>
      <c r="O35" s="39" t="s">
        <v>77</v>
      </c>
      <c r="P35" s="69">
        <v>44081</v>
      </c>
      <c r="Q35" s="15"/>
      <c r="R35" s="185"/>
      <c r="S35" s="138"/>
      <c r="T35" s="186"/>
      <c r="U35" s="186"/>
      <c r="V35" s="186">
        <f t="shared" si="4"/>
        <v>0</v>
      </c>
      <c r="W35" s="186"/>
      <c r="X35" s="186"/>
      <c r="Y35" s="186"/>
      <c r="Z35" s="135"/>
      <c r="AA35" s="186"/>
      <c r="AB35" s="186"/>
      <c r="AC35" s="186"/>
      <c r="AD35" s="66"/>
      <c r="AE35" s="185"/>
      <c r="AF35" s="185"/>
      <c r="AG35" s="185"/>
      <c r="AH35" s="138"/>
      <c r="AI35" s="186"/>
      <c r="AJ35" s="186"/>
      <c r="AK35" s="186">
        <f t="shared" si="2"/>
        <v>0</v>
      </c>
      <c r="AL35" s="186"/>
      <c r="AM35" s="135"/>
      <c r="AN35" s="186"/>
      <c r="AO35" s="186"/>
      <c r="AP35" s="186"/>
      <c r="AR35" s="185"/>
      <c r="AS35" s="138"/>
      <c r="AT35" s="186"/>
      <c r="AU35" s="186"/>
      <c r="AV35" s="186">
        <f t="shared" si="3"/>
        <v>0</v>
      </c>
      <c r="AW35" s="186"/>
      <c r="AX35" s="186"/>
      <c r="AY35" s="186"/>
      <c r="AZ35" s="135"/>
      <c r="BA35" s="186"/>
      <c r="BB35" s="73"/>
      <c r="BC35" s="73"/>
      <c r="BE35" s="185"/>
      <c r="BF35" s="138"/>
      <c r="BG35" s="186"/>
      <c r="BH35" s="186"/>
      <c r="BI35" s="186">
        <f t="shared" si="5"/>
        <v>0</v>
      </c>
      <c r="BJ35" s="186"/>
      <c r="BK35" s="186"/>
      <c r="BL35" s="186"/>
      <c r="BM35" s="135"/>
      <c r="BN35" s="186"/>
      <c r="BO35" s="73"/>
      <c r="BP35" s="73"/>
    </row>
    <row r="36" spans="1:68" ht="14.5" customHeight="1" x14ac:dyDescent="0.35">
      <c r="A36" s="24"/>
      <c r="E36" s="185">
        <v>44082</v>
      </c>
      <c r="F36" s="73"/>
      <c r="G36" s="11" t="s">
        <v>391</v>
      </c>
      <c r="H36" s="11">
        <v>8.49</v>
      </c>
      <c r="I36" s="11">
        <v>0.12</v>
      </c>
      <c r="J36" s="186">
        <f t="shared" si="6"/>
        <v>8.61</v>
      </c>
      <c r="K36" s="11"/>
      <c r="L36" s="11" t="s">
        <v>9</v>
      </c>
      <c r="M36" s="135"/>
      <c r="N36" s="39"/>
      <c r="O36" s="39" t="s">
        <v>77</v>
      </c>
      <c r="P36" s="69">
        <v>44082</v>
      </c>
      <c r="Q36" s="15"/>
      <c r="R36" s="185"/>
      <c r="S36" s="138"/>
      <c r="T36" s="186"/>
      <c r="U36" s="186"/>
      <c r="V36" s="186">
        <f t="shared" si="4"/>
        <v>0</v>
      </c>
      <c r="W36" s="186"/>
      <c r="X36" s="186"/>
      <c r="Y36" s="186"/>
      <c r="Z36" s="135"/>
      <c r="AA36" s="186"/>
      <c r="AB36" s="186"/>
      <c r="AC36" s="186"/>
      <c r="AD36" s="66"/>
      <c r="AE36" s="185"/>
      <c r="AF36" s="185"/>
      <c r="AG36" s="185"/>
      <c r="AH36" s="138"/>
      <c r="AI36" s="186"/>
      <c r="AJ36" s="186"/>
      <c r="AK36" s="186">
        <f t="shared" si="2"/>
        <v>0</v>
      </c>
      <c r="AL36" s="186"/>
      <c r="AM36" s="135"/>
      <c r="AN36" s="186"/>
      <c r="AO36" s="186"/>
      <c r="AP36" s="186"/>
      <c r="AR36" s="185"/>
      <c r="AS36" s="138"/>
      <c r="AT36" s="186"/>
      <c r="AU36" s="186"/>
      <c r="AV36" s="186">
        <f t="shared" si="3"/>
        <v>0</v>
      </c>
      <c r="AW36" s="186"/>
      <c r="AX36" s="186"/>
      <c r="AY36" s="186"/>
      <c r="AZ36" s="135"/>
      <c r="BA36" s="186"/>
      <c r="BB36" s="73"/>
      <c r="BC36" s="73"/>
      <c r="BE36" s="185"/>
      <c r="BF36" s="138"/>
      <c r="BG36" s="186"/>
      <c r="BH36" s="186"/>
      <c r="BI36" s="186">
        <f t="shared" si="5"/>
        <v>0</v>
      </c>
      <c r="BJ36" s="186"/>
      <c r="BK36" s="186"/>
      <c r="BL36" s="186"/>
      <c r="BM36" s="135"/>
      <c r="BN36" s="186"/>
      <c r="BO36" s="73"/>
      <c r="BP36" s="73"/>
    </row>
    <row r="37" spans="1:68" ht="14.5" customHeight="1" x14ac:dyDescent="0.35">
      <c r="A37" s="24"/>
      <c r="E37" s="185">
        <v>44085</v>
      </c>
      <c r="F37" s="73"/>
      <c r="G37" s="11" t="s">
        <v>392</v>
      </c>
      <c r="H37" s="11">
        <v>13.78</v>
      </c>
      <c r="I37" s="11"/>
      <c r="J37" s="186">
        <f t="shared" si="6"/>
        <v>13.78</v>
      </c>
      <c r="K37" s="11"/>
      <c r="L37" s="11" t="s">
        <v>9</v>
      </c>
      <c r="M37" s="135"/>
      <c r="N37" s="39"/>
      <c r="O37" s="39" t="s">
        <v>77</v>
      </c>
      <c r="P37" s="69">
        <v>44085</v>
      </c>
      <c r="Q37" s="15"/>
      <c r="R37" s="185"/>
      <c r="S37" s="138"/>
      <c r="T37" s="186"/>
      <c r="U37" s="186"/>
      <c r="V37" s="186">
        <f t="shared" si="4"/>
        <v>0</v>
      </c>
      <c r="W37" s="186"/>
      <c r="X37" s="186"/>
      <c r="Y37" s="186"/>
      <c r="Z37" s="135"/>
      <c r="AA37" s="186"/>
      <c r="AB37" s="186"/>
      <c r="AC37" s="186"/>
      <c r="AD37" s="66"/>
      <c r="AE37" s="185"/>
      <c r="AF37" s="185"/>
      <c r="AG37" s="185"/>
      <c r="AH37" s="138"/>
      <c r="AI37" s="186"/>
      <c r="AJ37" s="186"/>
      <c r="AK37" s="186">
        <f t="shared" si="2"/>
        <v>0</v>
      </c>
      <c r="AL37" s="186"/>
      <c r="AM37" s="135"/>
      <c r="AN37" s="186"/>
      <c r="AO37" s="186"/>
      <c r="AP37" s="186"/>
      <c r="AR37" s="185"/>
      <c r="AS37" s="138"/>
      <c r="AT37" s="186"/>
      <c r="AU37" s="186"/>
      <c r="AV37" s="186">
        <f t="shared" si="3"/>
        <v>0</v>
      </c>
      <c r="AW37" s="186"/>
      <c r="AX37" s="186"/>
      <c r="AY37" s="186"/>
      <c r="AZ37" s="135"/>
      <c r="BA37" s="186"/>
      <c r="BB37" s="73"/>
      <c r="BC37" s="73"/>
      <c r="BE37" s="185"/>
      <c r="BF37" s="138"/>
      <c r="BG37" s="186"/>
      <c r="BH37" s="186"/>
      <c r="BI37" s="186">
        <f t="shared" si="5"/>
        <v>0</v>
      </c>
      <c r="BJ37" s="186"/>
      <c r="BK37" s="186"/>
      <c r="BL37" s="186"/>
      <c r="BM37" s="135"/>
      <c r="BN37" s="186"/>
      <c r="BO37" s="73"/>
      <c r="BP37" s="73"/>
    </row>
    <row r="38" spans="1:68" ht="14.5" customHeight="1" x14ac:dyDescent="0.35">
      <c r="A38" s="24"/>
      <c r="E38" s="185">
        <v>44089</v>
      </c>
      <c r="F38" s="73"/>
      <c r="G38" s="11" t="s">
        <v>393</v>
      </c>
      <c r="H38" s="11">
        <v>70.5</v>
      </c>
      <c r="I38" s="11"/>
      <c r="J38" s="186">
        <f t="shared" si="6"/>
        <v>70.5</v>
      </c>
      <c r="K38" s="11"/>
      <c r="L38" s="11" t="s">
        <v>9</v>
      </c>
      <c r="M38" s="135"/>
      <c r="N38" s="39"/>
      <c r="O38" s="39" t="s">
        <v>43</v>
      </c>
      <c r="P38" s="69">
        <v>44089</v>
      </c>
      <c r="Q38" s="15"/>
      <c r="R38" s="185"/>
      <c r="S38" s="138"/>
      <c r="T38" s="186"/>
      <c r="U38" s="186"/>
      <c r="V38" s="186">
        <f t="shared" si="4"/>
        <v>0</v>
      </c>
      <c r="W38" s="186"/>
      <c r="X38" s="186"/>
      <c r="Y38" s="186"/>
      <c r="Z38" s="135"/>
      <c r="AA38" s="186"/>
      <c r="AB38" s="186"/>
      <c r="AC38" s="186"/>
      <c r="AD38" s="66"/>
      <c r="AE38" s="185"/>
      <c r="AF38" s="185"/>
      <c r="AG38" s="185"/>
      <c r="AH38" s="138"/>
      <c r="AI38" s="186"/>
      <c r="AJ38" s="186"/>
      <c r="AK38" s="186">
        <f t="shared" si="2"/>
        <v>0</v>
      </c>
      <c r="AL38" s="186"/>
      <c r="AM38" s="135"/>
      <c r="AN38" s="186"/>
      <c r="AO38" s="186"/>
      <c r="AP38" s="186"/>
      <c r="AR38" s="185"/>
      <c r="AS38" s="138"/>
      <c r="AT38" s="186"/>
      <c r="AU38" s="186"/>
      <c r="AV38" s="186">
        <f t="shared" si="3"/>
        <v>0</v>
      </c>
      <c r="AW38" s="186"/>
      <c r="AX38" s="186"/>
      <c r="AY38" s="186"/>
      <c r="AZ38" s="135"/>
      <c r="BA38" s="186"/>
      <c r="BB38" s="73"/>
      <c r="BC38" s="73"/>
      <c r="BE38" s="185"/>
      <c r="BF38" s="138"/>
      <c r="BG38" s="186"/>
      <c r="BH38" s="186"/>
      <c r="BI38" s="186">
        <f t="shared" si="5"/>
        <v>0</v>
      </c>
      <c r="BJ38" s="186"/>
      <c r="BK38" s="186"/>
      <c r="BL38" s="186"/>
      <c r="BM38" s="135"/>
      <c r="BN38" s="186"/>
      <c r="BO38" s="73"/>
      <c r="BP38" s="73"/>
    </row>
    <row r="39" spans="1:68" ht="14.5" customHeight="1" x14ac:dyDescent="0.35">
      <c r="A39" s="24"/>
      <c r="E39" s="185">
        <v>44098</v>
      </c>
      <c r="F39" s="73"/>
      <c r="G39" s="11" t="s">
        <v>394</v>
      </c>
      <c r="H39" s="11">
        <v>6.59</v>
      </c>
      <c r="I39" s="11"/>
      <c r="J39" s="186">
        <f t="shared" si="6"/>
        <v>6.59</v>
      </c>
      <c r="K39" s="11"/>
      <c r="L39" s="11" t="s">
        <v>9</v>
      </c>
      <c r="M39" s="135"/>
      <c r="N39" s="39"/>
      <c r="O39" s="39" t="s">
        <v>77</v>
      </c>
      <c r="P39" s="69">
        <v>44098</v>
      </c>
      <c r="Q39" s="15"/>
      <c r="R39" s="185"/>
      <c r="S39" s="138"/>
      <c r="T39" s="186"/>
      <c r="U39" s="186"/>
      <c r="V39" s="186">
        <f t="shared" si="4"/>
        <v>0</v>
      </c>
      <c r="W39" s="186"/>
      <c r="X39" s="186"/>
      <c r="Y39" s="186"/>
      <c r="Z39" s="135"/>
      <c r="AA39" s="186"/>
      <c r="AB39" s="186"/>
      <c r="AC39" s="186"/>
      <c r="AD39" s="66"/>
      <c r="AE39" s="185"/>
      <c r="AF39" s="185"/>
      <c r="AG39" s="185"/>
      <c r="AH39" s="138"/>
      <c r="AI39" s="186"/>
      <c r="AJ39" s="186"/>
      <c r="AK39" s="186">
        <f t="shared" si="2"/>
        <v>0</v>
      </c>
      <c r="AL39" s="186"/>
      <c r="AM39" s="135"/>
      <c r="AN39" s="186"/>
      <c r="AO39" s="186"/>
      <c r="AP39" s="186"/>
      <c r="AR39" s="185"/>
      <c r="AS39" s="138"/>
      <c r="AT39" s="186"/>
      <c r="AU39" s="186"/>
      <c r="AV39" s="186">
        <f t="shared" si="3"/>
        <v>0</v>
      </c>
      <c r="AW39" s="186"/>
      <c r="AX39" s="186"/>
      <c r="AY39" s="186"/>
      <c r="AZ39" s="135"/>
      <c r="BA39" s="186"/>
      <c r="BB39" s="73"/>
      <c r="BC39" s="73"/>
      <c r="BE39" s="185"/>
      <c r="BF39" s="138"/>
      <c r="BG39" s="186"/>
      <c r="BH39" s="186"/>
      <c r="BI39" s="186">
        <f t="shared" si="5"/>
        <v>0</v>
      </c>
      <c r="BJ39" s="186"/>
      <c r="BK39" s="186"/>
      <c r="BL39" s="186"/>
      <c r="BM39" s="135"/>
      <c r="BN39" s="186"/>
      <c r="BO39" s="73"/>
      <c r="BP39" s="73"/>
    </row>
    <row r="40" spans="1:68" ht="14.5" customHeight="1" x14ac:dyDescent="0.35">
      <c r="A40" s="23"/>
      <c r="E40" s="185">
        <v>44102</v>
      </c>
      <c r="F40" s="73"/>
      <c r="G40" s="11" t="s">
        <v>395</v>
      </c>
      <c r="H40" s="11">
        <v>16.100000000000001</v>
      </c>
      <c r="I40" s="11"/>
      <c r="J40" s="186">
        <f t="shared" si="6"/>
        <v>16.100000000000001</v>
      </c>
      <c r="K40" s="11"/>
      <c r="L40" s="11" t="s">
        <v>9</v>
      </c>
      <c r="M40" s="135"/>
      <c r="N40" s="39"/>
      <c r="O40" s="39" t="s">
        <v>77</v>
      </c>
      <c r="P40" s="69">
        <v>44102</v>
      </c>
      <c r="Q40" s="15"/>
      <c r="R40" s="185"/>
      <c r="S40" s="138"/>
      <c r="T40" s="186"/>
      <c r="U40" s="186"/>
      <c r="V40" s="186">
        <f t="shared" si="4"/>
        <v>0</v>
      </c>
      <c r="W40" s="186"/>
      <c r="X40" s="186"/>
      <c r="Y40" s="186"/>
      <c r="Z40" s="135"/>
      <c r="AA40" s="186"/>
      <c r="AB40" s="186"/>
      <c r="AC40" s="186"/>
      <c r="AD40" s="66"/>
      <c r="AE40" s="185"/>
      <c r="AF40" s="185"/>
      <c r="AG40" s="185"/>
      <c r="AH40" s="138"/>
      <c r="AI40" s="186"/>
      <c r="AJ40" s="186"/>
      <c r="AK40" s="186">
        <f t="shared" si="2"/>
        <v>0</v>
      </c>
      <c r="AL40" s="186"/>
      <c r="AM40" s="135"/>
      <c r="AN40" s="186"/>
      <c r="AO40" s="186"/>
      <c r="AP40" s="186"/>
      <c r="AR40" s="185"/>
      <c r="AS40" s="138"/>
      <c r="AT40" s="186"/>
      <c r="AU40" s="186"/>
      <c r="AV40" s="186">
        <f t="shared" si="3"/>
        <v>0</v>
      </c>
      <c r="AW40" s="186"/>
      <c r="AX40" s="186"/>
      <c r="AY40" s="186"/>
      <c r="AZ40" s="135"/>
      <c r="BA40" s="186"/>
      <c r="BB40" s="73"/>
      <c r="BC40" s="73"/>
      <c r="BE40" s="185"/>
      <c r="BF40" s="138"/>
      <c r="BG40" s="186"/>
      <c r="BH40" s="186"/>
      <c r="BI40" s="186">
        <f t="shared" si="5"/>
        <v>0</v>
      </c>
      <c r="BJ40" s="186"/>
      <c r="BK40" s="186"/>
      <c r="BL40" s="186"/>
      <c r="BM40" s="135"/>
      <c r="BN40" s="186"/>
      <c r="BO40" s="73"/>
      <c r="BP40" s="73"/>
    </row>
    <row r="41" spans="1:68" ht="19" customHeight="1" x14ac:dyDescent="0.35">
      <c r="E41" s="185">
        <v>44104</v>
      </c>
      <c r="F41" s="73"/>
      <c r="G41" s="11" t="s">
        <v>396</v>
      </c>
      <c r="H41" s="11">
        <v>16.489999999999998</v>
      </c>
      <c r="I41" s="11"/>
      <c r="J41" s="186">
        <f t="shared" si="6"/>
        <v>16.489999999999998</v>
      </c>
      <c r="K41" s="11"/>
      <c r="L41" s="11" t="s">
        <v>9</v>
      </c>
      <c r="M41" s="135"/>
      <c r="N41" s="39"/>
      <c r="O41" s="39" t="s">
        <v>77</v>
      </c>
      <c r="P41" s="69">
        <v>44104</v>
      </c>
      <c r="Q41" s="15"/>
      <c r="R41" s="185"/>
      <c r="S41" s="138"/>
      <c r="T41" s="186"/>
      <c r="U41" s="186"/>
      <c r="V41" s="186">
        <f t="shared" si="4"/>
        <v>0</v>
      </c>
      <c r="W41" s="186"/>
      <c r="X41" s="186"/>
      <c r="Y41" s="186"/>
      <c r="Z41" s="135"/>
      <c r="AA41" s="186"/>
      <c r="AB41" s="186"/>
      <c r="AC41" s="186"/>
      <c r="AD41" s="66"/>
      <c r="AE41" s="185"/>
      <c r="AF41" s="185"/>
      <c r="AG41" s="185"/>
      <c r="AH41" s="138"/>
      <c r="AI41" s="186"/>
      <c r="AJ41" s="186"/>
      <c r="AK41" s="186">
        <f t="shared" si="2"/>
        <v>0</v>
      </c>
      <c r="AL41" s="186"/>
      <c r="AM41" s="135"/>
      <c r="AN41" s="186"/>
      <c r="AO41" s="186"/>
      <c r="AP41" s="186"/>
      <c r="AR41" s="185"/>
      <c r="AS41" s="138"/>
      <c r="AT41" s="186"/>
      <c r="AU41" s="186"/>
      <c r="AV41" s="186">
        <f t="shared" si="3"/>
        <v>0</v>
      </c>
      <c r="AW41" s="186"/>
      <c r="AX41" s="186"/>
      <c r="AY41" s="186"/>
      <c r="AZ41" s="135"/>
      <c r="BA41" s="186"/>
      <c r="BB41" s="73"/>
      <c r="BC41" s="73"/>
      <c r="BE41" s="185"/>
      <c r="BF41" s="138"/>
      <c r="BG41" s="186"/>
      <c r="BH41" s="186"/>
      <c r="BI41" s="186">
        <f t="shared" si="5"/>
        <v>0</v>
      </c>
      <c r="BJ41" s="186"/>
      <c r="BK41" s="186"/>
      <c r="BL41" s="186"/>
      <c r="BM41" s="135"/>
      <c r="BN41" s="186"/>
      <c r="BO41" s="73"/>
      <c r="BP41" s="73"/>
    </row>
    <row r="42" spans="1:68" x14ac:dyDescent="0.35">
      <c r="E42" s="185"/>
      <c r="F42" s="73"/>
      <c r="G42" s="11"/>
      <c r="H42" s="11"/>
      <c r="I42" s="11"/>
      <c r="J42" s="186">
        <f t="shared" si="6"/>
        <v>0</v>
      </c>
      <c r="K42" s="11"/>
      <c r="L42" s="11"/>
      <c r="M42" s="11"/>
      <c r="N42" s="39"/>
      <c r="O42" s="39"/>
      <c r="P42" s="69"/>
      <c r="Q42" s="16"/>
      <c r="R42" s="185"/>
      <c r="S42" s="138"/>
      <c r="T42" s="186"/>
      <c r="U42" s="186"/>
      <c r="V42" s="186">
        <f t="shared" si="4"/>
        <v>0</v>
      </c>
      <c r="W42" s="186"/>
      <c r="X42" s="186"/>
      <c r="Y42" s="186"/>
      <c r="Z42" s="11"/>
      <c r="AA42" s="186"/>
      <c r="AB42" s="186"/>
      <c r="AC42" s="186"/>
      <c r="AD42" s="66"/>
      <c r="AE42" s="185"/>
      <c r="AF42" s="185"/>
      <c r="AG42" s="185"/>
      <c r="AH42" s="138"/>
      <c r="AI42" s="186"/>
      <c r="AJ42" s="186"/>
      <c r="AK42" s="186">
        <f t="shared" si="2"/>
        <v>0</v>
      </c>
      <c r="AL42" s="186"/>
      <c r="AM42" s="11"/>
      <c r="AN42" s="186"/>
      <c r="AO42" s="186"/>
      <c r="AP42" s="186"/>
      <c r="AR42" s="185"/>
      <c r="AS42" s="138"/>
      <c r="AT42" s="186"/>
      <c r="AU42" s="186"/>
      <c r="AV42" s="186">
        <f t="shared" si="3"/>
        <v>0</v>
      </c>
      <c r="AW42" s="186"/>
      <c r="AX42" s="186"/>
      <c r="AY42" s="186"/>
      <c r="AZ42" s="11"/>
      <c r="BA42" s="186"/>
      <c r="BB42" s="73"/>
      <c r="BC42" s="73"/>
      <c r="BE42" s="185"/>
      <c r="BF42" s="138"/>
      <c r="BG42" s="186"/>
      <c r="BH42" s="186"/>
      <c r="BI42" s="186">
        <f t="shared" si="5"/>
        <v>0</v>
      </c>
      <c r="BJ42" s="186"/>
      <c r="BK42" s="186"/>
      <c r="BL42" s="186"/>
      <c r="BM42" s="11"/>
      <c r="BN42" s="186"/>
      <c r="BO42" s="73"/>
      <c r="BP42" s="73"/>
    </row>
    <row r="43" spans="1:68" x14ac:dyDescent="0.35">
      <c r="E43" s="185"/>
      <c r="F43" s="73"/>
      <c r="G43" s="11"/>
      <c r="H43" s="11"/>
      <c r="I43" s="11"/>
      <c r="J43" s="186">
        <f t="shared" si="6"/>
        <v>0</v>
      </c>
      <c r="K43" s="11"/>
      <c r="L43" s="11"/>
      <c r="M43" s="11"/>
      <c r="N43" s="39"/>
      <c r="O43" s="39"/>
      <c r="P43" s="69"/>
      <c r="R43" s="185"/>
      <c r="S43" s="138"/>
      <c r="T43" s="186"/>
      <c r="U43" s="186"/>
      <c r="V43" s="186">
        <f t="shared" si="4"/>
        <v>0</v>
      </c>
      <c r="W43" s="186"/>
      <c r="X43" s="186"/>
      <c r="Y43" s="186"/>
      <c r="Z43" s="11"/>
      <c r="AA43" s="186"/>
      <c r="AB43" s="186"/>
      <c r="AC43" s="186"/>
      <c r="AD43" s="66"/>
      <c r="AE43" s="185"/>
      <c r="AF43" s="185"/>
      <c r="AG43" s="185"/>
      <c r="AH43" s="138"/>
      <c r="AI43" s="186"/>
      <c r="AJ43" s="186"/>
      <c r="AK43" s="186">
        <f t="shared" si="2"/>
        <v>0</v>
      </c>
      <c r="AL43" s="186"/>
      <c r="AM43" s="11"/>
      <c r="AN43" s="186"/>
      <c r="AO43" s="186"/>
      <c r="AP43" s="186"/>
      <c r="AR43" s="185"/>
      <c r="AS43" s="138"/>
      <c r="AT43" s="186"/>
      <c r="AU43" s="186"/>
      <c r="AV43" s="186">
        <f t="shared" si="3"/>
        <v>0</v>
      </c>
      <c r="AW43" s="186"/>
      <c r="AX43" s="186"/>
      <c r="AY43" s="186"/>
      <c r="AZ43" s="11"/>
      <c r="BA43" s="186"/>
      <c r="BB43" s="73"/>
      <c r="BC43" s="73"/>
      <c r="BE43" s="185"/>
      <c r="BF43" s="138"/>
      <c r="BG43" s="186"/>
      <c r="BH43" s="186"/>
      <c r="BI43" s="186">
        <f t="shared" si="5"/>
        <v>0</v>
      </c>
      <c r="BJ43" s="186"/>
      <c r="BK43" s="186"/>
      <c r="BL43" s="186"/>
      <c r="BM43" s="11"/>
      <c r="BN43" s="186"/>
      <c r="BO43" s="73"/>
      <c r="BP43" s="73"/>
    </row>
    <row r="44" spans="1:68" x14ac:dyDescent="0.35">
      <c r="E44" s="185"/>
      <c r="F44" s="73"/>
      <c r="G44" s="11"/>
      <c r="H44" s="11"/>
      <c r="I44" s="11"/>
      <c r="J44" s="186">
        <f t="shared" si="6"/>
        <v>0</v>
      </c>
      <c r="K44" s="11"/>
      <c r="L44" s="11"/>
      <c r="M44" s="11"/>
      <c r="N44" s="39"/>
      <c r="O44" s="39"/>
      <c r="P44" s="69"/>
      <c r="R44" s="185"/>
      <c r="S44" s="138"/>
      <c r="T44" s="186"/>
      <c r="U44" s="186"/>
      <c r="V44" s="186">
        <f t="shared" si="4"/>
        <v>0</v>
      </c>
      <c r="W44" s="186"/>
      <c r="X44" s="186"/>
      <c r="Y44" s="186"/>
      <c r="Z44" s="11"/>
      <c r="AA44" s="186"/>
      <c r="AB44" s="186"/>
      <c r="AC44" s="186"/>
      <c r="AD44" s="66"/>
      <c r="AE44" s="185"/>
      <c r="AF44" s="185"/>
      <c r="AG44" s="185"/>
      <c r="AH44" s="138"/>
      <c r="AI44" s="186"/>
      <c r="AJ44" s="186"/>
      <c r="AK44" s="186">
        <f t="shared" si="2"/>
        <v>0</v>
      </c>
      <c r="AL44" s="186"/>
      <c r="AM44" s="11"/>
      <c r="AN44" s="186"/>
      <c r="AO44" s="186"/>
      <c r="AP44" s="186"/>
      <c r="AR44" s="185"/>
      <c r="AS44" s="138"/>
      <c r="AT44" s="186"/>
      <c r="AU44" s="186"/>
      <c r="AV44" s="186">
        <f t="shared" si="3"/>
        <v>0</v>
      </c>
      <c r="AW44" s="186"/>
      <c r="AX44" s="186"/>
      <c r="AY44" s="186"/>
      <c r="AZ44" s="11"/>
      <c r="BA44" s="186"/>
      <c r="BB44" s="73"/>
      <c r="BC44" s="73"/>
      <c r="BE44" s="185"/>
      <c r="BF44" s="138"/>
      <c r="BG44" s="186"/>
      <c r="BH44" s="186"/>
      <c r="BI44" s="186">
        <f t="shared" si="5"/>
        <v>0</v>
      </c>
      <c r="BJ44" s="186"/>
      <c r="BK44" s="186"/>
      <c r="BL44" s="186"/>
      <c r="BM44" s="11"/>
      <c r="BN44" s="186"/>
      <c r="BO44" s="73"/>
      <c r="BP44" s="73"/>
    </row>
    <row r="45" spans="1:68" x14ac:dyDescent="0.35">
      <c r="E45" s="185"/>
      <c r="F45" s="73"/>
      <c r="G45" s="11"/>
      <c r="H45" s="11"/>
      <c r="I45" s="11"/>
      <c r="J45" s="186">
        <f t="shared" si="6"/>
        <v>0</v>
      </c>
      <c r="K45" s="11"/>
      <c r="L45" s="11"/>
      <c r="M45" s="11"/>
      <c r="N45" s="39"/>
      <c r="O45" s="39"/>
      <c r="P45" s="69"/>
      <c r="R45" s="185"/>
      <c r="S45" s="138"/>
      <c r="T45" s="186"/>
      <c r="U45" s="186"/>
      <c r="V45" s="186">
        <f t="shared" si="4"/>
        <v>0</v>
      </c>
      <c r="W45" s="186"/>
      <c r="X45" s="186"/>
      <c r="Y45" s="186"/>
      <c r="Z45" s="11"/>
      <c r="AA45" s="186"/>
      <c r="AB45" s="186"/>
      <c r="AC45" s="186"/>
      <c r="AD45" s="66"/>
      <c r="AE45" s="185"/>
      <c r="AF45" s="185"/>
      <c r="AG45" s="185"/>
      <c r="AH45" s="138"/>
      <c r="AI45" s="186"/>
      <c r="AJ45" s="186"/>
      <c r="AK45" s="186">
        <f t="shared" si="2"/>
        <v>0</v>
      </c>
      <c r="AL45" s="186"/>
      <c r="AM45" s="11"/>
      <c r="AN45" s="186"/>
      <c r="AO45" s="186"/>
      <c r="AP45" s="186"/>
      <c r="AR45" s="185"/>
      <c r="AS45" s="138"/>
      <c r="AT45" s="186"/>
      <c r="AU45" s="186"/>
      <c r="AV45" s="186">
        <f t="shared" si="3"/>
        <v>0</v>
      </c>
      <c r="AW45" s="186"/>
      <c r="AX45" s="186"/>
      <c r="AY45" s="186"/>
      <c r="AZ45" s="11"/>
      <c r="BA45" s="186"/>
      <c r="BB45" s="73"/>
      <c r="BC45" s="73"/>
      <c r="BE45" s="185"/>
      <c r="BF45" s="138"/>
      <c r="BG45" s="186"/>
      <c r="BH45" s="186"/>
      <c r="BI45" s="186">
        <f t="shared" si="5"/>
        <v>0</v>
      </c>
      <c r="BJ45" s="186"/>
      <c r="BK45" s="186"/>
      <c r="BL45" s="186"/>
      <c r="BM45" s="11"/>
      <c r="BN45" s="186"/>
      <c r="BO45" s="73"/>
      <c r="BP45" s="73"/>
    </row>
    <row r="46" spans="1:68" x14ac:dyDescent="0.35">
      <c r="E46" s="185"/>
      <c r="F46" s="73"/>
      <c r="G46" s="11"/>
      <c r="H46" s="11"/>
      <c r="I46" s="11"/>
      <c r="J46" s="186">
        <f t="shared" si="6"/>
        <v>0</v>
      </c>
      <c r="K46" s="11"/>
      <c r="L46" s="11"/>
      <c r="M46" s="11"/>
      <c r="N46" s="39"/>
      <c r="O46" s="39"/>
      <c r="P46" s="69"/>
      <c r="R46" s="185"/>
      <c r="S46" s="138"/>
      <c r="T46" s="186"/>
      <c r="U46" s="186"/>
      <c r="V46" s="186">
        <f t="shared" si="4"/>
        <v>0</v>
      </c>
      <c r="W46" s="186"/>
      <c r="X46" s="186"/>
      <c r="Y46" s="186"/>
      <c r="Z46" s="11"/>
      <c r="AA46" s="186"/>
      <c r="AB46" s="186"/>
      <c r="AC46" s="186"/>
      <c r="AD46" s="66"/>
      <c r="AE46" s="185"/>
      <c r="AF46" s="185"/>
      <c r="AG46" s="185"/>
      <c r="AH46" s="138"/>
      <c r="AI46" s="186"/>
      <c r="AJ46" s="186"/>
      <c r="AK46" s="186">
        <f t="shared" si="2"/>
        <v>0</v>
      </c>
      <c r="AL46" s="186"/>
      <c r="AM46" s="11"/>
      <c r="AN46" s="186"/>
      <c r="AO46" s="186"/>
      <c r="AP46" s="186"/>
      <c r="AR46" s="185"/>
      <c r="AS46" s="138"/>
      <c r="AT46" s="186"/>
      <c r="AU46" s="186"/>
      <c r="AV46" s="186">
        <f t="shared" si="3"/>
        <v>0</v>
      </c>
      <c r="AW46" s="186"/>
      <c r="AX46" s="186"/>
      <c r="AY46" s="186"/>
      <c r="AZ46" s="11"/>
      <c r="BA46" s="186"/>
      <c r="BB46" s="73"/>
      <c r="BC46" s="73"/>
      <c r="BE46" s="185"/>
      <c r="BF46" s="138"/>
      <c r="BG46" s="186"/>
      <c r="BH46" s="186"/>
      <c r="BI46" s="186">
        <f t="shared" si="5"/>
        <v>0</v>
      </c>
      <c r="BJ46" s="186"/>
      <c r="BK46" s="186"/>
      <c r="BL46" s="186"/>
      <c r="BM46" s="11"/>
      <c r="BN46" s="186"/>
      <c r="BO46" s="73"/>
      <c r="BP46" s="73"/>
    </row>
    <row r="47" spans="1:68" x14ac:dyDescent="0.35">
      <c r="E47" s="185"/>
      <c r="F47" s="73"/>
      <c r="G47" s="11"/>
      <c r="H47" s="11"/>
      <c r="I47" s="11"/>
      <c r="J47" s="186">
        <f t="shared" si="6"/>
        <v>0</v>
      </c>
      <c r="K47" s="11"/>
      <c r="L47" s="11"/>
      <c r="M47" s="11"/>
      <c r="N47" s="39"/>
      <c r="O47" s="39"/>
      <c r="P47" s="69"/>
      <c r="R47" s="185"/>
      <c r="S47" s="138"/>
      <c r="T47" s="186"/>
      <c r="U47" s="186"/>
      <c r="V47" s="186">
        <f t="shared" si="4"/>
        <v>0</v>
      </c>
      <c r="W47" s="186"/>
      <c r="X47" s="186"/>
      <c r="Y47" s="186"/>
      <c r="Z47" s="11"/>
      <c r="AA47" s="186"/>
      <c r="AB47" s="186"/>
      <c r="AC47" s="186"/>
      <c r="AD47" s="66"/>
      <c r="AE47" s="185"/>
      <c r="AF47" s="185"/>
      <c r="AG47" s="185"/>
      <c r="AH47" s="138"/>
      <c r="AI47" s="186"/>
      <c r="AJ47" s="186"/>
      <c r="AK47" s="186">
        <f t="shared" si="2"/>
        <v>0</v>
      </c>
      <c r="AL47" s="186"/>
      <c r="AM47" s="11"/>
      <c r="AN47" s="186"/>
      <c r="AO47" s="186"/>
      <c r="AP47" s="186"/>
      <c r="AR47" s="185"/>
      <c r="AS47" s="138"/>
      <c r="AT47" s="186"/>
      <c r="AU47" s="186"/>
      <c r="AV47" s="186">
        <f t="shared" si="3"/>
        <v>0</v>
      </c>
      <c r="AW47" s="186"/>
      <c r="AX47" s="186"/>
      <c r="AY47" s="186"/>
      <c r="AZ47" s="11"/>
      <c r="BA47" s="186"/>
      <c r="BB47" s="73"/>
      <c r="BC47" s="73"/>
      <c r="BE47" s="185"/>
      <c r="BF47" s="138"/>
      <c r="BG47" s="186"/>
      <c r="BH47" s="186"/>
      <c r="BI47" s="186">
        <f t="shared" si="5"/>
        <v>0</v>
      </c>
      <c r="BJ47" s="186"/>
      <c r="BK47" s="186"/>
      <c r="BL47" s="186"/>
      <c r="BM47" s="11"/>
      <c r="BN47" s="186"/>
      <c r="BO47" s="73"/>
      <c r="BP47" s="73"/>
    </row>
    <row r="48" spans="1:68" x14ac:dyDescent="0.35">
      <c r="E48" s="185"/>
      <c r="F48" s="73"/>
      <c r="G48" s="11"/>
      <c r="H48" s="11"/>
      <c r="I48" s="11"/>
      <c r="J48" s="186">
        <f t="shared" si="6"/>
        <v>0</v>
      </c>
      <c r="K48" s="11"/>
      <c r="L48" s="11"/>
      <c r="M48" s="11"/>
      <c r="N48" s="39"/>
      <c r="O48" s="39"/>
      <c r="P48" s="69"/>
      <c r="R48" s="185"/>
      <c r="S48" s="138"/>
      <c r="T48" s="186"/>
      <c r="U48" s="186"/>
      <c r="V48" s="186">
        <f t="shared" si="4"/>
        <v>0</v>
      </c>
      <c r="W48" s="186"/>
      <c r="X48" s="186"/>
      <c r="Y48" s="186"/>
      <c r="Z48" s="11"/>
      <c r="AA48" s="186"/>
      <c r="AB48" s="186"/>
      <c r="AC48" s="186"/>
      <c r="AD48" s="66"/>
      <c r="AE48" s="185"/>
      <c r="AF48" s="185"/>
      <c r="AG48" s="185"/>
      <c r="AH48" s="138"/>
      <c r="AI48" s="186"/>
      <c r="AJ48" s="186"/>
      <c r="AK48" s="186">
        <f t="shared" si="2"/>
        <v>0</v>
      </c>
      <c r="AL48" s="186"/>
      <c r="AM48" s="11"/>
      <c r="AN48" s="186"/>
      <c r="AO48" s="186"/>
      <c r="AP48" s="186"/>
      <c r="AR48" s="185"/>
      <c r="AS48" s="138"/>
      <c r="AT48" s="186"/>
      <c r="AU48" s="186"/>
      <c r="AV48" s="186">
        <f t="shared" si="3"/>
        <v>0</v>
      </c>
      <c r="AW48" s="186"/>
      <c r="AX48" s="186"/>
      <c r="AY48" s="186"/>
      <c r="AZ48" s="11"/>
      <c r="BA48" s="186"/>
      <c r="BB48" s="73"/>
      <c r="BC48" s="73"/>
      <c r="BE48" s="185"/>
      <c r="BF48" s="138"/>
      <c r="BG48" s="186"/>
      <c r="BH48" s="186"/>
      <c r="BI48" s="186">
        <f t="shared" si="5"/>
        <v>0</v>
      </c>
      <c r="BJ48" s="186"/>
      <c r="BK48" s="186"/>
      <c r="BL48" s="186"/>
      <c r="BM48" s="11"/>
      <c r="BN48" s="186"/>
      <c r="BO48" s="73"/>
      <c r="BP48" s="73"/>
    </row>
    <row r="49" spans="5:68" x14ac:dyDescent="0.35">
      <c r="E49" s="185"/>
      <c r="F49" s="73"/>
      <c r="G49" s="11"/>
      <c r="H49" s="11"/>
      <c r="I49" s="11"/>
      <c r="J49" s="186">
        <f t="shared" si="6"/>
        <v>0</v>
      </c>
      <c r="K49" s="11"/>
      <c r="L49" s="11"/>
      <c r="M49" s="11"/>
      <c r="N49" s="39"/>
      <c r="O49" s="39"/>
      <c r="P49" s="69"/>
      <c r="R49" s="185"/>
      <c r="S49" s="138"/>
      <c r="T49" s="186"/>
      <c r="U49" s="186"/>
      <c r="V49" s="186">
        <f t="shared" si="4"/>
        <v>0</v>
      </c>
      <c r="W49" s="186"/>
      <c r="X49" s="186"/>
      <c r="Y49" s="186"/>
      <c r="Z49" s="11"/>
      <c r="AA49" s="186"/>
      <c r="AB49" s="186"/>
      <c r="AC49" s="186"/>
      <c r="AD49" s="66"/>
      <c r="AE49" s="185"/>
      <c r="AF49" s="185"/>
      <c r="AG49" s="185"/>
      <c r="AH49" s="138"/>
      <c r="AI49" s="186"/>
      <c r="AJ49" s="186"/>
      <c r="AK49" s="186">
        <f t="shared" si="2"/>
        <v>0</v>
      </c>
      <c r="AL49" s="186"/>
      <c r="AM49" s="11"/>
      <c r="AN49" s="186"/>
      <c r="AO49" s="186"/>
      <c r="AP49" s="186"/>
      <c r="AR49" s="185"/>
      <c r="AS49" s="138"/>
      <c r="AT49" s="186"/>
      <c r="AU49" s="186"/>
      <c r="AV49" s="186">
        <f t="shared" si="3"/>
        <v>0</v>
      </c>
      <c r="AW49" s="186"/>
      <c r="AX49" s="186"/>
      <c r="AY49" s="186"/>
      <c r="AZ49" s="11"/>
      <c r="BA49" s="186"/>
      <c r="BB49" s="73"/>
      <c r="BC49" s="73"/>
      <c r="BE49" s="185"/>
      <c r="BF49" s="138"/>
      <c r="BG49" s="186"/>
      <c r="BH49" s="186"/>
      <c r="BI49" s="186">
        <f t="shared" si="5"/>
        <v>0</v>
      </c>
      <c r="BJ49" s="186"/>
      <c r="BK49" s="186"/>
      <c r="BL49" s="186"/>
      <c r="BM49" s="11"/>
      <c r="BN49" s="186"/>
      <c r="BO49" s="73"/>
      <c r="BP49" s="73"/>
    </row>
    <row r="50" spans="5:68" x14ac:dyDescent="0.35">
      <c r="E50" s="185"/>
      <c r="F50" s="73"/>
      <c r="G50" s="11"/>
      <c r="H50" s="11"/>
      <c r="I50" s="11"/>
      <c r="J50" s="186">
        <f t="shared" si="6"/>
        <v>0</v>
      </c>
      <c r="K50" s="11"/>
      <c r="L50" s="11"/>
      <c r="M50" s="11"/>
      <c r="N50" s="39"/>
      <c r="O50" s="39"/>
      <c r="P50" s="69"/>
      <c r="R50" s="185"/>
      <c r="S50" s="138"/>
      <c r="T50" s="186"/>
      <c r="U50" s="186"/>
      <c r="V50" s="186">
        <f t="shared" si="4"/>
        <v>0</v>
      </c>
      <c r="W50" s="186"/>
      <c r="X50" s="186"/>
      <c r="Y50" s="186"/>
      <c r="Z50" s="11"/>
      <c r="AA50" s="186"/>
      <c r="AB50" s="186"/>
      <c r="AC50" s="186"/>
      <c r="AD50" s="66"/>
      <c r="AE50" s="185"/>
      <c r="AF50" s="185"/>
      <c r="AG50" s="185"/>
      <c r="AH50" s="138"/>
      <c r="AI50" s="186"/>
      <c r="AJ50" s="186"/>
      <c r="AK50" s="186">
        <f t="shared" si="2"/>
        <v>0</v>
      </c>
      <c r="AL50" s="186"/>
      <c r="AM50" s="11"/>
      <c r="AN50" s="186"/>
      <c r="AO50" s="186"/>
      <c r="AP50" s="186"/>
      <c r="AR50" s="185"/>
      <c r="AS50" s="138"/>
      <c r="AT50" s="186"/>
      <c r="AU50" s="186"/>
      <c r="AV50" s="186">
        <f t="shared" si="3"/>
        <v>0</v>
      </c>
      <c r="AW50" s="186"/>
      <c r="AX50" s="186"/>
      <c r="AY50" s="186"/>
      <c r="AZ50" s="11"/>
      <c r="BA50" s="186"/>
      <c r="BB50" s="73"/>
      <c r="BC50" s="73"/>
      <c r="BE50" s="185"/>
      <c r="BF50" s="138"/>
      <c r="BG50" s="186"/>
      <c r="BH50" s="186"/>
      <c r="BI50" s="186">
        <f t="shared" si="5"/>
        <v>0</v>
      </c>
      <c r="BJ50" s="186"/>
      <c r="BK50" s="186"/>
      <c r="BL50" s="186"/>
      <c r="BM50" s="11"/>
      <c r="BN50" s="186"/>
      <c r="BO50" s="73"/>
      <c r="BP50" s="73"/>
    </row>
    <row r="51" spans="5:68" x14ac:dyDescent="0.35">
      <c r="E51" s="185"/>
      <c r="F51" s="73"/>
      <c r="G51" s="11"/>
      <c r="H51" s="11"/>
      <c r="I51" s="11"/>
      <c r="J51" s="186">
        <f t="shared" si="6"/>
        <v>0</v>
      </c>
      <c r="K51" s="11"/>
      <c r="L51" s="11"/>
      <c r="M51" s="11"/>
      <c r="N51" s="39"/>
      <c r="O51" s="39"/>
      <c r="P51" s="69"/>
      <c r="R51" s="185"/>
      <c r="S51" s="138"/>
      <c r="T51" s="186"/>
      <c r="U51" s="186"/>
      <c r="V51" s="186">
        <f t="shared" si="4"/>
        <v>0</v>
      </c>
      <c r="W51" s="186"/>
      <c r="X51" s="186"/>
      <c r="Y51" s="186"/>
      <c r="Z51" s="11"/>
      <c r="AA51" s="186"/>
      <c r="AB51" s="186"/>
      <c r="AC51" s="186"/>
      <c r="AD51" s="66"/>
      <c r="AE51" s="185"/>
      <c r="AF51" s="185"/>
      <c r="AG51" s="185"/>
      <c r="AH51" s="138"/>
      <c r="AI51" s="186"/>
      <c r="AJ51" s="186"/>
      <c r="AK51" s="186">
        <f t="shared" si="2"/>
        <v>0</v>
      </c>
      <c r="AL51" s="186"/>
      <c r="AM51" s="11"/>
      <c r="AN51" s="186"/>
      <c r="AO51" s="186"/>
      <c r="AP51" s="186"/>
      <c r="AR51" s="185"/>
      <c r="AS51" s="138"/>
      <c r="AT51" s="186"/>
      <c r="AU51" s="186"/>
      <c r="AV51" s="186">
        <f t="shared" si="3"/>
        <v>0</v>
      </c>
      <c r="AW51" s="186"/>
      <c r="AX51" s="186"/>
      <c r="AY51" s="186"/>
      <c r="AZ51" s="11"/>
      <c r="BA51" s="186"/>
      <c r="BB51" s="73"/>
      <c r="BC51" s="73"/>
      <c r="BE51" s="185"/>
      <c r="BF51" s="138"/>
      <c r="BG51" s="186"/>
      <c r="BH51" s="186"/>
      <c r="BI51" s="186">
        <f t="shared" si="5"/>
        <v>0</v>
      </c>
      <c r="BJ51" s="186"/>
      <c r="BK51" s="186"/>
      <c r="BL51" s="186"/>
      <c r="BM51" s="11"/>
      <c r="BN51" s="186"/>
      <c r="BO51" s="73"/>
      <c r="BP51" s="73"/>
    </row>
    <row r="52" spans="5:68" x14ac:dyDescent="0.35">
      <c r="E52" s="185"/>
      <c r="F52" s="73"/>
      <c r="G52" s="11"/>
      <c r="H52" s="11"/>
      <c r="I52" s="11"/>
      <c r="J52" s="186">
        <f t="shared" si="6"/>
        <v>0</v>
      </c>
      <c r="K52" s="11"/>
      <c r="L52" s="11"/>
      <c r="M52" s="11"/>
      <c r="N52" s="39"/>
      <c r="O52" s="39"/>
      <c r="P52" s="69"/>
      <c r="R52" s="185"/>
      <c r="S52" s="138"/>
      <c r="T52" s="186"/>
      <c r="U52" s="186"/>
      <c r="V52" s="186">
        <f t="shared" si="4"/>
        <v>0</v>
      </c>
      <c r="W52" s="186"/>
      <c r="X52" s="186"/>
      <c r="Y52" s="186"/>
      <c r="Z52" s="11"/>
      <c r="AA52" s="186"/>
      <c r="AB52" s="186"/>
      <c r="AC52" s="186"/>
      <c r="AD52" s="66"/>
      <c r="AE52" s="185"/>
      <c r="AF52" s="185"/>
      <c r="AG52" s="185"/>
      <c r="AH52" s="138"/>
      <c r="AI52" s="186"/>
      <c r="AJ52" s="186"/>
      <c r="AK52" s="186">
        <f t="shared" si="2"/>
        <v>0</v>
      </c>
      <c r="AL52" s="186"/>
      <c r="AM52" s="11"/>
      <c r="AN52" s="186"/>
      <c r="AO52" s="186"/>
      <c r="AP52" s="186"/>
      <c r="AR52" s="185"/>
      <c r="AS52" s="138"/>
      <c r="AT52" s="186"/>
      <c r="AU52" s="186"/>
      <c r="AV52" s="186">
        <f t="shared" si="3"/>
        <v>0</v>
      </c>
      <c r="AW52" s="186"/>
      <c r="AX52" s="186"/>
      <c r="AY52" s="186"/>
      <c r="AZ52" s="11"/>
      <c r="BA52" s="186"/>
      <c r="BB52" s="73"/>
      <c r="BC52" s="73"/>
      <c r="BE52" s="185"/>
      <c r="BF52" s="138"/>
      <c r="BG52" s="186"/>
      <c r="BH52" s="186"/>
      <c r="BI52" s="186">
        <f t="shared" si="5"/>
        <v>0</v>
      </c>
      <c r="BJ52" s="186"/>
      <c r="BK52" s="186"/>
      <c r="BL52" s="186"/>
      <c r="BM52" s="11"/>
      <c r="BN52" s="186"/>
      <c r="BO52" s="73"/>
      <c r="BP52" s="73"/>
    </row>
    <row r="53" spans="5:68" x14ac:dyDescent="0.35">
      <c r="E53" s="185"/>
      <c r="F53" s="73"/>
      <c r="G53" s="11"/>
      <c r="H53" s="11"/>
      <c r="I53" s="11"/>
      <c r="J53" s="186">
        <f t="shared" si="6"/>
        <v>0</v>
      </c>
      <c r="K53" s="11"/>
      <c r="L53" s="11"/>
      <c r="M53" s="135"/>
      <c r="N53" s="39"/>
      <c r="O53" s="39"/>
      <c r="P53" s="69"/>
      <c r="R53" s="185"/>
      <c r="S53" s="138"/>
      <c r="T53" s="186"/>
      <c r="U53" s="186"/>
      <c r="V53" s="186">
        <f t="shared" si="4"/>
        <v>0</v>
      </c>
      <c r="W53" s="186"/>
      <c r="X53" s="186"/>
      <c r="Y53" s="186"/>
      <c r="Z53" s="135"/>
      <c r="AA53" s="186"/>
      <c r="AB53" s="186"/>
      <c r="AC53" s="186"/>
      <c r="AD53" s="66"/>
      <c r="AE53" s="185"/>
      <c r="AF53" s="185"/>
      <c r="AG53" s="185"/>
      <c r="AH53" s="138"/>
      <c r="AI53" s="186"/>
      <c r="AJ53" s="186"/>
      <c r="AK53" s="186">
        <f t="shared" si="2"/>
        <v>0</v>
      </c>
      <c r="AL53" s="186"/>
      <c r="AM53" s="135"/>
      <c r="AN53" s="186"/>
      <c r="AO53" s="186"/>
      <c r="AP53" s="186"/>
      <c r="AR53" s="185"/>
      <c r="AS53" s="138"/>
      <c r="AT53" s="186"/>
      <c r="AU53" s="186"/>
      <c r="AV53" s="186">
        <f t="shared" si="3"/>
        <v>0</v>
      </c>
      <c r="AW53" s="186"/>
      <c r="AX53" s="186"/>
      <c r="AY53" s="186"/>
      <c r="AZ53" s="135"/>
      <c r="BA53" s="186"/>
      <c r="BB53" s="73"/>
      <c r="BC53" s="73"/>
      <c r="BE53" s="185"/>
      <c r="BF53" s="138"/>
      <c r="BG53" s="186"/>
      <c r="BH53" s="186"/>
      <c r="BI53" s="186">
        <f t="shared" si="5"/>
        <v>0</v>
      </c>
      <c r="BJ53" s="186"/>
      <c r="BK53" s="186"/>
      <c r="BL53" s="186"/>
      <c r="BM53" s="135"/>
      <c r="BN53" s="186"/>
      <c r="BO53" s="73"/>
      <c r="BP53" s="73"/>
    </row>
    <row r="54" spans="5:68" x14ac:dyDescent="0.35">
      <c r="E54" s="185"/>
      <c r="F54" s="73"/>
      <c r="G54" s="11"/>
      <c r="H54" s="11"/>
      <c r="I54" s="11"/>
      <c r="J54" s="186">
        <f t="shared" si="6"/>
        <v>0</v>
      </c>
      <c r="K54" s="11"/>
      <c r="L54" s="11"/>
      <c r="M54" s="135"/>
      <c r="N54" s="39"/>
      <c r="O54" s="39"/>
      <c r="P54" s="69"/>
      <c r="R54" s="185"/>
      <c r="S54" s="138"/>
      <c r="T54" s="186"/>
      <c r="U54" s="186"/>
      <c r="V54" s="186">
        <f t="shared" si="4"/>
        <v>0</v>
      </c>
      <c r="W54" s="186"/>
      <c r="X54" s="186"/>
      <c r="Y54" s="186"/>
      <c r="Z54" s="135"/>
      <c r="AA54" s="186"/>
      <c r="AB54" s="186"/>
      <c r="AC54" s="186"/>
      <c r="AD54" s="66"/>
      <c r="AE54" s="185"/>
      <c r="AF54" s="185"/>
      <c r="AG54" s="185"/>
      <c r="AH54" s="138"/>
      <c r="AI54" s="186"/>
      <c r="AJ54" s="186"/>
      <c r="AK54" s="186">
        <f t="shared" si="2"/>
        <v>0</v>
      </c>
      <c r="AL54" s="186"/>
      <c r="AM54" s="135"/>
      <c r="AN54" s="186"/>
      <c r="AO54" s="186"/>
      <c r="AP54" s="186"/>
      <c r="AR54" s="185"/>
      <c r="AS54" s="138"/>
      <c r="AT54" s="186"/>
      <c r="AU54" s="186"/>
      <c r="AV54" s="186">
        <f t="shared" si="3"/>
        <v>0</v>
      </c>
      <c r="AW54" s="186"/>
      <c r="AX54" s="186"/>
      <c r="AY54" s="186"/>
      <c r="AZ54" s="135"/>
      <c r="BA54" s="186"/>
      <c r="BB54" s="73"/>
      <c r="BC54" s="73"/>
      <c r="BE54" s="185"/>
      <c r="BF54" s="138"/>
      <c r="BG54" s="186"/>
      <c r="BH54" s="186"/>
      <c r="BI54" s="186">
        <f t="shared" si="5"/>
        <v>0</v>
      </c>
      <c r="BJ54" s="186"/>
      <c r="BK54" s="186"/>
      <c r="BL54" s="186"/>
      <c r="BM54" s="135"/>
      <c r="BN54" s="186"/>
      <c r="BO54" s="73"/>
      <c r="BP54" s="73"/>
    </row>
    <row r="55" spans="5:68" x14ac:dyDescent="0.35">
      <c r="E55" s="185"/>
      <c r="F55" s="73"/>
      <c r="G55" s="11"/>
      <c r="H55" s="11"/>
      <c r="I55" s="11"/>
      <c r="J55" s="186">
        <f t="shared" si="6"/>
        <v>0</v>
      </c>
      <c r="K55" s="11"/>
      <c r="L55" s="11"/>
      <c r="M55" s="135"/>
      <c r="N55" s="39"/>
      <c r="O55" s="39"/>
      <c r="P55" s="69"/>
      <c r="R55" s="185"/>
      <c r="S55" s="138"/>
      <c r="T55" s="186"/>
      <c r="U55" s="186"/>
      <c r="V55" s="186">
        <f t="shared" si="4"/>
        <v>0</v>
      </c>
      <c r="W55" s="186"/>
      <c r="X55" s="186"/>
      <c r="Y55" s="186"/>
      <c r="Z55" s="135"/>
      <c r="AA55" s="186"/>
      <c r="AB55" s="186"/>
      <c r="AC55" s="186"/>
      <c r="AD55" s="66"/>
      <c r="AE55" s="185"/>
      <c r="AF55" s="185"/>
      <c r="AG55" s="185"/>
      <c r="AH55" s="138"/>
      <c r="AI55" s="186"/>
      <c r="AJ55" s="186"/>
      <c r="AK55" s="186">
        <f t="shared" si="2"/>
        <v>0</v>
      </c>
      <c r="AL55" s="186"/>
      <c r="AM55" s="135"/>
      <c r="AN55" s="186"/>
      <c r="AO55" s="186"/>
      <c r="AP55" s="186"/>
      <c r="AR55" s="185"/>
      <c r="AS55" s="138"/>
      <c r="AT55" s="186"/>
      <c r="AU55" s="186"/>
      <c r="AV55" s="186">
        <f t="shared" si="3"/>
        <v>0</v>
      </c>
      <c r="AW55" s="186"/>
      <c r="AX55" s="186"/>
      <c r="AY55" s="186"/>
      <c r="AZ55" s="135"/>
      <c r="BA55" s="186"/>
      <c r="BB55" s="73"/>
      <c r="BC55" s="73"/>
      <c r="BE55" s="185"/>
      <c r="BF55" s="138"/>
      <c r="BG55" s="186"/>
      <c r="BH55" s="186"/>
      <c r="BI55" s="186">
        <f t="shared" si="5"/>
        <v>0</v>
      </c>
      <c r="BJ55" s="186"/>
      <c r="BK55" s="186"/>
      <c r="BL55" s="186"/>
      <c r="BM55" s="135"/>
      <c r="BN55" s="186"/>
      <c r="BO55" s="73"/>
      <c r="BP55" s="73"/>
    </row>
    <row r="56" spans="5:68" x14ac:dyDescent="0.35">
      <c r="E56" s="185"/>
      <c r="F56" s="73"/>
      <c r="G56" s="11"/>
      <c r="H56" s="11"/>
      <c r="I56" s="11"/>
      <c r="J56" s="186">
        <f t="shared" si="6"/>
        <v>0</v>
      </c>
      <c r="K56" s="11"/>
      <c r="L56" s="11"/>
      <c r="M56" s="135"/>
      <c r="N56" s="39"/>
      <c r="O56" s="39"/>
      <c r="P56" s="69"/>
      <c r="R56" s="185"/>
      <c r="S56" s="138"/>
      <c r="T56" s="186"/>
      <c r="U56" s="186"/>
      <c r="V56" s="186">
        <f t="shared" si="4"/>
        <v>0</v>
      </c>
      <c r="W56" s="186"/>
      <c r="X56" s="186"/>
      <c r="Y56" s="186"/>
      <c r="Z56" s="135"/>
      <c r="AA56" s="186"/>
      <c r="AB56" s="186"/>
      <c r="AC56" s="186"/>
      <c r="AD56" s="66"/>
      <c r="AE56" s="185"/>
      <c r="AF56" s="185"/>
      <c r="AG56" s="185"/>
      <c r="AH56" s="138"/>
      <c r="AI56" s="186"/>
      <c r="AJ56" s="186"/>
      <c r="AK56" s="186">
        <f t="shared" si="2"/>
        <v>0</v>
      </c>
      <c r="AL56" s="186"/>
      <c r="AM56" s="135"/>
      <c r="AN56" s="186"/>
      <c r="AO56" s="186"/>
      <c r="AP56" s="186"/>
      <c r="AR56" s="185"/>
      <c r="AS56" s="138"/>
      <c r="AT56" s="186"/>
      <c r="AU56" s="186"/>
      <c r="AV56" s="186">
        <f t="shared" si="3"/>
        <v>0</v>
      </c>
      <c r="AW56" s="186"/>
      <c r="AX56" s="186"/>
      <c r="AY56" s="186"/>
      <c r="AZ56" s="135"/>
      <c r="BA56" s="186"/>
      <c r="BB56" s="73"/>
      <c r="BC56" s="73"/>
      <c r="BE56" s="185"/>
      <c r="BF56" s="138"/>
      <c r="BG56" s="186"/>
      <c r="BH56" s="186"/>
      <c r="BI56" s="186">
        <f t="shared" si="5"/>
        <v>0</v>
      </c>
      <c r="BJ56" s="186"/>
      <c r="BK56" s="186"/>
      <c r="BL56" s="186"/>
      <c r="BM56" s="135"/>
      <c r="BN56" s="186"/>
      <c r="BO56" s="73"/>
      <c r="BP56" s="73"/>
    </row>
    <row r="57" spans="5:68" x14ac:dyDescent="0.35">
      <c r="E57" s="185"/>
      <c r="F57" s="73"/>
      <c r="G57" s="11"/>
      <c r="H57" s="11"/>
      <c r="I57" s="11"/>
      <c r="J57" s="186">
        <f t="shared" si="6"/>
        <v>0</v>
      </c>
      <c r="K57" s="11"/>
      <c r="L57" s="11"/>
      <c r="M57" s="135"/>
      <c r="N57" s="39"/>
      <c r="O57" s="39"/>
      <c r="P57" s="69"/>
      <c r="R57" s="185"/>
      <c r="S57" s="138"/>
      <c r="T57" s="186"/>
      <c r="U57" s="186"/>
      <c r="V57" s="186">
        <f t="shared" si="4"/>
        <v>0</v>
      </c>
      <c r="W57" s="186"/>
      <c r="X57" s="186"/>
      <c r="Y57" s="186"/>
      <c r="Z57" s="135"/>
      <c r="AA57" s="186"/>
      <c r="AB57" s="186"/>
      <c r="AC57" s="186"/>
      <c r="AD57" s="66"/>
      <c r="AE57" s="185"/>
      <c r="AF57" s="185"/>
      <c r="AG57" s="185"/>
      <c r="AH57" s="138"/>
      <c r="AI57" s="186"/>
      <c r="AJ57" s="186"/>
      <c r="AK57" s="186">
        <f t="shared" si="2"/>
        <v>0</v>
      </c>
      <c r="AL57" s="186"/>
      <c r="AM57" s="135"/>
      <c r="AN57" s="186"/>
      <c r="AO57" s="186"/>
      <c r="AP57" s="186"/>
      <c r="AR57" s="185"/>
      <c r="AS57" s="138"/>
      <c r="AT57" s="186"/>
      <c r="AU57" s="186"/>
      <c r="AV57" s="186">
        <f t="shared" si="3"/>
        <v>0</v>
      </c>
      <c r="AW57" s="186"/>
      <c r="AX57" s="186"/>
      <c r="AY57" s="186"/>
      <c r="AZ57" s="135"/>
      <c r="BA57" s="186"/>
      <c r="BB57" s="73"/>
      <c r="BC57" s="73"/>
      <c r="BE57" s="185"/>
      <c r="BF57" s="138"/>
      <c r="BG57" s="186"/>
      <c r="BH57" s="186"/>
      <c r="BI57" s="186">
        <f t="shared" si="5"/>
        <v>0</v>
      </c>
      <c r="BJ57" s="186"/>
      <c r="BK57" s="186"/>
      <c r="BL57" s="186"/>
      <c r="BM57" s="135"/>
      <c r="BN57" s="186"/>
      <c r="BO57" s="73"/>
      <c r="BP57" s="73"/>
    </row>
    <row r="58" spans="5:68" x14ac:dyDescent="0.35">
      <c r="E58" s="185"/>
      <c r="F58" s="73"/>
      <c r="G58" s="11"/>
      <c r="H58" s="11"/>
      <c r="I58" s="11"/>
      <c r="J58" s="186">
        <f t="shared" si="6"/>
        <v>0</v>
      </c>
      <c r="K58" s="11"/>
      <c r="L58" s="11"/>
      <c r="M58" s="135"/>
      <c r="N58" s="39"/>
      <c r="O58" s="39"/>
      <c r="P58" s="69"/>
      <c r="R58" s="185"/>
      <c r="S58" s="138"/>
      <c r="T58" s="186"/>
      <c r="U58" s="186"/>
      <c r="V58" s="186">
        <f t="shared" si="4"/>
        <v>0</v>
      </c>
      <c r="W58" s="186"/>
      <c r="X58" s="186"/>
      <c r="Y58" s="186"/>
      <c r="Z58" s="135"/>
      <c r="AA58" s="186"/>
      <c r="AB58" s="186"/>
      <c r="AC58" s="186"/>
      <c r="AD58" s="66"/>
      <c r="AE58" s="185"/>
      <c r="AF58" s="185"/>
      <c r="AG58" s="185"/>
      <c r="AH58" s="138"/>
      <c r="AI58" s="186"/>
      <c r="AJ58" s="186"/>
      <c r="AK58" s="186">
        <f t="shared" si="2"/>
        <v>0</v>
      </c>
      <c r="AL58" s="186"/>
      <c r="AM58" s="135"/>
      <c r="AN58" s="186"/>
      <c r="AO58" s="186"/>
      <c r="AP58" s="186"/>
      <c r="AR58" s="185"/>
      <c r="AS58" s="138"/>
      <c r="AT58" s="186"/>
      <c r="AU58" s="186"/>
      <c r="AV58" s="186">
        <f t="shared" si="3"/>
        <v>0</v>
      </c>
      <c r="AW58" s="186"/>
      <c r="AX58" s="186"/>
      <c r="AY58" s="186"/>
      <c r="AZ58" s="135"/>
      <c r="BA58" s="186"/>
      <c r="BB58" s="73"/>
      <c r="BC58" s="73"/>
      <c r="BE58" s="185"/>
      <c r="BF58" s="138"/>
      <c r="BG58" s="186"/>
      <c r="BH58" s="186"/>
      <c r="BI58" s="186">
        <f t="shared" si="5"/>
        <v>0</v>
      </c>
      <c r="BJ58" s="186"/>
      <c r="BK58" s="186"/>
      <c r="BL58" s="186"/>
      <c r="BM58" s="135"/>
      <c r="BN58" s="186"/>
      <c r="BO58" s="73"/>
      <c r="BP58" s="73"/>
    </row>
    <row r="59" spans="5:68" x14ac:dyDescent="0.35">
      <c r="E59" s="185"/>
      <c r="F59" s="73"/>
      <c r="G59" s="11"/>
      <c r="H59" s="11"/>
      <c r="I59" s="11"/>
      <c r="J59" s="186">
        <f t="shared" si="6"/>
        <v>0</v>
      </c>
      <c r="K59" s="11"/>
      <c r="L59" s="11"/>
      <c r="M59" s="135"/>
      <c r="N59" s="39"/>
      <c r="O59" s="39"/>
      <c r="P59" s="69"/>
      <c r="R59" s="185"/>
      <c r="S59" s="11"/>
      <c r="T59" s="11"/>
      <c r="U59" s="11"/>
      <c r="V59" s="186">
        <f t="shared" si="4"/>
        <v>0</v>
      </c>
      <c r="W59" s="11"/>
      <c r="X59" s="11"/>
      <c r="Y59" s="11"/>
      <c r="Z59" s="135"/>
      <c r="AA59" s="11"/>
      <c r="AB59" s="39"/>
      <c r="AC59" s="11"/>
      <c r="AD59" s="66"/>
      <c r="AE59" s="185"/>
      <c r="AF59" s="185"/>
      <c r="AG59" s="185"/>
      <c r="AH59" s="11"/>
      <c r="AI59" s="11"/>
      <c r="AJ59" s="11"/>
      <c r="AK59" s="186">
        <f t="shared" si="2"/>
        <v>0</v>
      </c>
      <c r="AL59" s="11"/>
      <c r="AM59" s="135"/>
      <c r="AN59" s="11"/>
      <c r="AO59" s="39"/>
      <c r="AP59" s="11"/>
      <c r="AR59" s="73"/>
      <c r="AS59" s="73"/>
      <c r="AT59" s="73"/>
      <c r="AU59" s="73"/>
      <c r="AV59" s="186">
        <f t="shared" si="3"/>
        <v>0</v>
      </c>
      <c r="AW59" s="73"/>
      <c r="AX59" s="73"/>
      <c r="AY59" s="73"/>
      <c r="AZ59" s="135"/>
      <c r="BA59" s="73"/>
      <c r="BB59" s="73"/>
      <c r="BC59" s="73"/>
      <c r="BE59" s="185"/>
      <c r="BF59" s="11"/>
      <c r="BG59" s="11"/>
      <c r="BH59" s="11"/>
      <c r="BI59" s="186">
        <f t="shared" si="5"/>
        <v>0</v>
      </c>
      <c r="BJ59" s="11"/>
      <c r="BK59" s="11"/>
      <c r="BL59" s="39"/>
      <c r="BM59" s="135"/>
      <c r="BN59" s="11"/>
      <c r="BO59" s="73"/>
      <c r="BP59" s="73"/>
    </row>
    <row r="60" spans="5:68" x14ac:dyDescent="0.35">
      <c r="E60" s="18"/>
      <c r="F60" s="73"/>
      <c r="G60" s="11"/>
      <c r="H60" s="36"/>
      <c r="I60" s="36"/>
      <c r="J60" s="186">
        <f t="shared" si="6"/>
        <v>0</v>
      </c>
      <c r="K60" s="36"/>
      <c r="L60" s="11"/>
      <c r="M60" s="135"/>
      <c r="N60" s="39"/>
      <c r="O60" s="39"/>
      <c r="P60" s="69"/>
      <c r="R60" s="185"/>
      <c r="S60" s="11"/>
      <c r="T60" s="11"/>
      <c r="U60" s="11"/>
      <c r="V60" s="186">
        <f t="shared" si="4"/>
        <v>0</v>
      </c>
      <c r="W60" s="11"/>
      <c r="X60" s="11"/>
      <c r="Y60" s="11"/>
      <c r="Z60" s="135"/>
      <c r="AA60" s="11"/>
      <c r="AB60" s="39"/>
      <c r="AC60" s="11"/>
      <c r="AD60" s="66"/>
      <c r="AE60" s="185"/>
      <c r="AF60" s="185"/>
      <c r="AG60" s="185"/>
      <c r="AH60" s="11"/>
      <c r="AI60" s="11"/>
      <c r="AJ60" s="11"/>
      <c r="AK60" s="186">
        <f t="shared" si="2"/>
        <v>0</v>
      </c>
      <c r="AL60" s="11"/>
      <c r="AM60" s="135"/>
      <c r="AN60" s="11"/>
      <c r="AO60" s="39"/>
      <c r="AP60" s="11"/>
      <c r="AR60" s="185"/>
      <c r="AS60" s="11"/>
      <c r="AT60" s="11"/>
      <c r="AU60" s="11"/>
      <c r="AV60" s="186">
        <f t="shared" si="3"/>
        <v>0</v>
      </c>
      <c r="AW60" s="11"/>
      <c r="AX60" s="11"/>
      <c r="AY60" s="39"/>
      <c r="AZ60" s="135"/>
      <c r="BA60" s="11"/>
      <c r="BB60" s="73"/>
      <c r="BC60" s="73"/>
      <c r="BE60" s="185"/>
      <c r="BF60" s="11"/>
      <c r="BG60" s="11"/>
      <c r="BH60" s="11"/>
      <c r="BI60" s="186">
        <f t="shared" si="5"/>
        <v>0</v>
      </c>
      <c r="BJ60" s="11"/>
      <c r="BK60" s="11"/>
      <c r="BL60" s="39"/>
      <c r="BM60" s="135"/>
      <c r="BN60" s="11"/>
      <c r="BO60" s="73"/>
      <c r="BP60" s="73"/>
    </row>
    <row r="61" spans="5:68" x14ac:dyDescent="0.35">
      <c r="E61" s="18"/>
      <c r="F61" s="73"/>
      <c r="G61" s="19"/>
      <c r="H61" s="17"/>
      <c r="I61" s="17"/>
      <c r="J61" s="186">
        <f t="shared" ref="J61:J84" si="7">H61+I61</f>
        <v>0</v>
      </c>
      <c r="K61" s="17"/>
      <c r="L61" s="19"/>
      <c r="M61" s="135"/>
      <c r="N61" s="39"/>
      <c r="O61" s="39"/>
      <c r="P61" s="69"/>
      <c r="R61" s="185"/>
      <c r="S61" s="11"/>
      <c r="T61" s="11"/>
      <c r="U61" s="11"/>
      <c r="V61" s="186">
        <f t="shared" si="4"/>
        <v>0</v>
      </c>
      <c r="W61" s="11"/>
      <c r="X61" s="11"/>
      <c r="Y61" s="11"/>
      <c r="Z61" s="135"/>
      <c r="AA61" s="11"/>
      <c r="AB61" s="39"/>
      <c r="AC61" s="11"/>
      <c r="AD61" s="66"/>
      <c r="AE61" s="185"/>
      <c r="AF61" s="185"/>
      <c r="AG61" s="185"/>
      <c r="AH61" s="11"/>
      <c r="AI61" s="11"/>
      <c r="AJ61" s="11"/>
      <c r="AK61" s="186">
        <f t="shared" si="2"/>
        <v>0</v>
      </c>
      <c r="AL61" s="11"/>
      <c r="AM61" s="135"/>
      <c r="AN61" s="11"/>
      <c r="AO61" s="39"/>
      <c r="AP61" s="11"/>
      <c r="AR61" s="185"/>
      <c r="AS61" s="11"/>
      <c r="AT61" s="11"/>
      <c r="AU61" s="11"/>
      <c r="AV61" s="186">
        <f t="shared" si="3"/>
        <v>0</v>
      </c>
      <c r="AW61" s="11"/>
      <c r="AX61" s="11"/>
      <c r="AY61" s="39"/>
      <c r="AZ61" s="135"/>
      <c r="BA61" s="11"/>
      <c r="BB61" s="73"/>
      <c r="BC61" s="73"/>
      <c r="BE61" s="185"/>
      <c r="BF61" s="11"/>
      <c r="BG61" s="11"/>
      <c r="BH61" s="11"/>
      <c r="BI61" s="186">
        <f t="shared" si="5"/>
        <v>0</v>
      </c>
      <c r="BJ61" s="11"/>
      <c r="BK61" s="11"/>
      <c r="BL61" s="39"/>
      <c r="BM61" s="135"/>
      <c r="BN61" s="11"/>
      <c r="BO61" s="73"/>
      <c r="BP61" s="73"/>
    </row>
    <row r="62" spans="5:68" x14ac:dyDescent="0.35">
      <c r="E62" s="18"/>
      <c r="F62" s="73"/>
      <c r="G62" s="19"/>
      <c r="H62" s="17"/>
      <c r="I62" s="17"/>
      <c r="J62" s="186">
        <f t="shared" si="7"/>
        <v>0</v>
      </c>
      <c r="K62" s="17"/>
      <c r="L62" s="19"/>
      <c r="M62" s="135"/>
      <c r="N62" s="39"/>
      <c r="O62" s="39"/>
      <c r="P62" s="69"/>
      <c r="R62" s="185"/>
      <c r="S62" s="11"/>
      <c r="T62" s="11"/>
      <c r="U62" s="11"/>
      <c r="V62" s="186">
        <f t="shared" si="4"/>
        <v>0</v>
      </c>
      <c r="W62" s="11"/>
      <c r="X62" s="11"/>
      <c r="Y62" s="11"/>
      <c r="Z62" s="135"/>
      <c r="AA62" s="11"/>
      <c r="AB62" s="39"/>
      <c r="AC62" s="11"/>
      <c r="AD62" s="66"/>
      <c r="AE62" s="185"/>
      <c r="AF62" s="185"/>
      <c r="AG62" s="185"/>
      <c r="AH62" s="11"/>
      <c r="AI62" s="11"/>
      <c r="AJ62" s="11"/>
      <c r="AK62" s="186">
        <f t="shared" si="2"/>
        <v>0</v>
      </c>
      <c r="AL62" s="11"/>
      <c r="AM62" s="135"/>
      <c r="AN62" s="11"/>
      <c r="AO62" s="39"/>
      <c r="AP62" s="11"/>
      <c r="AR62" s="185"/>
      <c r="AS62" s="11"/>
      <c r="AT62" s="11"/>
      <c r="AU62" s="11"/>
      <c r="AV62" s="186">
        <f t="shared" si="3"/>
        <v>0</v>
      </c>
      <c r="AW62" s="11"/>
      <c r="AX62" s="11"/>
      <c r="AY62" s="39"/>
      <c r="AZ62" s="135"/>
      <c r="BA62" s="11"/>
      <c r="BB62" s="73"/>
      <c r="BC62" s="73"/>
      <c r="BE62" s="185"/>
      <c r="BF62" s="11"/>
      <c r="BG62" s="11"/>
      <c r="BH62" s="11"/>
      <c r="BI62" s="186">
        <f t="shared" si="5"/>
        <v>0</v>
      </c>
      <c r="BJ62" s="11"/>
      <c r="BK62" s="11"/>
      <c r="BL62" s="39"/>
      <c r="BM62" s="135"/>
      <c r="BN62" s="11"/>
      <c r="BO62" s="73"/>
      <c r="BP62" s="73"/>
    </row>
    <row r="63" spans="5:68" x14ac:dyDescent="0.35">
      <c r="E63" s="18"/>
      <c r="F63" s="73"/>
      <c r="G63" s="37"/>
      <c r="H63" s="17"/>
      <c r="I63" s="17"/>
      <c r="J63" s="186">
        <f t="shared" si="7"/>
        <v>0</v>
      </c>
      <c r="K63" s="17"/>
      <c r="L63" s="17"/>
      <c r="M63" s="135"/>
      <c r="N63" s="17"/>
      <c r="O63" s="17"/>
      <c r="P63" s="17"/>
      <c r="R63" s="185"/>
      <c r="S63" s="11"/>
      <c r="T63" s="11"/>
      <c r="U63" s="11"/>
      <c r="V63" s="186">
        <f t="shared" si="4"/>
        <v>0</v>
      </c>
      <c r="W63" s="11"/>
      <c r="X63" s="11"/>
      <c r="Y63" s="11"/>
      <c r="Z63" s="135"/>
      <c r="AA63" s="11"/>
      <c r="AB63" s="39"/>
      <c r="AC63" s="11"/>
      <c r="AD63" s="66"/>
      <c r="AE63" s="185"/>
      <c r="AF63" s="185"/>
      <c r="AG63" s="185"/>
      <c r="AH63" s="11"/>
      <c r="AI63" s="11"/>
      <c r="AJ63" s="11"/>
      <c r="AK63" s="186">
        <f t="shared" si="2"/>
        <v>0</v>
      </c>
      <c r="AL63" s="11"/>
      <c r="AM63" s="135"/>
      <c r="AN63" s="11"/>
      <c r="AO63" s="39"/>
      <c r="AP63" s="11"/>
      <c r="AR63" s="185"/>
      <c r="AS63" s="11"/>
      <c r="AT63" s="11"/>
      <c r="AU63" s="11"/>
      <c r="AV63" s="186">
        <f t="shared" si="3"/>
        <v>0</v>
      </c>
      <c r="AW63" s="11"/>
      <c r="AX63" s="11"/>
      <c r="AY63" s="39"/>
      <c r="AZ63" s="135"/>
      <c r="BA63" s="11"/>
      <c r="BB63" s="73"/>
      <c r="BC63" s="73"/>
      <c r="BE63" s="185"/>
      <c r="BF63" s="11"/>
      <c r="BG63" s="11"/>
      <c r="BH63" s="11"/>
      <c r="BI63" s="186">
        <f t="shared" si="5"/>
        <v>0</v>
      </c>
      <c r="BJ63" s="11"/>
      <c r="BK63" s="11"/>
      <c r="BL63" s="39"/>
      <c r="BM63" s="135"/>
      <c r="BN63" s="11"/>
      <c r="BO63" s="73"/>
      <c r="BP63" s="73"/>
    </row>
    <row r="64" spans="5:68" x14ac:dyDescent="0.35">
      <c r="E64" s="18"/>
      <c r="F64" s="73"/>
      <c r="G64" s="11"/>
      <c r="H64" s="36"/>
      <c r="I64" s="36"/>
      <c r="J64" s="186">
        <f t="shared" si="7"/>
        <v>0</v>
      </c>
      <c r="K64" s="36"/>
      <c r="L64" s="11"/>
      <c r="M64" s="135"/>
      <c r="N64" s="39"/>
      <c r="O64" s="39"/>
      <c r="P64" s="11"/>
      <c r="R64" s="185"/>
      <c r="S64" s="11"/>
      <c r="T64" s="11"/>
      <c r="U64" s="11"/>
      <c r="V64" s="186">
        <f t="shared" si="4"/>
        <v>0</v>
      </c>
      <c r="W64" s="11"/>
      <c r="X64" s="11"/>
      <c r="Y64" s="11"/>
      <c r="Z64" s="135"/>
      <c r="AA64" s="11"/>
      <c r="AB64" s="39"/>
      <c r="AC64" s="11"/>
      <c r="AD64" s="66"/>
      <c r="AE64" s="185"/>
      <c r="AF64" s="185"/>
      <c r="AG64" s="185"/>
      <c r="AH64" s="11"/>
      <c r="AI64" s="11"/>
      <c r="AJ64" s="11"/>
      <c r="AK64" s="186">
        <f t="shared" si="2"/>
        <v>0</v>
      </c>
      <c r="AL64" s="11"/>
      <c r="AM64" s="135"/>
      <c r="AN64" s="11"/>
      <c r="AO64" s="39"/>
      <c r="AP64" s="11"/>
      <c r="AR64" s="185"/>
      <c r="AS64" s="11"/>
      <c r="AT64" s="11"/>
      <c r="AU64" s="11"/>
      <c r="AV64" s="186">
        <f t="shared" si="3"/>
        <v>0</v>
      </c>
      <c r="AW64" s="11"/>
      <c r="AX64" s="11"/>
      <c r="AY64" s="39"/>
      <c r="AZ64" s="135"/>
      <c r="BA64" s="11"/>
      <c r="BB64" s="73"/>
      <c r="BC64" s="73"/>
      <c r="BE64" s="185"/>
      <c r="BF64" s="11"/>
      <c r="BG64" s="11"/>
      <c r="BH64" s="11"/>
      <c r="BI64" s="186">
        <f t="shared" si="5"/>
        <v>0</v>
      </c>
      <c r="BJ64" s="11"/>
      <c r="BK64" s="11"/>
      <c r="BL64" s="39"/>
      <c r="BM64" s="135"/>
      <c r="BN64" s="11"/>
      <c r="BO64" s="73"/>
      <c r="BP64" s="73"/>
    </row>
    <row r="65" spans="5:68" x14ac:dyDescent="0.35">
      <c r="E65" s="18"/>
      <c r="F65" s="73"/>
      <c r="G65" s="11"/>
      <c r="H65" s="36"/>
      <c r="I65" s="36"/>
      <c r="J65" s="186">
        <f t="shared" si="7"/>
        <v>0</v>
      </c>
      <c r="K65" s="36"/>
      <c r="L65" s="11"/>
      <c r="M65" s="135"/>
      <c r="N65" s="39"/>
      <c r="O65" s="39"/>
      <c r="P65" s="11"/>
      <c r="R65" s="185"/>
      <c r="S65" s="11"/>
      <c r="T65" s="11"/>
      <c r="U65" s="11"/>
      <c r="V65" s="186">
        <f t="shared" si="4"/>
        <v>0</v>
      </c>
      <c r="W65" s="11"/>
      <c r="X65" s="11"/>
      <c r="Y65" s="11"/>
      <c r="Z65" s="135"/>
      <c r="AA65" s="11"/>
      <c r="AB65" s="39"/>
      <c r="AC65" s="11"/>
      <c r="AD65" s="66"/>
      <c r="AE65" s="185"/>
      <c r="AF65" s="185"/>
      <c r="AG65" s="185"/>
      <c r="AH65" s="11"/>
      <c r="AI65" s="11"/>
      <c r="AJ65" s="11"/>
      <c r="AK65" s="186">
        <f t="shared" si="2"/>
        <v>0</v>
      </c>
      <c r="AL65" s="11"/>
      <c r="AM65" s="135"/>
      <c r="AN65" s="11"/>
      <c r="AO65" s="39"/>
      <c r="AP65" s="11"/>
      <c r="AR65" s="185"/>
      <c r="AS65" s="11"/>
      <c r="AT65" s="11"/>
      <c r="AU65" s="11"/>
      <c r="AV65" s="186">
        <f t="shared" si="3"/>
        <v>0</v>
      </c>
      <c r="AW65" s="11"/>
      <c r="AX65" s="11"/>
      <c r="AY65" s="39"/>
      <c r="AZ65" s="135"/>
      <c r="BA65" s="11"/>
      <c r="BB65" s="73"/>
      <c r="BC65" s="73"/>
      <c r="BE65" s="185"/>
      <c r="BF65" s="11"/>
      <c r="BG65" s="11"/>
      <c r="BH65" s="11"/>
      <c r="BI65" s="186">
        <f t="shared" si="5"/>
        <v>0</v>
      </c>
      <c r="BJ65" s="11"/>
      <c r="BK65" s="11"/>
      <c r="BL65" s="39"/>
      <c r="BM65" s="135"/>
      <c r="BN65" s="11"/>
      <c r="BO65" s="73"/>
      <c r="BP65" s="73"/>
    </row>
    <row r="66" spans="5:68" x14ac:dyDescent="0.35">
      <c r="E66" s="18"/>
      <c r="F66" s="73"/>
      <c r="G66" s="11"/>
      <c r="H66" s="36"/>
      <c r="I66" s="36"/>
      <c r="J66" s="186">
        <f t="shared" si="7"/>
        <v>0</v>
      </c>
      <c r="K66" s="36"/>
      <c r="L66" s="11"/>
      <c r="M66" s="135"/>
      <c r="N66" s="39"/>
      <c r="O66" s="39"/>
      <c r="P66" s="11"/>
      <c r="R66" s="185"/>
      <c r="S66" s="11"/>
      <c r="T66" s="11"/>
      <c r="U66" s="11"/>
      <c r="V66" s="186">
        <f t="shared" si="4"/>
        <v>0</v>
      </c>
      <c r="W66" s="11"/>
      <c r="X66" s="11"/>
      <c r="Y66" s="11"/>
      <c r="Z66" s="135"/>
      <c r="AA66" s="11"/>
      <c r="AB66" s="39"/>
      <c r="AC66" s="11"/>
      <c r="AD66" s="66"/>
      <c r="AE66" s="185"/>
      <c r="AF66" s="185"/>
      <c r="AG66" s="185"/>
      <c r="AH66" s="11"/>
      <c r="AI66" s="11"/>
      <c r="AJ66" s="11"/>
      <c r="AK66" s="186">
        <f t="shared" si="2"/>
        <v>0</v>
      </c>
      <c r="AL66" s="11"/>
      <c r="AM66" s="135"/>
      <c r="AN66" s="11"/>
      <c r="AO66" s="39"/>
      <c r="AP66" s="11"/>
      <c r="AR66" s="185"/>
      <c r="AS66" s="11"/>
      <c r="AT66" s="11"/>
      <c r="AU66" s="11"/>
      <c r="AV66" s="186">
        <f t="shared" si="3"/>
        <v>0</v>
      </c>
      <c r="AW66" s="11"/>
      <c r="AX66" s="11"/>
      <c r="AY66" s="39"/>
      <c r="AZ66" s="135"/>
      <c r="BA66" s="11"/>
      <c r="BB66" s="73"/>
      <c r="BC66" s="73"/>
      <c r="BE66" s="185"/>
      <c r="BF66" s="11"/>
      <c r="BG66" s="11"/>
      <c r="BH66" s="11"/>
      <c r="BI66" s="186">
        <f t="shared" si="5"/>
        <v>0</v>
      </c>
      <c r="BJ66" s="11"/>
      <c r="BK66" s="11"/>
      <c r="BL66" s="39"/>
      <c r="BM66" s="135"/>
      <c r="BN66" s="11"/>
      <c r="BO66" s="73"/>
      <c r="BP66" s="73"/>
    </row>
    <row r="67" spans="5:68" x14ac:dyDescent="0.35">
      <c r="E67" s="18"/>
      <c r="F67" s="73"/>
      <c r="G67" s="11"/>
      <c r="H67" s="36"/>
      <c r="I67" s="36"/>
      <c r="J67" s="17">
        <f t="shared" si="7"/>
        <v>0</v>
      </c>
      <c r="K67" s="36"/>
      <c r="L67" s="11"/>
      <c r="M67" s="135"/>
      <c r="N67" s="39"/>
      <c r="O67" s="39"/>
      <c r="P67" s="11"/>
      <c r="R67" s="185"/>
      <c r="S67" s="11"/>
      <c r="T67" s="11"/>
      <c r="U67" s="11"/>
      <c r="V67" s="186">
        <f t="shared" si="4"/>
        <v>0</v>
      </c>
      <c r="W67" s="11"/>
      <c r="X67" s="11"/>
      <c r="Y67" s="11"/>
      <c r="Z67" s="135"/>
      <c r="AA67" s="11"/>
      <c r="AB67" s="39"/>
      <c r="AC67" s="11"/>
      <c r="AD67" s="66"/>
      <c r="AE67" s="185"/>
      <c r="AF67" s="185"/>
      <c r="AG67" s="185"/>
      <c r="AH67" s="11"/>
      <c r="AI67" s="11"/>
      <c r="AJ67" s="11"/>
      <c r="AK67" s="186">
        <f t="shared" si="2"/>
        <v>0</v>
      </c>
      <c r="AL67" s="11"/>
      <c r="AM67" s="135"/>
      <c r="AN67" s="11"/>
      <c r="AO67" s="39"/>
      <c r="AP67" s="11"/>
      <c r="AR67" s="185"/>
      <c r="AS67" s="11"/>
      <c r="AT67" s="11"/>
      <c r="AU67" s="11"/>
      <c r="AV67" s="186">
        <f t="shared" si="3"/>
        <v>0</v>
      </c>
      <c r="AW67" s="11"/>
      <c r="AX67" s="11"/>
      <c r="AY67" s="39"/>
      <c r="AZ67" s="135"/>
      <c r="BA67" s="11"/>
      <c r="BB67" s="73"/>
      <c r="BC67" s="73"/>
      <c r="BE67" s="185"/>
      <c r="BF67" s="11"/>
      <c r="BG67" s="11"/>
      <c r="BH67" s="11"/>
      <c r="BI67" s="186">
        <f t="shared" si="5"/>
        <v>0</v>
      </c>
      <c r="BJ67" s="11"/>
      <c r="BK67" s="11"/>
      <c r="BL67" s="39"/>
      <c r="BM67" s="135"/>
      <c r="BN67" s="11"/>
      <c r="BO67" s="73"/>
      <c r="BP67" s="73"/>
    </row>
    <row r="68" spans="5:68" x14ac:dyDescent="0.35">
      <c r="E68" s="18"/>
      <c r="F68" s="73"/>
      <c r="G68" s="11"/>
      <c r="H68" s="36"/>
      <c r="I68" s="36"/>
      <c r="J68" s="17">
        <f t="shared" si="7"/>
        <v>0</v>
      </c>
      <c r="K68" s="36"/>
      <c r="L68" s="11"/>
      <c r="M68" s="135"/>
      <c r="N68" s="39"/>
      <c r="O68" s="39"/>
      <c r="P68" s="11"/>
      <c r="R68" s="185"/>
      <c r="S68" s="11"/>
      <c r="T68" s="11"/>
      <c r="U68" s="11"/>
      <c r="V68" s="186">
        <f t="shared" si="4"/>
        <v>0</v>
      </c>
      <c r="W68" s="11"/>
      <c r="X68" s="11"/>
      <c r="Y68" s="11"/>
      <c r="Z68" s="135"/>
      <c r="AA68" s="11"/>
      <c r="AB68" s="39"/>
      <c r="AC68" s="11"/>
      <c r="AD68" s="66"/>
      <c r="AE68" s="185"/>
      <c r="AF68" s="185"/>
      <c r="AG68" s="185"/>
      <c r="AH68" s="11"/>
      <c r="AI68" s="11"/>
      <c r="AJ68" s="11"/>
      <c r="AK68" s="186">
        <f t="shared" si="2"/>
        <v>0</v>
      </c>
      <c r="AL68" s="11"/>
      <c r="AM68" s="135"/>
      <c r="AN68" s="11"/>
      <c r="AO68" s="39"/>
      <c r="AP68" s="11"/>
      <c r="AR68" s="185"/>
      <c r="AS68" s="11"/>
      <c r="AT68" s="11"/>
      <c r="AU68" s="11"/>
      <c r="AV68" s="186">
        <f t="shared" si="3"/>
        <v>0</v>
      </c>
      <c r="AW68" s="11"/>
      <c r="AX68" s="11"/>
      <c r="AY68" s="39"/>
      <c r="AZ68" s="135"/>
      <c r="BA68" s="11"/>
      <c r="BB68" s="73"/>
      <c r="BC68" s="73"/>
      <c r="BE68" s="185"/>
      <c r="BF68" s="11"/>
      <c r="BG68" s="11"/>
      <c r="BH68" s="11"/>
      <c r="BI68" s="186">
        <f t="shared" si="5"/>
        <v>0</v>
      </c>
      <c r="BJ68" s="11"/>
      <c r="BK68" s="11"/>
      <c r="BL68" s="39"/>
      <c r="BM68" s="135"/>
      <c r="BN68" s="11"/>
      <c r="BO68" s="73"/>
      <c r="BP68" s="73"/>
    </row>
    <row r="69" spans="5:68" x14ac:dyDescent="0.35">
      <c r="E69" s="18"/>
      <c r="F69" s="73"/>
      <c r="G69" s="11"/>
      <c r="H69" s="36"/>
      <c r="I69" s="36"/>
      <c r="J69" s="17">
        <f t="shared" si="7"/>
        <v>0</v>
      </c>
      <c r="K69" s="36"/>
      <c r="L69" s="11"/>
      <c r="M69" s="135"/>
      <c r="N69" s="39"/>
      <c r="O69" s="39"/>
      <c r="P69" s="11"/>
      <c r="R69" s="185"/>
      <c r="S69" s="11"/>
      <c r="T69" s="11"/>
      <c r="U69" s="11"/>
      <c r="V69" s="186">
        <f t="shared" si="4"/>
        <v>0</v>
      </c>
      <c r="W69" s="11"/>
      <c r="X69" s="11"/>
      <c r="Y69" s="11"/>
      <c r="Z69" s="135"/>
      <c r="AA69" s="11"/>
      <c r="AB69" s="39"/>
      <c r="AC69" s="11"/>
      <c r="AD69" s="66"/>
      <c r="AE69" s="185"/>
      <c r="AF69" s="185"/>
      <c r="AG69" s="185"/>
      <c r="AH69" s="11"/>
      <c r="AI69" s="11"/>
      <c r="AJ69" s="11"/>
      <c r="AK69" s="186">
        <f t="shared" ref="AK69:AK84" si="8">AI69+AJ69</f>
        <v>0</v>
      </c>
      <c r="AL69" s="11"/>
      <c r="AM69" s="135"/>
      <c r="AN69" s="11"/>
      <c r="AO69" s="39"/>
      <c r="AP69" s="11"/>
      <c r="AR69" s="185"/>
      <c r="AS69" s="11"/>
      <c r="AT69" s="11"/>
      <c r="AU69" s="11"/>
      <c r="AV69" s="186">
        <f t="shared" si="3"/>
        <v>0</v>
      </c>
      <c r="AW69" s="11"/>
      <c r="AX69" s="11"/>
      <c r="AY69" s="39"/>
      <c r="AZ69" s="135"/>
      <c r="BA69" s="11"/>
      <c r="BB69" s="73"/>
      <c r="BC69" s="73"/>
      <c r="BE69" s="185"/>
      <c r="BF69" s="11"/>
      <c r="BG69" s="11"/>
      <c r="BH69" s="11"/>
      <c r="BI69" s="186">
        <f t="shared" ref="BI69:BI84" si="9">BG69+BH69</f>
        <v>0</v>
      </c>
      <c r="BJ69" s="11"/>
      <c r="BK69" s="11"/>
      <c r="BL69" s="39"/>
      <c r="BM69" s="135"/>
      <c r="BN69" s="11"/>
      <c r="BO69" s="73"/>
      <c r="BP69" s="73"/>
    </row>
    <row r="70" spans="5:68" x14ac:dyDescent="0.35">
      <c r="E70" s="18"/>
      <c r="F70" s="73"/>
      <c r="G70" s="11"/>
      <c r="H70" s="36"/>
      <c r="I70" s="36"/>
      <c r="J70" s="17">
        <f t="shared" si="7"/>
        <v>0</v>
      </c>
      <c r="K70" s="36"/>
      <c r="L70" s="11"/>
      <c r="M70" s="135"/>
      <c r="N70" s="39"/>
      <c r="O70" s="39"/>
      <c r="P70" s="11"/>
      <c r="R70" s="185"/>
      <c r="S70" s="11"/>
      <c r="T70" s="11"/>
      <c r="U70" s="11"/>
      <c r="V70" s="186">
        <f t="shared" ref="V70:V84" si="10">T70+U70</f>
        <v>0</v>
      </c>
      <c r="W70" s="11"/>
      <c r="X70" s="11"/>
      <c r="Y70" s="11"/>
      <c r="Z70" s="135"/>
      <c r="AA70" s="11"/>
      <c r="AB70" s="39"/>
      <c r="AC70" s="11"/>
      <c r="AD70" s="66"/>
      <c r="AE70" s="185"/>
      <c r="AF70" s="185"/>
      <c r="AG70" s="185"/>
      <c r="AH70" s="11"/>
      <c r="AI70" s="11"/>
      <c r="AJ70" s="11"/>
      <c r="AK70" s="186">
        <f t="shared" si="8"/>
        <v>0</v>
      </c>
      <c r="AL70" s="11"/>
      <c r="AM70" s="135"/>
      <c r="AN70" s="11"/>
      <c r="AO70" s="39"/>
      <c r="AP70" s="11"/>
      <c r="AR70" s="185"/>
      <c r="AS70" s="11"/>
      <c r="AT70" s="11"/>
      <c r="AU70" s="11"/>
      <c r="AV70" s="186">
        <f t="shared" ref="AV70:AV84" si="11">AT70+AU70</f>
        <v>0</v>
      </c>
      <c r="AW70" s="11"/>
      <c r="AX70" s="11"/>
      <c r="AY70" s="39"/>
      <c r="AZ70" s="135"/>
      <c r="BA70" s="11"/>
      <c r="BB70" s="73"/>
      <c r="BC70" s="73"/>
      <c r="BE70" s="185"/>
      <c r="BF70" s="11"/>
      <c r="BG70" s="11"/>
      <c r="BH70" s="11"/>
      <c r="BI70" s="186">
        <f t="shared" si="9"/>
        <v>0</v>
      </c>
      <c r="BJ70" s="11"/>
      <c r="BK70" s="11"/>
      <c r="BL70" s="39"/>
      <c r="BM70" s="135"/>
      <c r="BN70" s="11"/>
      <c r="BO70" s="73"/>
      <c r="BP70" s="73"/>
    </row>
    <row r="71" spans="5:68" x14ac:dyDescent="0.35">
      <c r="E71" s="18"/>
      <c r="F71" s="73"/>
      <c r="G71" s="11"/>
      <c r="H71" s="36"/>
      <c r="I71" s="36"/>
      <c r="J71" s="17">
        <f t="shared" si="7"/>
        <v>0</v>
      </c>
      <c r="K71" s="36"/>
      <c r="L71" s="11"/>
      <c r="M71" s="135"/>
      <c r="N71" s="39"/>
      <c r="O71" s="39"/>
      <c r="P71" s="11"/>
      <c r="R71" s="185"/>
      <c r="S71" s="11"/>
      <c r="T71" s="11"/>
      <c r="U71" s="11"/>
      <c r="V71" s="186">
        <f t="shared" si="10"/>
        <v>0</v>
      </c>
      <c r="W71" s="11"/>
      <c r="X71" s="11"/>
      <c r="Y71" s="11"/>
      <c r="Z71" s="135"/>
      <c r="AA71" s="11"/>
      <c r="AB71" s="39"/>
      <c r="AC71" s="11"/>
      <c r="AD71" s="66"/>
      <c r="AE71" s="185"/>
      <c r="AF71" s="185"/>
      <c r="AG71" s="185"/>
      <c r="AH71" s="11"/>
      <c r="AI71" s="11"/>
      <c r="AJ71" s="11"/>
      <c r="AK71" s="186">
        <f t="shared" si="8"/>
        <v>0</v>
      </c>
      <c r="AL71" s="11"/>
      <c r="AM71" s="135"/>
      <c r="AN71" s="11"/>
      <c r="AO71" s="39"/>
      <c r="AP71" s="11"/>
      <c r="AR71" s="185"/>
      <c r="AS71" s="11"/>
      <c r="AT71" s="11"/>
      <c r="AU71" s="11"/>
      <c r="AV71" s="186">
        <f t="shared" si="11"/>
        <v>0</v>
      </c>
      <c r="AW71" s="11"/>
      <c r="AX71" s="11"/>
      <c r="AY71" s="39"/>
      <c r="AZ71" s="135"/>
      <c r="BA71" s="11"/>
      <c r="BB71" s="73"/>
      <c r="BC71" s="73"/>
      <c r="BE71" s="185"/>
      <c r="BF71" s="11"/>
      <c r="BG71" s="11"/>
      <c r="BH71" s="11"/>
      <c r="BI71" s="186">
        <f t="shared" si="9"/>
        <v>0</v>
      </c>
      <c r="BJ71" s="11"/>
      <c r="BK71" s="11"/>
      <c r="BL71" s="39"/>
      <c r="BM71" s="135"/>
      <c r="BN71" s="11"/>
      <c r="BO71" s="73"/>
      <c r="BP71" s="73"/>
    </row>
    <row r="72" spans="5:68" x14ac:dyDescent="0.35">
      <c r="E72" s="18"/>
      <c r="F72" s="73"/>
      <c r="G72" s="11"/>
      <c r="H72" s="36"/>
      <c r="I72" s="36"/>
      <c r="J72" s="17">
        <f t="shared" si="7"/>
        <v>0</v>
      </c>
      <c r="K72" s="36"/>
      <c r="L72" s="11"/>
      <c r="M72" s="135"/>
      <c r="N72" s="39"/>
      <c r="O72" s="39"/>
      <c r="P72" s="11"/>
      <c r="R72" s="185"/>
      <c r="S72" s="11"/>
      <c r="T72" s="11"/>
      <c r="U72" s="11"/>
      <c r="V72" s="186">
        <f t="shared" si="10"/>
        <v>0</v>
      </c>
      <c r="W72" s="11"/>
      <c r="X72" s="11"/>
      <c r="Y72" s="11"/>
      <c r="Z72" s="135"/>
      <c r="AA72" s="11"/>
      <c r="AB72" s="39"/>
      <c r="AC72" s="11"/>
      <c r="AD72" s="66"/>
      <c r="AE72" s="185"/>
      <c r="AF72" s="185"/>
      <c r="AG72" s="185"/>
      <c r="AH72" s="11"/>
      <c r="AI72" s="11"/>
      <c r="AJ72" s="11"/>
      <c r="AK72" s="186">
        <f t="shared" si="8"/>
        <v>0</v>
      </c>
      <c r="AL72" s="11"/>
      <c r="AM72" s="135"/>
      <c r="AN72" s="11"/>
      <c r="AO72" s="39"/>
      <c r="AP72" s="11"/>
      <c r="AR72" s="185"/>
      <c r="AS72" s="11"/>
      <c r="AT72" s="11"/>
      <c r="AU72" s="11"/>
      <c r="AV72" s="186"/>
      <c r="AW72" s="11"/>
      <c r="AX72" s="11"/>
      <c r="AY72" s="39"/>
      <c r="AZ72" s="135"/>
      <c r="BA72" s="11"/>
      <c r="BB72" s="73"/>
      <c r="BC72" s="73"/>
      <c r="BE72" s="185"/>
      <c r="BF72" s="11"/>
      <c r="BG72" s="11"/>
      <c r="BH72" s="11"/>
      <c r="BI72" s="186"/>
      <c r="BJ72" s="11"/>
      <c r="BK72" s="11"/>
      <c r="BL72" s="39"/>
      <c r="BM72" s="135"/>
      <c r="BN72" s="11"/>
      <c r="BO72" s="73"/>
      <c r="BP72" s="73"/>
    </row>
    <row r="73" spans="5:68" x14ac:dyDescent="0.35">
      <c r="E73" s="18"/>
      <c r="F73" s="73"/>
      <c r="G73" s="11"/>
      <c r="H73" s="36"/>
      <c r="I73" s="36"/>
      <c r="J73" s="17">
        <f t="shared" si="7"/>
        <v>0</v>
      </c>
      <c r="K73" s="36"/>
      <c r="L73" s="11"/>
      <c r="M73" s="135"/>
      <c r="N73" s="39"/>
      <c r="O73" s="39"/>
      <c r="P73" s="11"/>
      <c r="R73" s="185"/>
      <c r="S73" s="11"/>
      <c r="T73" s="11"/>
      <c r="U73" s="11"/>
      <c r="V73" s="186">
        <f t="shared" si="10"/>
        <v>0</v>
      </c>
      <c r="W73" s="11"/>
      <c r="X73" s="11"/>
      <c r="Y73" s="11"/>
      <c r="Z73" s="135"/>
      <c r="AA73" s="11"/>
      <c r="AB73" s="39"/>
      <c r="AC73" s="11"/>
      <c r="AD73" s="66"/>
      <c r="AE73" s="185"/>
      <c r="AF73" s="185"/>
      <c r="AG73" s="185"/>
      <c r="AH73" s="11"/>
      <c r="AI73" s="11"/>
      <c r="AJ73" s="11"/>
      <c r="AK73" s="186">
        <f t="shared" si="8"/>
        <v>0</v>
      </c>
      <c r="AL73" s="11"/>
      <c r="AM73" s="135"/>
      <c r="AN73" s="11"/>
      <c r="AO73" s="39"/>
      <c r="AP73" s="11"/>
      <c r="AR73" s="185"/>
      <c r="AS73" s="11"/>
      <c r="AT73" s="11"/>
      <c r="AU73" s="11"/>
      <c r="AV73" s="186"/>
      <c r="AW73" s="11"/>
      <c r="AX73" s="11"/>
      <c r="AY73" s="39"/>
      <c r="AZ73" s="135"/>
      <c r="BA73" s="11"/>
      <c r="BB73" s="73"/>
      <c r="BC73" s="73"/>
      <c r="BE73" s="185"/>
      <c r="BF73" s="11"/>
      <c r="BG73" s="11"/>
      <c r="BH73" s="11"/>
      <c r="BI73" s="186"/>
      <c r="BJ73" s="11"/>
      <c r="BK73" s="11"/>
      <c r="BL73" s="39"/>
      <c r="BM73" s="135"/>
      <c r="BN73" s="11"/>
      <c r="BO73" s="73"/>
      <c r="BP73" s="73"/>
    </row>
    <row r="74" spans="5:68" x14ac:dyDescent="0.35">
      <c r="E74" s="18"/>
      <c r="F74" s="73"/>
      <c r="G74" s="11"/>
      <c r="H74" s="36"/>
      <c r="I74" s="36"/>
      <c r="J74" s="17">
        <f t="shared" si="7"/>
        <v>0</v>
      </c>
      <c r="K74" s="36"/>
      <c r="L74" s="11"/>
      <c r="M74" s="135"/>
      <c r="N74" s="39"/>
      <c r="O74" s="39"/>
      <c r="P74" s="11"/>
      <c r="R74" s="185"/>
      <c r="S74" s="11"/>
      <c r="T74" s="11"/>
      <c r="U74" s="11"/>
      <c r="V74" s="186">
        <f t="shared" si="10"/>
        <v>0</v>
      </c>
      <c r="W74" s="11"/>
      <c r="X74" s="11"/>
      <c r="Y74" s="11"/>
      <c r="Z74" s="135"/>
      <c r="AA74" s="11"/>
      <c r="AB74" s="39"/>
      <c r="AC74" s="11"/>
      <c r="AD74" s="66"/>
      <c r="AE74" s="185"/>
      <c r="AF74" s="185"/>
      <c r="AG74" s="185"/>
      <c r="AH74" s="11"/>
      <c r="AI74" s="11"/>
      <c r="AJ74" s="11"/>
      <c r="AK74" s="186"/>
      <c r="AL74" s="11"/>
      <c r="AM74" s="135"/>
      <c r="AN74" s="11"/>
      <c r="AO74" s="39"/>
      <c r="AP74" s="11"/>
      <c r="AR74" s="185"/>
      <c r="AS74" s="11"/>
      <c r="AT74" s="11"/>
      <c r="AU74" s="11"/>
      <c r="AV74" s="186"/>
      <c r="AW74" s="11"/>
      <c r="AX74" s="11"/>
      <c r="AY74" s="39"/>
      <c r="AZ74" s="135"/>
      <c r="BA74" s="11"/>
      <c r="BB74" s="73"/>
      <c r="BC74" s="73"/>
      <c r="BE74" s="185"/>
      <c r="BF74" s="11"/>
      <c r="BG74" s="11"/>
      <c r="BH74" s="11"/>
      <c r="BI74" s="186"/>
      <c r="BJ74" s="11"/>
      <c r="BK74" s="11"/>
      <c r="BL74" s="39"/>
      <c r="BM74" s="135"/>
      <c r="BN74" s="11"/>
      <c r="BO74" s="73"/>
      <c r="BP74" s="73"/>
    </row>
    <row r="75" spans="5:68" x14ac:dyDescent="0.35">
      <c r="E75" s="18"/>
      <c r="F75" s="73"/>
      <c r="G75" s="11"/>
      <c r="H75" s="36"/>
      <c r="I75" s="36"/>
      <c r="J75" s="17">
        <f t="shared" si="7"/>
        <v>0</v>
      </c>
      <c r="K75" s="36"/>
      <c r="L75" s="11"/>
      <c r="M75" s="135"/>
      <c r="N75" s="39"/>
      <c r="O75" s="39"/>
      <c r="P75" s="11"/>
      <c r="R75" s="185"/>
      <c r="S75" s="11"/>
      <c r="T75" s="11"/>
      <c r="U75" s="11"/>
      <c r="V75" s="186"/>
      <c r="W75" s="11"/>
      <c r="X75" s="11"/>
      <c r="Y75" s="11"/>
      <c r="Z75" s="135"/>
      <c r="AA75" s="11"/>
      <c r="AB75" s="39"/>
      <c r="AC75" s="11"/>
      <c r="AD75" s="66"/>
      <c r="AE75" s="185"/>
      <c r="AF75" s="185"/>
      <c r="AG75" s="185"/>
      <c r="AH75" s="11"/>
      <c r="AI75" s="11"/>
      <c r="AJ75" s="11"/>
      <c r="AK75" s="186"/>
      <c r="AL75" s="11"/>
      <c r="AM75" s="135"/>
      <c r="AN75" s="11"/>
      <c r="AO75" s="39"/>
      <c r="AP75" s="11"/>
      <c r="AR75" s="185"/>
      <c r="AS75" s="11"/>
      <c r="AT75" s="11"/>
      <c r="AU75" s="11"/>
      <c r="AV75" s="186"/>
      <c r="AW75" s="11"/>
      <c r="AX75" s="11"/>
      <c r="AY75" s="39"/>
      <c r="AZ75" s="135"/>
      <c r="BA75" s="11"/>
      <c r="BB75" s="73"/>
      <c r="BC75" s="73"/>
      <c r="BE75" s="185"/>
      <c r="BF75" s="11"/>
      <c r="BG75" s="11"/>
      <c r="BH75" s="11"/>
      <c r="BI75" s="186"/>
      <c r="BJ75" s="11"/>
      <c r="BK75" s="11"/>
      <c r="BL75" s="39"/>
      <c r="BM75" s="135"/>
      <c r="BN75" s="11"/>
      <c r="BO75" s="73"/>
      <c r="BP75" s="73"/>
    </row>
    <row r="76" spans="5:68" x14ac:dyDescent="0.35">
      <c r="E76" s="18"/>
      <c r="F76" s="73"/>
      <c r="G76" s="11"/>
      <c r="H76" s="36"/>
      <c r="I76" s="36"/>
      <c r="J76" s="17">
        <f t="shared" si="7"/>
        <v>0</v>
      </c>
      <c r="K76" s="36"/>
      <c r="L76" s="11"/>
      <c r="M76" s="135"/>
      <c r="N76" s="39"/>
      <c r="O76" s="39"/>
      <c r="P76" s="11"/>
      <c r="R76" s="185"/>
      <c r="S76" s="11"/>
      <c r="T76" s="11"/>
      <c r="U76" s="11"/>
      <c r="V76" s="186"/>
      <c r="W76" s="11"/>
      <c r="X76" s="11"/>
      <c r="Y76" s="11"/>
      <c r="Z76" s="135"/>
      <c r="AA76" s="11"/>
      <c r="AB76" s="39"/>
      <c r="AC76" s="11"/>
      <c r="AD76" s="66"/>
      <c r="AE76" s="185"/>
      <c r="AF76" s="185"/>
      <c r="AG76" s="185"/>
      <c r="AH76" s="11"/>
      <c r="AI76" s="11"/>
      <c r="AJ76" s="11"/>
      <c r="AK76" s="186"/>
      <c r="AL76" s="11"/>
      <c r="AM76" s="135"/>
      <c r="AN76" s="11"/>
      <c r="AO76" s="39"/>
      <c r="AP76" s="11"/>
      <c r="AR76" s="185"/>
      <c r="AS76" s="11"/>
      <c r="AT76" s="11"/>
      <c r="AU76" s="11"/>
      <c r="AV76" s="186"/>
      <c r="AW76" s="11"/>
      <c r="AX76" s="11"/>
      <c r="AY76" s="39"/>
      <c r="AZ76" s="135"/>
      <c r="BA76" s="11"/>
      <c r="BB76" s="73"/>
      <c r="BC76" s="73"/>
      <c r="BE76" s="185"/>
      <c r="BF76" s="11"/>
      <c r="BG76" s="11"/>
      <c r="BH76" s="11"/>
      <c r="BI76" s="186"/>
      <c r="BJ76" s="11"/>
      <c r="BK76" s="11"/>
      <c r="BL76" s="39"/>
      <c r="BM76" s="135"/>
      <c r="BN76" s="11"/>
      <c r="BO76" s="73"/>
      <c r="BP76" s="73"/>
    </row>
    <row r="77" spans="5:68" x14ac:dyDescent="0.35">
      <c r="E77" s="18"/>
      <c r="F77" s="73"/>
      <c r="G77" s="11"/>
      <c r="H77" s="36"/>
      <c r="I77" s="36"/>
      <c r="J77" s="17">
        <f t="shared" si="7"/>
        <v>0</v>
      </c>
      <c r="K77" s="36"/>
      <c r="L77" s="11"/>
      <c r="M77" s="135"/>
      <c r="N77" s="39"/>
      <c r="O77" s="39"/>
      <c r="P77" s="11"/>
      <c r="R77" s="185"/>
      <c r="S77" s="11"/>
      <c r="T77" s="11"/>
      <c r="U77" s="11"/>
      <c r="V77" s="186"/>
      <c r="W77" s="11"/>
      <c r="X77" s="11"/>
      <c r="Y77" s="11"/>
      <c r="Z77" s="135"/>
      <c r="AA77" s="11"/>
      <c r="AB77" s="39"/>
      <c r="AC77" s="11"/>
      <c r="AD77" s="66"/>
      <c r="AE77" s="185"/>
      <c r="AF77" s="185"/>
      <c r="AG77" s="185"/>
      <c r="AH77" s="11"/>
      <c r="AI77" s="11"/>
      <c r="AJ77" s="11"/>
      <c r="AK77" s="186"/>
      <c r="AL77" s="11"/>
      <c r="AM77" s="135"/>
      <c r="AN77" s="11"/>
      <c r="AO77" s="39"/>
      <c r="AP77" s="11"/>
      <c r="AR77" s="185"/>
      <c r="AS77" s="11"/>
      <c r="AT77" s="11"/>
      <c r="AU77" s="11"/>
      <c r="AV77" s="186">
        <f t="shared" si="11"/>
        <v>0</v>
      </c>
      <c r="AW77" s="11"/>
      <c r="AX77" s="11"/>
      <c r="AY77" s="39"/>
      <c r="AZ77" s="135"/>
      <c r="BA77" s="11"/>
      <c r="BB77" s="73"/>
      <c r="BC77" s="73"/>
      <c r="BE77" s="185"/>
      <c r="BF77" s="11"/>
      <c r="BG77" s="11"/>
      <c r="BH77" s="11"/>
      <c r="BI77" s="186"/>
      <c r="BJ77" s="11"/>
      <c r="BK77" s="11"/>
      <c r="BL77" s="39"/>
      <c r="BM77" s="135"/>
      <c r="BN77" s="11"/>
      <c r="BO77" s="73"/>
      <c r="BP77" s="73"/>
    </row>
    <row r="78" spans="5:68" x14ac:dyDescent="0.35">
      <c r="E78" s="18"/>
      <c r="F78" s="73"/>
      <c r="G78" s="11"/>
      <c r="H78" s="36"/>
      <c r="I78" s="36"/>
      <c r="J78" s="17">
        <f t="shared" si="7"/>
        <v>0</v>
      </c>
      <c r="K78" s="36"/>
      <c r="L78" s="11"/>
      <c r="M78" s="135"/>
      <c r="N78" s="39"/>
      <c r="O78" s="39"/>
      <c r="P78" s="11"/>
      <c r="R78" s="185"/>
      <c r="S78" s="11"/>
      <c r="T78" s="11"/>
      <c r="U78" s="11"/>
      <c r="V78" s="186"/>
      <c r="W78" s="11"/>
      <c r="X78" s="11"/>
      <c r="Y78" s="11"/>
      <c r="Z78" s="135"/>
      <c r="AA78" s="11"/>
      <c r="AB78" s="39"/>
      <c r="AC78" s="11"/>
      <c r="AD78" s="66"/>
      <c r="AE78" s="185"/>
      <c r="AF78" s="185"/>
      <c r="AG78" s="185"/>
      <c r="AH78" s="11"/>
      <c r="AI78" s="11"/>
      <c r="AJ78" s="11"/>
      <c r="AK78" s="186"/>
      <c r="AL78" s="11"/>
      <c r="AM78" s="135"/>
      <c r="AN78" s="11"/>
      <c r="AO78" s="39"/>
      <c r="AP78" s="11"/>
      <c r="AR78" s="185"/>
      <c r="AS78" s="11"/>
      <c r="AT78" s="11"/>
      <c r="AU78" s="11"/>
      <c r="AV78" s="186">
        <f t="shared" si="11"/>
        <v>0</v>
      </c>
      <c r="AW78" s="11"/>
      <c r="AX78" s="11"/>
      <c r="AY78" s="39"/>
      <c r="AZ78" s="135"/>
      <c r="BA78" s="11"/>
      <c r="BB78" s="73"/>
      <c r="BC78" s="73"/>
      <c r="BE78" s="185"/>
      <c r="BF78" s="11"/>
      <c r="BG78" s="11"/>
      <c r="BH78" s="11"/>
      <c r="BI78" s="186">
        <f t="shared" si="9"/>
        <v>0</v>
      </c>
      <c r="BJ78" s="11"/>
      <c r="BK78" s="11"/>
      <c r="BL78" s="39"/>
      <c r="BM78" s="135"/>
      <c r="BN78" s="11"/>
      <c r="BO78" s="73"/>
      <c r="BP78" s="73"/>
    </row>
    <row r="79" spans="5:68" x14ac:dyDescent="0.35">
      <c r="E79" s="18"/>
      <c r="F79" s="73"/>
      <c r="G79" s="11"/>
      <c r="H79" s="36"/>
      <c r="I79" s="36"/>
      <c r="J79" s="17">
        <f t="shared" si="7"/>
        <v>0</v>
      </c>
      <c r="K79" s="36"/>
      <c r="L79" s="11"/>
      <c r="M79" s="135"/>
      <c r="N79" s="39"/>
      <c r="O79" s="39"/>
      <c r="P79" s="11"/>
      <c r="R79" s="185"/>
      <c r="S79" s="11"/>
      <c r="T79" s="11"/>
      <c r="U79" s="11"/>
      <c r="V79" s="186"/>
      <c r="W79" s="11"/>
      <c r="X79" s="11"/>
      <c r="Y79" s="11"/>
      <c r="Z79" s="135"/>
      <c r="AA79" s="11"/>
      <c r="AB79" s="39"/>
      <c r="AC79" s="11"/>
      <c r="AD79" s="66"/>
      <c r="AE79" s="185"/>
      <c r="AF79" s="185"/>
      <c r="AG79" s="185"/>
      <c r="AH79" s="11"/>
      <c r="AI79" s="11"/>
      <c r="AJ79" s="11"/>
      <c r="AK79" s="186"/>
      <c r="AL79" s="11"/>
      <c r="AM79" s="135"/>
      <c r="AN79" s="11"/>
      <c r="AO79" s="39"/>
      <c r="AP79" s="11"/>
      <c r="AR79" s="185"/>
      <c r="AS79" s="11"/>
      <c r="AT79" s="11"/>
      <c r="AU79" s="11"/>
      <c r="AV79" s="186">
        <f t="shared" si="11"/>
        <v>0</v>
      </c>
      <c r="AW79" s="11"/>
      <c r="AX79" s="11"/>
      <c r="AY79" s="39"/>
      <c r="AZ79" s="135"/>
      <c r="BA79" s="11"/>
      <c r="BB79" s="73"/>
      <c r="BC79" s="73"/>
      <c r="BE79" s="185"/>
      <c r="BF79" s="11"/>
      <c r="BG79" s="11"/>
      <c r="BH79" s="11"/>
      <c r="BI79" s="186">
        <f t="shared" si="9"/>
        <v>0</v>
      </c>
      <c r="BJ79" s="11"/>
      <c r="BK79" s="11"/>
      <c r="BL79" s="39"/>
      <c r="BM79" s="135"/>
      <c r="BN79" s="11"/>
      <c r="BO79" s="73"/>
      <c r="BP79" s="73"/>
    </row>
    <row r="80" spans="5:68" x14ac:dyDescent="0.35">
      <c r="E80" s="18"/>
      <c r="F80" s="73"/>
      <c r="G80" s="11"/>
      <c r="H80" s="36"/>
      <c r="I80" s="36"/>
      <c r="J80" s="17">
        <f t="shared" si="7"/>
        <v>0</v>
      </c>
      <c r="K80" s="36"/>
      <c r="L80" s="11"/>
      <c r="M80" s="135"/>
      <c r="N80" s="39"/>
      <c r="O80" s="39"/>
      <c r="P80" s="11"/>
      <c r="R80" s="185"/>
      <c r="S80" s="11"/>
      <c r="T80" s="11"/>
      <c r="U80" s="11"/>
      <c r="V80" s="186"/>
      <c r="W80" s="11"/>
      <c r="X80" s="11"/>
      <c r="Y80" s="11"/>
      <c r="Z80" s="135"/>
      <c r="AA80" s="11"/>
      <c r="AB80" s="39"/>
      <c r="AC80" s="11"/>
      <c r="AD80" s="16"/>
      <c r="AE80" s="185"/>
      <c r="AF80" s="185"/>
      <c r="AG80" s="185"/>
      <c r="AH80" s="11"/>
      <c r="AI80" s="11"/>
      <c r="AJ80" s="11"/>
      <c r="AK80" s="186">
        <f t="shared" si="8"/>
        <v>0</v>
      </c>
      <c r="AL80" s="11"/>
      <c r="AM80" s="135"/>
      <c r="AN80" s="11"/>
      <c r="AO80" s="39"/>
      <c r="AP80" s="11"/>
      <c r="AR80" s="185"/>
      <c r="AS80" s="11"/>
      <c r="AT80" s="11"/>
      <c r="AU80" s="11"/>
      <c r="AV80" s="186">
        <f t="shared" si="11"/>
        <v>0</v>
      </c>
      <c r="AW80" s="11"/>
      <c r="AX80" s="11"/>
      <c r="AY80" s="39"/>
      <c r="AZ80" s="135"/>
      <c r="BA80" s="11"/>
      <c r="BB80" s="73"/>
      <c r="BC80" s="73"/>
      <c r="BE80" s="185"/>
      <c r="BF80" s="11"/>
      <c r="BG80" s="11"/>
      <c r="BH80" s="11"/>
      <c r="BI80" s="186">
        <f t="shared" si="9"/>
        <v>0</v>
      </c>
      <c r="BJ80" s="11"/>
      <c r="BK80" s="11"/>
      <c r="BL80" s="39"/>
      <c r="BM80" s="135"/>
      <c r="BN80" s="11"/>
      <c r="BO80" s="73"/>
      <c r="BP80" s="73"/>
    </row>
    <row r="81" spans="5:68" x14ac:dyDescent="0.35">
      <c r="E81" s="18"/>
      <c r="F81" s="73"/>
      <c r="G81" s="11"/>
      <c r="H81" s="36"/>
      <c r="I81" s="36"/>
      <c r="J81" s="17">
        <f t="shared" si="7"/>
        <v>0</v>
      </c>
      <c r="K81" s="36"/>
      <c r="L81" s="11"/>
      <c r="M81" s="135"/>
      <c r="N81" s="39"/>
      <c r="O81" s="39"/>
      <c r="P81" s="11"/>
      <c r="R81" s="185"/>
      <c r="S81" s="11"/>
      <c r="T81" s="11"/>
      <c r="U81" s="11"/>
      <c r="V81" s="186">
        <f t="shared" si="10"/>
        <v>0</v>
      </c>
      <c r="W81" s="11"/>
      <c r="X81" s="11"/>
      <c r="Y81" s="11"/>
      <c r="Z81" s="135"/>
      <c r="AA81" s="11"/>
      <c r="AB81" s="39"/>
      <c r="AC81" s="11"/>
      <c r="AE81" s="185"/>
      <c r="AF81" s="185"/>
      <c r="AG81" s="185"/>
      <c r="AH81" s="11"/>
      <c r="AI81" s="11"/>
      <c r="AJ81" s="11"/>
      <c r="AK81" s="186">
        <f t="shared" si="8"/>
        <v>0</v>
      </c>
      <c r="AL81" s="11"/>
      <c r="AM81" s="135"/>
      <c r="AN81" s="11"/>
      <c r="AO81" s="39"/>
      <c r="AP81" s="11"/>
      <c r="AR81" s="185"/>
      <c r="AS81" s="11"/>
      <c r="AT81" s="11"/>
      <c r="AU81" s="11"/>
      <c r="AV81" s="186">
        <f t="shared" si="11"/>
        <v>0</v>
      </c>
      <c r="AW81" s="11"/>
      <c r="AX81" s="11"/>
      <c r="AY81" s="39"/>
      <c r="AZ81" s="135"/>
      <c r="BA81" s="11"/>
      <c r="BB81" s="73"/>
      <c r="BC81" s="73"/>
      <c r="BE81" s="185"/>
      <c r="BF81" s="11"/>
      <c r="BG81" s="11"/>
      <c r="BH81" s="11"/>
      <c r="BI81" s="186">
        <f t="shared" si="9"/>
        <v>0</v>
      </c>
      <c r="BJ81" s="11"/>
      <c r="BK81" s="11"/>
      <c r="BL81" s="39"/>
      <c r="BM81" s="135"/>
      <c r="BN81" s="11"/>
      <c r="BO81" s="73"/>
      <c r="BP81" s="73"/>
    </row>
    <row r="82" spans="5:68" x14ac:dyDescent="0.35">
      <c r="E82" s="18"/>
      <c r="F82" s="73"/>
      <c r="G82" s="11"/>
      <c r="H82" s="36"/>
      <c r="I82" s="36"/>
      <c r="J82" s="17">
        <f t="shared" si="7"/>
        <v>0</v>
      </c>
      <c r="K82" s="36"/>
      <c r="L82" s="11"/>
      <c r="M82" s="135"/>
      <c r="N82" s="39"/>
      <c r="O82" s="39"/>
      <c r="P82" s="11"/>
      <c r="R82" s="185"/>
      <c r="S82" s="11"/>
      <c r="T82" s="11"/>
      <c r="U82" s="11"/>
      <c r="V82" s="186">
        <f t="shared" si="10"/>
        <v>0</v>
      </c>
      <c r="W82" s="11"/>
      <c r="X82" s="11"/>
      <c r="Y82" s="11"/>
      <c r="Z82" s="135"/>
      <c r="AA82" s="11"/>
      <c r="AB82" s="39"/>
      <c r="AC82" s="11"/>
      <c r="AE82" s="185"/>
      <c r="AF82" s="185"/>
      <c r="AG82" s="185"/>
      <c r="AH82" s="11"/>
      <c r="AI82" s="11"/>
      <c r="AJ82" s="11"/>
      <c r="AK82" s="186">
        <f t="shared" si="8"/>
        <v>0</v>
      </c>
      <c r="AL82" s="11"/>
      <c r="AM82" s="135"/>
      <c r="AN82" s="11"/>
      <c r="AO82" s="39"/>
      <c r="AP82" s="11"/>
      <c r="AR82" s="185"/>
      <c r="AS82" s="11"/>
      <c r="AT82" s="11"/>
      <c r="AU82" s="11"/>
      <c r="AV82" s="186">
        <f t="shared" si="11"/>
        <v>0</v>
      </c>
      <c r="AW82" s="11"/>
      <c r="AX82" s="11"/>
      <c r="AY82" s="39"/>
      <c r="AZ82" s="135"/>
      <c r="BA82" s="11"/>
      <c r="BB82" s="73"/>
      <c r="BC82" s="73"/>
      <c r="BE82" s="185"/>
      <c r="BF82" s="11"/>
      <c r="BG82" s="11"/>
      <c r="BH82" s="11"/>
      <c r="BI82" s="186">
        <f t="shared" si="9"/>
        <v>0</v>
      </c>
      <c r="BJ82" s="11"/>
      <c r="BK82" s="11"/>
      <c r="BL82" s="39"/>
      <c r="BM82" s="135"/>
      <c r="BN82" s="11"/>
      <c r="BO82" s="73"/>
      <c r="BP82" s="73"/>
    </row>
    <row r="83" spans="5:68" x14ac:dyDescent="0.35">
      <c r="E83" s="19"/>
      <c r="F83" s="73"/>
      <c r="G83" s="11"/>
      <c r="H83" s="36"/>
      <c r="I83" s="36"/>
      <c r="J83" s="17">
        <f t="shared" si="7"/>
        <v>0</v>
      </c>
      <c r="K83" s="36"/>
      <c r="L83" s="11"/>
      <c r="M83" s="135"/>
      <c r="N83" s="39"/>
      <c r="O83" s="39"/>
      <c r="P83" s="11"/>
      <c r="R83" s="185"/>
      <c r="S83" s="11"/>
      <c r="T83" s="11"/>
      <c r="U83" s="11"/>
      <c r="V83" s="186">
        <f t="shared" si="10"/>
        <v>0</v>
      </c>
      <c r="W83" s="11"/>
      <c r="X83" s="11"/>
      <c r="Y83" s="11"/>
      <c r="Z83" s="135"/>
      <c r="AA83" s="11"/>
      <c r="AB83" s="39"/>
      <c r="AC83" s="11"/>
      <c r="AE83" s="185"/>
      <c r="AF83" s="185"/>
      <c r="AG83" s="185"/>
      <c r="AH83" s="11"/>
      <c r="AI83" s="11"/>
      <c r="AJ83" s="11"/>
      <c r="AK83" s="186">
        <f t="shared" si="8"/>
        <v>0</v>
      </c>
      <c r="AL83" s="11"/>
      <c r="AM83" s="135"/>
      <c r="AN83" s="11"/>
      <c r="AO83" s="39"/>
      <c r="AP83" s="11"/>
      <c r="AR83" s="138"/>
      <c r="AS83" s="11"/>
      <c r="AT83" s="11"/>
      <c r="AU83" s="11"/>
      <c r="AV83" s="186">
        <f t="shared" si="11"/>
        <v>0</v>
      </c>
      <c r="AW83" s="11"/>
      <c r="AX83" s="11"/>
      <c r="AY83" s="39"/>
      <c r="AZ83" s="135"/>
      <c r="BA83" s="11"/>
      <c r="BB83" s="73"/>
      <c r="BC83" s="73"/>
      <c r="BE83" s="138"/>
      <c r="BF83" s="11"/>
      <c r="BG83" s="11"/>
      <c r="BH83" s="11"/>
      <c r="BI83" s="186">
        <f t="shared" si="9"/>
        <v>0</v>
      </c>
      <c r="BJ83" s="11"/>
      <c r="BK83" s="11"/>
      <c r="BL83" s="39"/>
      <c r="BM83" s="135"/>
      <c r="BN83" s="11"/>
      <c r="BO83" s="73"/>
      <c r="BP83" s="73"/>
    </row>
    <row r="84" spans="5:68" x14ac:dyDescent="0.35">
      <c r="E84" s="168"/>
      <c r="F84" s="73"/>
      <c r="G84" s="10"/>
      <c r="H84" s="310"/>
      <c r="I84" s="310"/>
      <c r="J84" s="17">
        <f t="shared" si="7"/>
        <v>0</v>
      </c>
      <c r="K84" s="310"/>
      <c r="L84" s="11"/>
      <c r="M84" s="135"/>
      <c r="N84" s="39"/>
      <c r="O84" s="39"/>
      <c r="P84" s="11"/>
      <c r="R84" s="166"/>
      <c r="S84" s="10"/>
      <c r="T84" s="189"/>
      <c r="U84" s="189"/>
      <c r="V84" s="186">
        <f t="shared" si="10"/>
        <v>0</v>
      </c>
      <c r="W84" s="189"/>
      <c r="X84" s="11"/>
      <c r="Y84" s="11"/>
      <c r="Z84" s="135"/>
      <c r="AA84" s="11"/>
      <c r="AB84" s="39"/>
      <c r="AC84" s="11"/>
      <c r="AE84" s="166"/>
      <c r="AF84" s="166"/>
      <c r="AG84" s="166"/>
      <c r="AH84" s="10"/>
      <c r="AI84" s="189"/>
      <c r="AJ84" s="189"/>
      <c r="AK84" s="186">
        <f t="shared" si="8"/>
        <v>0</v>
      </c>
      <c r="AL84" s="189"/>
      <c r="AM84" s="135"/>
      <c r="AN84" s="11"/>
      <c r="AO84" s="39"/>
      <c r="AP84" s="11"/>
      <c r="AR84" s="166"/>
      <c r="AS84" s="10"/>
      <c r="AT84" s="10"/>
      <c r="AU84" s="10"/>
      <c r="AV84" s="186">
        <f t="shared" si="11"/>
        <v>0</v>
      </c>
      <c r="AW84" s="10"/>
      <c r="AX84" s="11"/>
      <c r="AY84" s="39"/>
      <c r="AZ84" s="135"/>
      <c r="BA84" s="11"/>
      <c r="BB84" s="73"/>
      <c r="BC84" s="73"/>
      <c r="BE84" s="166"/>
      <c r="BF84" s="10"/>
      <c r="BG84" s="10"/>
      <c r="BH84" s="10"/>
      <c r="BI84" s="186">
        <f t="shared" si="9"/>
        <v>0</v>
      </c>
      <c r="BJ84" s="10"/>
      <c r="BK84" s="11"/>
      <c r="BL84" s="39"/>
      <c r="BM84" s="135"/>
      <c r="BN84" s="11"/>
      <c r="BO84" s="73"/>
      <c r="BP84" s="73"/>
    </row>
    <row r="85" spans="5:68" ht="15" thickBot="1" x14ac:dyDescent="0.4">
      <c r="E85" s="325"/>
      <c r="F85" s="325"/>
      <c r="G85" s="325"/>
      <c r="H85" s="326">
        <f>SUBTOTAL(9,H5:H84)</f>
        <v>3395.4399999999996</v>
      </c>
      <c r="I85" s="326">
        <f>SUBTOTAL(9,I5:I84)</f>
        <v>173.3</v>
      </c>
      <c r="J85" s="326">
        <f>SUBTOTAL(9,J5:J84)</f>
        <v>3568.7400000000002</v>
      </c>
      <c r="K85" s="326">
        <f>SUBTOTAL(9,K5:K84)</f>
        <v>0</v>
      </c>
      <c r="L85" s="327"/>
      <c r="M85" s="135"/>
      <c r="N85" s="327"/>
      <c r="O85" s="328"/>
      <c r="P85" s="328"/>
      <c r="R85" s="303"/>
      <c r="S85" s="303"/>
      <c r="T85" s="303">
        <f>SUBTOTAL(9,T5:T84)</f>
        <v>0</v>
      </c>
      <c r="U85" s="305">
        <f>SUBTOTAL(9,U5:U84)</f>
        <v>179.17</v>
      </c>
      <c r="V85" s="305">
        <f>SUBTOTAL(9,V5:V84)</f>
        <v>15.23</v>
      </c>
      <c r="W85" s="305">
        <f>SUBTOTAL(9,W5:W84)</f>
        <v>194.39999999999998</v>
      </c>
      <c r="X85" s="305"/>
      <c r="Y85" s="318"/>
      <c r="Z85" s="135"/>
      <c r="AA85" s="318"/>
      <c r="AB85" s="319"/>
      <c r="AC85" s="319"/>
      <c r="AE85" s="303"/>
      <c r="AF85" s="303"/>
      <c r="AG85" s="303"/>
      <c r="AH85" s="305"/>
      <c r="AI85" s="305">
        <f>SUBTOTAL(9,AI5:AI84)</f>
        <v>5.53</v>
      </c>
      <c r="AJ85" s="305">
        <f>SUBTOTAL(9,AJ5:AJ84)</f>
        <v>70.53</v>
      </c>
      <c r="AK85" s="305">
        <f>SUBTOTAL(9,AK5:AK84)</f>
        <v>0</v>
      </c>
      <c r="AL85" s="318">
        <f>SUBTOTAL(9,AL5:AL84)</f>
        <v>0</v>
      </c>
      <c r="AM85" s="135"/>
      <c r="AN85" s="318"/>
      <c r="AO85" s="319"/>
      <c r="AP85" s="319"/>
      <c r="AR85" s="325"/>
      <c r="AS85" s="325"/>
      <c r="AT85" s="325"/>
      <c r="AU85" s="326">
        <f>SUBTOTAL(9,AU5:AU84)</f>
        <v>79.819999999999993</v>
      </c>
      <c r="AV85" s="326">
        <f>SUBTOTAL(9,AV5:AV84)</f>
        <v>6.78</v>
      </c>
      <c r="AW85" s="326">
        <f>SUBTOTAL(9,AW5:AW84)</f>
        <v>86.6</v>
      </c>
      <c r="AX85" s="326"/>
      <c r="AY85" s="327"/>
      <c r="AZ85" s="135"/>
      <c r="BA85" s="327"/>
      <c r="BB85" s="328"/>
      <c r="BC85" s="328"/>
      <c r="BE85" s="298"/>
      <c r="BF85" s="298"/>
      <c r="BG85" s="298"/>
      <c r="BH85" s="47">
        <f>SUBTOTAL(9,BH5:BH84)</f>
        <v>5048.8700000000008</v>
      </c>
      <c r="BI85" s="47">
        <f>SUBTOTAL(9,BI5:BI84)</f>
        <v>276.19</v>
      </c>
      <c r="BJ85" s="47">
        <f>SUBTOTAL(9,BJ5:BJ84)</f>
        <v>5325.06</v>
      </c>
      <c r="BK85" s="47"/>
      <c r="BL85" s="311"/>
      <c r="BM85" s="135"/>
      <c r="BN85" s="311"/>
      <c r="BO85" s="312"/>
      <c r="BP85" s="312"/>
    </row>
    <row r="86" spans="5:68" ht="15" thickTop="1" x14ac:dyDescent="0.35">
      <c r="H86" s="52"/>
      <c r="M86" s="135"/>
      <c r="Z86" s="135"/>
      <c r="AM86" s="135"/>
      <c r="AZ86" s="135"/>
      <c r="BM86" s="135"/>
    </row>
    <row r="87" spans="5:68" x14ac:dyDescent="0.35">
      <c r="M87" s="135"/>
      <c r="Z87" s="135"/>
      <c r="AM87" s="135"/>
      <c r="AZ87" s="135"/>
      <c r="BM87" s="135"/>
    </row>
    <row r="88" spans="5:68" x14ac:dyDescent="0.35">
      <c r="M88" s="135"/>
      <c r="Z88" s="135"/>
      <c r="AM88" s="135"/>
      <c r="AZ88" s="135"/>
      <c r="BM88" s="135"/>
    </row>
    <row r="89" spans="5:68" x14ac:dyDescent="0.35">
      <c r="M89" s="135"/>
      <c r="Z89" s="135"/>
      <c r="AM89" s="135"/>
      <c r="AZ89" s="135"/>
      <c r="BM89" s="135"/>
    </row>
    <row r="90" spans="5:68" x14ac:dyDescent="0.35">
      <c r="M90" s="135"/>
      <c r="Z90" s="135"/>
      <c r="AM90" s="135"/>
      <c r="AZ90" s="135"/>
      <c r="BM90" s="135"/>
    </row>
    <row r="91" spans="5:68" x14ac:dyDescent="0.35">
      <c r="M91" s="135"/>
      <c r="Z91" s="135"/>
      <c r="AM91" s="135"/>
      <c r="AZ91" s="135"/>
      <c r="BM91" s="135"/>
    </row>
    <row r="92" spans="5:68" x14ac:dyDescent="0.35">
      <c r="M92" s="135"/>
      <c r="Z92" s="135"/>
      <c r="AM92" s="135"/>
      <c r="AZ92" s="135"/>
      <c r="BM92" s="135"/>
    </row>
    <row r="93" spans="5:68" x14ac:dyDescent="0.35">
      <c r="M93" s="135"/>
      <c r="Z93" s="135"/>
      <c r="AM93" s="135"/>
      <c r="AZ93" s="135"/>
      <c r="BM93" s="135"/>
    </row>
    <row r="94" spans="5:68" x14ac:dyDescent="0.35">
      <c r="M94" s="135"/>
      <c r="Z94" s="135"/>
      <c r="AM94" s="135"/>
      <c r="AZ94" s="135"/>
      <c r="BM94" s="135"/>
    </row>
    <row r="95" spans="5:68" x14ac:dyDescent="0.35">
      <c r="M95" s="135"/>
      <c r="Z95" s="135"/>
      <c r="AM95" s="135"/>
      <c r="AZ95" s="135"/>
      <c r="BM95" s="135"/>
    </row>
    <row r="96" spans="5:68" x14ac:dyDescent="0.35">
      <c r="M96" s="135"/>
      <c r="Z96" s="135"/>
      <c r="AM96" s="135"/>
      <c r="AZ96" s="135"/>
      <c r="BM96" s="135"/>
    </row>
    <row r="97" spans="13:65" x14ac:dyDescent="0.35">
      <c r="M97" s="135"/>
      <c r="Z97" s="135"/>
      <c r="AM97" s="135"/>
      <c r="AZ97" s="135"/>
      <c r="BM97" s="135"/>
    </row>
    <row r="98" spans="13:65" x14ac:dyDescent="0.35">
      <c r="M98" s="135"/>
      <c r="Z98" s="135"/>
      <c r="AM98" s="135"/>
      <c r="AZ98" s="135"/>
      <c r="BM98" s="135"/>
    </row>
    <row r="99" spans="13:65" x14ac:dyDescent="0.35">
      <c r="M99" s="135"/>
      <c r="Z99" s="135"/>
      <c r="AM99" s="135"/>
      <c r="AZ99" s="135"/>
      <c r="BM99" s="135"/>
    </row>
    <row r="100" spans="13:65" x14ac:dyDescent="0.35">
      <c r="M100" s="135"/>
      <c r="Z100" s="135"/>
      <c r="AM100" s="135"/>
      <c r="AZ100" s="135"/>
      <c r="BM100" s="135"/>
    </row>
    <row r="101" spans="13:65" x14ac:dyDescent="0.35">
      <c r="M101" s="135"/>
      <c r="Z101" s="135"/>
      <c r="AM101" s="135"/>
      <c r="AZ101" s="135"/>
      <c r="BM101" s="135"/>
    </row>
    <row r="102" spans="13:65" x14ac:dyDescent="0.35">
      <c r="M102" s="135"/>
      <c r="Z102" s="135"/>
      <c r="AM102" s="135"/>
      <c r="AZ102" s="135"/>
      <c r="BM102" s="135"/>
    </row>
    <row r="103" spans="13:65" x14ac:dyDescent="0.35">
      <c r="M103" s="135"/>
      <c r="Z103" s="135"/>
      <c r="AM103" s="135"/>
      <c r="AZ103" s="135"/>
      <c r="BM103" s="135"/>
    </row>
    <row r="104" spans="13:65" x14ac:dyDescent="0.35">
      <c r="M104" s="135"/>
      <c r="Z104" s="135"/>
      <c r="AM104" s="135"/>
      <c r="AZ104" s="135"/>
      <c r="BM104" s="135"/>
    </row>
    <row r="105" spans="13:65" x14ac:dyDescent="0.35">
      <c r="M105" s="135"/>
      <c r="Z105" s="135"/>
      <c r="AM105" s="135"/>
      <c r="AZ105" s="135"/>
      <c r="BM105" s="135"/>
    </row>
    <row r="106" spans="13:65" x14ac:dyDescent="0.35">
      <c r="M106" s="135"/>
      <c r="Z106" s="135"/>
      <c r="AM106" s="135"/>
      <c r="AZ106" s="135"/>
      <c r="BM106" s="135"/>
    </row>
    <row r="107" spans="13:65" x14ac:dyDescent="0.35">
      <c r="M107" s="135"/>
      <c r="Z107" s="135"/>
      <c r="AM107" s="135"/>
      <c r="AZ107" s="135"/>
      <c r="BM107" s="135"/>
    </row>
    <row r="108" spans="13:65" x14ac:dyDescent="0.35">
      <c r="M108" s="135"/>
      <c r="Z108" s="135"/>
      <c r="AM108" s="135"/>
      <c r="AZ108" s="135"/>
      <c r="BM108" s="135"/>
    </row>
    <row r="109" spans="13:65" x14ac:dyDescent="0.35">
      <c r="M109" s="135"/>
      <c r="Z109" s="135"/>
      <c r="AM109" s="135"/>
      <c r="AZ109" s="135"/>
      <c r="BM109" s="135"/>
    </row>
    <row r="110" spans="13:65" x14ac:dyDescent="0.35">
      <c r="M110" s="135"/>
      <c r="Z110" s="135"/>
      <c r="AM110" s="135"/>
      <c r="AZ110" s="135"/>
      <c r="BM110" s="135"/>
    </row>
    <row r="111" spans="13:65" x14ac:dyDescent="0.35">
      <c r="M111" s="135"/>
      <c r="Z111" s="135"/>
      <c r="AM111" s="135"/>
      <c r="AZ111" s="135"/>
      <c r="BM111" s="135"/>
    </row>
    <row r="112" spans="13:65" x14ac:dyDescent="0.35">
      <c r="M112" s="135"/>
      <c r="Z112" s="135"/>
      <c r="AM112" s="135"/>
      <c r="AZ112" s="135"/>
      <c r="BM112" s="135"/>
    </row>
    <row r="113" spans="13:65" x14ac:dyDescent="0.35">
      <c r="M113" s="135"/>
      <c r="Z113" s="135"/>
      <c r="AM113" s="135"/>
      <c r="AZ113" s="135"/>
      <c r="BM113" s="135"/>
    </row>
    <row r="114" spans="13:65" x14ac:dyDescent="0.35">
      <c r="M114" s="135"/>
      <c r="Z114" s="135"/>
      <c r="AM114" s="135"/>
      <c r="AZ114" s="135"/>
      <c r="BM114" s="135"/>
    </row>
    <row r="115" spans="13:65" x14ac:dyDescent="0.35">
      <c r="M115" s="135"/>
      <c r="Z115" s="135"/>
      <c r="AM115" s="135"/>
      <c r="AZ115" s="135"/>
      <c r="BM115" s="135"/>
    </row>
    <row r="116" spans="13:65" x14ac:dyDescent="0.35">
      <c r="M116" s="135"/>
      <c r="Z116" s="135"/>
      <c r="AM116" s="135"/>
      <c r="AZ116" s="135"/>
      <c r="BM116" s="135"/>
    </row>
    <row r="117" spans="13:65" x14ac:dyDescent="0.35">
      <c r="M117" s="135"/>
      <c r="Z117" s="135"/>
      <c r="AM117" s="135"/>
      <c r="AZ117" s="135"/>
      <c r="BM117" s="135"/>
    </row>
    <row r="118" spans="13:65" x14ac:dyDescent="0.35">
      <c r="M118" s="135"/>
      <c r="Z118" s="135"/>
      <c r="AM118" s="135"/>
      <c r="AZ118" s="135"/>
      <c r="BM118" s="135"/>
    </row>
    <row r="119" spans="13:65" x14ac:dyDescent="0.35">
      <c r="M119" s="135"/>
      <c r="Z119" s="135"/>
      <c r="AM119" s="135"/>
      <c r="AZ119" s="135"/>
      <c r="BM119" s="135"/>
    </row>
    <row r="120" spans="13:65" x14ac:dyDescent="0.35">
      <c r="M120" s="135"/>
      <c r="Z120" s="135"/>
      <c r="AM120" s="135"/>
      <c r="AZ120" s="135"/>
      <c r="BM120" s="135"/>
    </row>
    <row r="121" spans="13:65" x14ac:dyDescent="0.35">
      <c r="M121" s="135"/>
      <c r="Z121" s="135"/>
      <c r="AM121" s="135"/>
      <c r="AZ121" s="135"/>
      <c r="BM121" s="135"/>
    </row>
    <row r="122" spans="13:65" x14ac:dyDescent="0.35">
      <c r="M122" s="135"/>
      <c r="Z122" s="135"/>
      <c r="AM122" s="135"/>
      <c r="AZ122" s="135"/>
      <c r="BM122" s="135"/>
    </row>
    <row r="123" spans="13:65" x14ac:dyDescent="0.35">
      <c r="M123" s="135"/>
      <c r="Z123" s="135"/>
      <c r="AM123" s="135"/>
      <c r="AZ123" s="135"/>
      <c r="BM123" s="135"/>
    </row>
    <row r="124" spans="13:65" x14ac:dyDescent="0.35">
      <c r="M124" s="135"/>
      <c r="Z124" s="135"/>
      <c r="AM124" s="135"/>
      <c r="AZ124" s="135"/>
      <c r="BM124" s="135"/>
    </row>
    <row r="125" spans="13:65" x14ac:dyDescent="0.35">
      <c r="M125" s="135"/>
      <c r="Z125" s="135"/>
      <c r="AM125" s="135"/>
      <c r="AZ125" s="135"/>
      <c r="BM125" s="135"/>
    </row>
    <row r="126" spans="13:65" x14ac:dyDescent="0.35">
      <c r="M126" s="135"/>
      <c r="Z126" s="135"/>
      <c r="AM126" s="135"/>
      <c r="AZ126" s="135"/>
      <c r="BM126" s="135"/>
    </row>
    <row r="127" spans="13:65" x14ac:dyDescent="0.35">
      <c r="M127" s="135"/>
      <c r="Z127" s="135"/>
      <c r="AM127" s="135"/>
      <c r="AZ127" s="135"/>
      <c r="BM127" s="135"/>
    </row>
    <row r="128" spans="13:65" x14ac:dyDescent="0.35">
      <c r="M128" s="135"/>
      <c r="Z128" s="135"/>
      <c r="AM128" s="135"/>
      <c r="AZ128" s="135"/>
      <c r="BM128" s="135"/>
    </row>
    <row r="129" spans="13:65" x14ac:dyDescent="0.35">
      <c r="M129" s="135"/>
      <c r="Z129" s="135"/>
      <c r="AM129" s="135"/>
      <c r="AZ129" s="135"/>
      <c r="BM129" s="135"/>
    </row>
    <row r="130" spans="13:65" x14ac:dyDescent="0.35">
      <c r="M130" s="135"/>
      <c r="Z130" s="135"/>
      <c r="AM130" s="135"/>
      <c r="AZ130" s="135"/>
      <c r="BM130" s="135"/>
    </row>
    <row r="131" spans="13:65" x14ac:dyDescent="0.35">
      <c r="M131" s="135"/>
      <c r="Z131" s="135"/>
      <c r="AM131" s="135"/>
      <c r="AZ131" s="135"/>
      <c r="BM131" s="135"/>
    </row>
    <row r="132" spans="13:65" x14ac:dyDescent="0.35">
      <c r="M132" s="135"/>
      <c r="Z132" s="135"/>
      <c r="AM132" s="135"/>
      <c r="AZ132" s="135"/>
      <c r="BM132" s="135"/>
    </row>
    <row r="133" spans="13:65" x14ac:dyDescent="0.35">
      <c r="M133" s="135"/>
      <c r="Z133" s="135"/>
      <c r="AM133" s="135"/>
      <c r="AZ133" s="135"/>
      <c r="BM133" s="135"/>
    </row>
    <row r="134" spans="13:65" x14ac:dyDescent="0.35">
      <c r="M134" s="135"/>
      <c r="Z134" s="135"/>
      <c r="AM134" s="135"/>
      <c r="AZ134" s="135"/>
      <c r="BM134" s="135"/>
    </row>
    <row r="135" spans="13:65" x14ac:dyDescent="0.35">
      <c r="M135" s="135"/>
      <c r="Z135" s="135"/>
      <c r="AM135" s="135"/>
      <c r="AZ135" s="135"/>
      <c r="BM135" s="135"/>
    </row>
    <row r="136" spans="13:65" x14ac:dyDescent="0.35">
      <c r="M136" s="135"/>
      <c r="Z136" s="135"/>
      <c r="AM136" s="135"/>
      <c r="AZ136" s="135"/>
      <c r="BM136" s="135"/>
    </row>
    <row r="137" spans="13:65" x14ac:dyDescent="0.35">
      <c r="M137" s="135"/>
      <c r="Z137" s="135"/>
      <c r="AM137" s="135"/>
      <c r="AZ137" s="135"/>
      <c r="BM137" s="135"/>
    </row>
    <row r="138" spans="13:65" x14ac:dyDescent="0.35">
      <c r="M138" s="135"/>
      <c r="Z138" s="135"/>
      <c r="AM138" s="135"/>
      <c r="AZ138" s="135"/>
      <c r="BM138" s="135"/>
    </row>
    <row r="139" spans="13:65" x14ac:dyDescent="0.35">
      <c r="M139" s="135"/>
      <c r="Z139" s="135"/>
      <c r="AM139" s="135"/>
      <c r="AZ139" s="135"/>
      <c r="BM139" s="135"/>
    </row>
    <row r="140" spans="13:65" x14ac:dyDescent="0.35">
      <c r="M140" s="135"/>
      <c r="Z140" s="135"/>
      <c r="AM140" s="135"/>
      <c r="AZ140" s="135"/>
      <c r="BM140" s="135"/>
    </row>
    <row r="141" spans="13:65" x14ac:dyDescent="0.35">
      <c r="M141" s="135"/>
      <c r="Z141" s="135"/>
      <c r="AM141" s="135"/>
      <c r="AZ141" s="135"/>
      <c r="BM141" s="135"/>
    </row>
    <row r="142" spans="13:65" x14ac:dyDescent="0.35">
      <c r="M142" s="135"/>
      <c r="Z142" s="135"/>
      <c r="AM142" s="135"/>
      <c r="AZ142" s="135"/>
      <c r="BM142" s="135"/>
    </row>
    <row r="143" spans="13:65" x14ac:dyDescent="0.35">
      <c r="M143" s="135"/>
      <c r="Z143" s="135"/>
      <c r="AM143" s="135"/>
      <c r="AZ143" s="135"/>
      <c r="BM143" s="135"/>
    </row>
    <row r="144" spans="13:65" x14ac:dyDescent="0.35">
      <c r="M144" s="135"/>
      <c r="Z144" s="135"/>
      <c r="AM144" s="135"/>
      <c r="AZ144" s="135"/>
      <c r="BM144" s="135"/>
    </row>
    <row r="145" spans="13:65" x14ac:dyDescent="0.35">
      <c r="M145" s="135"/>
      <c r="Z145" s="135"/>
      <c r="AM145" s="135"/>
      <c r="AZ145" s="135"/>
      <c r="BM145" s="135"/>
    </row>
    <row r="146" spans="13:65" x14ac:dyDescent="0.35">
      <c r="M146" s="135"/>
      <c r="Z146" s="135"/>
      <c r="AM146" s="135"/>
      <c r="AZ146" s="135"/>
      <c r="BM146" s="135"/>
    </row>
    <row r="147" spans="13:65" x14ac:dyDescent="0.35">
      <c r="M147" s="135"/>
      <c r="Z147" s="135"/>
      <c r="AM147" s="135"/>
      <c r="AZ147" s="135"/>
      <c r="BM147" s="135"/>
    </row>
    <row r="148" spans="13:65" x14ac:dyDescent="0.35">
      <c r="M148" s="135"/>
      <c r="Z148" s="135"/>
      <c r="AM148" s="135"/>
      <c r="AZ148" s="135"/>
      <c r="BM148" s="135"/>
    </row>
    <row r="149" spans="13:65" x14ac:dyDescent="0.35">
      <c r="M149" s="135"/>
      <c r="Z149" s="135"/>
      <c r="AM149" s="135"/>
      <c r="AZ149" s="135"/>
      <c r="BM149" s="135"/>
    </row>
    <row r="150" spans="13:65" x14ac:dyDescent="0.35">
      <c r="M150" s="135"/>
      <c r="Z150" s="135"/>
      <c r="AM150" s="135"/>
      <c r="AZ150" s="135"/>
      <c r="BM150" s="135"/>
    </row>
    <row r="151" spans="13:65" x14ac:dyDescent="0.35">
      <c r="M151" s="135"/>
      <c r="Z151" s="135"/>
      <c r="AM151" s="135"/>
      <c r="AZ151" s="135"/>
      <c r="BM151" s="135"/>
    </row>
    <row r="152" spans="13:65" x14ac:dyDescent="0.35">
      <c r="M152" s="135"/>
      <c r="Z152" s="135"/>
      <c r="AM152" s="135"/>
      <c r="AZ152" s="135"/>
      <c r="BM152" s="135"/>
    </row>
    <row r="153" spans="13:65" x14ac:dyDescent="0.35">
      <c r="M153" s="135"/>
      <c r="Z153" s="135"/>
      <c r="AM153" s="135"/>
      <c r="AZ153" s="135"/>
      <c r="BM153" s="135"/>
    </row>
    <row r="154" spans="13:65" x14ac:dyDescent="0.35">
      <c r="M154" s="135"/>
      <c r="Z154" s="135"/>
      <c r="AM154" s="135"/>
      <c r="AZ154" s="135"/>
      <c r="BM154" s="135"/>
    </row>
    <row r="155" spans="13:65" x14ac:dyDescent="0.35">
      <c r="M155" s="135"/>
      <c r="Z155" s="135"/>
      <c r="AM155" s="135"/>
      <c r="AZ155" s="135"/>
      <c r="BM155" s="135"/>
    </row>
    <row r="156" spans="13:65" x14ac:dyDescent="0.35">
      <c r="M156" s="135"/>
      <c r="Z156" s="135"/>
      <c r="AM156" s="135"/>
      <c r="AZ156" s="135"/>
      <c r="BM156" s="135"/>
    </row>
    <row r="157" spans="13:65" x14ac:dyDescent="0.35">
      <c r="M157" s="135"/>
      <c r="Z157" s="135"/>
      <c r="AM157" s="135"/>
      <c r="AZ157" s="135"/>
      <c r="BM157" s="135"/>
    </row>
    <row r="158" spans="13:65" x14ac:dyDescent="0.35">
      <c r="M158" s="135"/>
      <c r="Z158" s="135"/>
      <c r="AM158" s="135"/>
      <c r="AZ158" s="135"/>
      <c r="BM158" s="135"/>
    </row>
    <row r="159" spans="13:65" x14ac:dyDescent="0.35">
      <c r="M159" s="135"/>
      <c r="Z159" s="135"/>
      <c r="AM159" s="135"/>
      <c r="AZ159" s="135"/>
      <c r="BM159" s="135"/>
    </row>
    <row r="160" spans="13:65" x14ac:dyDescent="0.35">
      <c r="M160" s="135"/>
      <c r="Z160" s="135"/>
      <c r="AM160" s="135"/>
      <c r="AZ160" s="135"/>
      <c r="BM160" s="135"/>
    </row>
    <row r="161" spans="13:65" x14ac:dyDescent="0.35">
      <c r="M161" s="135"/>
      <c r="Z161" s="135"/>
      <c r="AM161" s="135"/>
      <c r="AZ161" s="135"/>
      <c r="BM161" s="135"/>
    </row>
    <row r="162" spans="13:65" x14ac:dyDescent="0.35">
      <c r="M162" s="135"/>
      <c r="Z162" s="135"/>
      <c r="AM162" s="135"/>
      <c r="AZ162" s="135"/>
      <c r="BM162" s="135"/>
    </row>
    <row r="163" spans="13:65" x14ac:dyDescent="0.35">
      <c r="M163" s="135"/>
      <c r="Z163" s="135"/>
      <c r="AM163" s="135"/>
      <c r="AZ163" s="135"/>
      <c r="BM163" s="135"/>
    </row>
    <row r="164" spans="13:65" x14ac:dyDescent="0.35">
      <c r="M164" s="135"/>
      <c r="Z164" s="135"/>
      <c r="AM164" s="135"/>
      <c r="AZ164" s="135"/>
      <c r="BM164" s="135"/>
    </row>
    <row r="165" spans="13:65" x14ac:dyDescent="0.35">
      <c r="M165" s="135"/>
      <c r="Z165" s="135"/>
      <c r="AM165" s="135"/>
      <c r="AZ165" s="135"/>
      <c r="BM165" s="135"/>
    </row>
    <row r="166" spans="13:65" x14ac:dyDescent="0.35">
      <c r="M166" s="135"/>
      <c r="Z166" s="135"/>
      <c r="AM166" s="135"/>
      <c r="AZ166" s="135"/>
      <c r="BM166" s="135"/>
    </row>
    <row r="167" spans="13:65" x14ac:dyDescent="0.35">
      <c r="M167" s="135"/>
      <c r="Z167" s="135"/>
      <c r="AM167" s="135"/>
      <c r="AZ167" s="135"/>
      <c r="BM167" s="135"/>
    </row>
    <row r="168" spans="13:65" x14ac:dyDescent="0.35">
      <c r="M168" s="135"/>
      <c r="Z168" s="135"/>
      <c r="AM168" s="135"/>
      <c r="AZ168" s="135"/>
      <c r="BM168" s="135"/>
    </row>
    <row r="169" spans="13:65" x14ac:dyDescent="0.35">
      <c r="M169" s="135"/>
      <c r="Z169" s="135"/>
      <c r="AM169" s="135"/>
      <c r="AZ169" s="135"/>
      <c r="BM169" s="135"/>
    </row>
    <row r="170" spans="13:65" x14ac:dyDescent="0.35">
      <c r="M170" s="135"/>
      <c r="Z170" s="135"/>
      <c r="AM170" s="135"/>
      <c r="AZ170" s="135"/>
      <c r="BM170" s="135"/>
    </row>
    <row r="171" spans="13:65" x14ac:dyDescent="0.35">
      <c r="M171" s="135"/>
      <c r="Z171" s="135"/>
      <c r="AM171" s="135"/>
      <c r="AZ171" s="135"/>
      <c r="BM171" s="135"/>
    </row>
    <row r="172" spans="13:65" x14ac:dyDescent="0.35">
      <c r="M172" s="135"/>
      <c r="Z172" s="135"/>
      <c r="AM172" s="135"/>
      <c r="AZ172" s="135"/>
      <c r="BM172" s="135"/>
    </row>
    <row r="173" spans="13:65" x14ac:dyDescent="0.35">
      <c r="M173" s="135"/>
      <c r="Z173" s="135"/>
      <c r="AM173" s="135"/>
      <c r="AZ173" s="135"/>
      <c r="BM173" s="135"/>
    </row>
    <row r="174" spans="13:65" x14ac:dyDescent="0.35">
      <c r="M174" s="135"/>
      <c r="Z174" s="135"/>
      <c r="AM174" s="135"/>
      <c r="AZ174" s="135"/>
      <c r="BM174" s="135"/>
    </row>
    <row r="175" spans="13:65" x14ac:dyDescent="0.35">
      <c r="M175" s="316"/>
      <c r="Z175" s="316"/>
      <c r="AM175" s="316"/>
      <c r="AZ175" s="316"/>
      <c r="BM175" s="316"/>
    </row>
    <row r="176" spans="13:65" x14ac:dyDescent="0.35">
      <c r="M176" s="318"/>
      <c r="Z176" s="318"/>
      <c r="AM176" s="318"/>
      <c r="AZ176" s="318"/>
      <c r="BM176" s="318"/>
    </row>
  </sheetData>
  <autoFilter ref="E4:P84" xr:uid="{00000000-0009-0000-0000-000003000000}">
    <sortState xmlns:xlrd2="http://schemas.microsoft.com/office/spreadsheetml/2017/richdata2" ref="E5:N84">
      <sortCondition ref="E4:E84"/>
    </sortState>
  </autoFilter>
  <mergeCells count="7">
    <mergeCell ref="AR3:BC3"/>
    <mergeCell ref="BE3:BP3"/>
    <mergeCell ref="E3:P3"/>
    <mergeCell ref="A3:B3"/>
    <mergeCell ref="B4:B10"/>
    <mergeCell ref="R3:AC3"/>
    <mergeCell ref="AE3:AP3"/>
  </mergeCells>
  <phoneticPr fontId="38" type="noConversion"/>
  <conditionalFormatting sqref="AE6:AL84 AO5:AP5 AL5 AE5:AJ5 AN6:AP84">
    <cfRule type="expression" dxfId="237" priority="12">
      <formula>$AO5=""</formula>
    </cfRule>
  </conditionalFormatting>
  <conditionalFormatting sqref="AR6:AY84 BA6:BA84">
    <cfRule type="expression" dxfId="236" priority="11">
      <formula>$AY6=""</formula>
    </cfRule>
  </conditionalFormatting>
  <conditionalFormatting sqref="BE13:BL84 BN13:BN84">
    <cfRule type="expression" dxfId="235" priority="10">
      <formula>$BL13=""</formula>
    </cfRule>
  </conditionalFormatting>
  <conditionalFormatting sqref="R7:Y84 R5:R6 T5:Y6 AA5:AC84">
    <cfRule type="expression" dxfId="234" priority="6">
      <formula>$AB5=""</formula>
    </cfRule>
  </conditionalFormatting>
  <conditionalFormatting sqref="N5:P84">
    <cfRule type="expression" dxfId="233" priority="1133">
      <formula>$O5=""</formula>
    </cfRule>
  </conditionalFormatting>
  <conditionalFormatting sqref="AY5 BB5:BC5 AR5 AT5:AW5">
    <cfRule type="expression" dxfId="232" priority="1136">
      <formula>$BB5=""</formula>
    </cfRule>
  </conditionalFormatting>
  <conditionalFormatting sqref="BO5:BP12 BE5:BE12 BG5:BL12">
    <cfRule type="expression" dxfId="231" priority="1138">
      <formula>$BO5=""</formula>
    </cfRule>
  </conditionalFormatting>
  <conditionalFormatting sqref="M5:M175">
    <cfRule type="expression" dxfId="230" priority="5">
      <formula>$O5=""</formula>
    </cfRule>
  </conditionalFormatting>
  <conditionalFormatting sqref="Z5:Z175">
    <cfRule type="expression" dxfId="229" priority="4">
      <formula>$O5=""</formula>
    </cfRule>
  </conditionalFormatting>
  <conditionalFormatting sqref="AM5:AM175">
    <cfRule type="expression" dxfId="228" priority="3">
      <formula>$O5=""</formula>
    </cfRule>
  </conditionalFormatting>
  <conditionalFormatting sqref="AZ5:AZ175">
    <cfRule type="expression" dxfId="227" priority="2">
      <formula>$O5=""</formula>
    </cfRule>
  </conditionalFormatting>
  <conditionalFormatting sqref="BM5:BM175">
    <cfRule type="expression" dxfId="226" priority="1">
      <formula>$O5=""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6"/>
  <dimension ref="A2:DQ176"/>
  <sheetViews>
    <sheetView showGridLines="0" zoomScale="50" zoomScaleNormal="50" workbookViewId="0">
      <selection activeCell="M1" sqref="M1:M1048576"/>
    </sheetView>
  </sheetViews>
  <sheetFormatPr baseColWidth="10" defaultRowHeight="14.5" x14ac:dyDescent="0.35"/>
  <cols>
    <col min="1" max="1" width="37" customWidth="1"/>
    <col min="2" max="2" width="17.453125" customWidth="1"/>
    <col min="3" max="3" width="20.1796875" customWidth="1"/>
    <col min="4" max="4" width="18.453125" customWidth="1"/>
    <col min="5" max="5" width="16.1796875" customWidth="1"/>
    <col min="6" max="6" width="18" customWidth="1"/>
    <col min="7" max="7" width="32.81640625" customWidth="1"/>
    <col min="8" max="8" width="16.1796875" customWidth="1"/>
    <col min="9" max="10" width="14.54296875" customWidth="1"/>
    <col min="11" max="11" width="13.81640625" customWidth="1"/>
    <col min="12" max="12" width="19" customWidth="1"/>
    <col min="13" max="13" width="19.7265625" hidden="1" customWidth="1"/>
    <col min="14" max="14" width="19" customWidth="1"/>
    <col min="15" max="15" width="25.1796875" bestFit="1" customWidth="1"/>
    <col min="16" max="16" width="24.54296875" bestFit="1" customWidth="1"/>
    <col min="18" max="18" width="18.7265625" customWidth="1"/>
    <col min="19" max="19" width="19.1796875" bestFit="1" customWidth="1"/>
    <col min="20" max="20" width="20.7265625" customWidth="1"/>
    <col min="21" max="21" width="12.1796875" customWidth="1"/>
    <col min="22" max="22" width="15.81640625" customWidth="1"/>
    <col min="23" max="23" width="10.453125" bestFit="1" customWidth="1"/>
    <col min="24" max="25" width="10.453125" customWidth="1"/>
    <col min="26" max="26" width="19.7265625" hidden="1" customWidth="1"/>
    <col min="27" max="27" width="20.453125" customWidth="1"/>
    <col min="28" max="28" width="21" customWidth="1"/>
    <col min="29" max="29" width="16.7265625" customWidth="1"/>
    <col min="31" max="31" width="17.7265625" bestFit="1" customWidth="1"/>
    <col min="32" max="32" width="15.54296875" bestFit="1" customWidth="1"/>
    <col min="35" max="35" width="15.7265625" bestFit="1" customWidth="1"/>
    <col min="38" max="38" width="14.7265625" bestFit="1" customWidth="1"/>
    <col min="39" max="39" width="15" bestFit="1" customWidth="1"/>
    <col min="41" max="41" width="17.7265625" bestFit="1" customWidth="1"/>
    <col min="42" max="42" width="15.54296875" bestFit="1" customWidth="1"/>
    <col min="45" max="45" width="15.7265625" bestFit="1" customWidth="1"/>
    <col min="49" max="49" width="15" bestFit="1" customWidth="1"/>
    <col min="51" max="51" width="17.7265625" bestFit="1" customWidth="1"/>
    <col min="52" max="52" width="15.54296875" bestFit="1" customWidth="1"/>
    <col min="55" max="55" width="15.7265625" bestFit="1" customWidth="1"/>
    <col min="61" max="61" width="17.7265625" bestFit="1" customWidth="1"/>
    <col min="62" max="62" width="15.54296875" bestFit="1" customWidth="1"/>
    <col min="65" max="65" width="15.7265625" bestFit="1" customWidth="1"/>
    <col min="71" max="71" width="17.7265625" bestFit="1" customWidth="1"/>
    <col min="72" max="72" width="15.54296875" bestFit="1" customWidth="1"/>
    <col min="75" max="75" width="15.7265625" bestFit="1" customWidth="1"/>
    <col min="81" max="81" width="17.7265625" bestFit="1" customWidth="1"/>
    <col min="82" max="82" width="20.26953125" bestFit="1" customWidth="1"/>
    <col min="85" max="85" width="15.7265625" bestFit="1" customWidth="1"/>
    <col min="89" max="89" width="15" bestFit="1" customWidth="1"/>
    <col min="91" max="91" width="17.7265625" bestFit="1" customWidth="1"/>
    <col min="92" max="92" width="19.453125" bestFit="1" customWidth="1"/>
    <col min="95" max="95" width="15.7265625" bestFit="1" customWidth="1"/>
    <col min="98" max="98" width="15.453125" bestFit="1" customWidth="1"/>
    <col min="101" max="101" width="17.7265625" bestFit="1" customWidth="1"/>
    <col min="102" max="102" width="26.453125" bestFit="1" customWidth="1"/>
    <col min="105" max="105" width="15.7265625" bestFit="1" customWidth="1"/>
    <col min="109" max="109" width="15" bestFit="1" customWidth="1"/>
    <col min="111" max="111" width="17.7265625" bestFit="1" customWidth="1"/>
    <col min="112" max="112" width="15.54296875" bestFit="1" customWidth="1"/>
    <col min="115" max="115" width="15.7265625" bestFit="1" customWidth="1"/>
    <col min="118" max="118" width="10.54296875" bestFit="1" customWidth="1"/>
  </cols>
  <sheetData>
    <row r="2" spans="1:121" ht="15" customHeight="1" thickBot="1" x14ac:dyDescent="0.4"/>
    <row r="3" spans="1:121" ht="18.75" customHeight="1" thickBot="1" x14ac:dyDescent="0.5">
      <c r="A3" s="464" t="s">
        <v>46</v>
      </c>
      <c r="B3" s="465"/>
      <c r="D3" s="21"/>
      <c r="E3" s="455" t="s">
        <v>72</v>
      </c>
      <c r="F3" s="456"/>
      <c r="G3" s="456"/>
      <c r="H3" s="456"/>
      <c r="I3" s="456"/>
      <c r="J3" s="456"/>
      <c r="K3" s="456"/>
      <c r="L3" s="456"/>
      <c r="M3" s="456"/>
      <c r="N3" s="456"/>
      <c r="O3" s="456"/>
      <c r="P3" s="456"/>
      <c r="R3" s="455" t="s">
        <v>71</v>
      </c>
      <c r="S3" s="456"/>
      <c r="T3" s="456"/>
      <c r="U3" s="456"/>
      <c r="V3" s="456"/>
      <c r="W3" s="456"/>
      <c r="X3" s="456"/>
      <c r="Y3" s="456"/>
      <c r="Z3" s="456"/>
      <c r="AA3" s="456"/>
      <c r="AB3" s="456"/>
      <c r="AC3" s="456"/>
      <c r="AE3" s="467"/>
      <c r="AF3" s="467"/>
      <c r="AG3" s="467"/>
      <c r="AH3" s="467"/>
      <c r="AI3" s="467"/>
      <c r="AJ3" s="467"/>
      <c r="AK3" s="467"/>
      <c r="AL3" s="467"/>
      <c r="AM3" s="467"/>
      <c r="AN3" s="23"/>
      <c r="AO3" s="467"/>
      <c r="AP3" s="467"/>
      <c r="AQ3" s="467"/>
      <c r="AR3" s="467"/>
      <c r="AS3" s="467"/>
      <c r="AT3" s="467"/>
      <c r="AU3" s="467"/>
      <c r="AV3" s="467"/>
      <c r="AW3" s="467"/>
      <c r="AX3" s="23"/>
      <c r="AY3" s="467"/>
      <c r="AZ3" s="467"/>
      <c r="BA3" s="467"/>
      <c r="BB3" s="467"/>
      <c r="BC3" s="467"/>
      <c r="BD3" s="467"/>
      <c r="BE3" s="467"/>
      <c r="BF3" s="467"/>
      <c r="BG3" s="467"/>
      <c r="BH3" s="23"/>
      <c r="BI3" s="467"/>
      <c r="BJ3" s="467"/>
      <c r="BK3" s="467"/>
      <c r="BL3" s="467"/>
      <c r="BM3" s="467"/>
      <c r="BN3" s="467"/>
      <c r="BO3" s="467"/>
      <c r="BP3" s="467"/>
      <c r="BQ3" s="467"/>
      <c r="BR3" s="23"/>
      <c r="BS3" s="467"/>
      <c r="BT3" s="467"/>
      <c r="BU3" s="467"/>
      <c r="BV3" s="467"/>
      <c r="BW3" s="467"/>
      <c r="BX3" s="467"/>
      <c r="BY3" s="467"/>
      <c r="BZ3" s="467"/>
      <c r="CA3" s="467"/>
      <c r="CB3" s="23"/>
      <c r="CC3" s="467"/>
      <c r="CD3" s="467"/>
      <c r="CE3" s="467"/>
      <c r="CF3" s="467"/>
      <c r="CG3" s="467"/>
      <c r="CH3" s="467"/>
      <c r="CI3" s="467"/>
      <c r="CJ3" s="467"/>
      <c r="CK3" s="467"/>
      <c r="CL3" s="23"/>
      <c r="CM3" s="467"/>
      <c r="CN3" s="467"/>
      <c r="CO3" s="467"/>
      <c r="CP3" s="467"/>
      <c r="CQ3" s="467"/>
      <c r="CR3" s="467"/>
      <c r="CS3" s="467"/>
      <c r="CT3" s="467"/>
      <c r="CU3" s="467"/>
      <c r="CV3" s="23"/>
      <c r="CW3" s="467"/>
      <c r="CX3" s="467"/>
      <c r="CY3" s="467"/>
      <c r="CZ3" s="467"/>
      <c r="DA3" s="467"/>
      <c r="DB3" s="467"/>
      <c r="DC3" s="467"/>
      <c r="DD3" s="467"/>
      <c r="DE3" s="467"/>
      <c r="DF3" s="23"/>
      <c r="DG3" s="467"/>
      <c r="DH3" s="467"/>
      <c r="DI3" s="467"/>
      <c r="DJ3" s="467"/>
      <c r="DK3" s="467"/>
      <c r="DL3" s="467"/>
      <c r="DM3" s="467"/>
      <c r="DN3" s="467"/>
      <c r="DO3" s="467"/>
      <c r="DP3" s="23"/>
      <c r="DQ3" s="23"/>
    </row>
    <row r="4" spans="1:121" s="322" customFormat="1" ht="39" customHeight="1" x14ac:dyDescent="0.35">
      <c r="A4" s="329" t="s">
        <v>33</v>
      </c>
      <c r="B4" s="471" t="s">
        <v>72</v>
      </c>
      <c r="D4" s="323"/>
      <c r="E4" s="296" t="s">
        <v>172</v>
      </c>
      <c r="F4" s="296" t="s">
        <v>173</v>
      </c>
      <c r="G4" s="71" t="s">
        <v>174</v>
      </c>
      <c r="H4" s="71" t="s">
        <v>34</v>
      </c>
      <c r="I4" s="71" t="s">
        <v>170</v>
      </c>
      <c r="J4" s="71" t="s">
        <v>171</v>
      </c>
      <c r="K4" s="71" t="s">
        <v>100</v>
      </c>
      <c r="L4" s="71" t="s">
        <v>36</v>
      </c>
      <c r="M4" s="71" t="s">
        <v>613</v>
      </c>
      <c r="N4" s="71" t="s">
        <v>169</v>
      </c>
      <c r="O4" s="71" t="s">
        <v>42</v>
      </c>
      <c r="P4" s="71" t="s">
        <v>45</v>
      </c>
      <c r="Q4" s="324"/>
      <c r="R4" s="296" t="s">
        <v>172</v>
      </c>
      <c r="S4" s="296" t="s">
        <v>173</v>
      </c>
      <c r="T4" s="71" t="s">
        <v>174</v>
      </c>
      <c r="U4" s="71" t="s">
        <v>34</v>
      </c>
      <c r="V4" s="71" t="s">
        <v>170</v>
      </c>
      <c r="W4" s="71" t="s">
        <v>171</v>
      </c>
      <c r="X4" s="71" t="s">
        <v>100</v>
      </c>
      <c r="Y4" s="71" t="s">
        <v>36</v>
      </c>
      <c r="Z4" s="71" t="s">
        <v>613</v>
      </c>
      <c r="AA4" s="71" t="s">
        <v>169</v>
      </c>
      <c r="AB4" s="71" t="s">
        <v>42</v>
      </c>
      <c r="AC4" s="71" t="s">
        <v>45</v>
      </c>
      <c r="AE4" s="70"/>
      <c r="AF4" s="70"/>
      <c r="AG4" s="70"/>
      <c r="AH4" s="70"/>
      <c r="AI4" s="70"/>
      <c r="AJ4" s="70"/>
      <c r="AK4" s="70"/>
      <c r="AL4" s="70"/>
      <c r="AM4" s="70"/>
      <c r="AN4" s="330"/>
      <c r="AO4" s="70"/>
      <c r="AP4" s="70"/>
      <c r="AQ4" s="70"/>
      <c r="AR4" s="70"/>
      <c r="AS4" s="70"/>
      <c r="AT4" s="70"/>
      <c r="AU4" s="70"/>
      <c r="AV4" s="70"/>
      <c r="AW4" s="70"/>
      <c r="AX4" s="330"/>
      <c r="AY4" s="70"/>
      <c r="AZ4" s="70"/>
      <c r="BA4" s="70"/>
      <c r="BB4" s="70"/>
      <c r="BC4" s="70"/>
      <c r="BD4" s="70"/>
      <c r="BE4" s="70"/>
      <c r="BF4" s="70"/>
      <c r="BG4" s="70"/>
      <c r="BH4" s="330"/>
      <c r="BI4" s="70"/>
      <c r="BJ4" s="70"/>
      <c r="BK4" s="70"/>
      <c r="BL4" s="70"/>
      <c r="BM4" s="70"/>
      <c r="BN4" s="70"/>
      <c r="BO4" s="70"/>
      <c r="BP4" s="70"/>
      <c r="BQ4" s="70"/>
      <c r="BR4" s="330"/>
      <c r="BS4" s="70"/>
      <c r="BT4" s="70"/>
      <c r="BU4" s="70"/>
      <c r="BV4" s="70"/>
      <c r="BW4" s="70"/>
      <c r="BX4" s="70"/>
      <c r="BY4" s="70"/>
      <c r="BZ4" s="70"/>
      <c r="CA4" s="70"/>
      <c r="CB4" s="330"/>
      <c r="CC4" s="70"/>
      <c r="CD4" s="70"/>
      <c r="CE4" s="70"/>
      <c r="CF4" s="70"/>
      <c r="CG4" s="70"/>
      <c r="CH4" s="70"/>
      <c r="CI4" s="70"/>
      <c r="CJ4" s="70"/>
      <c r="CK4" s="70"/>
      <c r="CL4" s="330"/>
      <c r="CM4" s="70"/>
      <c r="CN4" s="70"/>
      <c r="CO4" s="70"/>
      <c r="CP4" s="70"/>
      <c r="CQ4" s="70"/>
      <c r="CR4" s="70"/>
      <c r="CS4" s="70"/>
      <c r="CT4" s="70"/>
      <c r="CU4" s="70"/>
      <c r="CV4" s="330"/>
      <c r="CW4" s="70"/>
      <c r="CX4" s="70"/>
      <c r="CY4" s="70"/>
      <c r="CZ4" s="70"/>
      <c r="DA4" s="70"/>
      <c r="DB4" s="70"/>
      <c r="DC4" s="70"/>
      <c r="DD4" s="70"/>
      <c r="DE4" s="70"/>
      <c r="DF4" s="330"/>
      <c r="DG4" s="70"/>
      <c r="DH4" s="70"/>
      <c r="DI4" s="70"/>
      <c r="DJ4" s="70"/>
      <c r="DK4" s="70"/>
      <c r="DL4" s="70"/>
      <c r="DM4" s="70"/>
      <c r="DN4" s="70"/>
      <c r="DO4" s="70"/>
      <c r="DP4" s="330"/>
      <c r="DQ4" s="330"/>
    </row>
    <row r="5" spans="1:121" ht="18.649999999999999" customHeight="1" x14ac:dyDescent="0.35">
      <c r="A5" s="119" t="s">
        <v>114</v>
      </c>
      <c r="B5" s="472"/>
      <c r="E5" s="134">
        <v>43874</v>
      </c>
      <c r="F5" s="73"/>
      <c r="G5" s="135" t="s">
        <v>570</v>
      </c>
      <c r="H5" s="136">
        <v>704.96</v>
      </c>
      <c r="I5" s="136"/>
      <c r="J5" s="40">
        <f>H5+I5</f>
        <v>704.96</v>
      </c>
      <c r="K5" s="73"/>
      <c r="L5" s="135" t="s">
        <v>2</v>
      </c>
      <c r="M5" s="39"/>
      <c r="N5" s="135"/>
      <c r="O5" s="114" t="s">
        <v>78</v>
      </c>
      <c r="P5" s="137">
        <v>44025</v>
      </c>
      <c r="Q5" s="13"/>
      <c r="R5" s="18">
        <v>43844</v>
      </c>
      <c r="S5" s="19" t="s">
        <v>591</v>
      </c>
      <c r="T5" s="17">
        <v>164</v>
      </c>
      <c r="U5" s="17"/>
      <c r="V5" s="17">
        <f t="shared" ref="V5:V34" si="0">T5+U5</f>
        <v>164</v>
      </c>
      <c r="W5" s="139"/>
      <c r="X5" s="139"/>
      <c r="Y5" s="17" t="s">
        <v>1</v>
      </c>
      <c r="Z5" s="39"/>
      <c r="AB5" s="19" t="s">
        <v>54</v>
      </c>
      <c r="AC5" s="18">
        <v>43845</v>
      </c>
      <c r="AE5" s="59"/>
      <c r="AF5" s="60"/>
      <c r="AG5" s="55"/>
      <c r="AH5" s="55"/>
      <c r="AI5" s="55"/>
      <c r="AJ5" s="55"/>
      <c r="AK5" s="60"/>
      <c r="AL5" s="60"/>
      <c r="AM5" s="59"/>
      <c r="AN5" s="23"/>
      <c r="AO5" s="59"/>
      <c r="AP5" s="60"/>
      <c r="AQ5" s="55"/>
      <c r="AR5" s="55"/>
      <c r="AS5" s="55"/>
      <c r="AT5" s="55"/>
      <c r="AU5" s="60"/>
      <c r="AV5" s="60"/>
      <c r="AW5" s="60"/>
      <c r="AX5" s="23"/>
      <c r="AY5" s="59"/>
      <c r="AZ5" s="60"/>
      <c r="BA5" s="55"/>
      <c r="BB5" s="55"/>
      <c r="BC5" s="55"/>
      <c r="BD5" s="55"/>
      <c r="BE5" s="60"/>
      <c r="BF5" s="61"/>
      <c r="BG5" s="13"/>
      <c r="BH5" s="23"/>
      <c r="BI5" s="59"/>
      <c r="BJ5" s="60"/>
      <c r="BK5" s="55"/>
      <c r="BL5" s="55"/>
      <c r="BM5" s="55"/>
      <c r="BN5" s="55"/>
      <c r="BO5" s="60"/>
      <c r="BP5" s="60"/>
      <c r="BQ5" s="60"/>
      <c r="BR5" s="23"/>
      <c r="BS5" s="59"/>
      <c r="BT5" s="60"/>
      <c r="BU5" s="55"/>
      <c r="BV5" s="55"/>
      <c r="BW5" s="55"/>
      <c r="BX5" s="55"/>
      <c r="BY5" s="60"/>
      <c r="BZ5" s="60"/>
      <c r="CA5" s="13"/>
      <c r="CB5" s="23"/>
      <c r="CC5" s="59"/>
      <c r="CD5" s="60"/>
      <c r="CE5" s="55"/>
      <c r="CF5" s="55"/>
      <c r="CG5" s="55"/>
      <c r="CH5" s="55"/>
      <c r="CI5" s="60"/>
      <c r="CJ5" s="60"/>
      <c r="CK5" s="60"/>
      <c r="CL5" s="23"/>
      <c r="CM5" s="59"/>
      <c r="CN5" s="60"/>
      <c r="CO5" s="55"/>
      <c r="CP5" s="55"/>
      <c r="CQ5" s="55"/>
      <c r="CR5" s="55"/>
      <c r="CS5" s="60"/>
      <c r="CT5" s="60"/>
      <c r="CU5" s="77"/>
      <c r="CV5" s="23"/>
      <c r="CW5" s="59"/>
      <c r="CX5" s="60"/>
      <c r="CY5" s="55"/>
      <c r="CZ5" s="55"/>
      <c r="DA5" s="55"/>
      <c r="DB5" s="55"/>
      <c r="DC5" s="60"/>
      <c r="DD5" s="60"/>
      <c r="DE5" s="59"/>
      <c r="DF5" s="23"/>
      <c r="DG5" s="59"/>
      <c r="DH5" s="60"/>
      <c r="DI5" s="55"/>
      <c r="DJ5" s="55"/>
      <c r="DK5" s="55"/>
      <c r="DL5" s="55"/>
      <c r="DM5" s="60"/>
      <c r="DN5" s="61"/>
      <c r="DO5" s="13"/>
      <c r="DP5" s="23"/>
      <c r="DQ5" s="23"/>
    </row>
    <row r="6" spans="1:121" ht="18.649999999999999" customHeight="1" x14ac:dyDescent="0.35">
      <c r="A6" s="233" t="s">
        <v>75</v>
      </c>
      <c r="B6" s="472"/>
      <c r="E6" s="18">
        <v>44047</v>
      </c>
      <c r="F6" s="73"/>
      <c r="G6" s="135" t="s">
        <v>571</v>
      </c>
      <c r="H6" s="17">
        <v>294.3</v>
      </c>
      <c r="I6" s="17"/>
      <c r="J6" s="17">
        <f t="shared" ref="J6:J18" si="1">H6+I6</f>
        <v>294.3</v>
      </c>
      <c r="K6" s="73"/>
      <c r="L6" s="19" t="s">
        <v>8</v>
      </c>
      <c r="M6" s="39"/>
      <c r="N6" s="19"/>
      <c r="O6" s="39"/>
      <c r="P6" s="69"/>
      <c r="Q6" s="13"/>
      <c r="R6" s="18">
        <v>43879</v>
      </c>
      <c r="S6" s="19" t="s">
        <v>592</v>
      </c>
      <c r="T6" s="17">
        <v>149</v>
      </c>
      <c r="U6" s="88"/>
      <c r="V6" s="17">
        <f t="shared" si="0"/>
        <v>149</v>
      </c>
      <c r="W6" s="88"/>
      <c r="X6" s="88"/>
      <c r="Y6" s="39" t="s">
        <v>2</v>
      </c>
      <c r="Z6" s="39"/>
      <c r="AB6" s="39" t="s">
        <v>54</v>
      </c>
      <c r="AC6" s="89">
        <v>43879</v>
      </c>
      <c r="AE6" s="59"/>
      <c r="AF6" s="60"/>
      <c r="AG6" s="55"/>
      <c r="AH6" s="55"/>
      <c r="AI6" s="55"/>
      <c r="AJ6" s="55"/>
      <c r="AK6" s="60"/>
      <c r="AL6" s="60"/>
      <c r="AM6" s="60"/>
      <c r="AN6" s="23"/>
      <c r="AO6" s="59"/>
      <c r="AP6" s="60"/>
      <c r="AQ6" s="55"/>
      <c r="AR6" s="55"/>
      <c r="AS6" s="55"/>
      <c r="AT6" s="55"/>
      <c r="AU6" s="60"/>
      <c r="AV6" s="60"/>
      <c r="AW6" s="60"/>
      <c r="AX6" s="23"/>
      <c r="AY6" s="59"/>
      <c r="AZ6" s="60"/>
      <c r="BA6" s="55"/>
      <c r="BB6" s="55"/>
      <c r="BC6" s="55"/>
      <c r="BD6" s="55"/>
      <c r="BE6" s="60"/>
      <c r="BF6" s="61"/>
      <c r="BG6" s="13"/>
      <c r="BH6" s="23"/>
      <c r="BI6" s="59"/>
      <c r="BJ6" s="60"/>
      <c r="BK6" s="55"/>
      <c r="BL6" s="55"/>
      <c r="BM6" s="55"/>
      <c r="BN6" s="55"/>
      <c r="BO6" s="60"/>
      <c r="BP6" s="60"/>
      <c r="BQ6" s="60"/>
      <c r="BR6" s="23"/>
      <c r="BS6" s="59"/>
      <c r="BT6" s="60"/>
      <c r="BU6" s="55"/>
      <c r="BV6" s="55"/>
      <c r="BW6" s="55"/>
      <c r="BX6" s="55"/>
      <c r="BY6" s="60"/>
      <c r="BZ6" s="60"/>
      <c r="CA6" s="13"/>
      <c r="CB6" s="23"/>
      <c r="CC6" s="59"/>
      <c r="CD6" s="60"/>
      <c r="CE6" s="55"/>
      <c r="CF6" s="55"/>
      <c r="CG6" s="55"/>
      <c r="CH6" s="55"/>
      <c r="CI6" s="60"/>
      <c r="CJ6" s="60"/>
      <c r="CK6" s="60"/>
      <c r="CL6" s="23"/>
      <c r="CM6" s="59"/>
      <c r="CN6" s="60"/>
      <c r="CO6" s="55"/>
      <c r="CP6" s="55"/>
      <c r="CQ6" s="55"/>
      <c r="CR6" s="55"/>
      <c r="CS6" s="60"/>
      <c r="CT6" s="66"/>
      <c r="CU6" s="77"/>
      <c r="CV6" s="23"/>
      <c r="CW6" s="59"/>
      <c r="CX6" s="60"/>
      <c r="CY6" s="55"/>
      <c r="CZ6" s="55"/>
      <c r="DA6" s="55"/>
      <c r="DB6" s="55"/>
      <c r="DC6" s="60"/>
      <c r="DD6" s="60"/>
      <c r="DE6" s="59"/>
      <c r="DF6" s="23"/>
      <c r="DG6" s="59"/>
      <c r="DH6" s="60"/>
      <c r="DI6" s="55"/>
      <c r="DJ6" s="55"/>
      <c r="DK6" s="55"/>
      <c r="DL6" s="55"/>
      <c r="DM6" s="60"/>
      <c r="DN6" s="61"/>
      <c r="DO6" s="13"/>
      <c r="DP6" s="23"/>
      <c r="DQ6" s="23"/>
    </row>
    <row r="7" spans="1:121" ht="18.649999999999999" customHeight="1" x14ac:dyDescent="0.35">
      <c r="A7" s="233" t="s">
        <v>111</v>
      </c>
      <c r="B7" s="472"/>
      <c r="E7" s="18">
        <v>44043</v>
      </c>
      <c r="F7" s="73"/>
      <c r="G7" s="135" t="s">
        <v>572</v>
      </c>
      <c r="H7" s="17">
        <v>1072.4000000000001</v>
      </c>
      <c r="I7" s="17"/>
      <c r="J7" s="17">
        <f t="shared" si="1"/>
        <v>1072.4000000000001</v>
      </c>
      <c r="K7" s="73"/>
      <c r="L7" s="19" t="s">
        <v>7</v>
      </c>
      <c r="M7" s="39"/>
      <c r="N7" s="19"/>
      <c r="O7" s="39"/>
      <c r="P7" s="69"/>
      <c r="Q7" s="13"/>
      <c r="R7" s="18">
        <v>43915</v>
      </c>
      <c r="S7" s="19" t="s">
        <v>593</v>
      </c>
      <c r="T7" s="17">
        <v>2294.16</v>
      </c>
      <c r="U7" s="17">
        <v>37.15</v>
      </c>
      <c r="V7" s="17">
        <f t="shared" si="0"/>
        <v>2331.31</v>
      </c>
      <c r="W7" s="139"/>
      <c r="X7" s="139"/>
      <c r="Y7" s="17" t="s">
        <v>3</v>
      </c>
      <c r="Z7" s="39"/>
      <c r="AB7" s="19" t="s">
        <v>78</v>
      </c>
      <c r="AC7" s="18">
        <v>44018</v>
      </c>
      <c r="AE7" s="59"/>
      <c r="AF7" s="60"/>
      <c r="AG7" s="55"/>
      <c r="AH7" s="55"/>
      <c r="AI7" s="55"/>
      <c r="AJ7" s="55"/>
      <c r="AK7" s="60"/>
      <c r="AL7" s="60"/>
      <c r="AM7" s="60"/>
      <c r="AN7" s="23"/>
      <c r="AO7" s="59"/>
      <c r="AP7" s="60"/>
      <c r="AQ7" s="55"/>
      <c r="AR7" s="55"/>
      <c r="AS7" s="55"/>
      <c r="AT7" s="55"/>
      <c r="AU7" s="60"/>
      <c r="AV7" s="60"/>
      <c r="AW7" s="59"/>
      <c r="AX7" s="23"/>
      <c r="AY7" s="59"/>
      <c r="AZ7" s="60"/>
      <c r="BA7" s="55"/>
      <c r="BB7" s="55"/>
      <c r="BC7" s="55"/>
      <c r="BD7" s="55"/>
      <c r="BE7" s="60"/>
      <c r="BF7" s="61"/>
      <c r="BG7" s="13"/>
      <c r="BH7" s="23"/>
      <c r="BI7" s="59"/>
      <c r="BJ7" s="60"/>
      <c r="BK7" s="55"/>
      <c r="BL7" s="55"/>
      <c r="BM7" s="55"/>
      <c r="BN7" s="55"/>
      <c r="BO7" s="60"/>
      <c r="BP7" s="60"/>
      <c r="BQ7" s="60"/>
      <c r="BR7" s="23"/>
      <c r="BS7" s="59"/>
      <c r="BT7" s="60"/>
      <c r="BU7" s="55"/>
      <c r="BV7" s="55"/>
      <c r="BW7" s="55"/>
      <c r="BX7" s="55"/>
      <c r="BY7" s="60"/>
      <c r="BZ7" s="60"/>
      <c r="CA7" s="13"/>
      <c r="CB7" s="23"/>
      <c r="CC7" s="59"/>
      <c r="CD7" s="60"/>
      <c r="CE7" s="55"/>
      <c r="CF7" s="55"/>
      <c r="CG7" s="55"/>
      <c r="CH7" s="55"/>
      <c r="CI7" s="60"/>
      <c r="CJ7" s="60"/>
      <c r="CK7" s="59"/>
      <c r="CL7" s="23"/>
      <c r="CM7" s="59"/>
      <c r="CN7" s="60"/>
      <c r="CO7" s="55"/>
      <c r="CP7" s="55"/>
      <c r="CQ7" s="55"/>
      <c r="CR7" s="55"/>
      <c r="CS7" s="60"/>
      <c r="CT7" s="66"/>
      <c r="CU7" s="77"/>
      <c r="CV7" s="23"/>
      <c r="CW7" s="59"/>
      <c r="CX7" s="60"/>
      <c r="CY7" s="55"/>
      <c r="CZ7" s="55"/>
      <c r="DA7" s="55"/>
      <c r="DB7" s="55"/>
      <c r="DC7" s="60"/>
      <c r="DD7" s="60"/>
      <c r="DE7" s="59"/>
      <c r="DF7" s="23"/>
      <c r="DG7" s="59"/>
      <c r="DH7" s="60"/>
      <c r="DI7" s="55"/>
      <c r="DJ7" s="55"/>
      <c r="DK7" s="55"/>
      <c r="DL7" s="55"/>
      <c r="DM7" s="60"/>
      <c r="DN7" s="61"/>
      <c r="DO7" s="13"/>
      <c r="DP7" s="23"/>
      <c r="DQ7" s="23"/>
    </row>
    <row r="8" spans="1:121" ht="18.649999999999999" customHeight="1" x14ac:dyDescent="0.35">
      <c r="A8" s="233" t="s">
        <v>112</v>
      </c>
      <c r="B8" s="472"/>
      <c r="E8" s="18">
        <v>44035</v>
      </c>
      <c r="F8" s="73"/>
      <c r="G8" s="135" t="s">
        <v>573</v>
      </c>
      <c r="H8" s="36">
        <v>11139.07</v>
      </c>
      <c r="I8" s="36"/>
      <c r="J8" s="17">
        <f t="shared" si="1"/>
        <v>11139.07</v>
      </c>
      <c r="K8" s="73"/>
      <c r="L8" s="11" t="s">
        <v>7</v>
      </c>
      <c r="M8" s="39"/>
      <c r="N8" s="11"/>
      <c r="O8" s="39"/>
      <c r="P8" s="69"/>
      <c r="Q8" s="13"/>
      <c r="R8" s="18">
        <v>43937</v>
      </c>
      <c r="S8" s="19" t="s">
        <v>594</v>
      </c>
      <c r="T8" s="289">
        <v>906.91</v>
      </c>
      <c r="U8" s="40"/>
      <c r="V8" s="17">
        <f t="shared" si="0"/>
        <v>906.91</v>
      </c>
      <c r="W8" s="139"/>
      <c r="X8" s="139"/>
      <c r="Y8" s="40" t="s">
        <v>4</v>
      </c>
      <c r="Z8" s="39"/>
      <c r="AB8" s="60" t="s">
        <v>127</v>
      </c>
      <c r="AC8" s="18">
        <v>44016</v>
      </c>
      <c r="AE8" s="62"/>
      <c r="AF8" s="60"/>
      <c r="AG8" s="55"/>
      <c r="AH8" s="55"/>
      <c r="AI8" s="55"/>
      <c r="AJ8" s="55"/>
      <c r="AK8" s="60"/>
      <c r="AL8" s="78"/>
      <c r="AM8" s="60"/>
      <c r="AN8" s="23"/>
      <c r="AO8" s="62"/>
      <c r="AP8" s="60"/>
      <c r="AQ8" s="55"/>
      <c r="AR8" s="55"/>
      <c r="AS8" s="55"/>
      <c r="AT8" s="55"/>
      <c r="AU8" s="60"/>
      <c r="AV8" s="78"/>
      <c r="AW8" s="60"/>
      <c r="AX8" s="23"/>
      <c r="AY8" s="62"/>
      <c r="AZ8" s="60"/>
      <c r="BA8" s="55"/>
      <c r="BB8" s="55"/>
      <c r="BC8" s="55"/>
      <c r="BD8" s="55"/>
      <c r="BE8" s="60"/>
      <c r="BF8" s="23"/>
      <c r="BG8" s="13"/>
      <c r="BH8" s="23"/>
      <c r="BI8" s="62"/>
      <c r="BJ8" s="60"/>
      <c r="BK8" s="55"/>
      <c r="BL8" s="55"/>
      <c r="BM8" s="55"/>
      <c r="BN8" s="55"/>
      <c r="BO8" s="60"/>
      <c r="BP8" s="78"/>
      <c r="BQ8" s="60"/>
      <c r="BR8" s="23"/>
      <c r="BS8" s="62"/>
      <c r="BT8" s="60"/>
      <c r="BU8" s="55"/>
      <c r="BV8" s="55"/>
      <c r="BW8" s="55"/>
      <c r="BX8" s="55"/>
      <c r="BY8" s="60"/>
      <c r="BZ8" s="78"/>
      <c r="CA8" s="13"/>
      <c r="CB8" s="23"/>
      <c r="CC8" s="62"/>
      <c r="CD8" s="60"/>
      <c r="CE8" s="55"/>
      <c r="CF8" s="55"/>
      <c r="CG8" s="55"/>
      <c r="CH8" s="55"/>
      <c r="CI8" s="60"/>
      <c r="CJ8" s="78"/>
      <c r="CK8" s="59"/>
      <c r="CL8" s="23"/>
      <c r="CM8" s="62"/>
      <c r="CN8" s="60"/>
      <c r="CO8" s="55"/>
      <c r="CP8" s="55"/>
      <c r="CQ8" s="55"/>
      <c r="CR8" s="55"/>
      <c r="CS8" s="60"/>
      <c r="CT8" s="66"/>
      <c r="CU8" s="77"/>
      <c r="CV8" s="23"/>
      <c r="CW8" s="62"/>
      <c r="CX8" s="60"/>
      <c r="CY8" s="55"/>
      <c r="CZ8" s="55"/>
      <c r="DA8" s="55"/>
      <c r="DB8" s="55"/>
      <c r="DC8" s="60"/>
      <c r="DD8" s="78"/>
      <c r="DE8" s="59"/>
      <c r="DF8" s="23"/>
      <c r="DG8" s="62"/>
      <c r="DH8" s="60"/>
      <c r="DI8" s="55"/>
      <c r="DJ8" s="55"/>
      <c r="DK8" s="55"/>
      <c r="DL8" s="55"/>
      <c r="DM8" s="60"/>
      <c r="DN8" s="23"/>
      <c r="DO8" s="13"/>
      <c r="DP8" s="23"/>
      <c r="DQ8" s="23"/>
    </row>
    <row r="9" spans="1:121" ht="18.649999999999999" customHeight="1" x14ac:dyDescent="0.35">
      <c r="A9" s="119" t="s">
        <v>138</v>
      </c>
      <c r="B9" s="472"/>
      <c r="E9" s="18">
        <v>44001</v>
      </c>
      <c r="F9" s="73"/>
      <c r="G9" s="135" t="s">
        <v>574</v>
      </c>
      <c r="H9" s="36">
        <v>31.2</v>
      </c>
      <c r="I9" s="36"/>
      <c r="J9" s="17">
        <f t="shared" si="1"/>
        <v>31.2</v>
      </c>
      <c r="K9" s="73"/>
      <c r="L9" s="11" t="s">
        <v>6</v>
      </c>
      <c r="M9" s="114"/>
      <c r="N9" s="11"/>
      <c r="O9" s="89" t="s">
        <v>78</v>
      </c>
      <c r="P9" s="69">
        <v>44106</v>
      </c>
      <c r="Q9" s="13"/>
      <c r="R9" s="18">
        <v>44002</v>
      </c>
      <c r="S9" s="19" t="s">
        <v>595</v>
      </c>
      <c r="T9" s="17">
        <v>49.51</v>
      </c>
      <c r="U9" s="17">
        <v>30.49</v>
      </c>
      <c r="V9" s="17">
        <f t="shared" si="0"/>
        <v>80</v>
      </c>
      <c r="W9" s="139"/>
      <c r="X9" s="139"/>
      <c r="Y9" s="17" t="s">
        <v>6</v>
      </c>
      <c r="Z9" s="114"/>
      <c r="AB9" s="17" t="s">
        <v>77</v>
      </c>
      <c r="AC9" s="18">
        <v>44002</v>
      </c>
      <c r="AE9" s="59"/>
      <c r="AF9" s="60"/>
      <c r="AG9" s="55"/>
      <c r="AH9" s="55"/>
      <c r="AI9" s="55"/>
      <c r="AJ9" s="55"/>
      <c r="AK9" s="60"/>
      <c r="AL9" s="60"/>
      <c r="AM9" s="60"/>
      <c r="AN9" s="23"/>
      <c r="AO9" s="59"/>
      <c r="AP9" s="60"/>
      <c r="AQ9" s="55"/>
      <c r="AR9" s="55"/>
      <c r="AS9" s="55"/>
      <c r="AT9" s="55"/>
      <c r="AU9" s="60"/>
      <c r="AV9" s="60"/>
      <c r="AW9" s="60"/>
      <c r="AX9" s="23"/>
      <c r="AY9" s="59"/>
      <c r="AZ9" s="60"/>
      <c r="BA9" s="55"/>
      <c r="BB9" s="55"/>
      <c r="BC9" s="55"/>
      <c r="BD9" s="55"/>
      <c r="BE9" s="60"/>
      <c r="BF9" s="61"/>
      <c r="BG9" s="13"/>
      <c r="BH9" s="23"/>
      <c r="BI9" s="59"/>
      <c r="BJ9" s="60"/>
      <c r="BK9" s="55"/>
      <c r="BL9" s="55"/>
      <c r="BM9" s="55"/>
      <c r="BN9" s="55"/>
      <c r="BO9" s="60"/>
      <c r="BP9" s="60"/>
      <c r="BQ9" s="60"/>
      <c r="BR9" s="23"/>
      <c r="BS9" s="59"/>
      <c r="BT9" s="60"/>
      <c r="BU9" s="55"/>
      <c r="BV9" s="55"/>
      <c r="BW9" s="55"/>
      <c r="BX9" s="55"/>
      <c r="BY9" s="60"/>
      <c r="BZ9" s="60"/>
      <c r="CA9" s="13"/>
      <c r="CB9" s="23"/>
      <c r="CC9" s="59"/>
      <c r="CD9" s="60"/>
      <c r="CE9" s="55"/>
      <c r="CF9" s="55"/>
      <c r="CG9" s="55"/>
      <c r="CH9" s="55"/>
      <c r="CI9" s="60"/>
      <c r="CJ9" s="60"/>
      <c r="CK9" s="60"/>
      <c r="CL9" s="23"/>
      <c r="CM9" s="59"/>
      <c r="CN9" s="60"/>
      <c r="CO9" s="55"/>
      <c r="CP9" s="55"/>
      <c r="CQ9" s="55"/>
      <c r="CR9" s="55"/>
      <c r="CS9" s="60"/>
      <c r="CT9" s="66"/>
      <c r="CU9" s="77"/>
      <c r="CV9" s="23"/>
      <c r="CW9" s="59"/>
      <c r="CX9" s="60"/>
      <c r="CY9" s="55"/>
      <c r="CZ9" s="55"/>
      <c r="DA9" s="55"/>
      <c r="DB9" s="55"/>
      <c r="DC9" s="60"/>
      <c r="DD9" s="60"/>
      <c r="DE9" s="59"/>
      <c r="DF9" s="23"/>
      <c r="DG9" s="59"/>
      <c r="DH9" s="60"/>
      <c r="DI9" s="55"/>
      <c r="DJ9" s="55"/>
      <c r="DK9" s="55"/>
      <c r="DL9" s="55"/>
      <c r="DM9" s="60"/>
      <c r="DN9" s="61"/>
      <c r="DO9" s="13"/>
      <c r="DP9" s="23"/>
      <c r="DQ9" s="23"/>
    </row>
    <row r="10" spans="1:121" ht="14.5" customHeight="1" x14ac:dyDescent="0.35">
      <c r="A10" s="233" t="s">
        <v>113</v>
      </c>
      <c r="B10" s="472"/>
      <c r="C10" s="57"/>
      <c r="E10" s="18">
        <v>43839</v>
      </c>
      <c r="F10" s="73"/>
      <c r="G10" s="135" t="s">
        <v>575</v>
      </c>
      <c r="H10" s="17">
        <v>1069.96</v>
      </c>
      <c r="I10" s="17"/>
      <c r="J10" s="17">
        <f t="shared" si="1"/>
        <v>1069.96</v>
      </c>
      <c r="K10" s="73"/>
      <c r="L10" s="19" t="s">
        <v>1</v>
      </c>
      <c r="M10" s="138"/>
      <c r="N10" s="19"/>
      <c r="O10" s="19" t="s">
        <v>78</v>
      </c>
      <c r="P10" s="18">
        <v>43971</v>
      </c>
      <c r="Q10" s="14"/>
      <c r="R10" s="164">
        <v>44006</v>
      </c>
      <c r="S10" s="19" t="s">
        <v>596</v>
      </c>
      <c r="T10" s="17">
        <v>40.51</v>
      </c>
      <c r="U10" s="17">
        <v>21.49</v>
      </c>
      <c r="V10" s="17">
        <f t="shared" si="0"/>
        <v>62</v>
      </c>
      <c r="W10" s="139"/>
      <c r="X10" s="139"/>
      <c r="Y10" s="39" t="s">
        <v>6</v>
      </c>
      <c r="Z10" s="138"/>
      <c r="AB10" s="138" t="s">
        <v>43</v>
      </c>
      <c r="AC10" s="18">
        <v>44006</v>
      </c>
      <c r="AE10" s="59"/>
      <c r="AF10" s="63"/>
      <c r="AG10" s="55"/>
      <c r="AH10" s="55"/>
      <c r="AI10" s="55"/>
      <c r="AJ10" s="55"/>
      <c r="AK10" s="55"/>
      <c r="AL10" s="55"/>
      <c r="AM10" s="55"/>
      <c r="AN10" s="23"/>
      <c r="AO10" s="59"/>
      <c r="AP10" s="60"/>
      <c r="AQ10" s="55"/>
      <c r="AR10" s="55"/>
      <c r="AS10" s="55"/>
      <c r="AT10" s="55"/>
      <c r="AU10" s="55"/>
      <c r="AV10" s="55"/>
      <c r="AW10" s="59"/>
      <c r="AX10" s="23"/>
      <c r="AY10" s="59"/>
      <c r="AZ10" s="63"/>
      <c r="BA10" s="55"/>
      <c r="BB10" s="55"/>
      <c r="BC10" s="55"/>
      <c r="BD10" s="55"/>
      <c r="BE10" s="55"/>
      <c r="BF10" s="55"/>
      <c r="BG10" s="14"/>
      <c r="BH10" s="23"/>
      <c r="BI10" s="59"/>
      <c r="BJ10" s="63"/>
      <c r="BK10" s="55"/>
      <c r="BL10" s="55"/>
      <c r="BM10" s="55"/>
      <c r="BN10" s="55"/>
      <c r="BO10" s="55"/>
      <c r="BP10" s="55"/>
      <c r="BQ10" s="55"/>
      <c r="BR10" s="23"/>
      <c r="BS10" s="59"/>
      <c r="BT10" s="63"/>
      <c r="BU10" s="55"/>
      <c r="BV10" s="55"/>
      <c r="BW10" s="55"/>
      <c r="BX10" s="55"/>
      <c r="BY10" s="55"/>
      <c r="BZ10" s="55"/>
      <c r="CA10" s="14"/>
      <c r="CB10" s="23"/>
      <c r="CC10" s="59"/>
      <c r="CD10" s="63"/>
      <c r="CE10" s="55"/>
      <c r="CF10" s="55"/>
      <c r="CG10" s="55"/>
      <c r="CH10" s="55"/>
      <c r="CI10" s="55"/>
      <c r="CJ10" s="55"/>
      <c r="CK10" s="55"/>
      <c r="CL10" s="23"/>
      <c r="CM10" s="59"/>
      <c r="CN10" s="63"/>
      <c r="CO10" s="55"/>
      <c r="CP10" s="55"/>
      <c r="CQ10" s="55"/>
      <c r="CR10" s="55"/>
      <c r="CS10" s="60"/>
      <c r="CT10" s="66"/>
      <c r="CU10" s="77"/>
      <c r="CV10" s="23"/>
      <c r="CW10" s="59"/>
      <c r="CX10" s="63"/>
      <c r="CY10" s="55"/>
      <c r="CZ10" s="55"/>
      <c r="DA10" s="55"/>
      <c r="DB10" s="55"/>
      <c r="DC10" s="55"/>
      <c r="DD10" s="55"/>
      <c r="DE10" s="59"/>
      <c r="DF10" s="23"/>
      <c r="DG10" s="59"/>
      <c r="DH10" s="63"/>
      <c r="DI10" s="55"/>
      <c r="DJ10" s="55"/>
      <c r="DK10" s="55"/>
      <c r="DL10" s="55"/>
      <c r="DM10" s="55"/>
      <c r="DN10" s="55"/>
      <c r="DO10" s="14"/>
      <c r="DP10" s="23"/>
      <c r="DQ10" s="23"/>
    </row>
    <row r="11" spans="1:121" ht="38.5" customHeight="1" thickBot="1" x14ac:dyDescent="0.4">
      <c r="A11" s="234" t="s">
        <v>115</v>
      </c>
      <c r="B11" s="474"/>
      <c r="C11" s="57"/>
      <c r="E11" s="18">
        <v>43847</v>
      </c>
      <c r="F11" s="73"/>
      <c r="G11" s="135" t="s">
        <v>576</v>
      </c>
      <c r="H11" s="36">
        <v>5448.24</v>
      </c>
      <c r="I11" s="36"/>
      <c r="J11" s="17">
        <f t="shared" si="1"/>
        <v>5448.24</v>
      </c>
      <c r="K11" s="73"/>
      <c r="L11" s="11" t="s">
        <v>1</v>
      </c>
      <c r="M11" s="138"/>
      <c r="N11" s="11"/>
      <c r="O11" s="140" t="s">
        <v>88</v>
      </c>
      <c r="P11" s="141" t="s">
        <v>89</v>
      </c>
      <c r="Q11" s="15"/>
      <c r="R11" s="18">
        <v>44012</v>
      </c>
      <c r="S11" s="19" t="s">
        <v>597</v>
      </c>
      <c r="T11" s="17">
        <v>31</v>
      </c>
      <c r="U11" s="88">
        <v>2.64</v>
      </c>
      <c r="V11" s="17">
        <f t="shared" si="0"/>
        <v>33.64</v>
      </c>
      <c r="W11" s="139"/>
      <c r="X11" s="139"/>
      <c r="Y11" s="88" t="s">
        <v>6</v>
      </c>
      <c r="Z11" s="138"/>
      <c r="AB11" s="39" t="s">
        <v>58</v>
      </c>
      <c r="AC11" s="89">
        <v>44043</v>
      </c>
      <c r="AE11" s="59"/>
      <c r="AF11" s="64"/>
      <c r="AG11" s="55"/>
      <c r="AH11" s="65"/>
      <c r="AI11" s="55"/>
      <c r="AJ11" s="65"/>
      <c r="AK11" s="64"/>
      <c r="AL11" s="66"/>
      <c r="AM11" s="64"/>
      <c r="AN11" s="23"/>
      <c r="AO11" s="59"/>
      <c r="AP11" s="60"/>
      <c r="AQ11" s="55"/>
      <c r="AR11" s="65"/>
      <c r="AS11" s="55"/>
      <c r="AT11" s="65"/>
      <c r="AU11" s="64"/>
      <c r="AV11" s="66"/>
      <c r="AW11" s="77"/>
      <c r="AX11" s="23"/>
      <c r="AY11" s="59"/>
      <c r="AZ11" s="64"/>
      <c r="BA11" s="55"/>
      <c r="BB11" s="65"/>
      <c r="BC11" s="55"/>
      <c r="BD11" s="65"/>
      <c r="BE11" s="64"/>
      <c r="BF11" s="66"/>
      <c r="BG11" s="15"/>
      <c r="BH11" s="23"/>
      <c r="BI11" s="59"/>
      <c r="BJ11" s="64"/>
      <c r="BK11" s="55"/>
      <c r="BL11" s="65"/>
      <c r="BM11" s="55"/>
      <c r="BN11" s="65"/>
      <c r="BO11" s="64"/>
      <c r="BP11" s="66"/>
      <c r="BQ11" s="64"/>
      <c r="BR11" s="23"/>
      <c r="BS11" s="59"/>
      <c r="BT11" s="64"/>
      <c r="BU11" s="55"/>
      <c r="BV11" s="65"/>
      <c r="BW11" s="55"/>
      <c r="BX11" s="65"/>
      <c r="BY11" s="64"/>
      <c r="BZ11" s="66"/>
      <c r="CA11" s="15"/>
      <c r="CB11" s="23"/>
      <c r="CC11" s="59"/>
      <c r="CD11" s="64"/>
      <c r="CE11" s="55"/>
      <c r="CF11" s="65"/>
      <c r="CG11" s="55"/>
      <c r="CH11" s="65"/>
      <c r="CI11" s="64"/>
      <c r="CJ11" s="66"/>
      <c r="CK11" s="64"/>
      <c r="CL11" s="23"/>
      <c r="CM11" s="59"/>
      <c r="CN11" s="64"/>
      <c r="CO11" s="55"/>
      <c r="CP11" s="65"/>
      <c r="CQ11" s="55"/>
      <c r="CR11" s="65"/>
      <c r="CS11" s="60"/>
      <c r="CT11" s="66"/>
      <c r="CU11" s="77"/>
      <c r="CV11" s="23"/>
      <c r="CW11" s="59"/>
      <c r="CX11" s="64"/>
      <c r="CY11" s="55"/>
      <c r="CZ11" s="65"/>
      <c r="DA11" s="55"/>
      <c r="DB11" s="65"/>
      <c r="DC11" s="60"/>
      <c r="DD11" s="66"/>
      <c r="DE11" s="77"/>
      <c r="DF11" s="23"/>
      <c r="DG11" s="59"/>
      <c r="DH11" s="64"/>
      <c r="DI11" s="55"/>
      <c r="DJ11" s="65"/>
      <c r="DK11" s="55"/>
      <c r="DL11" s="65"/>
      <c r="DM11" s="64"/>
      <c r="DN11" s="66"/>
      <c r="DO11" s="15"/>
      <c r="DP11" s="23"/>
      <c r="DQ11" s="23"/>
    </row>
    <row r="12" spans="1:121" ht="21" customHeight="1" x14ac:dyDescent="0.35">
      <c r="A12" s="232" t="s">
        <v>116</v>
      </c>
      <c r="B12" s="471" t="s">
        <v>71</v>
      </c>
      <c r="C12" s="44"/>
      <c r="E12" s="18">
        <v>44000</v>
      </c>
      <c r="F12" s="73"/>
      <c r="G12" s="135" t="s">
        <v>577</v>
      </c>
      <c r="H12" s="17">
        <v>1183.1300000000001</v>
      </c>
      <c r="I12" s="17"/>
      <c r="J12" s="17">
        <f t="shared" si="1"/>
        <v>1183.1300000000001</v>
      </c>
      <c r="K12" s="73"/>
      <c r="L12" s="19" t="s">
        <v>6</v>
      </c>
      <c r="M12" s="95"/>
      <c r="N12" s="19"/>
      <c r="O12" s="89" t="s">
        <v>78</v>
      </c>
      <c r="P12" s="69">
        <v>44106</v>
      </c>
      <c r="Q12" s="15"/>
      <c r="R12" s="18">
        <v>44012</v>
      </c>
      <c r="S12" s="19" t="s">
        <v>598</v>
      </c>
      <c r="T12" s="17">
        <v>105.25</v>
      </c>
      <c r="U12" s="88"/>
      <c r="V12" s="17">
        <f t="shared" si="0"/>
        <v>105.25</v>
      </c>
      <c r="W12" s="139"/>
      <c r="X12" s="139"/>
      <c r="Y12" s="88" t="s">
        <v>6</v>
      </c>
      <c r="Z12" s="95"/>
      <c r="AB12" s="39" t="s">
        <v>58</v>
      </c>
      <c r="AC12" s="89">
        <v>44043</v>
      </c>
      <c r="AD12" s="23"/>
      <c r="AE12" s="59"/>
      <c r="AF12" s="64"/>
      <c r="AG12" s="55"/>
      <c r="AH12" s="65"/>
      <c r="AI12" s="55"/>
      <c r="AJ12" s="65"/>
      <c r="AK12" s="64"/>
      <c r="AL12" s="66"/>
      <c r="AM12" s="64"/>
      <c r="AN12" s="23"/>
      <c r="AO12" s="59"/>
      <c r="AP12" s="60"/>
      <c r="AQ12" s="55"/>
      <c r="AR12" s="65"/>
      <c r="AS12" s="55"/>
      <c r="AT12" s="65"/>
      <c r="AU12" s="64"/>
      <c r="AV12" s="66"/>
      <c r="AW12" s="59"/>
      <c r="AX12" s="23"/>
      <c r="AY12" s="59"/>
      <c r="AZ12" s="64"/>
      <c r="BA12" s="55"/>
      <c r="BB12" s="65"/>
      <c r="BC12" s="55"/>
      <c r="BD12" s="65"/>
      <c r="BE12" s="64"/>
      <c r="BF12" s="66"/>
      <c r="BG12" s="15"/>
      <c r="BH12" s="23"/>
      <c r="BI12" s="59"/>
      <c r="BJ12" s="64"/>
      <c r="BK12" s="55"/>
      <c r="BL12" s="65"/>
      <c r="BM12" s="55"/>
      <c r="BN12" s="65"/>
      <c r="BO12" s="64"/>
      <c r="BP12" s="66"/>
      <c r="BQ12" s="64"/>
      <c r="BR12" s="23"/>
      <c r="BS12" s="59"/>
      <c r="BT12" s="64"/>
      <c r="BU12" s="55"/>
      <c r="BV12" s="65"/>
      <c r="BW12" s="55"/>
      <c r="BX12" s="65"/>
      <c r="BY12" s="64"/>
      <c r="BZ12" s="66"/>
      <c r="CA12" s="15"/>
      <c r="CB12" s="23"/>
      <c r="CC12" s="59"/>
      <c r="CD12" s="64"/>
      <c r="CE12" s="55"/>
      <c r="CF12" s="65"/>
      <c r="CG12" s="55"/>
      <c r="CH12" s="65"/>
      <c r="CI12" s="64"/>
      <c r="CJ12" s="66"/>
      <c r="CK12" s="64"/>
      <c r="CL12" s="23"/>
      <c r="CM12" s="59"/>
      <c r="CN12" s="64"/>
      <c r="CO12" s="55"/>
      <c r="CP12" s="65"/>
      <c r="CQ12" s="55"/>
      <c r="CR12" s="65"/>
      <c r="CS12" s="60"/>
      <c r="CT12" s="66"/>
      <c r="CU12" s="77"/>
      <c r="CV12" s="23"/>
      <c r="CW12" s="59"/>
      <c r="CX12" s="64"/>
      <c r="CY12" s="55"/>
      <c r="CZ12" s="65"/>
      <c r="DA12" s="55"/>
      <c r="DB12" s="65"/>
      <c r="DC12" s="55"/>
      <c r="DD12" s="66"/>
      <c r="DE12" s="77"/>
      <c r="DF12" s="23"/>
      <c r="DG12" s="59"/>
      <c r="DH12" s="64"/>
      <c r="DI12" s="55"/>
      <c r="DJ12" s="65"/>
      <c r="DK12" s="55"/>
      <c r="DL12" s="65"/>
      <c r="DM12" s="64"/>
      <c r="DN12" s="66"/>
      <c r="DO12" s="15"/>
      <c r="DP12" s="23"/>
      <c r="DQ12" s="23"/>
    </row>
    <row r="13" spans="1:121" x14ac:dyDescent="0.35">
      <c r="A13" s="119" t="s">
        <v>139</v>
      </c>
      <c r="B13" s="472"/>
      <c r="C13" s="43"/>
      <c r="E13" s="18">
        <v>43998</v>
      </c>
      <c r="F13" s="73"/>
      <c r="G13" s="135" t="s">
        <v>578</v>
      </c>
      <c r="H13" s="88">
        <v>306</v>
      </c>
      <c r="I13" s="88"/>
      <c r="J13" s="17">
        <f t="shared" si="1"/>
        <v>306</v>
      </c>
      <c r="K13" s="73"/>
      <c r="L13" s="39" t="s">
        <v>6</v>
      </c>
      <c r="M13" s="138"/>
      <c r="N13" s="39"/>
      <c r="O13" s="39" t="s">
        <v>78</v>
      </c>
      <c r="P13" s="69">
        <v>44110</v>
      </c>
      <c r="Q13" s="15"/>
      <c r="R13" s="18">
        <v>44022</v>
      </c>
      <c r="S13" s="19" t="s">
        <v>599</v>
      </c>
      <c r="T13" s="17">
        <v>21.51</v>
      </c>
      <c r="U13" s="17">
        <v>6.49</v>
      </c>
      <c r="V13" s="17">
        <f t="shared" si="0"/>
        <v>28</v>
      </c>
      <c r="W13" s="139"/>
      <c r="X13" s="139"/>
      <c r="Y13" s="17" t="s">
        <v>7</v>
      </c>
      <c r="Z13" s="138"/>
      <c r="AB13" s="19" t="s">
        <v>77</v>
      </c>
      <c r="AC13" s="18">
        <v>44021</v>
      </c>
      <c r="AD13" s="23"/>
      <c r="AE13" s="59"/>
      <c r="AF13" s="64"/>
      <c r="AG13" s="55"/>
      <c r="AH13" s="65"/>
      <c r="AI13" s="55"/>
      <c r="AJ13" s="65"/>
      <c r="AK13" s="64"/>
      <c r="AL13" s="66"/>
      <c r="AM13" s="64"/>
      <c r="AN13" s="23"/>
      <c r="AO13" s="59"/>
      <c r="AP13" s="60"/>
      <c r="AQ13" s="55"/>
      <c r="AR13" s="65"/>
      <c r="AS13" s="55"/>
      <c r="AT13" s="65"/>
      <c r="AU13" s="64"/>
      <c r="AV13" s="66"/>
      <c r="AW13" s="77"/>
      <c r="AX13" s="23"/>
      <c r="AY13" s="59"/>
      <c r="AZ13" s="64"/>
      <c r="BA13" s="55"/>
      <c r="BB13" s="65"/>
      <c r="BC13" s="55"/>
      <c r="BD13" s="65"/>
      <c r="BE13" s="64"/>
      <c r="BF13" s="66"/>
      <c r="BG13" s="15"/>
      <c r="BH13" s="23"/>
      <c r="BI13" s="59"/>
      <c r="BJ13" s="64"/>
      <c r="BK13" s="55"/>
      <c r="BL13" s="65"/>
      <c r="BM13" s="55"/>
      <c r="BN13" s="65"/>
      <c r="BO13" s="64"/>
      <c r="BP13" s="66"/>
      <c r="BQ13" s="64"/>
      <c r="BR13" s="23"/>
      <c r="BS13" s="59"/>
      <c r="BT13" s="64"/>
      <c r="BU13" s="55"/>
      <c r="BV13" s="65"/>
      <c r="BW13" s="55"/>
      <c r="BX13" s="65"/>
      <c r="BY13" s="64"/>
      <c r="BZ13" s="66"/>
      <c r="CA13" s="15"/>
      <c r="CB13" s="23"/>
      <c r="CC13" s="59"/>
      <c r="CD13" s="64"/>
      <c r="CE13" s="55"/>
      <c r="CF13" s="65"/>
      <c r="CG13" s="55"/>
      <c r="CH13" s="65"/>
      <c r="CI13" s="64"/>
      <c r="CJ13" s="66"/>
      <c r="CK13" s="64"/>
      <c r="CL13" s="23"/>
      <c r="CM13" s="59"/>
      <c r="CN13" s="64"/>
      <c r="CO13" s="55"/>
      <c r="CP13" s="65"/>
      <c r="CQ13" s="55"/>
      <c r="CR13" s="65"/>
      <c r="CS13" s="64"/>
      <c r="CT13" s="66"/>
      <c r="CU13" s="77"/>
      <c r="CV13" s="23"/>
      <c r="CW13" s="59"/>
      <c r="CX13" s="64"/>
      <c r="CY13" s="55"/>
      <c r="CZ13" s="65"/>
      <c r="DA13" s="55"/>
      <c r="DB13" s="65"/>
      <c r="DC13" s="60"/>
      <c r="DD13" s="66"/>
      <c r="DE13" s="77"/>
      <c r="DF13" s="23"/>
      <c r="DG13" s="59"/>
      <c r="DH13" s="64"/>
      <c r="DI13" s="55"/>
      <c r="DJ13" s="65"/>
      <c r="DK13" s="55"/>
      <c r="DL13" s="65"/>
      <c r="DM13" s="64"/>
      <c r="DN13" s="66"/>
      <c r="DO13" s="15"/>
      <c r="DP13" s="23"/>
      <c r="DQ13" s="23"/>
    </row>
    <row r="14" spans="1:121" s="8" customFormat="1" x14ac:dyDescent="0.35">
      <c r="A14" s="119" t="s">
        <v>117</v>
      </c>
      <c r="B14" s="472"/>
      <c r="C14" s="43"/>
      <c r="E14" s="249">
        <v>43998</v>
      </c>
      <c r="F14" s="163"/>
      <c r="G14" s="135" t="s">
        <v>579</v>
      </c>
      <c r="H14" s="36">
        <v>211.22</v>
      </c>
      <c r="I14" s="36"/>
      <c r="J14" s="17">
        <f t="shared" si="1"/>
        <v>211.22</v>
      </c>
      <c r="K14" s="163"/>
      <c r="L14" s="11" t="s">
        <v>6</v>
      </c>
      <c r="M14" s="138"/>
      <c r="N14" s="11"/>
      <c r="O14" s="39" t="s">
        <v>78</v>
      </c>
      <c r="P14" s="89">
        <v>44090</v>
      </c>
      <c r="Q14" s="169"/>
      <c r="R14" s="18">
        <v>44026</v>
      </c>
      <c r="S14" s="19" t="s">
        <v>600</v>
      </c>
      <c r="T14" s="17">
        <v>134</v>
      </c>
      <c r="U14" s="88"/>
      <c r="V14" s="17">
        <f t="shared" si="0"/>
        <v>134</v>
      </c>
      <c r="W14" s="139"/>
      <c r="X14" s="139"/>
      <c r="Y14" s="88" t="s">
        <v>7</v>
      </c>
      <c r="Z14" s="138"/>
      <c r="AB14" s="39" t="s">
        <v>54</v>
      </c>
      <c r="AC14" s="89">
        <v>44026</v>
      </c>
      <c r="AD14" s="67"/>
      <c r="AE14" s="59"/>
      <c r="AF14" s="66"/>
      <c r="AG14" s="55"/>
      <c r="AH14" s="181"/>
      <c r="AI14" s="55"/>
      <c r="AJ14" s="181"/>
      <c r="AK14" s="66"/>
      <c r="AL14" s="66"/>
      <c r="AM14" s="66"/>
      <c r="AN14" s="67"/>
      <c r="AO14" s="59"/>
      <c r="AP14" s="60"/>
      <c r="AQ14" s="55"/>
      <c r="AR14" s="181"/>
      <c r="AS14" s="55"/>
      <c r="AT14" s="181"/>
      <c r="AU14" s="66"/>
      <c r="AV14" s="66"/>
      <c r="AW14" s="59"/>
      <c r="AX14" s="67"/>
      <c r="AY14" s="59"/>
      <c r="AZ14" s="66"/>
      <c r="BA14" s="55"/>
      <c r="BB14" s="181"/>
      <c r="BC14" s="55"/>
      <c r="BD14" s="181"/>
      <c r="BE14" s="66"/>
      <c r="BF14" s="66"/>
      <c r="BG14" s="169"/>
      <c r="BH14" s="67"/>
      <c r="BI14" s="59"/>
      <c r="BJ14" s="66"/>
      <c r="BK14" s="55"/>
      <c r="BL14" s="181"/>
      <c r="BM14" s="55"/>
      <c r="BN14" s="181"/>
      <c r="BO14" s="66"/>
      <c r="BP14" s="66"/>
      <c r="BQ14" s="66"/>
      <c r="BR14" s="67"/>
      <c r="BS14" s="59"/>
      <c r="BT14" s="66"/>
      <c r="BU14" s="55"/>
      <c r="BV14" s="181"/>
      <c r="BW14" s="55"/>
      <c r="BX14" s="181"/>
      <c r="BY14" s="66"/>
      <c r="BZ14" s="66"/>
      <c r="CA14" s="169"/>
      <c r="CB14" s="67"/>
      <c r="CC14" s="59"/>
      <c r="CD14" s="66"/>
      <c r="CE14" s="55"/>
      <c r="CF14" s="181"/>
      <c r="CG14" s="55"/>
      <c r="CH14" s="181"/>
      <c r="CI14" s="66"/>
      <c r="CJ14" s="66"/>
      <c r="CK14" s="66"/>
      <c r="CL14" s="67"/>
      <c r="CM14" s="59"/>
      <c r="CN14" s="66"/>
      <c r="CO14" s="181"/>
      <c r="CP14" s="181"/>
      <c r="CQ14" s="55"/>
      <c r="CR14" s="181"/>
      <c r="CS14" s="66"/>
      <c r="CT14" s="66"/>
      <c r="CU14" s="250"/>
      <c r="CV14" s="67"/>
      <c r="CW14" s="59"/>
      <c r="CX14" s="66"/>
      <c r="CY14" s="55"/>
      <c r="CZ14" s="181"/>
      <c r="DA14" s="55"/>
      <c r="DB14" s="181"/>
      <c r="DC14" s="55"/>
      <c r="DD14" s="66"/>
      <c r="DE14" s="250"/>
      <c r="DF14" s="67"/>
      <c r="DG14" s="59"/>
      <c r="DH14" s="66"/>
      <c r="DI14" s="55"/>
      <c r="DJ14" s="181"/>
      <c r="DK14" s="55"/>
      <c r="DL14" s="181"/>
      <c r="DM14" s="66"/>
      <c r="DN14" s="66"/>
      <c r="DO14" s="169"/>
      <c r="DP14" s="67"/>
      <c r="DQ14" s="67"/>
    </row>
    <row r="15" spans="1:121" ht="15" thickBot="1" x14ac:dyDescent="0.4">
      <c r="A15" s="120" t="s">
        <v>98</v>
      </c>
      <c r="B15" s="473"/>
      <c r="C15" s="43"/>
      <c r="E15" s="18">
        <v>43881</v>
      </c>
      <c r="F15" s="73"/>
      <c r="G15" s="135" t="s">
        <v>580</v>
      </c>
      <c r="H15" s="36">
        <v>1690.01</v>
      </c>
      <c r="I15" s="36">
        <v>88</v>
      </c>
      <c r="J15" s="17">
        <f t="shared" si="1"/>
        <v>1778.01</v>
      </c>
      <c r="K15" s="73"/>
      <c r="L15" s="11" t="s">
        <v>2</v>
      </c>
      <c r="M15" s="39"/>
      <c r="N15" s="11"/>
      <c r="O15" s="39" t="s">
        <v>78</v>
      </c>
      <c r="P15" s="69">
        <v>43994</v>
      </c>
      <c r="Q15" s="15"/>
      <c r="R15" s="18">
        <v>44043</v>
      </c>
      <c r="S15" s="19" t="s">
        <v>601</v>
      </c>
      <c r="T15" s="17">
        <v>53</v>
      </c>
      <c r="U15" s="88">
        <v>4.5</v>
      </c>
      <c r="V15" s="17">
        <f t="shared" si="0"/>
        <v>57.5</v>
      </c>
      <c r="W15" s="88"/>
      <c r="X15" s="88"/>
      <c r="Y15" s="39" t="s">
        <v>7</v>
      </c>
      <c r="Z15" s="39"/>
      <c r="AB15" s="39" t="s">
        <v>58</v>
      </c>
      <c r="AC15" s="89">
        <v>44074</v>
      </c>
      <c r="AD15" s="23"/>
      <c r="AE15" s="59"/>
      <c r="AF15" s="64"/>
      <c r="AG15" s="65"/>
      <c r="AH15" s="65"/>
      <c r="AI15" s="55"/>
      <c r="AJ15" s="65"/>
      <c r="AK15" s="64"/>
      <c r="AL15" s="66"/>
      <c r="AM15" s="64"/>
      <c r="AN15" s="23"/>
      <c r="AO15" s="59"/>
      <c r="AP15" s="60"/>
      <c r="AQ15" s="65"/>
      <c r="AR15" s="65"/>
      <c r="AS15" s="55"/>
      <c r="AT15" s="65"/>
      <c r="AU15" s="64"/>
      <c r="AV15" s="66"/>
      <c r="AW15" s="77"/>
      <c r="AX15" s="23"/>
      <c r="AY15" s="59"/>
      <c r="AZ15" s="64"/>
      <c r="BA15" s="65"/>
      <c r="BB15" s="65"/>
      <c r="BC15" s="55"/>
      <c r="BD15" s="65"/>
      <c r="BE15" s="64"/>
      <c r="BF15" s="66"/>
      <c r="BG15" s="15"/>
      <c r="BH15" s="23"/>
      <c r="BI15" s="59"/>
      <c r="BJ15" s="64"/>
      <c r="BK15" s="65"/>
      <c r="BL15" s="65"/>
      <c r="BM15" s="55"/>
      <c r="BN15" s="65"/>
      <c r="BO15" s="64"/>
      <c r="BP15" s="66"/>
      <c r="BQ15" s="64"/>
      <c r="BR15" s="23"/>
      <c r="BS15" s="59"/>
      <c r="BT15" s="64"/>
      <c r="BU15" s="65"/>
      <c r="BV15" s="65"/>
      <c r="BW15" s="55"/>
      <c r="BX15" s="65"/>
      <c r="BY15" s="64"/>
      <c r="BZ15" s="66"/>
      <c r="CA15" s="15"/>
      <c r="CB15" s="23"/>
      <c r="CC15" s="59"/>
      <c r="CD15" s="64"/>
      <c r="CE15" s="65"/>
      <c r="CF15" s="65"/>
      <c r="CG15" s="55"/>
      <c r="CH15" s="65"/>
      <c r="CI15" s="64"/>
      <c r="CJ15" s="66"/>
      <c r="CK15" s="64"/>
      <c r="CL15" s="23"/>
      <c r="CM15" s="59"/>
      <c r="CN15" s="64"/>
      <c r="CO15" s="55"/>
      <c r="CP15" s="65"/>
      <c r="CQ15" s="55"/>
      <c r="CR15" s="65"/>
      <c r="CS15" s="64"/>
      <c r="CT15" s="66"/>
      <c r="CU15" s="77"/>
      <c r="CV15" s="23"/>
      <c r="CW15" s="59"/>
      <c r="CX15" s="64"/>
      <c r="CY15" s="65"/>
      <c r="CZ15" s="65"/>
      <c r="DA15" s="55"/>
      <c r="DB15" s="65"/>
      <c r="DC15" s="60"/>
      <c r="DD15" s="66"/>
      <c r="DE15" s="77"/>
      <c r="DF15" s="23"/>
      <c r="DG15" s="59"/>
      <c r="DH15" s="64"/>
      <c r="DI15" s="65"/>
      <c r="DJ15" s="65"/>
      <c r="DK15" s="55"/>
      <c r="DL15" s="65"/>
      <c r="DM15" s="64"/>
      <c r="DN15" s="66"/>
      <c r="DO15" s="15"/>
      <c r="DP15" s="23"/>
      <c r="DQ15" s="23"/>
    </row>
    <row r="16" spans="1:121" ht="14.5" customHeight="1" x14ac:dyDescent="0.35">
      <c r="C16" s="43"/>
      <c r="E16" s="161">
        <v>43881</v>
      </c>
      <c r="F16" s="73"/>
      <c r="G16" s="135" t="s">
        <v>581</v>
      </c>
      <c r="H16" s="288">
        <v>-1111.2</v>
      </c>
      <c r="I16" s="288"/>
      <c r="J16" s="162">
        <f t="shared" si="1"/>
        <v>-1111.2</v>
      </c>
      <c r="K16" s="73"/>
      <c r="L16" s="94" t="s">
        <v>2</v>
      </c>
      <c r="M16" s="19"/>
      <c r="N16" s="94"/>
      <c r="O16" s="167" t="s">
        <v>78</v>
      </c>
      <c r="P16" s="282">
        <v>43994</v>
      </c>
      <c r="Q16" s="15"/>
      <c r="R16" s="18">
        <v>44047</v>
      </c>
      <c r="S16" s="19" t="s">
        <v>602</v>
      </c>
      <c r="T16" s="17">
        <v>24</v>
      </c>
      <c r="U16" s="88"/>
      <c r="V16" s="17">
        <f t="shared" si="0"/>
        <v>24</v>
      </c>
      <c r="W16" s="139"/>
      <c r="X16" s="139"/>
      <c r="Y16" s="88" t="s">
        <v>8</v>
      </c>
      <c r="Z16" s="19"/>
      <c r="AB16" s="39" t="s">
        <v>43</v>
      </c>
      <c r="AC16" s="89">
        <v>44048</v>
      </c>
      <c r="AD16" s="23"/>
      <c r="AE16" s="59"/>
      <c r="AF16" s="64"/>
      <c r="AG16" s="55"/>
      <c r="AH16" s="65"/>
      <c r="AI16" s="55"/>
      <c r="AJ16" s="65"/>
      <c r="AK16" s="64"/>
      <c r="AL16" s="66"/>
      <c r="AM16" s="64"/>
      <c r="AN16" s="23"/>
      <c r="AO16" s="59"/>
      <c r="AP16" s="64"/>
      <c r="AQ16" s="55"/>
      <c r="AR16" s="65"/>
      <c r="AS16" s="55"/>
      <c r="AT16" s="65"/>
      <c r="AU16" s="64"/>
      <c r="AV16" s="66"/>
      <c r="AW16" s="64"/>
      <c r="AX16" s="23"/>
      <c r="AY16" s="59"/>
      <c r="AZ16" s="64"/>
      <c r="BA16" s="55"/>
      <c r="BB16" s="65"/>
      <c r="BC16" s="55"/>
      <c r="BD16" s="65"/>
      <c r="BE16" s="64"/>
      <c r="BF16" s="66"/>
      <c r="BG16" s="15"/>
      <c r="BH16" s="23"/>
      <c r="BI16" s="59"/>
      <c r="BJ16" s="64"/>
      <c r="BK16" s="55"/>
      <c r="BL16" s="65"/>
      <c r="BM16" s="55"/>
      <c r="BN16" s="65"/>
      <c r="BO16" s="64"/>
      <c r="BP16" s="66"/>
      <c r="BQ16" s="64"/>
      <c r="BR16" s="23"/>
      <c r="BS16" s="59"/>
      <c r="BT16" s="64"/>
      <c r="BU16" s="55"/>
      <c r="BV16" s="65"/>
      <c r="BW16" s="55"/>
      <c r="BX16" s="65"/>
      <c r="BY16" s="64"/>
      <c r="BZ16" s="66"/>
      <c r="CA16" s="15"/>
      <c r="CB16" s="23"/>
      <c r="CC16" s="59"/>
      <c r="CD16" s="64"/>
      <c r="CE16" s="55"/>
      <c r="CF16" s="65"/>
      <c r="CG16" s="55"/>
      <c r="CH16" s="65"/>
      <c r="CI16" s="64"/>
      <c r="CJ16" s="66"/>
      <c r="CK16" s="64"/>
      <c r="CL16" s="23"/>
      <c r="CM16" s="59"/>
      <c r="CN16" s="64"/>
      <c r="CO16" s="55"/>
      <c r="CP16" s="65"/>
      <c r="CQ16" s="55"/>
      <c r="CR16" s="65"/>
      <c r="CS16" s="64"/>
      <c r="CT16" s="66"/>
      <c r="CU16" s="77"/>
      <c r="CV16" s="23"/>
      <c r="CW16" s="59"/>
      <c r="CX16" s="64"/>
      <c r="CY16" s="55"/>
      <c r="CZ16" s="65"/>
      <c r="DA16" s="55"/>
      <c r="DB16" s="65"/>
      <c r="DC16" s="60"/>
      <c r="DD16" s="66"/>
      <c r="DE16" s="77"/>
      <c r="DF16" s="23"/>
      <c r="DG16" s="59"/>
      <c r="DH16" s="64"/>
      <c r="DI16" s="55"/>
      <c r="DJ16" s="65"/>
      <c r="DK16" s="55"/>
      <c r="DL16" s="65"/>
      <c r="DM16" s="64"/>
      <c r="DN16" s="66"/>
      <c r="DO16" s="15"/>
      <c r="DP16" s="23"/>
      <c r="DQ16" s="23"/>
    </row>
    <row r="17" spans="1:121" ht="15" customHeight="1" x14ac:dyDescent="0.35">
      <c r="C17" s="43"/>
      <c r="E17" s="161">
        <v>43881</v>
      </c>
      <c r="F17" s="73"/>
      <c r="G17" s="135" t="s">
        <v>582</v>
      </c>
      <c r="H17" s="162">
        <v>-613.79999999999995</v>
      </c>
      <c r="I17" s="162"/>
      <c r="J17" s="162">
        <f t="shared" si="1"/>
        <v>-613.79999999999995</v>
      </c>
      <c r="K17" s="73"/>
      <c r="L17" s="95" t="s">
        <v>2</v>
      </c>
      <c r="M17" s="138"/>
      <c r="N17" s="95"/>
      <c r="O17" s="167" t="s">
        <v>78</v>
      </c>
      <c r="P17" s="282">
        <v>43994</v>
      </c>
      <c r="Q17" s="15"/>
      <c r="R17" s="18">
        <v>44056</v>
      </c>
      <c r="S17" s="19" t="s">
        <v>603</v>
      </c>
      <c r="T17" s="88">
        <v>128</v>
      </c>
      <c r="U17" s="88"/>
      <c r="V17" s="17">
        <f t="shared" si="0"/>
        <v>128</v>
      </c>
      <c r="W17" s="88"/>
      <c r="X17" s="88"/>
      <c r="Y17" s="39" t="s">
        <v>8</v>
      </c>
      <c r="Z17" s="138"/>
      <c r="AB17" s="39" t="s">
        <v>54</v>
      </c>
      <c r="AC17" s="89">
        <v>44056</v>
      </c>
      <c r="AD17" s="23"/>
      <c r="AE17" s="59"/>
      <c r="AF17" s="64"/>
      <c r="AG17" s="55"/>
      <c r="AH17" s="65"/>
      <c r="AI17" s="55"/>
      <c r="AJ17" s="65"/>
      <c r="AK17" s="64"/>
      <c r="AL17" s="66"/>
      <c r="AM17" s="64"/>
      <c r="AN17" s="23"/>
      <c r="AO17" s="59"/>
      <c r="AP17" s="64"/>
      <c r="AQ17" s="55"/>
      <c r="AR17" s="65"/>
      <c r="AS17" s="55"/>
      <c r="AT17" s="65"/>
      <c r="AU17" s="64"/>
      <c r="AV17" s="66"/>
      <c r="AW17" s="64"/>
      <c r="AX17" s="23"/>
      <c r="AY17" s="59"/>
      <c r="AZ17" s="64"/>
      <c r="BA17" s="55"/>
      <c r="BB17" s="65"/>
      <c r="BC17" s="55"/>
      <c r="BD17" s="65"/>
      <c r="BE17" s="64"/>
      <c r="BF17" s="66"/>
      <c r="BG17" s="15"/>
      <c r="BH17" s="23"/>
      <c r="BI17" s="59"/>
      <c r="BJ17" s="64"/>
      <c r="BK17" s="55"/>
      <c r="BL17" s="65"/>
      <c r="BM17" s="55"/>
      <c r="BN17" s="65"/>
      <c r="BO17" s="64"/>
      <c r="BP17" s="66"/>
      <c r="BQ17" s="64"/>
      <c r="BR17" s="23"/>
      <c r="BS17" s="59"/>
      <c r="BT17" s="64"/>
      <c r="BU17" s="55"/>
      <c r="BV17" s="65"/>
      <c r="BW17" s="55"/>
      <c r="BX17" s="65"/>
      <c r="BY17" s="64"/>
      <c r="BZ17" s="66"/>
      <c r="CA17" s="15"/>
      <c r="CB17" s="23"/>
      <c r="CC17" s="59"/>
      <c r="CD17" s="64"/>
      <c r="CE17" s="55"/>
      <c r="CF17" s="65"/>
      <c r="CG17" s="55"/>
      <c r="CH17" s="65"/>
      <c r="CI17" s="64"/>
      <c r="CJ17" s="66"/>
      <c r="CK17" s="64"/>
      <c r="CL17" s="23"/>
      <c r="CM17" s="59"/>
      <c r="CN17" s="64"/>
      <c r="CO17" s="55"/>
      <c r="CP17" s="65"/>
      <c r="CQ17" s="55"/>
      <c r="CR17" s="65"/>
      <c r="CS17" s="64"/>
      <c r="CT17" s="66"/>
      <c r="CU17" s="77"/>
      <c r="CV17" s="23"/>
      <c r="CW17" s="59"/>
      <c r="CX17" s="64"/>
      <c r="CY17" s="55"/>
      <c r="CZ17" s="65"/>
      <c r="DA17" s="55"/>
      <c r="DB17" s="65"/>
      <c r="DC17" s="64"/>
      <c r="DD17" s="66"/>
      <c r="DE17" s="77"/>
      <c r="DF17" s="23"/>
      <c r="DG17" s="59"/>
      <c r="DH17" s="64"/>
      <c r="DI17" s="55"/>
      <c r="DJ17" s="65"/>
      <c r="DK17" s="55"/>
      <c r="DL17" s="65"/>
      <c r="DM17" s="64"/>
      <c r="DN17" s="66"/>
      <c r="DO17" s="15"/>
      <c r="DP17" s="23"/>
      <c r="DQ17" s="23"/>
    </row>
    <row r="18" spans="1:121" ht="15" customHeight="1" x14ac:dyDescent="0.35">
      <c r="A18" s="90"/>
      <c r="B18" s="92"/>
      <c r="C18" s="43"/>
      <c r="E18" s="18">
        <v>43880</v>
      </c>
      <c r="F18" s="73"/>
      <c r="G18" s="135" t="s">
        <v>583</v>
      </c>
      <c r="H18" s="36">
        <v>995.28</v>
      </c>
      <c r="I18" s="36"/>
      <c r="J18" s="17">
        <f t="shared" si="1"/>
        <v>995.28</v>
      </c>
      <c r="K18" s="73"/>
      <c r="L18" s="11" t="s">
        <v>2</v>
      </c>
      <c r="M18" s="138"/>
      <c r="N18" s="11"/>
      <c r="O18" s="39" t="s">
        <v>78</v>
      </c>
      <c r="P18" s="69">
        <v>43994</v>
      </c>
      <c r="Q18" s="15"/>
      <c r="R18" s="18">
        <v>44071</v>
      </c>
      <c r="S18" s="19" t="s">
        <v>604</v>
      </c>
      <c r="T18" s="17">
        <v>7</v>
      </c>
      <c r="U18" s="88"/>
      <c r="V18" s="17">
        <f t="shared" si="0"/>
        <v>7</v>
      </c>
      <c r="W18" s="88"/>
      <c r="X18" s="88"/>
      <c r="Y18" s="39" t="s">
        <v>8</v>
      </c>
      <c r="Z18" s="138"/>
      <c r="AB18" s="39" t="s">
        <v>43</v>
      </c>
      <c r="AC18" s="89">
        <v>44075</v>
      </c>
      <c r="AD18" s="23"/>
      <c r="AE18" s="59"/>
      <c r="AF18" s="64"/>
      <c r="AG18" s="55"/>
      <c r="AH18" s="65"/>
      <c r="AI18" s="55"/>
      <c r="AJ18" s="65"/>
      <c r="AK18" s="64"/>
      <c r="AL18" s="66"/>
      <c r="AM18" s="64"/>
      <c r="AN18" s="23"/>
      <c r="AO18" s="59"/>
      <c r="AP18" s="64"/>
      <c r="AQ18" s="55"/>
      <c r="AR18" s="65"/>
      <c r="AS18" s="55"/>
      <c r="AT18" s="65"/>
      <c r="AU18" s="64"/>
      <c r="AV18" s="66"/>
      <c r="AW18" s="64"/>
      <c r="AX18" s="23"/>
      <c r="AY18" s="59"/>
      <c r="AZ18" s="64"/>
      <c r="BA18" s="55"/>
      <c r="BB18" s="65"/>
      <c r="BC18" s="55"/>
      <c r="BD18" s="65"/>
      <c r="BE18" s="64"/>
      <c r="BF18" s="66"/>
      <c r="BG18" s="15"/>
      <c r="BH18" s="23"/>
      <c r="BI18" s="59"/>
      <c r="BJ18" s="64"/>
      <c r="BK18" s="55"/>
      <c r="BL18" s="65"/>
      <c r="BM18" s="55"/>
      <c r="BN18" s="65"/>
      <c r="BO18" s="64"/>
      <c r="BP18" s="66"/>
      <c r="BQ18" s="64"/>
      <c r="BR18" s="23"/>
      <c r="BS18" s="59"/>
      <c r="BT18" s="64"/>
      <c r="BU18" s="55"/>
      <c r="BV18" s="65"/>
      <c r="BW18" s="55"/>
      <c r="BX18" s="65"/>
      <c r="BY18" s="64"/>
      <c r="BZ18" s="66"/>
      <c r="CA18" s="15"/>
      <c r="CB18" s="23"/>
      <c r="CC18" s="59"/>
      <c r="CD18" s="64"/>
      <c r="CE18" s="55"/>
      <c r="CF18" s="65"/>
      <c r="CG18" s="55"/>
      <c r="CH18" s="65"/>
      <c r="CI18" s="64"/>
      <c r="CJ18" s="66"/>
      <c r="CK18" s="64"/>
      <c r="CL18" s="23"/>
      <c r="CM18" s="59"/>
      <c r="CN18" s="64"/>
      <c r="CO18" s="55"/>
      <c r="CP18" s="65"/>
      <c r="CQ18" s="55"/>
      <c r="CR18" s="65"/>
      <c r="CS18" s="64"/>
      <c r="CT18" s="66"/>
      <c r="CU18" s="77"/>
      <c r="CV18" s="23"/>
      <c r="CW18" s="59"/>
      <c r="CX18" s="64"/>
      <c r="CY18" s="55"/>
      <c r="CZ18" s="65"/>
      <c r="DA18" s="55"/>
      <c r="DB18" s="65"/>
      <c r="DC18" s="64"/>
      <c r="DD18" s="66"/>
      <c r="DE18" s="77"/>
      <c r="DF18" s="23"/>
      <c r="DG18" s="59"/>
      <c r="DH18" s="64"/>
      <c r="DI18" s="55"/>
      <c r="DJ18" s="65"/>
      <c r="DK18" s="55"/>
      <c r="DL18" s="65"/>
      <c r="DM18" s="64"/>
      <c r="DN18" s="66"/>
      <c r="DO18" s="15"/>
      <c r="DP18" s="23"/>
      <c r="DQ18" s="23"/>
    </row>
    <row r="19" spans="1:121" ht="15" customHeight="1" x14ac:dyDescent="0.35">
      <c r="A19" s="90"/>
      <c r="B19" s="92"/>
      <c r="C19" s="44"/>
      <c r="E19" s="18">
        <v>44014</v>
      </c>
      <c r="F19" s="73"/>
      <c r="G19" s="135" t="s">
        <v>584</v>
      </c>
      <c r="H19" s="17">
        <v>528.04</v>
      </c>
      <c r="I19" s="17"/>
      <c r="J19" s="17">
        <f t="shared" ref="J19:J25" si="2">H19+I19</f>
        <v>528.04</v>
      </c>
      <c r="K19" s="73"/>
      <c r="L19" s="17" t="s">
        <v>7</v>
      </c>
      <c r="M19" s="138"/>
      <c r="N19" s="17"/>
      <c r="O19" s="17" t="s">
        <v>78</v>
      </c>
      <c r="P19" s="18">
        <v>44106</v>
      </c>
      <c r="Q19" s="15"/>
      <c r="R19" s="18">
        <v>44074</v>
      </c>
      <c r="S19" s="19" t="s">
        <v>605</v>
      </c>
      <c r="T19" s="17">
        <v>989.35</v>
      </c>
      <c r="U19" s="88"/>
      <c r="V19" s="17">
        <f t="shared" si="0"/>
        <v>989.35</v>
      </c>
      <c r="W19" s="88"/>
      <c r="X19" s="88"/>
      <c r="Y19" s="39" t="s">
        <v>8</v>
      </c>
      <c r="Z19" s="138"/>
      <c r="AB19" s="39"/>
      <c r="AC19" s="89"/>
      <c r="AD19" s="23"/>
      <c r="AE19" s="59"/>
      <c r="AF19" s="64"/>
      <c r="AG19" s="55"/>
      <c r="AH19" s="65"/>
      <c r="AI19" s="55"/>
      <c r="AJ19" s="65"/>
      <c r="AK19" s="64"/>
      <c r="AL19" s="66"/>
      <c r="AM19" s="64"/>
      <c r="AN19" s="23"/>
      <c r="AO19" s="59"/>
      <c r="AP19" s="64"/>
      <c r="AQ19" s="55"/>
      <c r="AR19" s="65"/>
      <c r="AS19" s="55"/>
      <c r="AT19" s="65"/>
      <c r="AU19" s="64"/>
      <c r="AV19" s="66"/>
      <c r="AW19" s="64"/>
      <c r="AX19" s="23"/>
      <c r="AY19" s="59"/>
      <c r="AZ19" s="64"/>
      <c r="BA19" s="55"/>
      <c r="BB19" s="65"/>
      <c r="BC19" s="55"/>
      <c r="BD19" s="65"/>
      <c r="BE19" s="64"/>
      <c r="BF19" s="66"/>
      <c r="BG19" s="15"/>
      <c r="BH19" s="23"/>
      <c r="BI19" s="59"/>
      <c r="BJ19" s="64"/>
      <c r="BK19" s="55"/>
      <c r="BL19" s="65"/>
      <c r="BM19" s="55"/>
      <c r="BN19" s="65"/>
      <c r="BO19" s="64"/>
      <c r="BP19" s="66"/>
      <c r="BQ19" s="64"/>
      <c r="BR19" s="23"/>
      <c r="BS19" s="59"/>
      <c r="BT19" s="64"/>
      <c r="BU19" s="55"/>
      <c r="BV19" s="65"/>
      <c r="BW19" s="55"/>
      <c r="BX19" s="65"/>
      <c r="BY19" s="64"/>
      <c r="BZ19" s="66"/>
      <c r="CA19" s="15"/>
      <c r="CB19" s="23"/>
      <c r="CC19" s="59"/>
      <c r="CD19" s="64"/>
      <c r="CE19" s="55"/>
      <c r="CF19" s="65"/>
      <c r="CG19" s="55"/>
      <c r="CH19" s="65"/>
      <c r="CI19" s="64"/>
      <c r="CJ19" s="66"/>
      <c r="CK19" s="64"/>
      <c r="CL19" s="23"/>
      <c r="CM19" s="59"/>
      <c r="CN19" s="64"/>
      <c r="CO19" s="55"/>
      <c r="CP19" s="65"/>
      <c r="CQ19" s="55"/>
      <c r="CR19" s="65"/>
      <c r="CS19" s="64"/>
      <c r="CT19" s="66"/>
      <c r="CU19" s="77"/>
      <c r="CV19" s="23"/>
      <c r="CW19" s="59"/>
      <c r="CX19" s="64"/>
      <c r="CY19" s="55"/>
      <c r="CZ19" s="65"/>
      <c r="DA19" s="55"/>
      <c r="DB19" s="65"/>
      <c r="DC19" s="64"/>
      <c r="DD19" s="66"/>
      <c r="DE19" s="77"/>
      <c r="DF19" s="23"/>
      <c r="DG19" s="59"/>
      <c r="DH19" s="64"/>
      <c r="DI19" s="55"/>
      <c r="DJ19" s="65"/>
      <c r="DK19" s="55"/>
      <c r="DL19" s="65"/>
      <c r="DM19" s="64"/>
      <c r="DN19" s="66"/>
      <c r="DO19" s="15"/>
      <c r="DP19" s="23"/>
      <c r="DQ19" s="23"/>
    </row>
    <row r="20" spans="1:121" ht="15.75" customHeight="1" x14ac:dyDescent="0.35">
      <c r="A20" s="90"/>
      <c r="B20" s="92"/>
      <c r="C20" s="45"/>
      <c r="E20" s="18">
        <v>44050</v>
      </c>
      <c r="F20" s="73"/>
      <c r="G20" s="135" t="s">
        <v>585</v>
      </c>
      <c r="H20" s="36">
        <v>988.8</v>
      </c>
      <c r="I20" s="36"/>
      <c r="J20" s="17">
        <f t="shared" si="2"/>
        <v>988.8</v>
      </c>
      <c r="K20" s="73"/>
      <c r="L20" s="11" t="s">
        <v>8</v>
      </c>
      <c r="M20" s="138"/>
      <c r="N20" s="11"/>
      <c r="O20" s="39" t="s">
        <v>78</v>
      </c>
      <c r="P20" s="69">
        <v>44110</v>
      </c>
      <c r="Q20" s="15"/>
      <c r="R20" s="18">
        <v>44075</v>
      </c>
      <c r="S20" s="19" t="s">
        <v>606</v>
      </c>
      <c r="T20" s="17">
        <v>2600.73</v>
      </c>
      <c r="U20" s="88"/>
      <c r="V20" s="17">
        <f t="shared" si="0"/>
        <v>2600.73</v>
      </c>
      <c r="W20" s="88"/>
      <c r="X20" s="88"/>
      <c r="Y20" s="39" t="s">
        <v>9</v>
      </c>
      <c r="Z20" s="138"/>
      <c r="AB20" s="39" t="s">
        <v>78</v>
      </c>
      <c r="AC20" s="89">
        <v>44106</v>
      </c>
      <c r="AD20" s="23"/>
      <c r="AE20" s="59"/>
      <c r="AF20" s="64"/>
      <c r="AG20" s="55"/>
      <c r="AH20" s="65"/>
      <c r="AI20" s="55"/>
      <c r="AJ20" s="65"/>
      <c r="AK20" s="64"/>
      <c r="AL20" s="66"/>
      <c r="AM20" s="64"/>
      <c r="AN20" s="23"/>
      <c r="AO20" s="59"/>
      <c r="AP20" s="64"/>
      <c r="AQ20" s="55"/>
      <c r="AR20" s="65"/>
      <c r="AS20" s="55"/>
      <c r="AT20" s="65"/>
      <c r="AU20" s="64"/>
      <c r="AV20" s="66"/>
      <c r="AW20" s="64"/>
      <c r="AX20" s="23"/>
      <c r="AY20" s="59"/>
      <c r="AZ20" s="64"/>
      <c r="BA20" s="55"/>
      <c r="BB20" s="65"/>
      <c r="BC20" s="55"/>
      <c r="BD20" s="65"/>
      <c r="BE20" s="64"/>
      <c r="BF20" s="66"/>
      <c r="BG20" s="15"/>
      <c r="BH20" s="23"/>
      <c r="BI20" s="59"/>
      <c r="BJ20" s="64"/>
      <c r="BK20" s="55"/>
      <c r="BL20" s="65"/>
      <c r="BM20" s="55"/>
      <c r="BN20" s="65"/>
      <c r="BO20" s="64"/>
      <c r="BP20" s="66"/>
      <c r="BQ20" s="64"/>
      <c r="BR20" s="23"/>
      <c r="BS20" s="59"/>
      <c r="BT20" s="64"/>
      <c r="BU20" s="55"/>
      <c r="BV20" s="65"/>
      <c r="BW20" s="55"/>
      <c r="BX20" s="65"/>
      <c r="BY20" s="64"/>
      <c r="BZ20" s="66"/>
      <c r="CA20" s="15"/>
      <c r="CB20" s="23"/>
      <c r="CC20" s="59"/>
      <c r="CD20" s="64"/>
      <c r="CE20" s="55"/>
      <c r="CF20" s="65"/>
      <c r="CG20" s="55"/>
      <c r="CH20" s="65"/>
      <c r="CI20" s="64"/>
      <c r="CJ20" s="66"/>
      <c r="CK20" s="64"/>
      <c r="CL20" s="23"/>
      <c r="CM20" s="59"/>
      <c r="CN20" s="64"/>
      <c r="CO20" s="55"/>
      <c r="CP20" s="65"/>
      <c r="CQ20" s="55"/>
      <c r="CR20" s="65"/>
      <c r="CS20" s="64"/>
      <c r="CT20" s="66"/>
      <c r="CU20" s="77"/>
      <c r="CV20" s="23"/>
      <c r="CW20" s="59"/>
      <c r="CX20" s="64"/>
      <c r="CY20" s="55"/>
      <c r="CZ20" s="65"/>
      <c r="DA20" s="55"/>
      <c r="DB20" s="65"/>
      <c r="DC20" s="64"/>
      <c r="DD20" s="66"/>
      <c r="DE20" s="77"/>
      <c r="DF20" s="23"/>
      <c r="DG20" s="59"/>
      <c r="DH20" s="64"/>
      <c r="DI20" s="55"/>
      <c r="DJ20" s="65"/>
      <c r="DK20" s="55"/>
      <c r="DL20" s="65"/>
      <c r="DM20" s="64"/>
      <c r="DN20" s="66"/>
      <c r="DO20" s="15"/>
      <c r="DP20" s="23"/>
      <c r="DQ20" s="23"/>
    </row>
    <row r="21" spans="1:121" ht="15" customHeight="1" x14ac:dyDescent="0.35">
      <c r="A21" s="90"/>
      <c r="B21" s="92"/>
      <c r="C21" s="43"/>
      <c r="E21" s="18">
        <v>44050</v>
      </c>
      <c r="F21" s="73"/>
      <c r="G21" s="135" t="s">
        <v>586</v>
      </c>
      <c r="H21" s="36">
        <v>117.2</v>
      </c>
      <c r="I21" s="36"/>
      <c r="J21" s="17">
        <f t="shared" si="2"/>
        <v>117.2</v>
      </c>
      <c r="K21" s="73"/>
      <c r="L21" s="11" t="s">
        <v>8</v>
      </c>
      <c r="M21" s="17"/>
      <c r="N21" s="11"/>
      <c r="O21" s="39" t="s">
        <v>78</v>
      </c>
      <c r="P21" s="69">
        <v>44110</v>
      </c>
      <c r="Q21" s="15"/>
      <c r="R21" s="18">
        <v>44074</v>
      </c>
      <c r="S21" s="19" t="s">
        <v>607</v>
      </c>
      <c r="T21" s="17">
        <v>75</v>
      </c>
      <c r="U21" s="88">
        <v>6.38</v>
      </c>
      <c r="V21" s="17">
        <f t="shared" si="0"/>
        <v>81.38</v>
      </c>
      <c r="W21" s="88"/>
      <c r="X21" s="88"/>
      <c r="Y21" s="39" t="s">
        <v>8</v>
      </c>
      <c r="Z21" s="17"/>
      <c r="AB21" s="39" t="s">
        <v>58</v>
      </c>
      <c r="AC21" s="89">
        <v>44104</v>
      </c>
      <c r="AD21" s="23"/>
      <c r="AE21" s="59"/>
      <c r="AF21" s="64"/>
      <c r="AG21" s="55"/>
      <c r="AH21" s="65"/>
      <c r="AI21" s="55"/>
      <c r="AJ21" s="65"/>
      <c r="AK21" s="64"/>
      <c r="AL21" s="66"/>
      <c r="AM21" s="64"/>
      <c r="AN21" s="23"/>
      <c r="AO21" s="59"/>
      <c r="AP21" s="64"/>
      <c r="AQ21" s="55"/>
      <c r="AR21" s="65"/>
      <c r="AS21" s="55"/>
      <c r="AT21" s="65"/>
      <c r="AU21" s="64"/>
      <c r="AV21" s="66"/>
      <c r="AW21" s="64"/>
      <c r="AX21" s="23"/>
      <c r="AY21" s="59"/>
      <c r="AZ21" s="64"/>
      <c r="BA21" s="55"/>
      <c r="BB21" s="65"/>
      <c r="BC21" s="55"/>
      <c r="BD21" s="65"/>
      <c r="BE21" s="64"/>
      <c r="BF21" s="66"/>
      <c r="BG21" s="15"/>
      <c r="BH21" s="23"/>
      <c r="BI21" s="59"/>
      <c r="BJ21" s="64"/>
      <c r="BK21" s="55"/>
      <c r="BL21" s="65"/>
      <c r="BM21" s="55"/>
      <c r="BN21" s="65"/>
      <c r="BO21" s="64"/>
      <c r="BP21" s="66"/>
      <c r="BQ21" s="64"/>
      <c r="BR21" s="23"/>
      <c r="BS21" s="59"/>
      <c r="BT21" s="64"/>
      <c r="BU21" s="55"/>
      <c r="BV21" s="65"/>
      <c r="BW21" s="55"/>
      <c r="BX21" s="65"/>
      <c r="BY21" s="64"/>
      <c r="BZ21" s="66"/>
      <c r="CA21" s="15"/>
      <c r="CB21" s="23"/>
      <c r="CC21" s="59"/>
      <c r="CD21" s="64"/>
      <c r="CE21" s="55"/>
      <c r="CF21" s="65"/>
      <c r="CG21" s="55"/>
      <c r="CH21" s="65"/>
      <c r="CI21" s="64"/>
      <c r="CJ21" s="66"/>
      <c r="CK21" s="64"/>
      <c r="CL21" s="23"/>
      <c r="CM21" s="59"/>
      <c r="CN21" s="64"/>
      <c r="CO21" s="55"/>
      <c r="CP21" s="65"/>
      <c r="CQ21" s="55"/>
      <c r="CR21" s="65"/>
      <c r="CS21" s="64"/>
      <c r="CT21" s="66"/>
      <c r="CU21" s="77"/>
      <c r="CV21" s="23"/>
      <c r="CW21" s="59"/>
      <c r="CX21" s="64"/>
      <c r="CY21" s="55"/>
      <c r="CZ21" s="65"/>
      <c r="DA21" s="55"/>
      <c r="DB21" s="65"/>
      <c r="DC21" s="64"/>
      <c r="DD21" s="66"/>
      <c r="DE21" s="77"/>
      <c r="DF21" s="23"/>
      <c r="DG21" s="59"/>
      <c r="DH21" s="64"/>
      <c r="DI21" s="55"/>
      <c r="DJ21" s="65"/>
      <c r="DK21" s="55"/>
      <c r="DL21" s="65"/>
      <c r="DM21" s="64"/>
      <c r="DN21" s="66"/>
      <c r="DO21" s="15"/>
      <c r="DP21" s="23"/>
      <c r="DQ21" s="23"/>
    </row>
    <row r="22" spans="1:121" ht="15" customHeight="1" x14ac:dyDescent="0.35">
      <c r="A22" s="91"/>
      <c r="B22" s="92"/>
      <c r="C22" s="43"/>
      <c r="E22" s="18">
        <v>44081</v>
      </c>
      <c r="F22" s="73"/>
      <c r="G22" s="135" t="s">
        <v>587</v>
      </c>
      <c r="H22" s="36">
        <v>257.16000000000003</v>
      </c>
      <c r="I22" s="36"/>
      <c r="J22" s="17">
        <f t="shared" si="2"/>
        <v>257.16000000000003</v>
      </c>
      <c r="K22" s="73"/>
      <c r="L22" s="11" t="s">
        <v>9</v>
      </c>
      <c r="M22" s="138"/>
      <c r="N22" s="11"/>
      <c r="O22" s="39"/>
      <c r="P22" s="69"/>
      <c r="Q22" s="15"/>
      <c r="R22" s="18">
        <v>44096</v>
      </c>
      <c r="S22" s="19" t="s">
        <v>608</v>
      </c>
      <c r="T22" s="17">
        <v>81</v>
      </c>
      <c r="U22" s="88"/>
      <c r="V22" s="17">
        <f t="shared" si="0"/>
        <v>81</v>
      </c>
      <c r="W22" s="88"/>
      <c r="X22" s="88"/>
      <c r="Y22" s="39" t="s">
        <v>9</v>
      </c>
      <c r="Z22" s="138"/>
      <c r="AB22" s="39" t="s">
        <v>43</v>
      </c>
      <c r="AC22" s="89">
        <v>44097</v>
      </c>
      <c r="AD22" s="23"/>
      <c r="AE22" s="59"/>
      <c r="AF22" s="64"/>
      <c r="AG22" s="55"/>
      <c r="AH22" s="65"/>
      <c r="AI22" s="55"/>
      <c r="AJ22" s="65"/>
      <c r="AK22" s="64"/>
      <c r="AL22" s="66"/>
      <c r="AM22" s="64"/>
      <c r="AN22" s="23"/>
      <c r="AO22" s="59"/>
      <c r="AP22" s="64"/>
      <c r="AQ22" s="55"/>
      <c r="AR22" s="65"/>
      <c r="AS22" s="55"/>
      <c r="AT22" s="65"/>
      <c r="AU22" s="64"/>
      <c r="AV22" s="66"/>
      <c r="AW22" s="64"/>
      <c r="AX22" s="23"/>
      <c r="AY22" s="59"/>
      <c r="AZ22" s="64"/>
      <c r="BA22" s="55"/>
      <c r="BB22" s="65"/>
      <c r="BC22" s="55"/>
      <c r="BD22" s="65"/>
      <c r="BE22" s="64"/>
      <c r="BF22" s="66"/>
      <c r="BG22" s="15"/>
      <c r="BH22" s="23"/>
      <c r="BI22" s="59"/>
      <c r="BJ22" s="64"/>
      <c r="BK22" s="55"/>
      <c r="BL22" s="65"/>
      <c r="BM22" s="55"/>
      <c r="BN22" s="65"/>
      <c r="BO22" s="64"/>
      <c r="BP22" s="66"/>
      <c r="BQ22" s="64"/>
      <c r="BR22" s="23"/>
      <c r="BS22" s="59"/>
      <c r="BT22" s="64"/>
      <c r="BU22" s="55"/>
      <c r="BV22" s="65"/>
      <c r="BW22" s="55"/>
      <c r="BX22" s="65"/>
      <c r="BY22" s="64"/>
      <c r="BZ22" s="66"/>
      <c r="CA22" s="15"/>
      <c r="CB22" s="23"/>
      <c r="CC22" s="59"/>
      <c r="CD22" s="64"/>
      <c r="CE22" s="55"/>
      <c r="CF22" s="65"/>
      <c r="CG22" s="55"/>
      <c r="CH22" s="65"/>
      <c r="CI22" s="64"/>
      <c r="CJ22" s="66"/>
      <c r="CK22" s="64"/>
      <c r="CL22" s="23"/>
      <c r="CM22" s="59"/>
      <c r="CN22" s="64"/>
      <c r="CO22" s="55"/>
      <c r="CP22" s="65"/>
      <c r="CQ22" s="55"/>
      <c r="CR22" s="65"/>
      <c r="CS22" s="64"/>
      <c r="CT22" s="66"/>
      <c r="CU22" s="77"/>
      <c r="CV22" s="23"/>
      <c r="CW22" s="59"/>
      <c r="CX22" s="64"/>
      <c r="CY22" s="55"/>
      <c r="CZ22" s="65"/>
      <c r="DA22" s="55"/>
      <c r="DB22" s="65"/>
      <c r="DC22" s="64"/>
      <c r="DD22" s="66"/>
      <c r="DE22" s="64"/>
      <c r="DF22" s="23"/>
      <c r="DG22" s="59"/>
      <c r="DH22" s="64"/>
      <c r="DI22" s="55"/>
      <c r="DJ22" s="65"/>
      <c r="DK22" s="55"/>
      <c r="DL22" s="65"/>
      <c r="DM22" s="64"/>
      <c r="DN22" s="66"/>
      <c r="DO22" s="15"/>
      <c r="DP22" s="23"/>
      <c r="DQ22" s="23"/>
    </row>
    <row r="23" spans="1:121" ht="15" customHeight="1" x14ac:dyDescent="0.35">
      <c r="A23" s="90"/>
      <c r="B23" s="92"/>
      <c r="C23" s="43"/>
      <c r="E23" s="18">
        <v>44062</v>
      </c>
      <c r="F23" s="73"/>
      <c r="G23" s="135" t="s">
        <v>588</v>
      </c>
      <c r="H23" s="36">
        <v>74.900000000000006</v>
      </c>
      <c r="I23" s="36"/>
      <c r="J23" s="17">
        <f t="shared" si="2"/>
        <v>74.900000000000006</v>
      </c>
      <c r="K23" s="73"/>
      <c r="L23" s="11" t="s">
        <v>8</v>
      </c>
      <c r="M23" s="138"/>
      <c r="N23" s="11"/>
      <c r="O23" s="39" t="s">
        <v>43</v>
      </c>
      <c r="P23" s="69">
        <v>44062</v>
      </c>
      <c r="Q23" s="15"/>
      <c r="R23" s="18">
        <v>44084</v>
      </c>
      <c r="S23" s="19" t="s">
        <v>609</v>
      </c>
      <c r="T23" s="17">
        <v>218.08</v>
      </c>
      <c r="U23" s="88"/>
      <c r="V23" s="17">
        <f t="shared" si="0"/>
        <v>218.08</v>
      </c>
      <c r="W23" s="88"/>
      <c r="X23" s="88"/>
      <c r="Y23" s="39" t="s">
        <v>9</v>
      </c>
      <c r="Z23" s="138"/>
      <c r="AB23" s="39" t="s">
        <v>78</v>
      </c>
      <c r="AC23" s="89">
        <v>44106</v>
      </c>
      <c r="AD23" s="23"/>
      <c r="AE23" s="59"/>
      <c r="AF23" s="64"/>
      <c r="AG23" s="55"/>
      <c r="AH23" s="65"/>
      <c r="AI23" s="55"/>
      <c r="AJ23" s="65"/>
      <c r="AK23" s="64"/>
      <c r="AL23" s="66"/>
      <c r="AM23" s="64"/>
      <c r="AN23" s="23"/>
      <c r="AO23" s="59"/>
      <c r="AP23" s="64"/>
      <c r="AQ23" s="55"/>
      <c r="AR23" s="65"/>
      <c r="AS23" s="55"/>
      <c r="AT23" s="65"/>
      <c r="AU23" s="64"/>
      <c r="AV23" s="66"/>
      <c r="AW23" s="64"/>
      <c r="AX23" s="23"/>
      <c r="AY23" s="59"/>
      <c r="AZ23" s="64"/>
      <c r="BA23" s="55"/>
      <c r="BB23" s="65"/>
      <c r="BC23" s="55"/>
      <c r="BD23" s="65"/>
      <c r="BE23" s="64"/>
      <c r="BF23" s="66"/>
      <c r="BG23" s="15"/>
      <c r="BH23" s="23"/>
      <c r="BI23" s="59"/>
      <c r="BJ23" s="64"/>
      <c r="BK23" s="55"/>
      <c r="BL23" s="65"/>
      <c r="BM23" s="55"/>
      <c r="BN23" s="65"/>
      <c r="BO23" s="64"/>
      <c r="BP23" s="66"/>
      <c r="BQ23" s="64"/>
      <c r="BR23" s="23"/>
      <c r="BS23" s="59"/>
      <c r="BT23" s="64"/>
      <c r="BU23" s="55"/>
      <c r="BV23" s="65"/>
      <c r="BW23" s="55"/>
      <c r="BX23" s="65"/>
      <c r="BY23" s="64"/>
      <c r="BZ23" s="66"/>
      <c r="CA23" s="15"/>
      <c r="CB23" s="23"/>
      <c r="CC23" s="59"/>
      <c r="CD23" s="64"/>
      <c r="CE23" s="55"/>
      <c r="CF23" s="65"/>
      <c r="CG23" s="55"/>
      <c r="CH23" s="65"/>
      <c r="CI23" s="64"/>
      <c r="CJ23" s="66"/>
      <c r="CK23" s="64"/>
      <c r="CL23" s="23"/>
      <c r="CM23" s="79"/>
      <c r="CN23" s="23"/>
      <c r="CO23" s="23"/>
      <c r="CP23" s="23"/>
      <c r="CQ23" s="23"/>
      <c r="CR23" s="23"/>
      <c r="CS23" s="64"/>
      <c r="CT23" s="23"/>
      <c r="CU23" s="79"/>
      <c r="CV23" s="23"/>
      <c r="CW23" s="59"/>
      <c r="CX23" s="64"/>
      <c r="CY23" s="55"/>
      <c r="CZ23" s="65"/>
      <c r="DA23" s="55"/>
      <c r="DB23" s="65"/>
      <c r="DC23" s="64"/>
      <c r="DD23" s="66"/>
      <c r="DE23" s="64"/>
      <c r="DF23" s="23"/>
      <c r="DG23" s="59"/>
      <c r="DH23" s="64"/>
      <c r="DI23" s="55"/>
      <c r="DJ23" s="65"/>
      <c r="DK23" s="55"/>
      <c r="DL23" s="65"/>
      <c r="DM23" s="64"/>
      <c r="DN23" s="66"/>
      <c r="DO23" s="15"/>
      <c r="DP23" s="23"/>
      <c r="DQ23" s="23"/>
    </row>
    <row r="24" spans="1:121" ht="15" customHeight="1" x14ac:dyDescent="0.35">
      <c r="A24" s="90"/>
      <c r="B24" s="92"/>
      <c r="C24" s="43"/>
      <c r="E24" s="18">
        <v>36798</v>
      </c>
      <c r="F24" s="73"/>
      <c r="G24" s="135" t="s">
        <v>589</v>
      </c>
      <c r="H24" s="36">
        <v>231.12</v>
      </c>
      <c r="I24" s="36"/>
      <c r="J24" s="17">
        <f t="shared" si="2"/>
        <v>231.12</v>
      </c>
      <c r="K24" s="73"/>
      <c r="L24" s="11" t="s">
        <v>9</v>
      </c>
      <c r="M24" s="114"/>
      <c r="N24" s="11"/>
      <c r="O24" s="39"/>
      <c r="P24" s="69"/>
      <c r="Q24" s="15"/>
      <c r="R24" s="18"/>
      <c r="S24" s="39"/>
      <c r="T24" s="17"/>
      <c r="U24" s="88"/>
      <c r="V24" s="17">
        <f t="shared" si="0"/>
        <v>0</v>
      </c>
      <c r="W24" s="88"/>
      <c r="X24" s="88"/>
      <c r="Y24" s="88"/>
      <c r="Z24" s="114"/>
      <c r="AA24" s="39"/>
      <c r="AB24" s="39"/>
      <c r="AC24" s="39"/>
      <c r="AD24" s="23"/>
      <c r="AE24" s="59"/>
      <c r="AF24" s="64"/>
      <c r="AG24" s="55"/>
      <c r="AH24" s="65"/>
      <c r="AI24" s="55"/>
      <c r="AJ24" s="65"/>
      <c r="AK24" s="64"/>
      <c r="AL24" s="66"/>
      <c r="AM24" s="64"/>
      <c r="AN24" s="23"/>
      <c r="AO24" s="59"/>
      <c r="AP24" s="64"/>
      <c r="AQ24" s="55"/>
      <c r="AR24" s="65"/>
      <c r="AS24" s="55"/>
      <c r="AT24" s="65"/>
      <c r="AU24" s="64"/>
      <c r="AV24" s="66"/>
      <c r="AW24" s="64"/>
      <c r="AX24" s="23"/>
      <c r="AY24" s="59"/>
      <c r="AZ24" s="64"/>
      <c r="BA24" s="55"/>
      <c r="BB24" s="65"/>
      <c r="BC24" s="55"/>
      <c r="BD24" s="65"/>
      <c r="BE24" s="64"/>
      <c r="BF24" s="66"/>
      <c r="BG24" s="15"/>
      <c r="BH24" s="23"/>
      <c r="BI24" s="59"/>
      <c r="BJ24" s="64"/>
      <c r="BK24" s="55"/>
      <c r="BL24" s="65"/>
      <c r="BM24" s="55"/>
      <c r="BN24" s="65"/>
      <c r="BO24" s="64"/>
      <c r="BP24" s="66"/>
      <c r="BQ24" s="64"/>
      <c r="BR24" s="23"/>
      <c r="BS24" s="59"/>
      <c r="BT24" s="64"/>
      <c r="BU24" s="55"/>
      <c r="BV24" s="65"/>
      <c r="BW24" s="55"/>
      <c r="BX24" s="65"/>
      <c r="BY24" s="64"/>
      <c r="BZ24" s="66"/>
      <c r="CA24" s="15"/>
      <c r="CB24" s="23"/>
      <c r="CC24" s="59"/>
      <c r="CD24" s="64"/>
      <c r="CE24" s="55"/>
      <c r="CF24" s="65"/>
      <c r="CG24" s="55"/>
      <c r="CH24" s="65"/>
      <c r="CI24" s="64"/>
      <c r="CJ24" s="66"/>
      <c r="CK24" s="64"/>
      <c r="CL24" s="23"/>
      <c r="CM24" s="59"/>
      <c r="CN24" s="64"/>
      <c r="CO24" s="55"/>
      <c r="CP24" s="65"/>
      <c r="CQ24" s="55"/>
      <c r="CR24" s="65"/>
      <c r="CS24" s="64"/>
      <c r="CT24" s="66"/>
      <c r="CU24" s="77"/>
      <c r="CV24" s="23"/>
      <c r="CW24" s="59"/>
      <c r="CX24" s="64"/>
      <c r="CY24" s="55"/>
      <c r="CZ24" s="65"/>
      <c r="DA24" s="55"/>
      <c r="DB24" s="65"/>
      <c r="DC24" s="64"/>
      <c r="DD24" s="66"/>
      <c r="DE24" s="64"/>
      <c r="DF24" s="23"/>
      <c r="DG24" s="59"/>
      <c r="DH24" s="64"/>
      <c r="DI24" s="55"/>
      <c r="DJ24" s="65"/>
      <c r="DK24" s="55"/>
      <c r="DL24" s="65"/>
      <c r="DM24" s="64"/>
      <c r="DN24" s="66"/>
      <c r="DO24" s="15"/>
      <c r="DP24" s="23"/>
      <c r="DQ24" s="23"/>
    </row>
    <row r="25" spans="1:121" ht="15" customHeight="1" x14ac:dyDescent="0.35">
      <c r="A25" s="90"/>
      <c r="B25" s="92"/>
      <c r="C25" s="43"/>
      <c r="E25" s="161">
        <v>44102</v>
      </c>
      <c r="F25" s="73"/>
      <c r="G25" s="135" t="s">
        <v>590</v>
      </c>
      <c r="H25" s="288">
        <v>-588.6</v>
      </c>
      <c r="I25" s="288"/>
      <c r="J25" s="162">
        <f t="shared" si="2"/>
        <v>-588.6</v>
      </c>
      <c r="K25" s="73"/>
      <c r="L25" s="94" t="s">
        <v>9</v>
      </c>
      <c r="M25" s="135"/>
      <c r="N25" s="94"/>
      <c r="O25" s="167"/>
      <c r="P25" s="282"/>
      <c r="Q25" s="15"/>
      <c r="R25" s="18"/>
      <c r="S25" s="39"/>
      <c r="T25" s="17"/>
      <c r="U25" s="88"/>
      <c r="V25" s="17">
        <f t="shared" si="0"/>
        <v>0</v>
      </c>
      <c r="W25" s="88"/>
      <c r="X25" s="88"/>
      <c r="Y25" s="88"/>
      <c r="Z25" s="135"/>
      <c r="AA25" s="39"/>
      <c r="AB25" s="39"/>
      <c r="AC25" s="39"/>
      <c r="AD25" s="23"/>
      <c r="AE25" s="59"/>
      <c r="AF25" s="64"/>
      <c r="AG25" s="55"/>
      <c r="AH25" s="65"/>
      <c r="AI25" s="55"/>
      <c r="AJ25" s="65"/>
      <c r="AK25" s="64"/>
      <c r="AL25" s="66"/>
      <c r="AM25" s="64"/>
      <c r="AN25" s="23"/>
      <c r="AO25" s="59"/>
      <c r="AP25" s="64"/>
      <c r="AQ25" s="55"/>
      <c r="AR25" s="65"/>
      <c r="AS25" s="55"/>
      <c r="AT25" s="65"/>
      <c r="AU25" s="64"/>
      <c r="AV25" s="66"/>
      <c r="AW25" s="64"/>
      <c r="AX25" s="23"/>
      <c r="AY25" s="59"/>
      <c r="AZ25" s="64"/>
      <c r="BA25" s="55"/>
      <c r="BB25" s="65"/>
      <c r="BC25" s="55"/>
      <c r="BD25" s="65"/>
      <c r="BE25" s="64"/>
      <c r="BF25" s="66"/>
      <c r="BG25" s="15"/>
      <c r="BH25" s="23"/>
      <c r="BI25" s="59"/>
      <c r="BJ25" s="64"/>
      <c r="BK25" s="55"/>
      <c r="BL25" s="65"/>
      <c r="BM25" s="55"/>
      <c r="BN25" s="65"/>
      <c r="BO25" s="64"/>
      <c r="BP25" s="66"/>
      <c r="BQ25" s="64"/>
      <c r="BR25" s="23"/>
      <c r="BS25" s="59"/>
      <c r="BT25" s="64"/>
      <c r="BU25" s="55"/>
      <c r="BV25" s="65"/>
      <c r="BW25" s="55"/>
      <c r="BX25" s="65"/>
      <c r="BY25" s="64"/>
      <c r="BZ25" s="66"/>
      <c r="CA25" s="15"/>
      <c r="CB25" s="23"/>
      <c r="CC25" s="59"/>
      <c r="CD25" s="64"/>
      <c r="CE25" s="55"/>
      <c r="CF25" s="65"/>
      <c r="CG25" s="55"/>
      <c r="CH25" s="65"/>
      <c r="CI25" s="64"/>
      <c r="CJ25" s="66"/>
      <c r="CK25" s="64"/>
      <c r="CL25" s="23"/>
      <c r="CM25" s="59"/>
      <c r="CN25" s="64"/>
      <c r="CO25" s="55"/>
      <c r="CP25" s="65"/>
      <c r="CQ25" s="55"/>
      <c r="CR25" s="65"/>
      <c r="CS25" s="64"/>
      <c r="CT25" s="66"/>
      <c r="CU25" s="64"/>
      <c r="CV25" s="23"/>
      <c r="CW25" s="59"/>
      <c r="CX25" s="64"/>
      <c r="CY25" s="55"/>
      <c r="CZ25" s="65"/>
      <c r="DA25" s="55"/>
      <c r="DB25" s="65"/>
      <c r="DC25" s="64"/>
      <c r="DD25" s="66"/>
      <c r="DE25" s="64"/>
      <c r="DF25" s="23"/>
      <c r="DG25" s="59"/>
      <c r="DH25" s="64"/>
      <c r="DI25" s="55"/>
      <c r="DJ25" s="65"/>
      <c r="DK25" s="55"/>
      <c r="DL25" s="65"/>
      <c r="DM25" s="64"/>
      <c r="DN25" s="66"/>
      <c r="DO25" s="15"/>
      <c r="DP25" s="23"/>
      <c r="DQ25" s="23"/>
    </row>
    <row r="26" spans="1:121" ht="15" customHeight="1" x14ac:dyDescent="0.35">
      <c r="A26" s="90"/>
      <c r="B26" s="92"/>
      <c r="C26" s="43"/>
      <c r="E26" s="18"/>
      <c r="F26" s="11"/>
      <c r="G26" s="36"/>
      <c r="H26" s="36"/>
      <c r="I26" s="17">
        <f t="shared" ref="I26:I34" si="3">G26+H26</f>
        <v>0</v>
      </c>
      <c r="J26" s="36"/>
      <c r="K26" s="11"/>
      <c r="L26" s="11"/>
      <c r="M26" s="39"/>
      <c r="N26" s="11"/>
      <c r="O26" s="39"/>
      <c r="P26" s="69"/>
      <c r="Q26" s="15"/>
      <c r="R26" s="18"/>
      <c r="S26" s="39"/>
      <c r="T26" s="17"/>
      <c r="U26" s="88"/>
      <c r="V26" s="17">
        <f t="shared" si="0"/>
        <v>0</v>
      </c>
      <c r="W26" s="88"/>
      <c r="X26" s="88"/>
      <c r="Y26" s="88"/>
      <c r="Z26" s="39"/>
      <c r="AA26" s="39"/>
      <c r="AB26" s="39"/>
      <c r="AC26" s="39"/>
      <c r="AD26" s="23"/>
      <c r="AE26" s="59"/>
      <c r="AF26" s="64"/>
      <c r="AG26" s="55"/>
      <c r="AH26" s="65"/>
      <c r="AI26" s="55"/>
      <c r="AJ26" s="65"/>
      <c r="AK26" s="64"/>
      <c r="AL26" s="66"/>
      <c r="AM26" s="64"/>
      <c r="AN26" s="23"/>
      <c r="AO26" s="59"/>
      <c r="AP26" s="64"/>
      <c r="AQ26" s="55"/>
      <c r="AR26" s="65"/>
      <c r="AS26" s="55"/>
      <c r="AT26" s="65"/>
      <c r="AU26" s="64"/>
      <c r="AV26" s="66"/>
      <c r="AW26" s="64"/>
      <c r="AX26" s="23"/>
      <c r="AY26" s="59"/>
      <c r="AZ26" s="64"/>
      <c r="BA26" s="55"/>
      <c r="BB26" s="65"/>
      <c r="BC26" s="55"/>
      <c r="BD26" s="65"/>
      <c r="BE26" s="64"/>
      <c r="BF26" s="66"/>
      <c r="BG26" s="15"/>
      <c r="BH26" s="23"/>
      <c r="BI26" s="59"/>
      <c r="BJ26" s="64"/>
      <c r="BK26" s="55"/>
      <c r="BL26" s="65"/>
      <c r="BM26" s="55"/>
      <c r="BN26" s="65"/>
      <c r="BO26" s="64"/>
      <c r="BP26" s="66"/>
      <c r="BQ26" s="64"/>
      <c r="BR26" s="23"/>
      <c r="BS26" s="59"/>
      <c r="BT26" s="64"/>
      <c r="BU26" s="55"/>
      <c r="BV26" s="65"/>
      <c r="BW26" s="55"/>
      <c r="BX26" s="65"/>
      <c r="BY26" s="64"/>
      <c r="BZ26" s="66"/>
      <c r="CA26" s="15"/>
      <c r="CB26" s="23"/>
      <c r="CC26" s="59"/>
      <c r="CD26" s="64"/>
      <c r="CE26" s="55"/>
      <c r="CF26" s="65"/>
      <c r="CG26" s="55"/>
      <c r="CH26" s="65"/>
      <c r="CI26" s="64"/>
      <c r="CJ26" s="66"/>
      <c r="CK26" s="64"/>
      <c r="CL26" s="23"/>
      <c r="CM26" s="59"/>
      <c r="CN26" s="64"/>
      <c r="CO26" s="55"/>
      <c r="CP26" s="65"/>
      <c r="CQ26" s="55"/>
      <c r="CR26" s="65"/>
      <c r="CS26" s="64"/>
      <c r="CT26" s="66"/>
      <c r="CU26" s="64"/>
      <c r="CV26" s="23"/>
      <c r="CW26" s="59"/>
      <c r="CX26" s="64"/>
      <c r="CY26" s="55"/>
      <c r="CZ26" s="65"/>
      <c r="DA26" s="55"/>
      <c r="DB26" s="65"/>
      <c r="DC26" s="64"/>
      <c r="DD26" s="66"/>
      <c r="DE26" s="64"/>
      <c r="DF26" s="23"/>
      <c r="DG26" s="59"/>
      <c r="DH26" s="64"/>
      <c r="DI26" s="55"/>
      <c r="DJ26" s="65"/>
      <c r="DK26" s="55"/>
      <c r="DL26" s="65"/>
      <c r="DM26" s="64"/>
      <c r="DN26" s="66"/>
      <c r="DO26" s="15"/>
      <c r="DP26" s="23"/>
      <c r="DQ26" s="23"/>
    </row>
    <row r="27" spans="1:121" ht="15" customHeight="1" x14ac:dyDescent="0.35">
      <c r="A27" s="90"/>
      <c r="B27" s="92"/>
      <c r="C27" s="44"/>
      <c r="E27" s="18"/>
      <c r="F27" s="11"/>
      <c r="G27" s="36"/>
      <c r="H27" s="36"/>
      <c r="I27" s="17">
        <f t="shared" si="3"/>
        <v>0</v>
      </c>
      <c r="J27" s="36"/>
      <c r="K27" s="11"/>
      <c r="L27" s="11"/>
      <c r="M27" s="135"/>
      <c r="N27" s="11"/>
      <c r="O27" s="39"/>
      <c r="P27" s="69"/>
      <c r="Q27" s="15"/>
      <c r="R27" s="18"/>
      <c r="S27" s="39"/>
      <c r="T27" s="17"/>
      <c r="U27" s="88"/>
      <c r="V27" s="17">
        <f t="shared" si="0"/>
        <v>0</v>
      </c>
      <c r="W27" s="88"/>
      <c r="X27" s="88"/>
      <c r="Y27" s="88"/>
      <c r="Z27" s="135"/>
      <c r="AA27" s="39"/>
      <c r="AB27" s="39"/>
      <c r="AC27" s="39"/>
      <c r="AD27" s="23"/>
      <c r="AE27" s="59"/>
      <c r="AF27" s="64"/>
      <c r="AG27" s="55"/>
      <c r="AH27" s="65"/>
      <c r="AI27" s="55"/>
      <c r="AJ27" s="65"/>
      <c r="AK27" s="64"/>
      <c r="AL27" s="66"/>
      <c r="AM27" s="64"/>
      <c r="AN27" s="23"/>
      <c r="AO27" s="59"/>
      <c r="AP27" s="64"/>
      <c r="AQ27" s="55"/>
      <c r="AR27" s="65"/>
      <c r="AS27" s="55"/>
      <c r="AT27" s="65"/>
      <c r="AU27" s="64"/>
      <c r="AV27" s="66"/>
      <c r="AW27" s="64"/>
      <c r="AX27" s="23"/>
      <c r="AY27" s="59"/>
      <c r="AZ27" s="64"/>
      <c r="BA27" s="55"/>
      <c r="BB27" s="65"/>
      <c r="BC27" s="55"/>
      <c r="BD27" s="65"/>
      <c r="BE27" s="64"/>
      <c r="BF27" s="66"/>
      <c r="BG27" s="15"/>
      <c r="BH27" s="23"/>
      <c r="BI27" s="59"/>
      <c r="BJ27" s="64"/>
      <c r="BK27" s="55"/>
      <c r="BL27" s="65"/>
      <c r="BM27" s="55"/>
      <c r="BN27" s="65"/>
      <c r="BO27" s="64"/>
      <c r="BP27" s="66"/>
      <c r="BQ27" s="64"/>
      <c r="BR27" s="23"/>
      <c r="BS27" s="59"/>
      <c r="BT27" s="64"/>
      <c r="BU27" s="55"/>
      <c r="BV27" s="65"/>
      <c r="BW27" s="55"/>
      <c r="BX27" s="65"/>
      <c r="BY27" s="64"/>
      <c r="BZ27" s="66"/>
      <c r="CA27" s="15"/>
      <c r="CB27" s="23"/>
      <c r="CC27" s="59"/>
      <c r="CD27" s="64"/>
      <c r="CE27" s="55"/>
      <c r="CF27" s="65"/>
      <c r="CG27" s="55"/>
      <c r="CH27" s="65"/>
      <c r="CI27" s="64"/>
      <c r="CJ27" s="66"/>
      <c r="CK27" s="64"/>
      <c r="CL27" s="23"/>
      <c r="CM27" s="59"/>
      <c r="CN27" s="64"/>
      <c r="CO27" s="55"/>
      <c r="CP27" s="65"/>
      <c r="CQ27" s="55"/>
      <c r="CR27" s="65"/>
      <c r="CS27" s="64"/>
      <c r="CT27" s="66"/>
      <c r="CU27" s="64"/>
      <c r="CV27" s="23"/>
      <c r="CW27" s="59"/>
      <c r="CX27" s="64"/>
      <c r="CY27" s="55"/>
      <c r="CZ27" s="65"/>
      <c r="DA27" s="55"/>
      <c r="DB27" s="65"/>
      <c r="DC27" s="64"/>
      <c r="DD27" s="66"/>
      <c r="DE27" s="64"/>
      <c r="DF27" s="23"/>
      <c r="DG27" s="59"/>
      <c r="DH27" s="64"/>
      <c r="DI27" s="55"/>
      <c r="DJ27" s="65"/>
      <c r="DK27" s="55"/>
      <c r="DL27" s="65"/>
      <c r="DM27" s="64"/>
      <c r="DN27" s="66"/>
      <c r="DO27" s="15"/>
      <c r="DP27" s="23"/>
      <c r="DQ27" s="23"/>
    </row>
    <row r="28" spans="1:121" ht="15" customHeight="1" x14ac:dyDescent="0.35">
      <c r="A28" s="90"/>
      <c r="B28" s="179"/>
      <c r="C28" s="44"/>
      <c r="E28" s="18"/>
      <c r="F28" s="11"/>
      <c r="G28" s="36"/>
      <c r="H28" s="36"/>
      <c r="I28" s="17">
        <f t="shared" si="3"/>
        <v>0</v>
      </c>
      <c r="J28" s="36"/>
      <c r="K28" s="11"/>
      <c r="L28" s="11"/>
      <c r="M28" s="39"/>
      <c r="N28" s="11"/>
      <c r="O28" s="39"/>
      <c r="P28" s="69"/>
      <c r="Q28" s="15"/>
      <c r="R28" s="18"/>
      <c r="S28" s="39"/>
      <c r="T28" s="17"/>
      <c r="U28" s="88"/>
      <c r="V28" s="17">
        <f t="shared" si="0"/>
        <v>0</v>
      </c>
      <c r="W28" s="88"/>
      <c r="X28" s="88"/>
      <c r="Y28" s="88"/>
      <c r="Z28" s="39"/>
      <c r="AA28" s="39"/>
      <c r="AB28" s="39"/>
      <c r="AC28" s="39"/>
      <c r="AD28" s="23"/>
      <c r="AE28" s="59"/>
      <c r="AF28" s="64"/>
      <c r="AG28" s="55"/>
      <c r="AH28" s="65"/>
      <c r="AI28" s="55"/>
      <c r="AJ28" s="65"/>
      <c r="AK28" s="64"/>
      <c r="AL28" s="66"/>
      <c r="AM28" s="64"/>
      <c r="AN28" s="23"/>
      <c r="AO28" s="59"/>
      <c r="AP28" s="64"/>
      <c r="AQ28" s="55"/>
      <c r="AR28" s="65"/>
      <c r="AS28" s="55"/>
      <c r="AT28" s="65"/>
      <c r="AU28" s="64"/>
      <c r="AV28" s="66"/>
      <c r="AW28" s="64"/>
      <c r="AX28" s="23"/>
      <c r="AY28" s="59"/>
      <c r="AZ28" s="64"/>
      <c r="BA28" s="55"/>
      <c r="BB28" s="65"/>
      <c r="BC28" s="55"/>
      <c r="BD28" s="65"/>
      <c r="BE28" s="64"/>
      <c r="BF28" s="66"/>
      <c r="BG28" s="15"/>
      <c r="BH28" s="23"/>
      <c r="BI28" s="59"/>
      <c r="BJ28" s="64"/>
      <c r="BK28" s="55"/>
      <c r="BL28" s="65"/>
      <c r="BM28" s="55"/>
      <c r="BN28" s="65"/>
      <c r="BO28" s="64"/>
      <c r="BP28" s="66"/>
      <c r="BQ28" s="64"/>
      <c r="BR28" s="23"/>
      <c r="BS28" s="59"/>
      <c r="BT28" s="64"/>
      <c r="BU28" s="55"/>
      <c r="BV28" s="65"/>
      <c r="BW28" s="55"/>
      <c r="BX28" s="65"/>
      <c r="BY28" s="64"/>
      <c r="BZ28" s="66"/>
      <c r="CA28" s="15"/>
      <c r="CB28" s="23"/>
      <c r="CC28" s="59"/>
      <c r="CD28" s="64"/>
      <c r="CE28" s="55"/>
      <c r="CF28" s="65"/>
      <c r="CG28" s="55"/>
      <c r="CH28" s="65"/>
      <c r="CI28" s="64"/>
      <c r="CJ28" s="66"/>
      <c r="CK28" s="64"/>
      <c r="CL28" s="23"/>
      <c r="CM28" s="59"/>
      <c r="CN28" s="64"/>
      <c r="CO28" s="55"/>
      <c r="CP28" s="65"/>
      <c r="CQ28" s="55"/>
      <c r="CR28" s="65"/>
      <c r="CS28" s="64"/>
      <c r="CT28" s="66"/>
      <c r="CU28" s="64"/>
      <c r="CV28" s="23"/>
      <c r="CW28" s="59"/>
      <c r="CX28" s="64"/>
      <c r="CY28" s="55"/>
      <c r="CZ28" s="65"/>
      <c r="DA28" s="55"/>
      <c r="DB28" s="65"/>
      <c r="DC28" s="64"/>
      <c r="DD28" s="66"/>
      <c r="DE28" s="64"/>
      <c r="DF28" s="23"/>
      <c r="DG28" s="59"/>
      <c r="DH28" s="64"/>
      <c r="DI28" s="55"/>
      <c r="DJ28" s="65"/>
      <c r="DK28" s="55"/>
      <c r="DL28" s="65"/>
      <c r="DM28" s="64"/>
      <c r="DN28" s="66"/>
      <c r="DO28" s="15"/>
      <c r="DP28" s="23"/>
      <c r="DQ28" s="23"/>
    </row>
    <row r="29" spans="1:121" ht="15" customHeight="1" x14ac:dyDescent="0.35">
      <c r="A29" s="91"/>
      <c r="B29" s="179"/>
      <c r="E29" s="18"/>
      <c r="F29" s="11"/>
      <c r="G29" s="36"/>
      <c r="H29" s="36"/>
      <c r="I29" s="17">
        <f t="shared" si="3"/>
        <v>0</v>
      </c>
      <c r="J29" s="36"/>
      <c r="K29" s="11"/>
      <c r="L29" s="11"/>
      <c r="M29" s="114"/>
      <c r="N29" s="11"/>
      <c r="O29" s="39"/>
      <c r="P29" s="69"/>
      <c r="Q29" s="15"/>
      <c r="R29" s="18"/>
      <c r="S29" s="39"/>
      <c r="T29" s="17"/>
      <c r="U29" s="88"/>
      <c r="V29" s="17">
        <f t="shared" si="0"/>
        <v>0</v>
      </c>
      <c r="W29" s="88"/>
      <c r="X29" s="88"/>
      <c r="Y29" s="88"/>
      <c r="Z29" s="114"/>
      <c r="AA29" s="39"/>
      <c r="AB29" s="39"/>
      <c r="AC29" s="39"/>
      <c r="AD29" s="23"/>
      <c r="AE29" s="59"/>
      <c r="AF29" s="64"/>
      <c r="AG29" s="55"/>
      <c r="AH29" s="65"/>
      <c r="AI29" s="55"/>
      <c r="AJ29" s="65"/>
      <c r="AK29" s="64"/>
      <c r="AL29" s="66"/>
      <c r="AM29" s="64"/>
      <c r="AN29" s="23"/>
      <c r="AO29" s="59"/>
      <c r="AP29" s="64"/>
      <c r="AQ29" s="55"/>
      <c r="AR29" s="65"/>
      <c r="AS29" s="55"/>
      <c r="AT29" s="65"/>
      <c r="AU29" s="64"/>
      <c r="AV29" s="66"/>
      <c r="AW29" s="64"/>
      <c r="AX29" s="23"/>
      <c r="AY29" s="59"/>
      <c r="AZ29" s="64"/>
      <c r="BA29" s="55"/>
      <c r="BB29" s="65"/>
      <c r="BC29" s="55"/>
      <c r="BD29" s="65"/>
      <c r="BE29" s="64"/>
      <c r="BF29" s="66"/>
      <c r="BG29" s="15"/>
      <c r="BH29" s="23"/>
      <c r="BI29" s="59"/>
      <c r="BJ29" s="64"/>
      <c r="BK29" s="55"/>
      <c r="BL29" s="65"/>
      <c r="BM29" s="55"/>
      <c r="BN29" s="65"/>
      <c r="BO29" s="64"/>
      <c r="BP29" s="66"/>
      <c r="BQ29" s="64"/>
      <c r="BR29" s="23"/>
      <c r="BS29" s="59"/>
      <c r="BT29" s="64"/>
      <c r="BU29" s="55"/>
      <c r="BV29" s="65"/>
      <c r="BW29" s="55"/>
      <c r="BX29" s="65"/>
      <c r="BY29" s="64"/>
      <c r="BZ29" s="66"/>
      <c r="CA29" s="15"/>
      <c r="CB29" s="23"/>
      <c r="CC29" s="59"/>
      <c r="CD29" s="64"/>
      <c r="CE29" s="55"/>
      <c r="CF29" s="65"/>
      <c r="CG29" s="55"/>
      <c r="CH29" s="65"/>
      <c r="CI29" s="64"/>
      <c r="CJ29" s="66"/>
      <c r="CK29" s="64"/>
      <c r="CL29" s="23"/>
      <c r="CM29" s="59"/>
      <c r="CN29" s="64"/>
      <c r="CO29" s="55"/>
      <c r="CP29" s="65"/>
      <c r="CQ29" s="55"/>
      <c r="CR29" s="65"/>
      <c r="CS29" s="64"/>
      <c r="CT29" s="66"/>
      <c r="CU29" s="64"/>
      <c r="CV29" s="23"/>
      <c r="CW29" s="59"/>
      <c r="CX29" s="64"/>
      <c r="CY29" s="55"/>
      <c r="CZ29" s="65"/>
      <c r="DA29" s="55"/>
      <c r="DB29" s="65"/>
      <c r="DC29" s="64"/>
      <c r="DD29" s="66"/>
      <c r="DE29" s="64"/>
      <c r="DF29" s="23"/>
      <c r="DG29" s="59"/>
      <c r="DH29" s="64"/>
      <c r="DI29" s="55"/>
      <c r="DJ29" s="65"/>
      <c r="DK29" s="55"/>
      <c r="DL29" s="65"/>
      <c r="DM29" s="64"/>
      <c r="DN29" s="66"/>
      <c r="DO29" s="15"/>
      <c r="DP29" s="23"/>
      <c r="DQ29" s="23"/>
    </row>
    <row r="30" spans="1:121" ht="15" customHeight="1" x14ac:dyDescent="0.35">
      <c r="A30" s="90"/>
      <c r="B30" s="179"/>
      <c r="E30" s="18"/>
      <c r="F30" s="11"/>
      <c r="G30" s="36"/>
      <c r="H30" s="36"/>
      <c r="I30" s="17">
        <f t="shared" si="3"/>
        <v>0</v>
      </c>
      <c r="J30" s="36"/>
      <c r="K30" s="11"/>
      <c r="L30" s="11"/>
      <c r="M30" s="114"/>
      <c r="N30" s="11"/>
      <c r="O30" s="39"/>
      <c r="P30" s="69"/>
      <c r="Q30" s="15"/>
      <c r="R30" s="18"/>
      <c r="S30" s="39"/>
      <c r="T30" s="17"/>
      <c r="U30" s="88"/>
      <c r="V30" s="17">
        <f t="shared" si="0"/>
        <v>0</v>
      </c>
      <c r="W30" s="88"/>
      <c r="X30" s="88"/>
      <c r="Y30" s="88"/>
      <c r="Z30" s="114"/>
      <c r="AA30" s="39"/>
      <c r="AB30" s="39"/>
      <c r="AC30" s="39"/>
      <c r="AD30" s="23"/>
      <c r="AE30" s="59"/>
      <c r="AF30" s="64"/>
      <c r="AG30" s="55"/>
      <c r="AH30" s="65"/>
      <c r="AI30" s="55"/>
      <c r="AJ30" s="65"/>
      <c r="AK30" s="64"/>
      <c r="AL30" s="66"/>
      <c r="AM30" s="64"/>
      <c r="AN30" s="23"/>
      <c r="AO30" s="59"/>
      <c r="AP30" s="64"/>
      <c r="AQ30" s="55"/>
      <c r="AR30" s="65"/>
      <c r="AS30" s="55"/>
      <c r="AT30" s="65"/>
      <c r="AU30" s="64"/>
      <c r="AV30" s="66"/>
      <c r="AW30" s="64"/>
      <c r="AX30" s="23"/>
      <c r="AY30" s="59"/>
      <c r="AZ30" s="64"/>
      <c r="BA30" s="55"/>
      <c r="BB30" s="65"/>
      <c r="BC30" s="55"/>
      <c r="BD30" s="65"/>
      <c r="BE30" s="64"/>
      <c r="BF30" s="66"/>
      <c r="BG30" s="15"/>
      <c r="BH30" s="23"/>
      <c r="BI30" s="59"/>
      <c r="BJ30" s="64"/>
      <c r="BK30" s="55"/>
      <c r="BL30" s="65"/>
      <c r="BM30" s="55"/>
      <c r="BN30" s="65"/>
      <c r="BO30" s="64"/>
      <c r="BP30" s="66"/>
      <c r="BQ30" s="64"/>
      <c r="BR30" s="23"/>
      <c r="BS30" s="59"/>
      <c r="BT30" s="64"/>
      <c r="BU30" s="55"/>
      <c r="BV30" s="65"/>
      <c r="BW30" s="55"/>
      <c r="BX30" s="65"/>
      <c r="BY30" s="64"/>
      <c r="BZ30" s="66"/>
      <c r="CA30" s="15"/>
      <c r="CB30" s="23"/>
      <c r="CC30" s="59"/>
      <c r="CD30" s="64"/>
      <c r="CE30" s="55"/>
      <c r="CF30" s="65"/>
      <c r="CG30" s="55"/>
      <c r="CH30" s="65"/>
      <c r="CI30" s="64"/>
      <c r="CJ30" s="66"/>
      <c r="CK30" s="64"/>
      <c r="CL30" s="23"/>
      <c r="CM30" s="59"/>
      <c r="CN30" s="64"/>
      <c r="CO30" s="55"/>
      <c r="CP30" s="65"/>
      <c r="CQ30" s="55"/>
      <c r="CR30" s="65"/>
      <c r="CS30" s="64"/>
      <c r="CT30" s="66"/>
      <c r="CU30" s="64"/>
      <c r="CV30" s="23"/>
      <c r="CW30" s="59"/>
      <c r="CX30" s="64"/>
      <c r="CY30" s="55"/>
      <c r="CZ30" s="65"/>
      <c r="DA30" s="55"/>
      <c r="DB30" s="65"/>
      <c r="DC30" s="64"/>
      <c r="DD30" s="66"/>
      <c r="DE30" s="64"/>
      <c r="DF30" s="23"/>
      <c r="DG30" s="59"/>
      <c r="DH30" s="64"/>
      <c r="DI30" s="55"/>
      <c r="DJ30" s="65"/>
      <c r="DK30" s="55"/>
      <c r="DL30" s="65"/>
      <c r="DM30" s="64"/>
      <c r="DN30" s="66"/>
      <c r="DO30" s="15"/>
      <c r="DP30" s="23"/>
      <c r="DQ30" s="23"/>
    </row>
    <row r="31" spans="1:121" ht="15" customHeight="1" x14ac:dyDescent="0.35">
      <c r="A31" s="90"/>
      <c r="B31" s="179"/>
      <c r="E31" s="18"/>
      <c r="F31" s="11"/>
      <c r="G31" s="36"/>
      <c r="H31" s="36"/>
      <c r="I31" s="17">
        <f t="shared" si="3"/>
        <v>0</v>
      </c>
      <c r="J31" s="36"/>
      <c r="K31" s="11"/>
      <c r="L31" s="11"/>
      <c r="M31" s="135"/>
      <c r="N31" s="11"/>
      <c r="O31" s="39"/>
      <c r="P31" s="69"/>
      <c r="Q31" s="15"/>
      <c r="R31" s="18"/>
      <c r="S31" s="39"/>
      <c r="T31" s="17"/>
      <c r="U31" s="88"/>
      <c r="V31" s="17">
        <f t="shared" si="0"/>
        <v>0</v>
      </c>
      <c r="W31" s="88"/>
      <c r="X31" s="88"/>
      <c r="Y31" s="88"/>
      <c r="Z31" s="135"/>
      <c r="AA31" s="39"/>
      <c r="AB31" s="39"/>
      <c r="AC31" s="39"/>
      <c r="AD31" s="23"/>
      <c r="AE31" s="59"/>
      <c r="AF31" s="64"/>
      <c r="AG31" s="55"/>
      <c r="AH31" s="65"/>
      <c r="AI31" s="55"/>
      <c r="AJ31" s="65"/>
      <c r="AK31" s="64"/>
      <c r="AL31" s="66"/>
      <c r="AM31" s="64"/>
      <c r="AN31" s="23"/>
      <c r="AO31" s="59"/>
      <c r="AP31" s="64"/>
      <c r="AQ31" s="55"/>
      <c r="AR31" s="65"/>
      <c r="AS31" s="55"/>
      <c r="AT31" s="65"/>
      <c r="AU31" s="64"/>
      <c r="AV31" s="66"/>
      <c r="AW31" s="64"/>
      <c r="AX31" s="23"/>
      <c r="AY31" s="59"/>
      <c r="AZ31" s="64"/>
      <c r="BA31" s="55"/>
      <c r="BB31" s="65"/>
      <c r="BC31" s="55"/>
      <c r="BD31" s="65"/>
      <c r="BE31" s="64"/>
      <c r="BF31" s="66"/>
      <c r="BG31" s="15"/>
      <c r="BH31" s="23"/>
      <c r="BI31" s="59"/>
      <c r="BJ31" s="64"/>
      <c r="BK31" s="55"/>
      <c r="BL31" s="65"/>
      <c r="BM31" s="55"/>
      <c r="BN31" s="65"/>
      <c r="BO31" s="64"/>
      <c r="BP31" s="66"/>
      <c r="BQ31" s="64"/>
      <c r="BR31" s="23"/>
      <c r="BS31" s="59"/>
      <c r="BT31" s="64"/>
      <c r="BU31" s="55"/>
      <c r="BV31" s="65"/>
      <c r="BW31" s="55"/>
      <c r="BX31" s="65"/>
      <c r="BY31" s="64"/>
      <c r="BZ31" s="66"/>
      <c r="CA31" s="15"/>
      <c r="CB31" s="23"/>
      <c r="CC31" s="59"/>
      <c r="CD31" s="64"/>
      <c r="CE31" s="55"/>
      <c r="CF31" s="65"/>
      <c r="CG31" s="55"/>
      <c r="CH31" s="65"/>
      <c r="CI31" s="64"/>
      <c r="CJ31" s="66"/>
      <c r="CK31" s="64"/>
      <c r="CL31" s="23"/>
      <c r="CM31" s="59"/>
      <c r="CN31" s="64"/>
      <c r="CO31" s="55"/>
      <c r="CP31" s="65"/>
      <c r="CQ31" s="55"/>
      <c r="CR31" s="65"/>
      <c r="CS31" s="64"/>
      <c r="CT31" s="66"/>
      <c r="CU31" s="64"/>
      <c r="CV31" s="23"/>
      <c r="CW31" s="59"/>
      <c r="CX31" s="64"/>
      <c r="CY31" s="55"/>
      <c r="CZ31" s="65"/>
      <c r="DA31" s="55"/>
      <c r="DB31" s="65"/>
      <c r="DC31" s="64"/>
      <c r="DD31" s="66"/>
      <c r="DE31" s="64"/>
      <c r="DF31" s="23"/>
      <c r="DG31" s="59"/>
      <c r="DH31" s="64"/>
      <c r="DI31" s="55"/>
      <c r="DJ31" s="65"/>
      <c r="DK31" s="55"/>
      <c r="DL31" s="65"/>
      <c r="DM31" s="64"/>
      <c r="DN31" s="66"/>
      <c r="DO31" s="15"/>
      <c r="DP31" s="23"/>
      <c r="DQ31" s="23"/>
    </row>
    <row r="32" spans="1:121" ht="15" customHeight="1" x14ac:dyDescent="0.35">
      <c r="A32" s="90"/>
      <c r="B32" s="179"/>
      <c r="E32" s="18"/>
      <c r="F32" s="11"/>
      <c r="G32" s="36"/>
      <c r="H32" s="36"/>
      <c r="I32" s="17">
        <f t="shared" si="3"/>
        <v>0</v>
      </c>
      <c r="J32" s="36"/>
      <c r="K32" s="11"/>
      <c r="L32" s="11"/>
      <c r="M32" s="135"/>
      <c r="N32" s="11"/>
      <c r="O32" s="39"/>
      <c r="P32" s="69"/>
      <c r="Q32" s="15"/>
      <c r="R32" s="18"/>
      <c r="S32" s="39"/>
      <c r="T32" s="17"/>
      <c r="U32" s="88"/>
      <c r="V32" s="17">
        <f t="shared" si="0"/>
        <v>0</v>
      </c>
      <c r="W32" s="88"/>
      <c r="X32" s="88"/>
      <c r="Y32" s="88"/>
      <c r="Z32" s="135"/>
      <c r="AA32" s="39"/>
      <c r="AB32" s="39"/>
      <c r="AC32" s="39"/>
      <c r="AD32" s="23"/>
      <c r="AE32" s="59"/>
      <c r="AF32" s="64"/>
      <c r="AG32" s="55"/>
      <c r="AH32" s="65"/>
      <c r="AI32" s="55"/>
      <c r="AJ32" s="65"/>
      <c r="AK32" s="64"/>
      <c r="AL32" s="66"/>
      <c r="AM32" s="64"/>
      <c r="AN32" s="23"/>
      <c r="AO32" s="59"/>
      <c r="AP32" s="64"/>
      <c r="AQ32" s="55"/>
      <c r="AR32" s="65"/>
      <c r="AS32" s="55"/>
      <c r="AT32" s="65"/>
      <c r="AU32" s="64"/>
      <c r="AV32" s="66"/>
      <c r="AW32" s="64"/>
      <c r="AX32" s="23"/>
      <c r="AY32" s="59"/>
      <c r="AZ32" s="64"/>
      <c r="BA32" s="55"/>
      <c r="BB32" s="65"/>
      <c r="BC32" s="55"/>
      <c r="BD32" s="65"/>
      <c r="BE32" s="64"/>
      <c r="BF32" s="66"/>
      <c r="BG32" s="15"/>
      <c r="BH32" s="23"/>
      <c r="BI32" s="59"/>
      <c r="BJ32" s="64"/>
      <c r="BK32" s="55"/>
      <c r="BL32" s="65"/>
      <c r="BM32" s="55"/>
      <c r="BN32" s="65"/>
      <c r="BO32" s="64"/>
      <c r="BP32" s="66"/>
      <c r="BQ32" s="64"/>
      <c r="BR32" s="23"/>
      <c r="BS32" s="59"/>
      <c r="BT32" s="64"/>
      <c r="BU32" s="55"/>
      <c r="BV32" s="65"/>
      <c r="BW32" s="55"/>
      <c r="BX32" s="65"/>
      <c r="BY32" s="64"/>
      <c r="BZ32" s="66"/>
      <c r="CA32" s="15"/>
      <c r="CB32" s="23"/>
      <c r="CC32" s="59"/>
      <c r="CD32" s="64"/>
      <c r="CE32" s="55"/>
      <c r="CF32" s="65"/>
      <c r="CG32" s="55"/>
      <c r="CH32" s="65"/>
      <c r="CI32" s="64"/>
      <c r="CJ32" s="66"/>
      <c r="CK32" s="64"/>
      <c r="CL32" s="23"/>
      <c r="CM32" s="59"/>
      <c r="CN32" s="64"/>
      <c r="CO32" s="55"/>
      <c r="CP32" s="65"/>
      <c r="CQ32" s="55"/>
      <c r="CR32" s="65"/>
      <c r="CS32" s="64"/>
      <c r="CT32" s="66"/>
      <c r="CU32" s="64"/>
      <c r="CV32" s="23"/>
      <c r="CW32" s="59"/>
      <c r="CX32" s="64"/>
      <c r="CY32" s="55"/>
      <c r="CZ32" s="65"/>
      <c r="DA32" s="55"/>
      <c r="DB32" s="65"/>
      <c r="DC32" s="64"/>
      <c r="DD32" s="66"/>
      <c r="DE32" s="64"/>
      <c r="DF32" s="23"/>
      <c r="DG32" s="59"/>
      <c r="DH32" s="64"/>
      <c r="DI32" s="55"/>
      <c r="DJ32" s="65"/>
      <c r="DK32" s="55"/>
      <c r="DL32" s="65"/>
      <c r="DM32" s="64"/>
      <c r="DN32" s="66"/>
      <c r="DO32" s="15"/>
      <c r="DP32" s="23"/>
      <c r="DQ32" s="23"/>
    </row>
    <row r="33" spans="1:121" ht="15" customHeight="1" x14ac:dyDescent="0.35">
      <c r="A33" s="117"/>
      <c r="B33" s="118" t="s">
        <v>84</v>
      </c>
      <c r="E33" s="18"/>
      <c r="F33" s="11"/>
      <c r="G33" s="36"/>
      <c r="H33" s="36"/>
      <c r="I33" s="17">
        <f t="shared" si="3"/>
        <v>0</v>
      </c>
      <c r="J33" s="36"/>
      <c r="K33" s="11"/>
      <c r="L33" s="11"/>
      <c r="M33" s="135"/>
      <c r="N33" s="11"/>
      <c r="O33" s="39"/>
      <c r="P33" s="69"/>
      <c r="Q33" s="15"/>
      <c r="R33" s="18"/>
      <c r="S33" s="39"/>
      <c r="T33" s="17"/>
      <c r="U33" s="88"/>
      <c r="V33" s="17">
        <f t="shared" si="0"/>
        <v>0</v>
      </c>
      <c r="W33" s="88"/>
      <c r="X33" s="88"/>
      <c r="Y33" s="88"/>
      <c r="Z33" s="135"/>
      <c r="AA33" s="39"/>
      <c r="AB33" s="39"/>
      <c r="AC33" s="39"/>
      <c r="AD33" s="23"/>
      <c r="AE33" s="59"/>
      <c r="AF33" s="64"/>
      <c r="AG33" s="55"/>
      <c r="AH33" s="65"/>
      <c r="AI33" s="55"/>
      <c r="AJ33" s="65"/>
      <c r="AK33" s="64"/>
      <c r="AL33" s="66"/>
      <c r="AM33" s="64"/>
      <c r="AN33" s="23"/>
      <c r="AO33" s="59"/>
      <c r="AP33" s="64"/>
      <c r="AQ33" s="55"/>
      <c r="AR33" s="65"/>
      <c r="AS33" s="55"/>
      <c r="AT33" s="65"/>
      <c r="AU33" s="64"/>
      <c r="AV33" s="66"/>
      <c r="AW33" s="64"/>
      <c r="AX33" s="23"/>
      <c r="AY33" s="59"/>
      <c r="AZ33" s="64"/>
      <c r="BA33" s="55"/>
      <c r="BB33" s="65"/>
      <c r="BC33" s="55"/>
      <c r="BD33" s="65"/>
      <c r="BE33" s="64"/>
      <c r="BF33" s="66"/>
      <c r="BG33" s="15"/>
      <c r="BH33" s="23"/>
      <c r="BI33" s="59"/>
      <c r="BJ33" s="64"/>
      <c r="BK33" s="55"/>
      <c r="BL33" s="65"/>
      <c r="BM33" s="55"/>
      <c r="BN33" s="65"/>
      <c r="BO33" s="64"/>
      <c r="BP33" s="66"/>
      <c r="BQ33" s="64"/>
      <c r="BR33" s="23"/>
      <c r="BS33" s="59"/>
      <c r="BT33" s="64"/>
      <c r="BU33" s="55"/>
      <c r="BV33" s="65"/>
      <c r="BW33" s="55"/>
      <c r="BX33" s="65"/>
      <c r="BY33" s="64"/>
      <c r="BZ33" s="66"/>
      <c r="CA33" s="15"/>
      <c r="CB33" s="23"/>
      <c r="CC33" s="59"/>
      <c r="CD33" s="64"/>
      <c r="CE33" s="55"/>
      <c r="CF33" s="65"/>
      <c r="CG33" s="55"/>
      <c r="CH33" s="65"/>
      <c r="CI33" s="64"/>
      <c r="CJ33" s="66"/>
      <c r="CK33" s="64"/>
      <c r="CL33" s="23"/>
      <c r="CM33" s="59"/>
      <c r="CN33" s="64"/>
      <c r="CO33" s="55"/>
      <c r="CP33" s="65"/>
      <c r="CQ33" s="55"/>
      <c r="CR33" s="65"/>
      <c r="CS33" s="64"/>
      <c r="CT33" s="66"/>
      <c r="CU33" s="64"/>
      <c r="CV33" s="23"/>
      <c r="CW33" s="59"/>
      <c r="CX33" s="64"/>
      <c r="CY33" s="55"/>
      <c r="CZ33" s="65"/>
      <c r="DA33" s="55"/>
      <c r="DB33" s="65"/>
      <c r="DC33" s="64"/>
      <c r="DD33" s="66"/>
      <c r="DE33" s="64"/>
      <c r="DF33" s="23"/>
      <c r="DG33" s="59"/>
      <c r="DH33" s="64"/>
      <c r="DI33" s="55"/>
      <c r="DJ33" s="65"/>
      <c r="DK33" s="55"/>
      <c r="DL33" s="65"/>
      <c r="DM33" s="64"/>
      <c r="DN33" s="66"/>
      <c r="DO33" s="15"/>
      <c r="DP33" s="23"/>
      <c r="DQ33" s="23"/>
    </row>
    <row r="34" spans="1:121" ht="15" customHeight="1" x14ac:dyDescent="0.35">
      <c r="A34" s="116"/>
      <c r="B34" s="118" t="s">
        <v>97</v>
      </c>
      <c r="E34" s="18"/>
      <c r="F34" s="11"/>
      <c r="G34" s="36"/>
      <c r="H34" s="36"/>
      <c r="I34" s="17">
        <f t="shared" si="3"/>
        <v>0</v>
      </c>
      <c r="J34" s="36"/>
      <c r="K34" s="11"/>
      <c r="L34" s="11"/>
      <c r="M34" s="135"/>
      <c r="N34" s="11"/>
      <c r="O34" s="39"/>
      <c r="P34" s="11"/>
      <c r="Q34" s="15"/>
      <c r="R34" s="18"/>
      <c r="S34" s="39"/>
      <c r="T34" s="17"/>
      <c r="U34" s="88"/>
      <c r="V34" s="17">
        <f t="shared" si="0"/>
        <v>0</v>
      </c>
      <c r="W34" s="88"/>
      <c r="X34" s="88"/>
      <c r="Y34" s="88"/>
      <c r="Z34" s="135"/>
      <c r="AA34" s="39"/>
      <c r="AB34" s="39"/>
      <c r="AC34" s="39"/>
      <c r="AD34" s="23"/>
      <c r="AE34" s="59"/>
      <c r="AF34" s="64"/>
      <c r="AG34" s="55"/>
      <c r="AH34" s="65"/>
      <c r="AI34" s="55"/>
      <c r="AJ34" s="65"/>
      <c r="AK34" s="64"/>
      <c r="AL34" s="66"/>
      <c r="AM34" s="64"/>
      <c r="AN34" s="23"/>
      <c r="AO34" s="59"/>
      <c r="AP34" s="64"/>
      <c r="AQ34" s="55"/>
      <c r="AR34" s="65"/>
      <c r="AS34" s="55"/>
      <c r="AT34" s="65"/>
      <c r="AU34" s="64"/>
      <c r="AV34" s="66"/>
      <c r="AW34" s="64"/>
      <c r="AX34" s="23"/>
      <c r="AY34" s="59"/>
      <c r="AZ34" s="64"/>
      <c r="BA34" s="55"/>
      <c r="BB34" s="65"/>
      <c r="BC34" s="55"/>
      <c r="BD34" s="65"/>
      <c r="BE34" s="64"/>
      <c r="BF34" s="66"/>
      <c r="BG34" s="15"/>
      <c r="BH34" s="23"/>
      <c r="BI34" s="59"/>
      <c r="BJ34" s="64"/>
      <c r="BK34" s="55"/>
      <c r="BL34" s="65"/>
      <c r="BM34" s="55"/>
      <c r="BN34" s="65"/>
      <c r="BO34" s="64"/>
      <c r="BP34" s="66"/>
      <c r="BQ34" s="64"/>
      <c r="BR34" s="23"/>
      <c r="BS34" s="59"/>
      <c r="BT34" s="64"/>
      <c r="BU34" s="55"/>
      <c r="BV34" s="65"/>
      <c r="BW34" s="55"/>
      <c r="BX34" s="65"/>
      <c r="BY34" s="64"/>
      <c r="BZ34" s="66"/>
      <c r="CA34" s="15"/>
      <c r="CB34" s="23"/>
      <c r="CC34" s="59"/>
      <c r="CD34" s="64"/>
      <c r="CE34" s="55"/>
      <c r="CF34" s="65"/>
      <c r="CG34" s="55"/>
      <c r="CH34" s="65"/>
      <c r="CI34" s="64"/>
      <c r="CJ34" s="66"/>
      <c r="CK34" s="64"/>
      <c r="CL34" s="23"/>
      <c r="CM34" s="59"/>
      <c r="CN34" s="64"/>
      <c r="CO34" s="55"/>
      <c r="CP34" s="65"/>
      <c r="CQ34" s="55"/>
      <c r="CR34" s="65"/>
      <c r="CS34" s="64"/>
      <c r="CT34" s="66"/>
      <c r="CU34" s="64"/>
      <c r="CV34" s="23"/>
      <c r="CW34" s="59"/>
      <c r="CX34" s="64"/>
      <c r="CY34" s="55"/>
      <c r="CZ34" s="65"/>
      <c r="DA34" s="55"/>
      <c r="DB34" s="65"/>
      <c r="DC34" s="64"/>
      <c r="DD34" s="66"/>
      <c r="DE34" s="64"/>
      <c r="DF34" s="23"/>
      <c r="DG34" s="59"/>
      <c r="DH34" s="64"/>
      <c r="DI34" s="55"/>
      <c r="DJ34" s="65"/>
      <c r="DK34" s="55"/>
      <c r="DL34" s="65"/>
      <c r="DM34" s="64"/>
      <c r="DN34" s="66"/>
      <c r="DO34" s="15"/>
      <c r="DP34" s="23"/>
      <c r="DQ34" s="23"/>
    </row>
    <row r="35" spans="1:121" ht="15" customHeight="1" x14ac:dyDescent="0.35">
      <c r="A35" s="170" t="s">
        <v>94</v>
      </c>
      <c r="B35" s="92"/>
      <c r="E35" s="18"/>
      <c r="F35" s="11"/>
      <c r="G35" s="36"/>
      <c r="H35" s="36"/>
      <c r="I35" s="17">
        <f t="shared" ref="I35:I62" si="4">G35+H35</f>
        <v>0</v>
      </c>
      <c r="J35" s="36"/>
      <c r="K35" s="11"/>
      <c r="L35" s="11"/>
      <c r="M35" s="135"/>
      <c r="N35" s="11"/>
      <c r="O35" s="39"/>
      <c r="P35" s="69"/>
      <c r="Q35" s="15"/>
      <c r="R35" s="18"/>
      <c r="S35" s="39"/>
      <c r="T35" s="17"/>
      <c r="U35" s="88"/>
      <c r="V35" s="17">
        <f t="shared" ref="V35:V62" si="5">T35+U35</f>
        <v>0</v>
      </c>
      <c r="W35" s="88"/>
      <c r="X35" s="88"/>
      <c r="Y35" s="88"/>
      <c r="Z35" s="135"/>
      <c r="AA35" s="39"/>
      <c r="AB35" s="39"/>
      <c r="AC35" s="39"/>
      <c r="AD35" s="23"/>
      <c r="AE35" s="59"/>
      <c r="AF35" s="64"/>
      <c r="AG35" s="55"/>
      <c r="AH35" s="65"/>
      <c r="AI35" s="55"/>
      <c r="AJ35" s="65"/>
      <c r="AK35" s="64"/>
      <c r="AL35" s="66"/>
      <c r="AM35" s="64"/>
      <c r="AN35" s="23"/>
      <c r="AO35" s="59"/>
      <c r="AP35" s="64"/>
      <c r="AQ35" s="55"/>
      <c r="AR35" s="65"/>
      <c r="AS35" s="55"/>
      <c r="AT35" s="65"/>
      <c r="AU35" s="64"/>
      <c r="AV35" s="66"/>
      <c r="AW35" s="64"/>
      <c r="AX35" s="23"/>
      <c r="AY35" s="59"/>
      <c r="AZ35" s="64"/>
      <c r="BA35" s="55"/>
      <c r="BB35" s="65"/>
      <c r="BC35" s="55"/>
      <c r="BD35" s="65"/>
      <c r="BE35" s="64"/>
      <c r="BF35" s="66"/>
      <c r="BG35" s="15"/>
      <c r="BH35" s="23"/>
      <c r="BI35" s="59"/>
      <c r="BJ35" s="64"/>
      <c r="BK35" s="55"/>
      <c r="BL35" s="65"/>
      <c r="BM35" s="55"/>
      <c r="BN35" s="65"/>
      <c r="BO35" s="64"/>
      <c r="BP35" s="66"/>
      <c r="BQ35" s="64"/>
      <c r="BR35" s="23"/>
      <c r="BS35" s="59"/>
      <c r="BT35" s="64"/>
      <c r="BU35" s="55"/>
      <c r="BV35" s="65"/>
      <c r="BW35" s="55"/>
      <c r="BX35" s="65"/>
      <c r="BY35" s="64"/>
      <c r="BZ35" s="66"/>
      <c r="CA35" s="15"/>
      <c r="CB35" s="23"/>
      <c r="CC35" s="59"/>
      <c r="CD35" s="64"/>
      <c r="CE35" s="55"/>
      <c r="CF35" s="65"/>
      <c r="CG35" s="55"/>
      <c r="CH35" s="65"/>
      <c r="CI35" s="64"/>
      <c r="CJ35" s="66"/>
      <c r="CK35" s="64"/>
      <c r="CL35" s="23"/>
      <c r="CM35" s="59"/>
      <c r="CN35" s="64"/>
      <c r="CO35" s="55"/>
      <c r="CP35" s="65"/>
      <c r="CQ35" s="55"/>
      <c r="CR35" s="65"/>
      <c r="CS35" s="64"/>
      <c r="CT35" s="66"/>
      <c r="CU35" s="64"/>
      <c r="CV35" s="23"/>
      <c r="CW35" s="59"/>
      <c r="CX35" s="64"/>
      <c r="CY35" s="55"/>
      <c r="CZ35" s="65"/>
      <c r="DA35" s="55"/>
      <c r="DB35" s="65"/>
      <c r="DC35" s="64"/>
      <c r="DD35" s="66"/>
      <c r="DE35" s="64"/>
      <c r="DF35" s="23"/>
      <c r="DG35" s="59"/>
      <c r="DH35" s="64"/>
      <c r="DI35" s="55"/>
      <c r="DJ35" s="65"/>
      <c r="DK35" s="55"/>
      <c r="DL35" s="65"/>
      <c r="DM35" s="64"/>
      <c r="DN35" s="66"/>
      <c r="DO35" s="15"/>
      <c r="DP35" s="23"/>
      <c r="DQ35" s="23"/>
    </row>
    <row r="36" spans="1:121" ht="15" customHeight="1" x14ac:dyDescent="0.35">
      <c r="A36" s="91"/>
      <c r="B36" s="179"/>
      <c r="E36" s="18"/>
      <c r="F36" s="11"/>
      <c r="G36" s="36"/>
      <c r="H36" s="36"/>
      <c r="I36" s="17">
        <f t="shared" si="4"/>
        <v>0</v>
      </c>
      <c r="J36" s="36"/>
      <c r="K36" s="11"/>
      <c r="L36" s="11"/>
      <c r="M36" s="135"/>
      <c r="N36" s="11"/>
      <c r="O36" s="39"/>
      <c r="P36" s="69"/>
      <c r="Q36" s="15"/>
      <c r="R36" s="18"/>
      <c r="S36" s="39"/>
      <c r="T36" s="17"/>
      <c r="U36" s="88"/>
      <c r="V36" s="17">
        <f t="shared" si="5"/>
        <v>0</v>
      </c>
      <c r="W36" s="88"/>
      <c r="X36" s="88"/>
      <c r="Y36" s="88"/>
      <c r="Z36" s="135"/>
      <c r="AA36" s="39"/>
      <c r="AB36" s="39"/>
      <c r="AC36" s="39"/>
      <c r="AD36" s="23"/>
      <c r="AE36" s="59"/>
      <c r="AF36" s="64"/>
      <c r="AG36" s="55"/>
      <c r="AH36" s="65"/>
      <c r="AI36" s="55"/>
      <c r="AJ36" s="65"/>
      <c r="AK36" s="64"/>
      <c r="AL36" s="66"/>
      <c r="AM36" s="64"/>
      <c r="AN36" s="23"/>
      <c r="AO36" s="59"/>
      <c r="AP36" s="64"/>
      <c r="AQ36" s="55"/>
      <c r="AR36" s="65"/>
      <c r="AS36" s="55"/>
      <c r="AT36" s="65"/>
      <c r="AU36" s="64"/>
      <c r="AV36" s="66"/>
      <c r="AW36" s="64"/>
      <c r="AX36" s="23"/>
      <c r="AY36" s="59"/>
      <c r="AZ36" s="64"/>
      <c r="BA36" s="55"/>
      <c r="BB36" s="65"/>
      <c r="BC36" s="55"/>
      <c r="BD36" s="65"/>
      <c r="BE36" s="64"/>
      <c r="BF36" s="66"/>
      <c r="BG36" s="15"/>
      <c r="BH36" s="23"/>
      <c r="BI36" s="59"/>
      <c r="BJ36" s="64"/>
      <c r="BK36" s="55"/>
      <c r="BL36" s="65"/>
      <c r="BM36" s="55"/>
      <c r="BN36" s="65"/>
      <c r="BO36" s="64"/>
      <c r="BP36" s="66"/>
      <c r="BQ36" s="64"/>
      <c r="BR36" s="23"/>
      <c r="BS36" s="59"/>
      <c r="BT36" s="64"/>
      <c r="BU36" s="55"/>
      <c r="BV36" s="65"/>
      <c r="BW36" s="55"/>
      <c r="BX36" s="65"/>
      <c r="BY36" s="64"/>
      <c r="BZ36" s="66"/>
      <c r="CA36" s="15"/>
      <c r="CB36" s="23"/>
      <c r="CC36" s="59"/>
      <c r="CD36" s="64"/>
      <c r="CE36" s="55"/>
      <c r="CF36" s="65"/>
      <c r="CG36" s="55"/>
      <c r="CH36" s="65"/>
      <c r="CI36" s="64"/>
      <c r="CJ36" s="66"/>
      <c r="CK36" s="64"/>
      <c r="CL36" s="23"/>
      <c r="CM36" s="59"/>
      <c r="CN36" s="64"/>
      <c r="CO36" s="55"/>
      <c r="CP36" s="65"/>
      <c r="CQ36" s="55"/>
      <c r="CR36" s="65"/>
      <c r="CS36" s="64"/>
      <c r="CT36" s="66"/>
      <c r="CU36" s="64"/>
      <c r="CV36" s="23"/>
      <c r="CW36" s="59"/>
      <c r="CX36" s="64"/>
      <c r="CY36" s="55"/>
      <c r="CZ36" s="65"/>
      <c r="DA36" s="55"/>
      <c r="DB36" s="65"/>
      <c r="DC36" s="64"/>
      <c r="DD36" s="66"/>
      <c r="DE36" s="64"/>
      <c r="DF36" s="23"/>
      <c r="DG36" s="59"/>
      <c r="DH36" s="64"/>
      <c r="DI36" s="55"/>
      <c r="DJ36" s="65"/>
      <c r="DK36" s="55"/>
      <c r="DL36" s="65"/>
      <c r="DM36" s="64"/>
      <c r="DN36" s="66"/>
      <c r="DO36" s="15"/>
      <c r="DP36" s="23"/>
      <c r="DQ36" s="23"/>
    </row>
    <row r="37" spans="1:121" ht="15" customHeight="1" x14ac:dyDescent="0.35">
      <c r="A37" s="90"/>
      <c r="B37" s="179"/>
      <c r="E37" s="18"/>
      <c r="F37" s="11"/>
      <c r="G37" s="36"/>
      <c r="H37" s="36"/>
      <c r="I37" s="17">
        <f t="shared" si="4"/>
        <v>0</v>
      </c>
      <c r="J37" s="36"/>
      <c r="K37" s="11"/>
      <c r="L37" s="11"/>
      <c r="M37" s="135"/>
      <c r="N37" s="11"/>
      <c r="O37" s="39"/>
      <c r="P37" s="11"/>
      <c r="Q37" s="15"/>
      <c r="R37" s="18"/>
      <c r="S37" s="39"/>
      <c r="T37" s="17"/>
      <c r="U37" s="88"/>
      <c r="V37" s="17">
        <f t="shared" si="5"/>
        <v>0</v>
      </c>
      <c r="W37" s="88"/>
      <c r="X37" s="88"/>
      <c r="Y37" s="88"/>
      <c r="Z37" s="135"/>
      <c r="AA37" s="39"/>
      <c r="AB37" s="39"/>
      <c r="AC37" s="39"/>
      <c r="AD37" s="23"/>
      <c r="AE37" s="59"/>
      <c r="AF37" s="64"/>
      <c r="AG37" s="55"/>
      <c r="AH37" s="65"/>
      <c r="AI37" s="55"/>
      <c r="AJ37" s="65"/>
      <c r="AK37" s="64"/>
      <c r="AL37" s="66"/>
      <c r="AM37" s="64"/>
      <c r="AN37" s="23"/>
      <c r="AO37" s="59"/>
      <c r="AP37" s="64"/>
      <c r="AQ37" s="55"/>
      <c r="AR37" s="65"/>
      <c r="AS37" s="55"/>
      <c r="AT37" s="65"/>
      <c r="AU37" s="64"/>
      <c r="AV37" s="66"/>
      <c r="AW37" s="64"/>
      <c r="AX37" s="23"/>
      <c r="AY37" s="59"/>
      <c r="AZ37" s="64"/>
      <c r="BA37" s="55"/>
      <c r="BB37" s="65"/>
      <c r="BC37" s="55"/>
      <c r="BD37" s="65"/>
      <c r="BE37" s="64"/>
      <c r="BF37" s="66"/>
      <c r="BG37" s="15"/>
      <c r="BH37" s="23"/>
      <c r="BI37" s="59"/>
      <c r="BJ37" s="64"/>
      <c r="BK37" s="55"/>
      <c r="BL37" s="65"/>
      <c r="BM37" s="55"/>
      <c r="BN37" s="65"/>
      <c r="BO37" s="64"/>
      <c r="BP37" s="66"/>
      <c r="BQ37" s="64"/>
      <c r="BR37" s="23"/>
      <c r="BS37" s="59"/>
      <c r="BT37" s="64"/>
      <c r="BU37" s="55"/>
      <c r="BV37" s="65"/>
      <c r="BW37" s="55"/>
      <c r="BX37" s="65"/>
      <c r="BY37" s="64"/>
      <c r="BZ37" s="66"/>
      <c r="CA37" s="15"/>
      <c r="CB37" s="23"/>
      <c r="CC37" s="59"/>
      <c r="CD37" s="64"/>
      <c r="CE37" s="55"/>
      <c r="CF37" s="65"/>
      <c r="CG37" s="55"/>
      <c r="CH37" s="65"/>
      <c r="CI37" s="64"/>
      <c r="CJ37" s="66"/>
      <c r="CK37" s="64"/>
      <c r="CL37" s="23"/>
      <c r="CM37" s="59"/>
      <c r="CN37" s="64"/>
      <c r="CO37" s="55"/>
      <c r="CP37" s="65"/>
      <c r="CQ37" s="55"/>
      <c r="CR37" s="65"/>
      <c r="CS37" s="64"/>
      <c r="CT37" s="66"/>
      <c r="CU37" s="64"/>
      <c r="CV37" s="23"/>
      <c r="CW37" s="59"/>
      <c r="CX37" s="64"/>
      <c r="CY37" s="55"/>
      <c r="CZ37" s="65"/>
      <c r="DA37" s="55"/>
      <c r="DB37" s="65"/>
      <c r="DC37" s="64"/>
      <c r="DD37" s="66"/>
      <c r="DE37" s="64"/>
      <c r="DF37" s="23"/>
      <c r="DG37" s="59"/>
      <c r="DH37" s="64"/>
      <c r="DI37" s="55"/>
      <c r="DJ37" s="65"/>
      <c r="DK37" s="55"/>
      <c r="DL37" s="65"/>
      <c r="DM37" s="64"/>
      <c r="DN37" s="66"/>
      <c r="DO37" s="15"/>
      <c r="DP37" s="23"/>
      <c r="DQ37" s="23"/>
    </row>
    <row r="38" spans="1:121" ht="15" customHeight="1" x14ac:dyDescent="0.35">
      <c r="A38" s="90"/>
      <c r="B38" s="179"/>
      <c r="E38" s="18"/>
      <c r="F38" s="11"/>
      <c r="G38" s="36"/>
      <c r="H38" s="36"/>
      <c r="I38" s="17">
        <f t="shared" si="4"/>
        <v>0</v>
      </c>
      <c r="J38" s="36"/>
      <c r="K38" s="11"/>
      <c r="L38" s="11"/>
      <c r="M38" s="135"/>
      <c r="N38" s="11"/>
      <c r="O38" s="39"/>
      <c r="P38" s="69"/>
      <c r="Q38" s="15"/>
      <c r="R38" s="18"/>
      <c r="S38" s="39"/>
      <c r="T38" s="17"/>
      <c r="U38" s="88"/>
      <c r="V38" s="17">
        <f t="shared" si="5"/>
        <v>0</v>
      </c>
      <c r="W38" s="88"/>
      <c r="X38" s="88"/>
      <c r="Y38" s="88"/>
      <c r="Z38" s="135"/>
      <c r="AA38" s="39"/>
      <c r="AB38" s="39"/>
      <c r="AC38" s="39"/>
      <c r="AD38" s="23"/>
      <c r="AE38" s="59"/>
      <c r="AF38" s="64"/>
      <c r="AG38" s="55"/>
      <c r="AH38" s="65"/>
      <c r="AI38" s="55"/>
      <c r="AJ38" s="65"/>
      <c r="AK38" s="64"/>
      <c r="AL38" s="66"/>
      <c r="AM38" s="64"/>
      <c r="AN38" s="23"/>
      <c r="AO38" s="59"/>
      <c r="AP38" s="64"/>
      <c r="AQ38" s="55"/>
      <c r="AR38" s="65"/>
      <c r="AS38" s="55"/>
      <c r="AT38" s="65"/>
      <c r="AU38" s="64"/>
      <c r="AV38" s="66"/>
      <c r="AW38" s="64"/>
      <c r="AX38" s="23"/>
      <c r="AY38" s="59"/>
      <c r="AZ38" s="64"/>
      <c r="BA38" s="55"/>
      <c r="BB38" s="65"/>
      <c r="BC38" s="55"/>
      <c r="BD38" s="65"/>
      <c r="BE38" s="64"/>
      <c r="BF38" s="66"/>
      <c r="BG38" s="15"/>
      <c r="BH38" s="23"/>
      <c r="BI38" s="59"/>
      <c r="BJ38" s="64"/>
      <c r="BK38" s="55"/>
      <c r="BL38" s="65"/>
      <c r="BM38" s="55"/>
      <c r="BN38" s="65"/>
      <c r="BO38" s="64"/>
      <c r="BP38" s="66"/>
      <c r="BQ38" s="64"/>
      <c r="BR38" s="23"/>
      <c r="BS38" s="59"/>
      <c r="BT38" s="64"/>
      <c r="BU38" s="55"/>
      <c r="BV38" s="65"/>
      <c r="BW38" s="55"/>
      <c r="BX38" s="65"/>
      <c r="BY38" s="64"/>
      <c r="BZ38" s="66"/>
      <c r="CA38" s="15"/>
      <c r="CB38" s="23"/>
      <c r="CC38" s="59"/>
      <c r="CD38" s="64"/>
      <c r="CE38" s="55"/>
      <c r="CF38" s="65"/>
      <c r="CG38" s="55"/>
      <c r="CH38" s="65"/>
      <c r="CI38" s="64"/>
      <c r="CJ38" s="66"/>
      <c r="CK38" s="64"/>
      <c r="CL38" s="23"/>
      <c r="CM38" s="59"/>
      <c r="CN38" s="64"/>
      <c r="CO38" s="55"/>
      <c r="CP38" s="65"/>
      <c r="CQ38" s="55"/>
      <c r="CR38" s="65"/>
      <c r="CS38" s="64"/>
      <c r="CT38" s="66"/>
      <c r="CU38" s="64"/>
      <c r="CV38" s="23"/>
      <c r="CW38" s="59"/>
      <c r="CX38" s="64"/>
      <c r="CY38" s="55"/>
      <c r="CZ38" s="65"/>
      <c r="DA38" s="55"/>
      <c r="DB38" s="65"/>
      <c r="DC38" s="64"/>
      <c r="DD38" s="66"/>
      <c r="DE38" s="64"/>
      <c r="DF38" s="23"/>
      <c r="DG38" s="59"/>
      <c r="DH38" s="64"/>
      <c r="DI38" s="55"/>
      <c r="DJ38" s="65"/>
      <c r="DK38" s="55"/>
      <c r="DL38" s="65"/>
      <c r="DM38" s="64"/>
      <c r="DN38" s="66"/>
      <c r="DO38" s="15"/>
      <c r="DP38" s="23"/>
      <c r="DQ38" s="23"/>
    </row>
    <row r="39" spans="1:121" ht="15" customHeight="1" x14ac:dyDescent="0.35">
      <c r="A39" s="90"/>
      <c r="B39" s="179"/>
      <c r="E39" s="18"/>
      <c r="F39" s="11"/>
      <c r="G39" s="36"/>
      <c r="H39" s="36"/>
      <c r="I39" s="17">
        <f t="shared" si="4"/>
        <v>0</v>
      </c>
      <c r="J39" s="36"/>
      <c r="K39" s="11"/>
      <c r="L39" s="11"/>
      <c r="M39" s="135"/>
      <c r="N39" s="11"/>
      <c r="O39" s="39"/>
      <c r="P39" s="69"/>
      <c r="Q39" s="15"/>
      <c r="R39" s="18"/>
      <c r="S39" s="39"/>
      <c r="T39" s="17"/>
      <c r="U39" s="88"/>
      <c r="V39" s="17">
        <f t="shared" si="5"/>
        <v>0</v>
      </c>
      <c r="W39" s="88"/>
      <c r="X39" s="88"/>
      <c r="Y39" s="88"/>
      <c r="Z39" s="135"/>
      <c r="AA39" s="39"/>
      <c r="AB39" s="39"/>
      <c r="AC39" s="39"/>
      <c r="AD39" s="23"/>
      <c r="AE39" s="59"/>
      <c r="AF39" s="64"/>
      <c r="AG39" s="55"/>
      <c r="AH39" s="65"/>
      <c r="AI39" s="55"/>
      <c r="AJ39" s="65"/>
      <c r="AK39" s="64"/>
      <c r="AL39" s="66"/>
      <c r="AM39" s="64"/>
      <c r="AN39" s="23"/>
      <c r="AO39" s="59"/>
      <c r="AP39" s="64"/>
      <c r="AQ39" s="55"/>
      <c r="AR39" s="65"/>
      <c r="AS39" s="55"/>
      <c r="AT39" s="65"/>
      <c r="AU39" s="64"/>
      <c r="AV39" s="66"/>
      <c r="AW39" s="64"/>
      <c r="AX39" s="23"/>
      <c r="AY39" s="59"/>
      <c r="AZ39" s="64"/>
      <c r="BA39" s="55"/>
      <c r="BB39" s="65"/>
      <c r="BC39" s="55"/>
      <c r="BD39" s="65"/>
      <c r="BE39" s="64"/>
      <c r="BF39" s="66"/>
      <c r="BG39" s="15"/>
      <c r="BH39" s="23"/>
      <c r="BI39" s="59"/>
      <c r="BJ39" s="64"/>
      <c r="BK39" s="55"/>
      <c r="BL39" s="65"/>
      <c r="BM39" s="55"/>
      <c r="BN39" s="65"/>
      <c r="BO39" s="64"/>
      <c r="BP39" s="66"/>
      <c r="BQ39" s="64"/>
      <c r="BR39" s="23"/>
      <c r="BS39" s="59"/>
      <c r="BT39" s="64"/>
      <c r="BU39" s="55"/>
      <c r="BV39" s="65"/>
      <c r="BW39" s="55"/>
      <c r="BX39" s="65"/>
      <c r="BY39" s="64"/>
      <c r="BZ39" s="66"/>
      <c r="CA39" s="15"/>
      <c r="CB39" s="23"/>
      <c r="CC39" s="59"/>
      <c r="CD39" s="64"/>
      <c r="CE39" s="55"/>
      <c r="CF39" s="65"/>
      <c r="CG39" s="55"/>
      <c r="CH39" s="65"/>
      <c r="CI39" s="64"/>
      <c r="CJ39" s="66"/>
      <c r="CK39" s="64"/>
      <c r="CL39" s="23"/>
      <c r="CM39" s="59"/>
      <c r="CN39" s="64"/>
      <c r="CO39" s="55"/>
      <c r="CP39" s="65"/>
      <c r="CQ39" s="55"/>
      <c r="CR39" s="65"/>
      <c r="CS39" s="64"/>
      <c r="CT39" s="66"/>
      <c r="CU39" s="64"/>
      <c r="CV39" s="23"/>
      <c r="CW39" s="59"/>
      <c r="CX39" s="64"/>
      <c r="CY39" s="55"/>
      <c r="CZ39" s="65"/>
      <c r="DA39" s="55"/>
      <c r="DB39" s="65"/>
      <c r="DC39" s="64"/>
      <c r="DD39" s="66"/>
      <c r="DE39" s="64"/>
      <c r="DF39" s="23"/>
      <c r="DG39" s="59"/>
      <c r="DH39" s="64"/>
      <c r="DI39" s="55"/>
      <c r="DJ39" s="65"/>
      <c r="DK39" s="55"/>
      <c r="DL39" s="65"/>
      <c r="DM39" s="64"/>
      <c r="DN39" s="66"/>
      <c r="DO39" s="15"/>
      <c r="DP39" s="23"/>
      <c r="DQ39" s="23"/>
    </row>
    <row r="40" spans="1:121" ht="15" customHeight="1" x14ac:dyDescent="0.35">
      <c r="A40" s="90"/>
      <c r="B40" s="179"/>
      <c r="E40" s="18"/>
      <c r="F40" s="11"/>
      <c r="G40" s="36"/>
      <c r="H40" s="36"/>
      <c r="I40" s="17">
        <f t="shared" si="4"/>
        <v>0</v>
      </c>
      <c r="J40" s="36"/>
      <c r="K40" s="11"/>
      <c r="L40" s="11"/>
      <c r="M40" s="135"/>
      <c r="N40" s="11"/>
      <c r="O40" s="39"/>
      <c r="P40" s="69"/>
      <c r="Q40" s="15"/>
      <c r="R40" s="18"/>
      <c r="S40" s="39"/>
      <c r="T40" s="17"/>
      <c r="U40" s="88"/>
      <c r="V40" s="17">
        <f t="shared" si="5"/>
        <v>0</v>
      </c>
      <c r="W40" s="88"/>
      <c r="X40" s="88"/>
      <c r="Y40" s="88"/>
      <c r="Z40" s="135"/>
      <c r="AA40" s="39"/>
      <c r="AB40" s="39"/>
      <c r="AC40" s="39"/>
      <c r="AD40" s="23"/>
      <c r="AE40" s="59"/>
      <c r="AF40" s="64"/>
      <c r="AG40" s="55"/>
      <c r="AH40" s="65"/>
      <c r="AI40" s="55"/>
      <c r="AJ40" s="65"/>
      <c r="AK40" s="64"/>
      <c r="AL40" s="66"/>
      <c r="AM40" s="64"/>
      <c r="AN40" s="23"/>
      <c r="AO40" s="59"/>
      <c r="AP40" s="64"/>
      <c r="AQ40" s="55"/>
      <c r="AR40" s="65"/>
      <c r="AS40" s="55"/>
      <c r="AT40" s="65"/>
      <c r="AU40" s="64"/>
      <c r="AV40" s="66"/>
      <c r="AW40" s="64"/>
      <c r="AX40" s="23"/>
      <c r="AY40" s="59"/>
      <c r="AZ40" s="64"/>
      <c r="BA40" s="55"/>
      <c r="BB40" s="65"/>
      <c r="BC40" s="55"/>
      <c r="BD40" s="65"/>
      <c r="BE40" s="64"/>
      <c r="BF40" s="66"/>
      <c r="BG40" s="15"/>
      <c r="BH40" s="23"/>
      <c r="BI40" s="59"/>
      <c r="BJ40" s="64"/>
      <c r="BK40" s="55"/>
      <c r="BL40" s="65"/>
      <c r="BM40" s="55"/>
      <c r="BN40" s="65"/>
      <c r="BO40" s="64"/>
      <c r="BP40" s="66"/>
      <c r="BQ40" s="64"/>
      <c r="BR40" s="23"/>
      <c r="BS40" s="59"/>
      <c r="BT40" s="64"/>
      <c r="BU40" s="55"/>
      <c r="BV40" s="65"/>
      <c r="BW40" s="55"/>
      <c r="BX40" s="65"/>
      <c r="BY40" s="64"/>
      <c r="BZ40" s="66"/>
      <c r="CA40" s="15"/>
      <c r="CB40" s="23"/>
      <c r="CC40" s="59"/>
      <c r="CD40" s="64"/>
      <c r="CE40" s="55"/>
      <c r="CF40" s="65"/>
      <c r="CG40" s="55"/>
      <c r="CH40" s="65"/>
      <c r="CI40" s="64"/>
      <c r="CJ40" s="66"/>
      <c r="CK40" s="64"/>
      <c r="CL40" s="23"/>
      <c r="CM40" s="59"/>
      <c r="CN40" s="64"/>
      <c r="CO40" s="55"/>
      <c r="CP40" s="65"/>
      <c r="CQ40" s="55"/>
      <c r="CR40" s="65"/>
      <c r="CS40" s="64"/>
      <c r="CT40" s="66"/>
      <c r="CU40" s="64"/>
      <c r="CV40" s="23"/>
      <c r="CW40" s="59"/>
      <c r="CX40" s="64"/>
      <c r="CY40" s="55"/>
      <c r="CZ40" s="65"/>
      <c r="DA40" s="55"/>
      <c r="DB40" s="65"/>
      <c r="DC40" s="64"/>
      <c r="DD40" s="66"/>
      <c r="DE40" s="64"/>
      <c r="DF40" s="23"/>
      <c r="DG40" s="59"/>
      <c r="DH40" s="64"/>
      <c r="DI40" s="55"/>
      <c r="DJ40" s="65"/>
      <c r="DK40" s="55"/>
      <c r="DL40" s="65"/>
      <c r="DM40" s="64"/>
      <c r="DN40" s="66"/>
      <c r="DO40" s="15"/>
      <c r="DP40" s="23"/>
      <c r="DQ40" s="23"/>
    </row>
    <row r="41" spans="1:121" ht="15" customHeight="1" x14ac:dyDescent="0.35">
      <c r="A41" s="90"/>
      <c r="B41" s="179"/>
      <c r="E41" s="18"/>
      <c r="F41" s="11"/>
      <c r="G41" s="36"/>
      <c r="H41" s="36"/>
      <c r="I41" s="17">
        <f t="shared" si="4"/>
        <v>0</v>
      </c>
      <c r="J41" s="36"/>
      <c r="K41" s="11"/>
      <c r="L41" s="11"/>
      <c r="M41" s="135"/>
      <c r="N41" s="11"/>
      <c r="O41" s="39"/>
      <c r="P41" s="69"/>
      <c r="Q41" s="15"/>
      <c r="R41" s="18"/>
      <c r="S41" s="39"/>
      <c r="T41" s="17"/>
      <c r="U41" s="88"/>
      <c r="V41" s="17">
        <f t="shared" si="5"/>
        <v>0</v>
      </c>
      <c r="W41" s="88"/>
      <c r="X41" s="88"/>
      <c r="Y41" s="88"/>
      <c r="Z41" s="135"/>
      <c r="AA41" s="39"/>
      <c r="AB41" s="39"/>
      <c r="AC41" s="39"/>
      <c r="AD41" s="23"/>
      <c r="AE41" s="59"/>
      <c r="AF41" s="64"/>
      <c r="AG41" s="55"/>
      <c r="AH41" s="65"/>
      <c r="AI41" s="55"/>
      <c r="AJ41" s="65"/>
      <c r="AK41" s="64"/>
      <c r="AL41" s="66"/>
      <c r="AM41" s="64"/>
      <c r="AN41" s="23"/>
      <c r="AO41" s="59"/>
      <c r="AP41" s="64"/>
      <c r="AQ41" s="55"/>
      <c r="AR41" s="65"/>
      <c r="AS41" s="55"/>
      <c r="AT41" s="65"/>
      <c r="AU41" s="64"/>
      <c r="AV41" s="66"/>
      <c r="AW41" s="64"/>
      <c r="AX41" s="23"/>
      <c r="AY41" s="59"/>
      <c r="AZ41" s="64"/>
      <c r="BA41" s="55"/>
      <c r="BB41" s="65"/>
      <c r="BC41" s="55"/>
      <c r="BD41" s="65"/>
      <c r="BE41" s="64"/>
      <c r="BF41" s="66"/>
      <c r="BG41" s="15"/>
      <c r="BH41" s="23"/>
      <c r="BI41" s="59"/>
      <c r="BJ41" s="64"/>
      <c r="BK41" s="55"/>
      <c r="BL41" s="65"/>
      <c r="BM41" s="55"/>
      <c r="BN41" s="65"/>
      <c r="BO41" s="64"/>
      <c r="BP41" s="66"/>
      <c r="BQ41" s="64"/>
      <c r="BR41" s="23"/>
      <c r="BS41" s="59"/>
      <c r="BT41" s="64"/>
      <c r="BU41" s="55"/>
      <c r="BV41" s="65"/>
      <c r="BW41" s="55"/>
      <c r="BX41" s="65"/>
      <c r="BY41" s="64"/>
      <c r="BZ41" s="66"/>
      <c r="CA41" s="15"/>
      <c r="CB41" s="23"/>
      <c r="CC41" s="59"/>
      <c r="CD41" s="64"/>
      <c r="CE41" s="55"/>
      <c r="CF41" s="65"/>
      <c r="CG41" s="55"/>
      <c r="CH41" s="65"/>
      <c r="CI41" s="64"/>
      <c r="CJ41" s="66"/>
      <c r="CK41" s="64"/>
      <c r="CL41" s="23"/>
      <c r="CM41" s="59"/>
      <c r="CN41" s="64"/>
      <c r="CO41" s="55"/>
      <c r="CP41" s="65"/>
      <c r="CQ41" s="55"/>
      <c r="CR41" s="65"/>
      <c r="CS41" s="64"/>
      <c r="CT41" s="66"/>
      <c r="CU41" s="64"/>
      <c r="CV41" s="23"/>
      <c r="CW41" s="59"/>
      <c r="CX41" s="64"/>
      <c r="CY41" s="55"/>
      <c r="CZ41" s="65"/>
      <c r="DA41" s="55"/>
      <c r="DB41" s="65"/>
      <c r="DC41" s="64"/>
      <c r="DD41" s="66"/>
      <c r="DE41" s="64"/>
      <c r="DF41" s="23"/>
      <c r="DG41" s="59"/>
      <c r="DH41" s="64"/>
      <c r="DI41" s="55"/>
      <c r="DJ41" s="65"/>
      <c r="DK41" s="55"/>
      <c r="DL41" s="65"/>
      <c r="DM41" s="64"/>
      <c r="DN41" s="66"/>
      <c r="DO41" s="15"/>
      <c r="DP41" s="23"/>
      <c r="DQ41" s="23"/>
    </row>
    <row r="42" spans="1:121" ht="15" customHeight="1" x14ac:dyDescent="0.35">
      <c r="A42" s="90"/>
      <c r="B42" s="470"/>
      <c r="E42" s="18"/>
      <c r="F42" s="11"/>
      <c r="G42" s="36"/>
      <c r="H42" s="36"/>
      <c r="I42" s="17">
        <f t="shared" si="4"/>
        <v>0</v>
      </c>
      <c r="J42" s="36"/>
      <c r="K42" s="11"/>
      <c r="L42" s="11"/>
      <c r="M42" s="11"/>
      <c r="N42" s="11"/>
      <c r="O42" s="39"/>
      <c r="P42" s="69"/>
      <c r="Q42" s="15"/>
      <c r="R42" s="18"/>
      <c r="S42" s="39"/>
      <c r="T42" s="17"/>
      <c r="U42" s="88"/>
      <c r="V42" s="17">
        <f t="shared" si="5"/>
        <v>0</v>
      </c>
      <c r="W42" s="88"/>
      <c r="X42" s="88"/>
      <c r="Y42" s="88"/>
      <c r="Z42" s="11"/>
      <c r="AA42" s="39"/>
      <c r="AB42" s="39"/>
      <c r="AC42" s="39"/>
      <c r="AD42" s="23"/>
      <c r="AE42" s="59"/>
      <c r="AF42" s="64"/>
      <c r="AG42" s="55"/>
      <c r="AH42" s="65"/>
      <c r="AI42" s="55"/>
      <c r="AJ42" s="65"/>
      <c r="AK42" s="64"/>
      <c r="AL42" s="66"/>
      <c r="AM42" s="64"/>
      <c r="AN42" s="23"/>
      <c r="AO42" s="59"/>
      <c r="AP42" s="64"/>
      <c r="AQ42" s="55"/>
      <c r="AR42" s="65"/>
      <c r="AS42" s="55"/>
      <c r="AT42" s="65"/>
      <c r="AU42" s="64"/>
      <c r="AV42" s="66"/>
      <c r="AW42" s="64"/>
      <c r="AX42" s="23"/>
      <c r="AY42" s="59"/>
      <c r="AZ42" s="64"/>
      <c r="BA42" s="55"/>
      <c r="BB42" s="65"/>
      <c r="BC42" s="55"/>
      <c r="BD42" s="65"/>
      <c r="BE42" s="64"/>
      <c r="BF42" s="66"/>
      <c r="BG42" s="15"/>
      <c r="BH42" s="23"/>
      <c r="BI42" s="59"/>
      <c r="BJ42" s="64"/>
      <c r="BK42" s="55"/>
      <c r="BL42" s="65"/>
      <c r="BM42" s="55"/>
      <c r="BN42" s="65"/>
      <c r="BO42" s="64"/>
      <c r="BP42" s="66"/>
      <c r="BQ42" s="64"/>
      <c r="BR42" s="23"/>
      <c r="BS42" s="59"/>
      <c r="BT42" s="64"/>
      <c r="BU42" s="55"/>
      <c r="BV42" s="65"/>
      <c r="BW42" s="55"/>
      <c r="BX42" s="65"/>
      <c r="BY42" s="64"/>
      <c r="BZ42" s="66"/>
      <c r="CA42" s="15"/>
      <c r="CB42" s="23"/>
      <c r="CC42" s="59"/>
      <c r="CD42" s="64"/>
      <c r="CE42" s="55"/>
      <c r="CF42" s="65"/>
      <c r="CG42" s="55"/>
      <c r="CH42" s="65"/>
      <c r="CI42" s="64"/>
      <c r="CJ42" s="66"/>
      <c r="CK42" s="64"/>
      <c r="CL42" s="23"/>
      <c r="CM42" s="59"/>
      <c r="CN42" s="64"/>
      <c r="CO42" s="55"/>
      <c r="CP42" s="65"/>
      <c r="CQ42" s="55"/>
      <c r="CR42" s="65"/>
      <c r="CS42" s="64"/>
      <c r="CT42" s="66"/>
      <c r="CU42" s="64"/>
      <c r="CV42" s="23"/>
      <c r="CW42" s="59"/>
      <c r="CX42" s="64"/>
      <c r="CY42" s="55"/>
      <c r="CZ42" s="65"/>
      <c r="DA42" s="55"/>
      <c r="DB42" s="65"/>
      <c r="DC42" s="64"/>
      <c r="DD42" s="66"/>
      <c r="DE42" s="64"/>
      <c r="DF42" s="23"/>
      <c r="DG42" s="59"/>
      <c r="DH42" s="64"/>
      <c r="DI42" s="55"/>
      <c r="DJ42" s="65"/>
      <c r="DK42" s="55"/>
      <c r="DL42" s="65"/>
      <c r="DM42" s="64"/>
      <c r="DN42" s="66"/>
      <c r="DO42" s="15"/>
      <c r="DP42" s="23"/>
      <c r="DQ42" s="23"/>
    </row>
    <row r="43" spans="1:121" ht="15" customHeight="1" x14ac:dyDescent="0.35">
      <c r="A43" s="91"/>
      <c r="B43" s="470"/>
      <c r="E43" s="18"/>
      <c r="F43" s="11"/>
      <c r="G43" s="36"/>
      <c r="H43" s="36"/>
      <c r="I43" s="17">
        <f t="shared" si="4"/>
        <v>0</v>
      </c>
      <c r="J43" s="36"/>
      <c r="K43" s="11"/>
      <c r="L43" s="11"/>
      <c r="M43" s="11"/>
      <c r="N43" s="11"/>
      <c r="O43" s="39"/>
      <c r="P43" s="69"/>
      <c r="Q43" s="15"/>
      <c r="R43" s="18"/>
      <c r="S43" s="39"/>
      <c r="T43" s="17"/>
      <c r="U43" s="88"/>
      <c r="V43" s="17">
        <f t="shared" si="5"/>
        <v>0</v>
      </c>
      <c r="W43" s="88"/>
      <c r="X43" s="88"/>
      <c r="Y43" s="88"/>
      <c r="Z43" s="11"/>
      <c r="AA43" s="39"/>
      <c r="AB43" s="39"/>
      <c r="AC43" s="39"/>
      <c r="AD43" s="23"/>
      <c r="AE43" s="59"/>
      <c r="AF43" s="64"/>
      <c r="AG43" s="55"/>
      <c r="AH43" s="65"/>
      <c r="AI43" s="55"/>
      <c r="AJ43" s="65"/>
      <c r="AK43" s="64"/>
      <c r="AL43" s="66"/>
      <c r="AM43" s="64"/>
      <c r="AN43" s="23"/>
      <c r="AO43" s="59"/>
      <c r="AP43" s="64"/>
      <c r="AQ43" s="55"/>
      <c r="AR43" s="65"/>
      <c r="AS43" s="55"/>
      <c r="AT43" s="65"/>
      <c r="AU43" s="64"/>
      <c r="AV43" s="66"/>
      <c r="AW43" s="64"/>
      <c r="AX43" s="23"/>
      <c r="AY43" s="59"/>
      <c r="AZ43" s="64"/>
      <c r="BA43" s="55"/>
      <c r="BB43" s="65"/>
      <c r="BC43" s="55"/>
      <c r="BD43" s="65"/>
      <c r="BE43" s="64"/>
      <c r="BF43" s="66"/>
      <c r="BG43" s="15"/>
      <c r="BH43" s="23"/>
      <c r="BI43" s="59"/>
      <c r="BJ43" s="64"/>
      <c r="BK43" s="55"/>
      <c r="BL43" s="65"/>
      <c r="BM43" s="55"/>
      <c r="BN43" s="65"/>
      <c r="BO43" s="64"/>
      <c r="BP43" s="66"/>
      <c r="BQ43" s="64"/>
      <c r="BR43" s="23"/>
      <c r="BS43" s="59"/>
      <c r="BT43" s="64"/>
      <c r="BU43" s="55"/>
      <c r="BV43" s="65"/>
      <c r="BW43" s="55"/>
      <c r="BX43" s="65"/>
      <c r="BY43" s="64"/>
      <c r="BZ43" s="66"/>
      <c r="CA43" s="15"/>
      <c r="CB43" s="23"/>
      <c r="CC43" s="59"/>
      <c r="CD43" s="64"/>
      <c r="CE43" s="55"/>
      <c r="CF43" s="65"/>
      <c r="CG43" s="55"/>
      <c r="CH43" s="65"/>
      <c r="CI43" s="64"/>
      <c r="CJ43" s="66"/>
      <c r="CK43" s="64"/>
      <c r="CL43" s="23"/>
      <c r="CM43" s="59"/>
      <c r="CN43" s="64"/>
      <c r="CO43" s="55"/>
      <c r="CP43" s="65"/>
      <c r="CQ43" s="55"/>
      <c r="CR43" s="65"/>
      <c r="CS43" s="64"/>
      <c r="CT43" s="66"/>
      <c r="CU43" s="64"/>
      <c r="CV43" s="23"/>
      <c r="CW43" s="59"/>
      <c r="CX43" s="64"/>
      <c r="CY43" s="55"/>
      <c r="CZ43" s="65"/>
      <c r="DA43" s="55"/>
      <c r="DB43" s="65"/>
      <c r="DC43" s="64"/>
      <c r="DD43" s="66"/>
      <c r="DE43" s="64"/>
      <c r="DF43" s="23"/>
      <c r="DG43" s="59"/>
      <c r="DH43" s="64"/>
      <c r="DI43" s="55"/>
      <c r="DJ43" s="65"/>
      <c r="DK43" s="55"/>
      <c r="DL43" s="65"/>
      <c r="DM43" s="64"/>
      <c r="DN43" s="66"/>
      <c r="DO43" s="15"/>
      <c r="DP43" s="23"/>
      <c r="DQ43" s="23"/>
    </row>
    <row r="44" spans="1:121" ht="15" customHeight="1" x14ac:dyDescent="0.35">
      <c r="A44" s="90"/>
      <c r="B44" s="470"/>
      <c r="E44" s="18"/>
      <c r="F44" s="11"/>
      <c r="G44" s="36"/>
      <c r="H44" s="36"/>
      <c r="I44" s="17">
        <f t="shared" si="4"/>
        <v>0</v>
      </c>
      <c r="J44" s="36"/>
      <c r="K44" s="11"/>
      <c r="L44" s="11"/>
      <c r="M44" s="11"/>
      <c r="N44" s="11"/>
      <c r="O44" s="39"/>
      <c r="P44" s="69"/>
      <c r="Q44" s="15"/>
      <c r="R44" s="18"/>
      <c r="S44" s="39"/>
      <c r="T44" s="17"/>
      <c r="U44" s="88"/>
      <c r="V44" s="17">
        <f t="shared" si="5"/>
        <v>0</v>
      </c>
      <c r="W44" s="88"/>
      <c r="X44" s="88"/>
      <c r="Y44" s="88"/>
      <c r="Z44" s="11"/>
      <c r="AA44" s="39"/>
      <c r="AB44" s="39"/>
      <c r="AC44" s="39"/>
      <c r="AD44" s="23"/>
      <c r="AE44" s="59"/>
      <c r="AF44" s="64"/>
      <c r="AG44" s="55"/>
      <c r="AH44" s="65"/>
      <c r="AI44" s="55"/>
      <c r="AJ44" s="65"/>
      <c r="AK44" s="64"/>
      <c r="AL44" s="66"/>
      <c r="AM44" s="64"/>
      <c r="AN44" s="23"/>
      <c r="AO44" s="59"/>
      <c r="AP44" s="64"/>
      <c r="AQ44" s="55"/>
      <c r="AR44" s="65"/>
      <c r="AS44" s="55"/>
      <c r="AT44" s="65"/>
      <c r="AU44" s="64"/>
      <c r="AV44" s="66"/>
      <c r="AW44" s="64"/>
      <c r="AX44" s="23"/>
      <c r="AY44" s="59"/>
      <c r="AZ44" s="64"/>
      <c r="BA44" s="55"/>
      <c r="BB44" s="65"/>
      <c r="BC44" s="55"/>
      <c r="BD44" s="65"/>
      <c r="BE44" s="64"/>
      <c r="BF44" s="66"/>
      <c r="BG44" s="15"/>
      <c r="BH44" s="23"/>
      <c r="BI44" s="59"/>
      <c r="BJ44" s="64"/>
      <c r="BK44" s="55"/>
      <c r="BL44" s="65"/>
      <c r="BM44" s="55"/>
      <c r="BN44" s="65"/>
      <c r="BO44" s="64"/>
      <c r="BP44" s="66"/>
      <c r="BQ44" s="64"/>
      <c r="BR44" s="23"/>
      <c r="BS44" s="59"/>
      <c r="BT44" s="64"/>
      <c r="BU44" s="55"/>
      <c r="BV44" s="65"/>
      <c r="BW44" s="55"/>
      <c r="BX44" s="65"/>
      <c r="BY44" s="64"/>
      <c r="BZ44" s="66"/>
      <c r="CA44" s="15"/>
      <c r="CB44" s="23"/>
      <c r="CC44" s="59"/>
      <c r="CD44" s="64"/>
      <c r="CE44" s="55"/>
      <c r="CF44" s="65"/>
      <c r="CG44" s="55"/>
      <c r="CH44" s="65"/>
      <c r="CI44" s="64"/>
      <c r="CJ44" s="66"/>
      <c r="CK44" s="64"/>
      <c r="CL44" s="23"/>
      <c r="CM44" s="59"/>
      <c r="CN44" s="64"/>
      <c r="CO44" s="55"/>
      <c r="CP44" s="65"/>
      <c r="CQ44" s="55"/>
      <c r="CR44" s="65"/>
      <c r="CS44" s="64"/>
      <c r="CT44" s="66"/>
      <c r="CU44" s="64"/>
      <c r="CV44" s="23"/>
      <c r="CW44" s="59"/>
      <c r="CX44" s="64"/>
      <c r="CY44" s="55"/>
      <c r="CZ44" s="65"/>
      <c r="DA44" s="55"/>
      <c r="DB44" s="65"/>
      <c r="DC44" s="64"/>
      <c r="DD44" s="66"/>
      <c r="DE44" s="64"/>
      <c r="DF44" s="23"/>
      <c r="DG44" s="59"/>
      <c r="DH44" s="64"/>
      <c r="DI44" s="55"/>
      <c r="DJ44" s="65"/>
      <c r="DK44" s="55"/>
      <c r="DL44" s="65"/>
      <c r="DM44" s="64"/>
      <c r="DN44" s="66"/>
      <c r="DO44" s="15"/>
      <c r="DP44" s="23"/>
      <c r="DQ44" s="23"/>
    </row>
    <row r="45" spans="1:121" ht="15" customHeight="1" x14ac:dyDescent="0.35">
      <c r="A45" s="90"/>
      <c r="B45" s="470"/>
      <c r="E45" s="73"/>
      <c r="F45" s="73"/>
      <c r="G45" s="73"/>
      <c r="H45" s="73"/>
      <c r="I45" s="17">
        <f t="shared" si="4"/>
        <v>0</v>
      </c>
      <c r="J45" s="36"/>
      <c r="K45" s="73"/>
      <c r="L45" s="73"/>
      <c r="M45" s="11"/>
      <c r="N45" s="73"/>
      <c r="O45" s="76"/>
      <c r="P45" s="76"/>
      <c r="Q45" s="15"/>
      <c r="R45" s="18"/>
      <c r="S45" s="39"/>
      <c r="T45" s="17"/>
      <c r="U45" s="88"/>
      <c r="V45" s="17">
        <f t="shared" si="5"/>
        <v>0</v>
      </c>
      <c r="W45" s="88"/>
      <c r="X45" s="88"/>
      <c r="Y45" s="88"/>
      <c r="Z45" s="11"/>
      <c r="AA45" s="39"/>
      <c r="AB45" s="39"/>
      <c r="AC45" s="39"/>
      <c r="AD45" s="23"/>
      <c r="AE45" s="59"/>
      <c r="AF45" s="64"/>
      <c r="AG45" s="55"/>
      <c r="AH45" s="65"/>
      <c r="AI45" s="55"/>
      <c r="AJ45" s="65"/>
      <c r="AK45" s="64"/>
      <c r="AL45" s="66"/>
      <c r="AM45" s="64"/>
      <c r="AN45" s="23"/>
      <c r="AO45" s="59"/>
      <c r="AP45" s="64"/>
      <c r="AQ45" s="55"/>
      <c r="AR45" s="65"/>
      <c r="AS45" s="55"/>
      <c r="AT45" s="65"/>
      <c r="AU45" s="64"/>
      <c r="AV45" s="66"/>
      <c r="AW45" s="64"/>
      <c r="AX45" s="23"/>
      <c r="AY45" s="59"/>
      <c r="AZ45" s="64"/>
      <c r="BA45" s="55"/>
      <c r="BB45" s="65"/>
      <c r="BC45" s="55"/>
      <c r="BD45" s="65"/>
      <c r="BE45" s="64"/>
      <c r="BF45" s="66"/>
      <c r="BG45" s="15"/>
      <c r="BH45" s="23"/>
      <c r="BI45" s="59"/>
      <c r="BJ45" s="64"/>
      <c r="BK45" s="55"/>
      <c r="BL45" s="65"/>
      <c r="BM45" s="55"/>
      <c r="BN45" s="65"/>
      <c r="BO45" s="64"/>
      <c r="BP45" s="66"/>
      <c r="BQ45" s="64"/>
      <c r="BR45" s="23"/>
      <c r="BS45" s="59"/>
      <c r="BT45" s="64"/>
      <c r="BU45" s="55"/>
      <c r="BV45" s="65"/>
      <c r="BW45" s="55"/>
      <c r="BX45" s="65"/>
      <c r="BY45" s="64"/>
      <c r="BZ45" s="66"/>
      <c r="CA45" s="15"/>
      <c r="CB45" s="23"/>
      <c r="CC45" s="59"/>
      <c r="CD45" s="64"/>
      <c r="CE45" s="55"/>
      <c r="CF45" s="65"/>
      <c r="CG45" s="55"/>
      <c r="CH45" s="65"/>
      <c r="CI45" s="64"/>
      <c r="CJ45" s="66"/>
      <c r="CK45" s="64"/>
      <c r="CL45" s="23"/>
      <c r="CM45" s="59"/>
      <c r="CN45" s="64"/>
      <c r="CO45" s="55"/>
      <c r="CP45" s="65"/>
      <c r="CQ45" s="55"/>
      <c r="CR45" s="65"/>
      <c r="CS45" s="64"/>
      <c r="CT45" s="66"/>
      <c r="CU45" s="64"/>
      <c r="CV45" s="23"/>
      <c r="CW45" s="59"/>
      <c r="CX45" s="64"/>
      <c r="CY45" s="55"/>
      <c r="CZ45" s="65"/>
      <c r="DA45" s="55"/>
      <c r="DB45" s="65"/>
      <c r="DC45" s="64"/>
      <c r="DD45" s="66"/>
      <c r="DE45" s="64"/>
      <c r="DF45" s="23"/>
      <c r="DG45" s="59"/>
      <c r="DH45" s="64"/>
      <c r="DI45" s="55"/>
      <c r="DJ45" s="65"/>
      <c r="DK45" s="55"/>
      <c r="DL45" s="65"/>
      <c r="DM45" s="64"/>
      <c r="DN45" s="66"/>
      <c r="DO45" s="15"/>
      <c r="DP45" s="23"/>
      <c r="DQ45" s="23"/>
    </row>
    <row r="46" spans="1:121" ht="15" customHeight="1" x14ac:dyDescent="0.35">
      <c r="A46" s="90"/>
      <c r="B46" s="470"/>
      <c r="E46" s="18"/>
      <c r="F46" s="11"/>
      <c r="G46" s="36"/>
      <c r="H46" s="36"/>
      <c r="I46" s="17">
        <f t="shared" si="4"/>
        <v>0</v>
      </c>
      <c r="J46" s="36"/>
      <c r="K46" s="11"/>
      <c r="L46" s="11"/>
      <c r="M46" s="11"/>
      <c r="N46" s="11"/>
      <c r="O46" s="39"/>
      <c r="P46" s="69"/>
      <c r="Q46" s="15"/>
      <c r="R46" s="18"/>
      <c r="S46" s="39"/>
      <c r="T46" s="17"/>
      <c r="U46" s="88"/>
      <c r="V46" s="17">
        <f t="shared" si="5"/>
        <v>0</v>
      </c>
      <c r="W46" s="88"/>
      <c r="X46" s="88"/>
      <c r="Y46" s="88"/>
      <c r="Z46" s="11"/>
      <c r="AA46" s="39"/>
      <c r="AB46" s="39"/>
      <c r="AC46" s="39"/>
      <c r="AD46" s="23"/>
      <c r="AE46" s="59"/>
      <c r="AF46" s="64"/>
      <c r="AG46" s="55"/>
      <c r="AH46" s="65"/>
      <c r="AI46" s="55"/>
      <c r="AJ46" s="65"/>
      <c r="AK46" s="64"/>
      <c r="AL46" s="66"/>
      <c r="AM46" s="64"/>
      <c r="AN46" s="23"/>
      <c r="AO46" s="59"/>
      <c r="AP46" s="64"/>
      <c r="AQ46" s="55"/>
      <c r="AR46" s="65"/>
      <c r="AS46" s="55"/>
      <c r="AT46" s="65"/>
      <c r="AU46" s="64"/>
      <c r="AV46" s="66"/>
      <c r="AW46" s="64"/>
      <c r="AX46" s="23"/>
      <c r="AY46" s="59"/>
      <c r="AZ46" s="64"/>
      <c r="BA46" s="55"/>
      <c r="BB46" s="65"/>
      <c r="BC46" s="55"/>
      <c r="BD46" s="65"/>
      <c r="BE46" s="64"/>
      <c r="BF46" s="66"/>
      <c r="BG46" s="15"/>
      <c r="BH46" s="23"/>
      <c r="BI46" s="59"/>
      <c r="BJ46" s="64"/>
      <c r="BK46" s="55"/>
      <c r="BL46" s="65"/>
      <c r="BM46" s="55"/>
      <c r="BN46" s="65"/>
      <c r="BO46" s="64"/>
      <c r="BP46" s="66"/>
      <c r="BQ46" s="64"/>
      <c r="BR46" s="23"/>
      <c r="BS46" s="59"/>
      <c r="BT46" s="64"/>
      <c r="BU46" s="55"/>
      <c r="BV46" s="65"/>
      <c r="BW46" s="55"/>
      <c r="BX46" s="65"/>
      <c r="BY46" s="64"/>
      <c r="BZ46" s="66"/>
      <c r="CA46" s="15"/>
      <c r="CB46" s="23"/>
      <c r="CC46" s="59"/>
      <c r="CD46" s="64"/>
      <c r="CE46" s="55"/>
      <c r="CF46" s="65"/>
      <c r="CG46" s="55"/>
      <c r="CH46" s="65"/>
      <c r="CI46" s="64"/>
      <c r="CJ46" s="66"/>
      <c r="CK46" s="64"/>
      <c r="CL46" s="23"/>
      <c r="CM46" s="59"/>
      <c r="CN46" s="64"/>
      <c r="CO46" s="55"/>
      <c r="CP46" s="65"/>
      <c r="CQ46" s="55"/>
      <c r="CR46" s="65"/>
      <c r="CS46" s="64"/>
      <c r="CT46" s="66"/>
      <c r="CU46" s="64"/>
      <c r="CV46" s="23"/>
      <c r="CW46" s="59"/>
      <c r="CX46" s="64"/>
      <c r="CY46" s="55"/>
      <c r="CZ46" s="65"/>
      <c r="DA46" s="55"/>
      <c r="DB46" s="65"/>
      <c r="DC46" s="64"/>
      <c r="DD46" s="66"/>
      <c r="DE46" s="64"/>
      <c r="DF46" s="23"/>
      <c r="DG46" s="59"/>
      <c r="DH46" s="64"/>
      <c r="DI46" s="55"/>
      <c r="DJ46" s="65"/>
      <c r="DK46" s="55"/>
      <c r="DL46" s="65"/>
      <c r="DM46" s="64"/>
      <c r="DN46" s="66"/>
      <c r="DO46" s="15"/>
      <c r="DP46" s="23"/>
      <c r="DQ46" s="23"/>
    </row>
    <row r="47" spans="1:121" ht="15" customHeight="1" x14ac:dyDescent="0.35">
      <c r="A47" s="90"/>
      <c r="B47" s="470"/>
      <c r="E47" s="18"/>
      <c r="F47" s="11"/>
      <c r="G47" s="36"/>
      <c r="H47" s="36"/>
      <c r="I47" s="17">
        <f t="shared" si="4"/>
        <v>0</v>
      </c>
      <c r="J47" s="36"/>
      <c r="K47" s="11"/>
      <c r="L47" s="11"/>
      <c r="M47" s="11"/>
      <c r="N47" s="11"/>
      <c r="O47" s="39"/>
      <c r="P47" s="69"/>
      <c r="Q47" s="15"/>
      <c r="R47" s="18"/>
      <c r="S47" s="39"/>
      <c r="T47" s="17"/>
      <c r="U47" s="88"/>
      <c r="V47" s="17">
        <f t="shared" si="5"/>
        <v>0</v>
      </c>
      <c r="W47" s="88"/>
      <c r="X47" s="88"/>
      <c r="Y47" s="88"/>
      <c r="Z47" s="11"/>
      <c r="AA47" s="39"/>
      <c r="AB47" s="39"/>
      <c r="AC47" s="39"/>
      <c r="AD47" s="23"/>
      <c r="AE47" s="59"/>
      <c r="AF47" s="64"/>
      <c r="AG47" s="55"/>
      <c r="AH47" s="65"/>
      <c r="AI47" s="55"/>
      <c r="AJ47" s="65"/>
      <c r="AK47" s="64"/>
      <c r="AL47" s="66"/>
      <c r="AM47" s="64"/>
      <c r="AN47" s="23"/>
      <c r="AO47" s="59"/>
      <c r="AP47" s="64"/>
      <c r="AQ47" s="55"/>
      <c r="AR47" s="65"/>
      <c r="AS47" s="55"/>
      <c r="AT47" s="65"/>
      <c r="AU47" s="64"/>
      <c r="AV47" s="66"/>
      <c r="AW47" s="64"/>
      <c r="AX47" s="23"/>
      <c r="AY47" s="59"/>
      <c r="AZ47" s="64"/>
      <c r="BA47" s="55"/>
      <c r="BB47" s="65"/>
      <c r="BC47" s="55"/>
      <c r="BD47" s="65"/>
      <c r="BE47" s="64"/>
      <c r="BF47" s="66"/>
      <c r="BG47" s="15"/>
      <c r="BH47" s="23"/>
      <c r="BI47" s="59"/>
      <c r="BJ47" s="64"/>
      <c r="BK47" s="55"/>
      <c r="BL47" s="65"/>
      <c r="BM47" s="55"/>
      <c r="BN47" s="65"/>
      <c r="BO47" s="64"/>
      <c r="BP47" s="66"/>
      <c r="BQ47" s="64"/>
      <c r="BR47" s="23"/>
      <c r="BS47" s="59"/>
      <c r="BT47" s="64"/>
      <c r="BU47" s="55"/>
      <c r="BV47" s="65"/>
      <c r="BW47" s="55"/>
      <c r="BX47" s="65"/>
      <c r="BY47" s="64"/>
      <c r="BZ47" s="66"/>
      <c r="CA47" s="15"/>
      <c r="CB47" s="23"/>
      <c r="CC47" s="59"/>
      <c r="CD47" s="64"/>
      <c r="CE47" s="55"/>
      <c r="CF47" s="65"/>
      <c r="CG47" s="55"/>
      <c r="CH47" s="65"/>
      <c r="CI47" s="64"/>
      <c r="CJ47" s="66"/>
      <c r="CK47" s="64"/>
      <c r="CL47" s="23"/>
      <c r="CM47" s="59"/>
      <c r="CN47" s="64"/>
      <c r="CO47" s="55"/>
      <c r="CP47" s="65"/>
      <c r="CQ47" s="55"/>
      <c r="CR47" s="65"/>
      <c r="CS47" s="64"/>
      <c r="CT47" s="66"/>
      <c r="CU47" s="64"/>
      <c r="CV47" s="23"/>
      <c r="CW47" s="59"/>
      <c r="CX47" s="64"/>
      <c r="CY47" s="55"/>
      <c r="CZ47" s="65"/>
      <c r="DA47" s="55"/>
      <c r="DB47" s="65"/>
      <c r="DC47" s="64"/>
      <c r="DD47" s="66"/>
      <c r="DE47" s="64"/>
      <c r="DF47" s="23"/>
      <c r="DG47" s="59"/>
      <c r="DH47" s="64"/>
      <c r="DI47" s="55"/>
      <c r="DJ47" s="65"/>
      <c r="DK47" s="55"/>
      <c r="DL47" s="65"/>
      <c r="DM47" s="64"/>
      <c r="DN47" s="66"/>
      <c r="DO47" s="15"/>
      <c r="DP47" s="23"/>
      <c r="DQ47" s="23"/>
    </row>
    <row r="48" spans="1:121" ht="15" customHeight="1" x14ac:dyDescent="0.35">
      <c r="A48" s="90"/>
      <c r="B48" s="470"/>
      <c r="E48" s="18"/>
      <c r="F48" s="11"/>
      <c r="G48" s="36"/>
      <c r="H48" s="36"/>
      <c r="I48" s="17">
        <f t="shared" si="4"/>
        <v>0</v>
      </c>
      <c r="J48" s="36"/>
      <c r="K48" s="11"/>
      <c r="L48" s="11"/>
      <c r="M48" s="11"/>
      <c r="N48" s="11"/>
      <c r="O48" s="39"/>
      <c r="P48" s="69"/>
      <c r="Q48" s="15"/>
      <c r="R48" s="18"/>
      <c r="S48" s="39"/>
      <c r="T48" s="17"/>
      <c r="U48" s="88"/>
      <c r="V48" s="17">
        <f t="shared" si="5"/>
        <v>0</v>
      </c>
      <c r="W48" s="88"/>
      <c r="X48" s="88"/>
      <c r="Y48" s="88"/>
      <c r="Z48" s="11"/>
      <c r="AA48" s="39"/>
      <c r="AB48" s="39"/>
      <c r="AC48" s="39"/>
      <c r="AD48" s="23"/>
      <c r="AE48" s="59"/>
      <c r="AF48" s="64"/>
      <c r="AG48" s="55"/>
      <c r="AH48" s="65"/>
      <c r="AI48" s="55"/>
      <c r="AJ48" s="65"/>
      <c r="AK48" s="64"/>
      <c r="AL48" s="66"/>
      <c r="AM48" s="64"/>
      <c r="AN48" s="23"/>
      <c r="AO48" s="59"/>
      <c r="AP48" s="64"/>
      <c r="AQ48" s="55"/>
      <c r="AR48" s="65"/>
      <c r="AS48" s="55"/>
      <c r="AT48" s="65"/>
      <c r="AU48" s="64"/>
      <c r="AV48" s="66"/>
      <c r="AW48" s="64"/>
      <c r="AX48" s="23"/>
      <c r="AY48" s="59"/>
      <c r="AZ48" s="64"/>
      <c r="BA48" s="55"/>
      <c r="BB48" s="65"/>
      <c r="BC48" s="55"/>
      <c r="BD48" s="65"/>
      <c r="BE48" s="64"/>
      <c r="BF48" s="66"/>
      <c r="BG48" s="15"/>
      <c r="BH48" s="23"/>
      <c r="BI48" s="59"/>
      <c r="BJ48" s="64"/>
      <c r="BK48" s="55"/>
      <c r="BL48" s="65"/>
      <c r="BM48" s="55"/>
      <c r="BN48" s="65"/>
      <c r="BO48" s="64"/>
      <c r="BP48" s="66"/>
      <c r="BQ48" s="64"/>
      <c r="BR48" s="23"/>
      <c r="BS48" s="59"/>
      <c r="BT48" s="64"/>
      <c r="BU48" s="55"/>
      <c r="BV48" s="65"/>
      <c r="BW48" s="55"/>
      <c r="BX48" s="65"/>
      <c r="BY48" s="64"/>
      <c r="BZ48" s="66"/>
      <c r="CA48" s="15"/>
      <c r="CB48" s="23"/>
      <c r="CC48" s="59"/>
      <c r="CD48" s="64"/>
      <c r="CE48" s="55"/>
      <c r="CF48" s="65"/>
      <c r="CG48" s="55"/>
      <c r="CH48" s="65"/>
      <c r="CI48" s="64"/>
      <c r="CJ48" s="66"/>
      <c r="CK48" s="64"/>
      <c r="CL48" s="23"/>
      <c r="CM48" s="59"/>
      <c r="CN48" s="64"/>
      <c r="CO48" s="55"/>
      <c r="CP48" s="65"/>
      <c r="CQ48" s="55"/>
      <c r="CR48" s="65"/>
      <c r="CS48" s="64"/>
      <c r="CT48" s="66"/>
      <c r="CU48" s="64"/>
      <c r="CV48" s="23"/>
      <c r="CW48" s="59"/>
      <c r="CX48" s="64"/>
      <c r="CY48" s="55"/>
      <c r="CZ48" s="65"/>
      <c r="DA48" s="55"/>
      <c r="DB48" s="65"/>
      <c r="DC48" s="64"/>
      <c r="DD48" s="66"/>
      <c r="DE48" s="64"/>
      <c r="DF48" s="23"/>
      <c r="DG48" s="59"/>
      <c r="DH48" s="64"/>
      <c r="DI48" s="55"/>
      <c r="DJ48" s="65"/>
      <c r="DK48" s="55"/>
      <c r="DL48" s="65"/>
      <c r="DM48" s="64"/>
      <c r="DN48" s="66"/>
      <c r="DO48" s="15"/>
      <c r="DP48" s="23"/>
      <c r="DQ48" s="23"/>
    </row>
    <row r="49" spans="1:121" ht="15" customHeight="1" x14ac:dyDescent="0.35">
      <c r="A49" s="90"/>
      <c r="B49" s="470"/>
      <c r="E49" s="18"/>
      <c r="F49" s="11"/>
      <c r="G49" s="36"/>
      <c r="H49" s="36"/>
      <c r="I49" s="17">
        <f t="shared" si="4"/>
        <v>0</v>
      </c>
      <c r="J49" s="36"/>
      <c r="K49" s="11"/>
      <c r="L49" s="11"/>
      <c r="M49" s="11"/>
      <c r="N49" s="11"/>
      <c r="O49" s="39"/>
      <c r="P49" s="69"/>
      <c r="Q49" s="15"/>
      <c r="R49" s="18"/>
      <c r="S49" s="39"/>
      <c r="T49" s="17"/>
      <c r="U49" s="88"/>
      <c r="V49" s="17">
        <f t="shared" si="5"/>
        <v>0</v>
      </c>
      <c r="W49" s="88"/>
      <c r="X49" s="88"/>
      <c r="Y49" s="88"/>
      <c r="Z49" s="11"/>
      <c r="AA49" s="39"/>
      <c r="AB49" s="39"/>
      <c r="AC49" s="39"/>
      <c r="AD49" s="23"/>
      <c r="AE49" s="59"/>
      <c r="AF49" s="64"/>
      <c r="AG49" s="55"/>
      <c r="AH49" s="65"/>
      <c r="AI49" s="55"/>
      <c r="AJ49" s="65"/>
      <c r="AK49" s="64"/>
      <c r="AL49" s="66"/>
      <c r="AM49" s="64"/>
      <c r="AN49" s="23"/>
      <c r="AO49" s="59"/>
      <c r="AP49" s="64"/>
      <c r="AQ49" s="55"/>
      <c r="AR49" s="65"/>
      <c r="AS49" s="55"/>
      <c r="AT49" s="65"/>
      <c r="AU49" s="64"/>
      <c r="AV49" s="66"/>
      <c r="AW49" s="64"/>
      <c r="AX49" s="23"/>
      <c r="AY49" s="59"/>
      <c r="AZ49" s="64"/>
      <c r="BA49" s="55"/>
      <c r="BB49" s="65"/>
      <c r="BC49" s="55"/>
      <c r="BD49" s="65"/>
      <c r="BE49" s="64"/>
      <c r="BF49" s="66"/>
      <c r="BG49" s="15"/>
      <c r="BH49" s="23"/>
      <c r="BI49" s="59"/>
      <c r="BJ49" s="64"/>
      <c r="BK49" s="55"/>
      <c r="BL49" s="65"/>
      <c r="BM49" s="55"/>
      <c r="BN49" s="65"/>
      <c r="BO49" s="64"/>
      <c r="BP49" s="66"/>
      <c r="BQ49" s="64"/>
      <c r="BR49" s="23"/>
      <c r="BS49" s="59"/>
      <c r="BT49" s="64"/>
      <c r="BU49" s="55"/>
      <c r="BV49" s="65"/>
      <c r="BW49" s="55"/>
      <c r="BX49" s="65"/>
      <c r="BY49" s="64"/>
      <c r="BZ49" s="66"/>
      <c r="CA49" s="15"/>
      <c r="CB49" s="23"/>
      <c r="CC49" s="59"/>
      <c r="CD49" s="64"/>
      <c r="CE49" s="55"/>
      <c r="CF49" s="65"/>
      <c r="CG49" s="55"/>
      <c r="CH49" s="65"/>
      <c r="CI49" s="64"/>
      <c r="CJ49" s="66"/>
      <c r="CK49" s="64"/>
      <c r="CL49" s="23"/>
      <c r="CM49" s="59"/>
      <c r="CN49" s="64"/>
      <c r="CO49" s="55"/>
      <c r="CP49" s="65"/>
      <c r="CQ49" s="55"/>
      <c r="CR49" s="65"/>
      <c r="CS49" s="64"/>
      <c r="CT49" s="66"/>
      <c r="CU49" s="64"/>
      <c r="CV49" s="23"/>
      <c r="CW49" s="59"/>
      <c r="CX49" s="64"/>
      <c r="CY49" s="55"/>
      <c r="CZ49" s="65"/>
      <c r="DA49" s="55"/>
      <c r="DB49" s="65"/>
      <c r="DC49" s="64"/>
      <c r="DD49" s="66"/>
      <c r="DE49" s="64"/>
      <c r="DF49" s="23"/>
      <c r="DG49" s="59"/>
      <c r="DH49" s="64"/>
      <c r="DI49" s="55"/>
      <c r="DJ49" s="65"/>
      <c r="DK49" s="55"/>
      <c r="DL49" s="65"/>
      <c r="DM49" s="64"/>
      <c r="DN49" s="66"/>
      <c r="DO49" s="15"/>
      <c r="DP49" s="23"/>
      <c r="DQ49" s="23"/>
    </row>
    <row r="50" spans="1:121" ht="15" customHeight="1" x14ac:dyDescent="0.35">
      <c r="A50" s="91"/>
      <c r="B50" s="470"/>
      <c r="E50" s="18"/>
      <c r="F50" s="11"/>
      <c r="G50" s="36"/>
      <c r="H50" s="36"/>
      <c r="I50" s="17">
        <f t="shared" si="4"/>
        <v>0</v>
      </c>
      <c r="J50" s="36"/>
      <c r="K50" s="11"/>
      <c r="L50" s="11"/>
      <c r="M50" s="11"/>
      <c r="N50" s="11"/>
      <c r="O50" s="39"/>
      <c r="P50" s="69"/>
      <c r="Q50" s="15"/>
      <c r="R50" s="18"/>
      <c r="S50" s="39"/>
      <c r="T50" s="17"/>
      <c r="U50" s="88"/>
      <c r="V50" s="17">
        <f t="shared" si="5"/>
        <v>0</v>
      </c>
      <c r="W50" s="88"/>
      <c r="X50" s="88"/>
      <c r="Y50" s="88"/>
      <c r="Z50" s="11"/>
      <c r="AA50" s="39"/>
      <c r="AB50" s="39"/>
      <c r="AC50" s="39"/>
      <c r="AD50" s="23"/>
      <c r="AE50" s="59"/>
      <c r="AF50" s="64"/>
      <c r="AG50" s="55"/>
      <c r="AH50" s="65"/>
      <c r="AI50" s="55"/>
      <c r="AJ50" s="65"/>
      <c r="AK50" s="64"/>
      <c r="AL50" s="66"/>
      <c r="AM50" s="64"/>
      <c r="AN50" s="23"/>
      <c r="AO50" s="59"/>
      <c r="AP50" s="64"/>
      <c r="AQ50" s="55"/>
      <c r="AR50" s="65"/>
      <c r="AS50" s="55"/>
      <c r="AT50" s="65"/>
      <c r="AU50" s="64"/>
      <c r="AV50" s="66"/>
      <c r="AW50" s="64"/>
      <c r="AX50" s="23"/>
      <c r="AY50" s="59"/>
      <c r="AZ50" s="64"/>
      <c r="BA50" s="55"/>
      <c r="BB50" s="65"/>
      <c r="BC50" s="55"/>
      <c r="BD50" s="65"/>
      <c r="BE50" s="64"/>
      <c r="BF50" s="66"/>
      <c r="BG50" s="15"/>
      <c r="BH50" s="23"/>
      <c r="BI50" s="59"/>
      <c r="BJ50" s="64"/>
      <c r="BK50" s="55"/>
      <c r="BL50" s="65"/>
      <c r="BM50" s="55"/>
      <c r="BN50" s="65"/>
      <c r="BO50" s="64"/>
      <c r="BP50" s="66"/>
      <c r="BQ50" s="64"/>
      <c r="BR50" s="23"/>
      <c r="BS50" s="59"/>
      <c r="BT50" s="64"/>
      <c r="BU50" s="55"/>
      <c r="BV50" s="65"/>
      <c r="BW50" s="55"/>
      <c r="BX50" s="65"/>
      <c r="BY50" s="64"/>
      <c r="BZ50" s="66"/>
      <c r="CA50" s="15"/>
      <c r="CB50" s="23"/>
      <c r="CC50" s="59"/>
      <c r="CD50" s="64"/>
      <c r="CE50" s="55"/>
      <c r="CF50" s="65"/>
      <c r="CG50" s="55"/>
      <c r="CH50" s="65"/>
      <c r="CI50" s="64"/>
      <c r="CJ50" s="66"/>
      <c r="CK50" s="64"/>
      <c r="CL50" s="23"/>
      <c r="CM50" s="59"/>
      <c r="CN50" s="64"/>
      <c r="CO50" s="55"/>
      <c r="CP50" s="65"/>
      <c r="CQ50" s="55"/>
      <c r="CR50" s="65"/>
      <c r="CS50" s="64"/>
      <c r="CT50" s="66"/>
      <c r="CU50" s="64"/>
      <c r="CV50" s="23"/>
      <c r="CW50" s="59"/>
      <c r="CX50" s="64"/>
      <c r="CY50" s="55"/>
      <c r="CZ50" s="65"/>
      <c r="DA50" s="55"/>
      <c r="DB50" s="65"/>
      <c r="DC50" s="64"/>
      <c r="DD50" s="66"/>
      <c r="DE50" s="64"/>
      <c r="DF50" s="23"/>
      <c r="DG50" s="59"/>
      <c r="DH50" s="64"/>
      <c r="DI50" s="55"/>
      <c r="DJ50" s="65"/>
      <c r="DK50" s="55"/>
      <c r="DL50" s="65"/>
      <c r="DM50" s="64"/>
      <c r="DN50" s="66"/>
      <c r="DO50" s="15"/>
      <c r="DP50" s="23"/>
      <c r="DQ50" s="23"/>
    </row>
    <row r="51" spans="1:121" ht="15" customHeight="1" x14ac:dyDescent="0.35">
      <c r="A51" s="90"/>
      <c r="B51" s="470"/>
      <c r="E51" s="18"/>
      <c r="F51" s="11"/>
      <c r="G51" s="36"/>
      <c r="H51" s="36"/>
      <c r="I51" s="17">
        <f t="shared" si="4"/>
        <v>0</v>
      </c>
      <c r="J51" s="36"/>
      <c r="K51" s="11"/>
      <c r="L51" s="11"/>
      <c r="M51" s="11"/>
      <c r="N51" s="11"/>
      <c r="O51" s="39"/>
      <c r="P51" s="69"/>
      <c r="Q51" s="15"/>
      <c r="R51" s="18"/>
      <c r="S51" s="39"/>
      <c r="T51" s="17"/>
      <c r="U51" s="88"/>
      <c r="V51" s="17">
        <f t="shared" si="5"/>
        <v>0</v>
      </c>
      <c r="W51" s="88"/>
      <c r="X51" s="88"/>
      <c r="Y51" s="88"/>
      <c r="Z51" s="11"/>
      <c r="AA51" s="39"/>
      <c r="AB51" s="39"/>
      <c r="AC51" s="39"/>
      <c r="AD51" s="23"/>
      <c r="AE51" s="59"/>
      <c r="AF51" s="64"/>
      <c r="AG51" s="55"/>
      <c r="AH51" s="65"/>
      <c r="AI51" s="55"/>
      <c r="AJ51" s="65"/>
      <c r="AK51" s="64"/>
      <c r="AL51" s="66"/>
      <c r="AM51" s="64"/>
      <c r="AN51" s="23"/>
      <c r="AO51" s="59"/>
      <c r="AP51" s="64"/>
      <c r="AQ51" s="55"/>
      <c r="AR51" s="65"/>
      <c r="AS51" s="55"/>
      <c r="AT51" s="65"/>
      <c r="AU51" s="64"/>
      <c r="AV51" s="66"/>
      <c r="AW51" s="64"/>
      <c r="AX51" s="23"/>
      <c r="AY51" s="59"/>
      <c r="AZ51" s="64"/>
      <c r="BA51" s="55"/>
      <c r="BB51" s="65"/>
      <c r="BC51" s="55"/>
      <c r="BD51" s="65"/>
      <c r="BE51" s="64"/>
      <c r="BF51" s="66"/>
      <c r="BG51" s="15"/>
      <c r="BH51" s="23"/>
      <c r="BI51" s="59"/>
      <c r="BJ51" s="64"/>
      <c r="BK51" s="55"/>
      <c r="BL51" s="65"/>
      <c r="BM51" s="55"/>
      <c r="BN51" s="65"/>
      <c r="BO51" s="64"/>
      <c r="BP51" s="66"/>
      <c r="BQ51" s="64"/>
      <c r="BR51" s="23"/>
      <c r="BS51" s="59"/>
      <c r="BT51" s="64"/>
      <c r="BU51" s="55"/>
      <c r="BV51" s="65"/>
      <c r="BW51" s="55"/>
      <c r="BX51" s="65"/>
      <c r="BY51" s="64"/>
      <c r="BZ51" s="66"/>
      <c r="CA51" s="15"/>
      <c r="CB51" s="23"/>
      <c r="CC51" s="59"/>
      <c r="CD51" s="64"/>
      <c r="CE51" s="55"/>
      <c r="CF51" s="65"/>
      <c r="CG51" s="55"/>
      <c r="CH51" s="65"/>
      <c r="CI51" s="64"/>
      <c r="CJ51" s="66"/>
      <c r="CK51" s="64"/>
      <c r="CL51" s="23"/>
      <c r="CM51" s="59"/>
      <c r="CN51" s="64"/>
      <c r="CO51" s="55"/>
      <c r="CP51" s="65"/>
      <c r="CQ51" s="55"/>
      <c r="CR51" s="65"/>
      <c r="CS51" s="64"/>
      <c r="CT51" s="66"/>
      <c r="CU51" s="64"/>
      <c r="CV51" s="23"/>
      <c r="CW51" s="59"/>
      <c r="CX51" s="64"/>
      <c r="CY51" s="55"/>
      <c r="CZ51" s="65"/>
      <c r="DA51" s="55"/>
      <c r="DB51" s="65"/>
      <c r="DC51" s="64"/>
      <c r="DD51" s="66"/>
      <c r="DE51" s="64"/>
      <c r="DF51" s="23"/>
      <c r="DG51" s="59"/>
      <c r="DH51" s="64"/>
      <c r="DI51" s="55"/>
      <c r="DJ51" s="65"/>
      <c r="DK51" s="55"/>
      <c r="DL51" s="65"/>
      <c r="DM51" s="64"/>
      <c r="DN51" s="66"/>
      <c r="DO51" s="15"/>
      <c r="DP51" s="23"/>
      <c r="DQ51" s="23"/>
    </row>
    <row r="52" spans="1:121" ht="15" customHeight="1" x14ac:dyDescent="0.35">
      <c r="A52" s="90"/>
      <c r="B52" s="470"/>
      <c r="E52" s="18"/>
      <c r="F52" s="11"/>
      <c r="G52" s="36"/>
      <c r="H52" s="36"/>
      <c r="I52" s="17">
        <f t="shared" si="4"/>
        <v>0</v>
      </c>
      <c r="J52" s="36"/>
      <c r="K52" s="11"/>
      <c r="L52" s="11"/>
      <c r="M52" s="11"/>
      <c r="N52" s="11"/>
      <c r="O52" s="39"/>
      <c r="P52" s="69"/>
      <c r="Q52" s="15"/>
      <c r="R52" s="18"/>
      <c r="S52" s="39"/>
      <c r="T52" s="17"/>
      <c r="U52" s="88"/>
      <c r="V52" s="17">
        <f t="shared" si="5"/>
        <v>0</v>
      </c>
      <c r="W52" s="88"/>
      <c r="X52" s="88"/>
      <c r="Y52" s="88"/>
      <c r="Z52" s="11"/>
      <c r="AA52" s="39"/>
      <c r="AB52" s="39"/>
      <c r="AC52" s="39"/>
      <c r="AD52" s="23"/>
      <c r="AE52" s="59"/>
      <c r="AF52" s="64"/>
      <c r="AG52" s="55"/>
      <c r="AH52" s="65"/>
      <c r="AI52" s="55"/>
      <c r="AJ52" s="65"/>
      <c r="AK52" s="64"/>
      <c r="AL52" s="66"/>
      <c r="AM52" s="64"/>
      <c r="AN52" s="23"/>
      <c r="AO52" s="59"/>
      <c r="AP52" s="64"/>
      <c r="AQ52" s="55"/>
      <c r="AR52" s="65"/>
      <c r="AS52" s="55"/>
      <c r="AT52" s="65"/>
      <c r="AU52" s="64"/>
      <c r="AV52" s="66"/>
      <c r="AW52" s="64"/>
      <c r="AX52" s="23"/>
      <c r="AY52" s="59"/>
      <c r="AZ52" s="64"/>
      <c r="BA52" s="55"/>
      <c r="BB52" s="65"/>
      <c r="BC52" s="55"/>
      <c r="BD52" s="65"/>
      <c r="BE52" s="64"/>
      <c r="BF52" s="66"/>
      <c r="BG52" s="15"/>
      <c r="BH52" s="23"/>
      <c r="BI52" s="59"/>
      <c r="BJ52" s="64"/>
      <c r="BK52" s="55"/>
      <c r="BL52" s="65"/>
      <c r="BM52" s="55"/>
      <c r="BN52" s="65"/>
      <c r="BO52" s="64"/>
      <c r="BP52" s="66"/>
      <c r="BQ52" s="64"/>
      <c r="BR52" s="23"/>
      <c r="BS52" s="59"/>
      <c r="BT52" s="64"/>
      <c r="BU52" s="55"/>
      <c r="BV52" s="65"/>
      <c r="BW52" s="55"/>
      <c r="BX52" s="65"/>
      <c r="BY52" s="64"/>
      <c r="BZ52" s="66"/>
      <c r="CA52" s="15"/>
      <c r="CB52" s="23"/>
      <c r="CC52" s="59"/>
      <c r="CD52" s="64"/>
      <c r="CE52" s="55"/>
      <c r="CF52" s="65"/>
      <c r="CG52" s="55"/>
      <c r="CH52" s="65"/>
      <c r="CI52" s="64"/>
      <c r="CJ52" s="66"/>
      <c r="CK52" s="64"/>
      <c r="CL52" s="23"/>
      <c r="CM52" s="59"/>
      <c r="CN52" s="64"/>
      <c r="CO52" s="55"/>
      <c r="CP52" s="65"/>
      <c r="CQ52" s="55"/>
      <c r="CR52" s="65"/>
      <c r="CS52" s="64"/>
      <c r="CT52" s="66"/>
      <c r="CU52" s="64"/>
      <c r="CV52" s="23"/>
      <c r="CW52" s="59"/>
      <c r="CX52" s="64"/>
      <c r="CY52" s="55"/>
      <c r="CZ52" s="65"/>
      <c r="DA52" s="55"/>
      <c r="DB52" s="65"/>
      <c r="DC52" s="64"/>
      <c r="DD52" s="66"/>
      <c r="DE52" s="64"/>
      <c r="DF52" s="23"/>
      <c r="DG52" s="59"/>
      <c r="DH52" s="64"/>
      <c r="DI52" s="55"/>
      <c r="DJ52" s="65"/>
      <c r="DK52" s="55"/>
      <c r="DL52" s="65"/>
      <c r="DM52" s="64"/>
      <c r="DN52" s="66"/>
      <c r="DO52" s="15"/>
      <c r="DP52" s="23"/>
      <c r="DQ52" s="23"/>
    </row>
    <row r="53" spans="1:121" ht="15" customHeight="1" x14ac:dyDescent="0.35">
      <c r="A53" s="90"/>
      <c r="B53" s="470"/>
      <c r="E53" s="18"/>
      <c r="F53" s="11"/>
      <c r="G53" s="36"/>
      <c r="H53" s="36"/>
      <c r="I53" s="17">
        <f t="shared" si="4"/>
        <v>0</v>
      </c>
      <c r="J53" s="36"/>
      <c r="K53" s="11"/>
      <c r="L53" s="11"/>
      <c r="M53" s="135"/>
      <c r="N53" s="11"/>
      <c r="O53" s="39"/>
      <c r="P53" s="69"/>
      <c r="Q53" s="15"/>
      <c r="R53" s="18"/>
      <c r="S53" s="39"/>
      <c r="T53" s="17"/>
      <c r="U53" s="88"/>
      <c r="V53" s="17">
        <f t="shared" si="5"/>
        <v>0</v>
      </c>
      <c r="W53" s="88"/>
      <c r="X53" s="88"/>
      <c r="Y53" s="88"/>
      <c r="Z53" s="135"/>
      <c r="AA53" s="39"/>
      <c r="AB53" s="39"/>
      <c r="AC53" s="39"/>
      <c r="AD53" s="23"/>
      <c r="AE53" s="59"/>
      <c r="AF53" s="64"/>
      <c r="AG53" s="55"/>
      <c r="AH53" s="65"/>
      <c r="AI53" s="55"/>
      <c r="AJ53" s="65"/>
      <c r="AK53" s="64"/>
      <c r="AL53" s="66"/>
      <c r="AM53" s="64"/>
      <c r="AN53" s="23"/>
      <c r="AO53" s="59"/>
      <c r="AP53" s="64"/>
      <c r="AQ53" s="55"/>
      <c r="AR53" s="65"/>
      <c r="AS53" s="55"/>
      <c r="AT53" s="65"/>
      <c r="AU53" s="64"/>
      <c r="AV53" s="66"/>
      <c r="AW53" s="64"/>
      <c r="AX53" s="23"/>
      <c r="AY53" s="59"/>
      <c r="AZ53" s="64"/>
      <c r="BA53" s="55"/>
      <c r="BB53" s="65"/>
      <c r="BC53" s="55"/>
      <c r="BD53" s="65"/>
      <c r="BE53" s="64"/>
      <c r="BF53" s="66"/>
      <c r="BG53" s="15"/>
      <c r="BH53" s="23"/>
      <c r="BI53" s="59"/>
      <c r="BJ53" s="64"/>
      <c r="BK53" s="55"/>
      <c r="BL53" s="65"/>
      <c r="BM53" s="55"/>
      <c r="BN53" s="65"/>
      <c r="BO53" s="64"/>
      <c r="BP53" s="66"/>
      <c r="BQ53" s="64"/>
      <c r="BR53" s="23"/>
      <c r="BS53" s="59"/>
      <c r="BT53" s="64"/>
      <c r="BU53" s="55"/>
      <c r="BV53" s="65"/>
      <c r="BW53" s="55"/>
      <c r="BX53" s="65"/>
      <c r="BY53" s="64"/>
      <c r="BZ53" s="66"/>
      <c r="CA53" s="15"/>
      <c r="CB53" s="23"/>
      <c r="CC53" s="59"/>
      <c r="CD53" s="64"/>
      <c r="CE53" s="55"/>
      <c r="CF53" s="65"/>
      <c r="CG53" s="55"/>
      <c r="CH53" s="65"/>
      <c r="CI53" s="64"/>
      <c r="CJ53" s="66"/>
      <c r="CK53" s="64"/>
      <c r="CL53" s="23"/>
      <c r="CM53" s="59"/>
      <c r="CN53" s="64"/>
      <c r="CO53" s="55"/>
      <c r="CP53" s="65"/>
      <c r="CQ53" s="55"/>
      <c r="CR53" s="65"/>
      <c r="CS53" s="64"/>
      <c r="CT53" s="66"/>
      <c r="CU53" s="64"/>
      <c r="CV53" s="23"/>
      <c r="CW53" s="59"/>
      <c r="CX53" s="64"/>
      <c r="CY53" s="55"/>
      <c r="CZ53" s="65"/>
      <c r="DA53" s="55"/>
      <c r="DB53" s="65"/>
      <c r="DC53" s="64"/>
      <c r="DD53" s="66"/>
      <c r="DE53" s="64"/>
      <c r="DF53" s="23"/>
      <c r="DG53" s="59"/>
      <c r="DH53" s="64"/>
      <c r="DI53" s="55"/>
      <c r="DJ53" s="65"/>
      <c r="DK53" s="55"/>
      <c r="DL53" s="65"/>
      <c r="DM53" s="64"/>
      <c r="DN53" s="66"/>
      <c r="DO53" s="15"/>
      <c r="DP53" s="23"/>
      <c r="DQ53" s="23"/>
    </row>
    <row r="54" spans="1:121" ht="15" customHeight="1" x14ac:dyDescent="0.35">
      <c r="A54" s="90"/>
      <c r="B54" s="470"/>
      <c r="E54" s="18"/>
      <c r="F54" s="11"/>
      <c r="G54" s="36"/>
      <c r="H54" s="36"/>
      <c r="I54" s="17">
        <f t="shared" si="4"/>
        <v>0</v>
      </c>
      <c r="J54" s="36"/>
      <c r="K54" s="11"/>
      <c r="L54" s="11"/>
      <c r="M54" s="135"/>
      <c r="N54" s="11"/>
      <c r="O54" s="39"/>
      <c r="P54" s="69"/>
      <c r="Q54" s="15"/>
      <c r="R54" s="18"/>
      <c r="S54" s="39"/>
      <c r="T54" s="17"/>
      <c r="U54" s="88"/>
      <c r="V54" s="17">
        <f t="shared" si="5"/>
        <v>0</v>
      </c>
      <c r="W54" s="88"/>
      <c r="X54" s="88"/>
      <c r="Y54" s="88"/>
      <c r="Z54" s="135"/>
      <c r="AA54" s="39"/>
      <c r="AB54" s="39"/>
      <c r="AC54" s="39"/>
      <c r="AD54" s="23"/>
      <c r="AE54" s="59"/>
      <c r="AF54" s="64"/>
      <c r="AG54" s="55"/>
      <c r="AH54" s="65"/>
      <c r="AI54" s="55"/>
      <c r="AJ54" s="65"/>
      <c r="AK54" s="64"/>
      <c r="AL54" s="66"/>
      <c r="AM54" s="64"/>
      <c r="AN54" s="23"/>
      <c r="AO54" s="59"/>
      <c r="AP54" s="64"/>
      <c r="AQ54" s="55"/>
      <c r="AR54" s="65"/>
      <c r="AS54" s="55"/>
      <c r="AT54" s="65"/>
      <c r="AU54" s="64"/>
      <c r="AV54" s="66"/>
      <c r="AW54" s="64"/>
      <c r="AX54" s="23"/>
      <c r="AY54" s="59"/>
      <c r="AZ54" s="64"/>
      <c r="BA54" s="55"/>
      <c r="BB54" s="65"/>
      <c r="BC54" s="55"/>
      <c r="BD54" s="65"/>
      <c r="BE54" s="64"/>
      <c r="BF54" s="66"/>
      <c r="BG54" s="15"/>
      <c r="BH54" s="23"/>
      <c r="BI54" s="59"/>
      <c r="BJ54" s="64"/>
      <c r="BK54" s="55"/>
      <c r="BL54" s="65"/>
      <c r="BM54" s="55"/>
      <c r="BN54" s="65"/>
      <c r="BO54" s="64"/>
      <c r="BP54" s="66"/>
      <c r="BQ54" s="64"/>
      <c r="BR54" s="23"/>
      <c r="BS54" s="59"/>
      <c r="BT54" s="64"/>
      <c r="BU54" s="55"/>
      <c r="BV54" s="65"/>
      <c r="BW54" s="55"/>
      <c r="BX54" s="65"/>
      <c r="BY54" s="64"/>
      <c r="BZ54" s="66"/>
      <c r="CA54" s="15"/>
      <c r="CB54" s="23"/>
      <c r="CC54" s="59"/>
      <c r="CD54" s="64"/>
      <c r="CE54" s="55"/>
      <c r="CF54" s="65"/>
      <c r="CG54" s="55"/>
      <c r="CH54" s="65"/>
      <c r="CI54" s="64"/>
      <c r="CJ54" s="66"/>
      <c r="CK54" s="64"/>
      <c r="CL54" s="23"/>
      <c r="CM54" s="59"/>
      <c r="CN54" s="64"/>
      <c r="CO54" s="55"/>
      <c r="CP54" s="65"/>
      <c r="CQ54" s="55"/>
      <c r="CR54" s="65"/>
      <c r="CS54" s="64"/>
      <c r="CT54" s="66"/>
      <c r="CU54" s="64"/>
      <c r="CV54" s="23"/>
      <c r="CW54" s="59"/>
      <c r="CX54" s="64"/>
      <c r="CY54" s="55"/>
      <c r="CZ54" s="65"/>
      <c r="DA54" s="55"/>
      <c r="DB54" s="65"/>
      <c r="DC54" s="64"/>
      <c r="DD54" s="66"/>
      <c r="DE54" s="64"/>
      <c r="DF54" s="23"/>
      <c r="DG54" s="59"/>
      <c r="DH54" s="64"/>
      <c r="DI54" s="55"/>
      <c r="DJ54" s="65"/>
      <c r="DK54" s="55"/>
      <c r="DL54" s="65"/>
      <c r="DM54" s="64"/>
      <c r="DN54" s="66"/>
      <c r="DO54" s="15"/>
      <c r="DP54" s="23"/>
      <c r="DQ54" s="23"/>
    </row>
    <row r="55" spans="1:121" ht="15" customHeight="1" x14ac:dyDescent="0.35">
      <c r="A55" s="22"/>
      <c r="B55" s="470"/>
      <c r="E55" s="18"/>
      <c r="F55" s="11"/>
      <c r="G55" s="36"/>
      <c r="H55" s="36"/>
      <c r="I55" s="17">
        <f t="shared" si="4"/>
        <v>0</v>
      </c>
      <c r="J55" s="36"/>
      <c r="K55" s="11"/>
      <c r="L55" s="11"/>
      <c r="M55" s="135"/>
      <c r="N55" s="11"/>
      <c r="O55" s="39"/>
      <c r="P55" s="69"/>
      <c r="Q55" s="15"/>
      <c r="R55" s="18"/>
      <c r="S55" s="39"/>
      <c r="T55" s="17"/>
      <c r="U55" s="88"/>
      <c r="V55" s="17">
        <f t="shared" si="5"/>
        <v>0</v>
      </c>
      <c r="W55" s="88"/>
      <c r="X55" s="88"/>
      <c r="Y55" s="88"/>
      <c r="Z55" s="135"/>
      <c r="AA55" s="39"/>
      <c r="AB55" s="39"/>
      <c r="AC55" s="39"/>
      <c r="AD55" s="23"/>
      <c r="AE55" s="59"/>
      <c r="AF55" s="64"/>
      <c r="AG55" s="55"/>
      <c r="AH55" s="65"/>
      <c r="AI55" s="55"/>
      <c r="AJ55" s="65"/>
      <c r="AK55" s="64"/>
      <c r="AL55" s="66"/>
      <c r="AM55" s="64"/>
      <c r="AN55" s="23"/>
      <c r="AO55" s="59"/>
      <c r="AP55" s="64"/>
      <c r="AQ55" s="55"/>
      <c r="AR55" s="65"/>
      <c r="AS55" s="55"/>
      <c r="AT55" s="65"/>
      <c r="AU55" s="64"/>
      <c r="AV55" s="66"/>
      <c r="AW55" s="64"/>
      <c r="AX55" s="23"/>
      <c r="AY55" s="59"/>
      <c r="AZ55" s="64"/>
      <c r="BA55" s="55"/>
      <c r="BB55" s="65"/>
      <c r="BC55" s="55"/>
      <c r="BD55" s="65"/>
      <c r="BE55" s="64"/>
      <c r="BF55" s="66"/>
      <c r="BG55" s="15"/>
      <c r="BH55" s="23"/>
      <c r="BI55" s="59"/>
      <c r="BJ55" s="64"/>
      <c r="BK55" s="55"/>
      <c r="BL55" s="65"/>
      <c r="BM55" s="55"/>
      <c r="BN55" s="65"/>
      <c r="BO55" s="64"/>
      <c r="BP55" s="66"/>
      <c r="BQ55" s="64"/>
      <c r="BR55" s="23"/>
      <c r="BS55" s="59"/>
      <c r="BT55" s="64"/>
      <c r="BU55" s="55"/>
      <c r="BV55" s="65"/>
      <c r="BW55" s="55"/>
      <c r="BX55" s="65"/>
      <c r="BY55" s="64"/>
      <c r="BZ55" s="66"/>
      <c r="CA55" s="15"/>
      <c r="CB55" s="23"/>
      <c r="CC55" s="59"/>
      <c r="CD55" s="64"/>
      <c r="CE55" s="55"/>
      <c r="CF55" s="65"/>
      <c r="CG55" s="55"/>
      <c r="CH55" s="65"/>
      <c r="CI55" s="64"/>
      <c r="CJ55" s="66"/>
      <c r="CK55" s="64"/>
      <c r="CL55" s="23"/>
      <c r="CM55" s="59"/>
      <c r="CN55" s="64"/>
      <c r="CO55" s="55"/>
      <c r="CP55" s="65"/>
      <c r="CQ55" s="55"/>
      <c r="CR55" s="65"/>
      <c r="CS55" s="64"/>
      <c r="CT55" s="66"/>
      <c r="CU55" s="64"/>
      <c r="CV55" s="23"/>
      <c r="CW55" s="59"/>
      <c r="CX55" s="64"/>
      <c r="CY55" s="55"/>
      <c r="CZ55" s="65"/>
      <c r="DA55" s="55"/>
      <c r="DB55" s="65"/>
      <c r="DC55" s="64"/>
      <c r="DD55" s="66"/>
      <c r="DE55" s="64"/>
      <c r="DF55" s="23"/>
      <c r="DG55" s="59"/>
      <c r="DH55" s="64"/>
      <c r="DI55" s="55"/>
      <c r="DJ55" s="65"/>
      <c r="DK55" s="55"/>
      <c r="DL55" s="65"/>
      <c r="DM55" s="64"/>
      <c r="DN55" s="66"/>
      <c r="DO55" s="15"/>
      <c r="DP55" s="23"/>
      <c r="DQ55" s="23"/>
    </row>
    <row r="56" spans="1:121" ht="15" customHeight="1" x14ac:dyDescent="0.35">
      <c r="A56" s="22"/>
      <c r="B56" s="22"/>
      <c r="E56" s="18"/>
      <c r="F56" s="11"/>
      <c r="G56" s="36"/>
      <c r="H56" s="36"/>
      <c r="I56" s="17">
        <f t="shared" si="4"/>
        <v>0</v>
      </c>
      <c r="J56" s="36"/>
      <c r="K56" s="11"/>
      <c r="L56" s="11"/>
      <c r="M56" s="135"/>
      <c r="N56" s="11"/>
      <c r="O56" s="39"/>
      <c r="P56" s="69"/>
      <c r="Q56" s="15"/>
      <c r="R56" s="18"/>
      <c r="S56" s="39"/>
      <c r="T56" s="17"/>
      <c r="U56" s="88"/>
      <c r="V56" s="17">
        <f t="shared" si="5"/>
        <v>0</v>
      </c>
      <c r="W56" s="88"/>
      <c r="X56" s="88"/>
      <c r="Y56" s="88"/>
      <c r="Z56" s="135"/>
      <c r="AA56" s="39"/>
      <c r="AB56" s="39"/>
      <c r="AC56" s="39"/>
      <c r="AD56" s="23"/>
      <c r="AE56" s="59"/>
      <c r="AF56" s="64"/>
      <c r="AG56" s="55"/>
      <c r="AH56" s="65"/>
      <c r="AI56" s="55"/>
      <c r="AJ56" s="65"/>
      <c r="AK56" s="64"/>
      <c r="AL56" s="66"/>
      <c r="AM56" s="64"/>
      <c r="AN56" s="23"/>
      <c r="AO56" s="59"/>
      <c r="AP56" s="64"/>
      <c r="AQ56" s="55"/>
      <c r="AR56" s="65"/>
      <c r="AS56" s="55"/>
      <c r="AT56" s="65"/>
      <c r="AU56" s="64"/>
      <c r="AV56" s="66"/>
      <c r="AW56" s="64"/>
      <c r="AX56" s="23"/>
      <c r="AY56" s="59"/>
      <c r="AZ56" s="64"/>
      <c r="BA56" s="55"/>
      <c r="BB56" s="65"/>
      <c r="BC56" s="55"/>
      <c r="BD56" s="65"/>
      <c r="BE56" s="64"/>
      <c r="BF56" s="66"/>
      <c r="BG56" s="15"/>
      <c r="BH56" s="23"/>
      <c r="BI56" s="59"/>
      <c r="BJ56" s="64"/>
      <c r="BK56" s="55"/>
      <c r="BL56" s="65"/>
      <c r="BM56" s="55"/>
      <c r="BN56" s="65"/>
      <c r="BO56" s="64"/>
      <c r="BP56" s="66"/>
      <c r="BQ56" s="64"/>
      <c r="BR56" s="23"/>
      <c r="BS56" s="59"/>
      <c r="BT56" s="64"/>
      <c r="BU56" s="55"/>
      <c r="BV56" s="65"/>
      <c r="BW56" s="55"/>
      <c r="BX56" s="65"/>
      <c r="BY56" s="64"/>
      <c r="BZ56" s="66"/>
      <c r="CA56" s="15"/>
      <c r="CB56" s="23"/>
      <c r="CC56" s="59"/>
      <c r="CD56" s="64"/>
      <c r="CE56" s="55"/>
      <c r="CF56" s="65"/>
      <c r="CG56" s="55"/>
      <c r="CH56" s="65"/>
      <c r="CI56" s="64"/>
      <c r="CJ56" s="66"/>
      <c r="CK56" s="64"/>
      <c r="CL56" s="23"/>
      <c r="CM56" s="59"/>
      <c r="CN56" s="64"/>
      <c r="CO56" s="55"/>
      <c r="CP56" s="65"/>
      <c r="CQ56" s="55"/>
      <c r="CR56" s="65"/>
      <c r="CS56" s="64"/>
      <c r="CT56" s="66"/>
      <c r="CU56" s="64"/>
      <c r="CV56" s="23"/>
      <c r="CW56" s="59"/>
      <c r="CX56" s="64"/>
      <c r="CY56" s="55"/>
      <c r="CZ56" s="65"/>
      <c r="DA56" s="55"/>
      <c r="DB56" s="65"/>
      <c r="DC56" s="64"/>
      <c r="DD56" s="66"/>
      <c r="DE56" s="64"/>
      <c r="DF56" s="23"/>
      <c r="DG56" s="59"/>
      <c r="DH56" s="64"/>
      <c r="DI56" s="55"/>
      <c r="DJ56" s="65"/>
      <c r="DK56" s="55"/>
      <c r="DL56" s="65"/>
      <c r="DM56" s="64"/>
      <c r="DN56" s="66"/>
      <c r="DO56" s="15"/>
      <c r="DP56" s="23"/>
      <c r="DQ56" s="23"/>
    </row>
    <row r="57" spans="1:121" ht="15" customHeight="1" x14ac:dyDescent="0.35">
      <c r="A57" s="22"/>
      <c r="B57" s="22"/>
      <c r="E57" s="18"/>
      <c r="F57" s="11"/>
      <c r="G57" s="36"/>
      <c r="H57" s="36"/>
      <c r="I57" s="17">
        <f t="shared" si="4"/>
        <v>0</v>
      </c>
      <c r="J57" s="36"/>
      <c r="K57" s="11"/>
      <c r="L57" s="11"/>
      <c r="M57" s="135"/>
      <c r="N57" s="11"/>
      <c r="O57" s="39"/>
      <c r="P57" s="69"/>
      <c r="Q57" s="15"/>
      <c r="R57" s="18"/>
      <c r="S57" s="39"/>
      <c r="T57" s="17"/>
      <c r="U57" s="88"/>
      <c r="V57" s="17">
        <f t="shared" si="5"/>
        <v>0</v>
      </c>
      <c r="W57" s="88"/>
      <c r="X57" s="88"/>
      <c r="Y57" s="88"/>
      <c r="Z57" s="135"/>
      <c r="AA57" s="39"/>
      <c r="AB57" s="39"/>
      <c r="AC57" s="39"/>
      <c r="AD57" s="23"/>
      <c r="AE57" s="59"/>
      <c r="AF57" s="64"/>
      <c r="AG57" s="55"/>
      <c r="AH57" s="65"/>
      <c r="AI57" s="55"/>
      <c r="AJ57" s="65"/>
      <c r="AK57" s="64"/>
      <c r="AL57" s="66"/>
      <c r="AM57" s="64"/>
      <c r="AN57" s="23"/>
      <c r="AO57" s="59"/>
      <c r="AP57" s="64"/>
      <c r="AQ57" s="55"/>
      <c r="AR57" s="65"/>
      <c r="AS57" s="55"/>
      <c r="AT57" s="65"/>
      <c r="AU57" s="64"/>
      <c r="AV57" s="66"/>
      <c r="AW57" s="64"/>
      <c r="AX57" s="23"/>
      <c r="AY57" s="59"/>
      <c r="AZ57" s="64"/>
      <c r="BA57" s="55"/>
      <c r="BB57" s="65"/>
      <c r="BC57" s="55"/>
      <c r="BD57" s="65"/>
      <c r="BE57" s="64"/>
      <c r="BF57" s="66"/>
      <c r="BG57" s="15"/>
      <c r="BH57" s="23"/>
      <c r="BI57" s="59"/>
      <c r="BJ57" s="64"/>
      <c r="BK57" s="55"/>
      <c r="BL57" s="65"/>
      <c r="BM57" s="55"/>
      <c r="BN57" s="65"/>
      <c r="BO57" s="64"/>
      <c r="BP57" s="66"/>
      <c r="BQ57" s="64"/>
      <c r="BR57" s="23"/>
      <c r="BS57" s="59"/>
      <c r="BT57" s="64"/>
      <c r="BU57" s="55"/>
      <c r="BV57" s="65"/>
      <c r="BW57" s="55"/>
      <c r="BX57" s="65"/>
      <c r="BY57" s="64"/>
      <c r="BZ57" s="66"/>
      <c r="CA57" s="15"/>
      <c r="CB57" s="23"/>
      <c r="CC57" s="59"/>
      <c r="CD57" s="64"/>
      <c r="CE57" s="55"/>
      <c r="CF57" s="65"/>
      <c r="CG57" s="55"/>
      <c r="CH57" s="65"/>
      <c r="CI57" s="64"/>
      <c r="CJ57" s="66"/>
      <c r="CK57" s="64"/>
      <c r="CL57" s="23"/>
      <c r="CM57" s="59"/>
      <c r="CN57" s="64"/>
      <c r="CO57" s="55"/>
      <c r="CP57" s="65"/>
      <c r="CQ57" s="55"/>
      <c r="CR57" s="65"/>
      <c r="CS57" s="64"/>
      <c r="CT57" s="66"/>
      <c r="CU57" s="64"/>
      <c r="CV57" s="23"/>
      <c r="CW57" s="59"/>
      <c r="CX57" s="64"/>
      <c r="CY57" s="55"/>
      <c r="CZ57" s="65"/>
      <c r="DA57" s="55"/>
      <c r="DB57" s="65"/>
      <c r="DC57" s="64"/>
      <c r="DD57" s="66"/>
      <c r="DE57" s="64"/>
      <c r="DF57" s="23"/>
      <c r="DG57" s="59"/>
      <c r="DH57" s="64"/>
      <c r="DI57" s="55"/>
      <c r="DJ57" s="65"/>
      <c r="DK57" s="55"/>
      <c r="DL57" s="65"/>
      <c r="DM57" s="64"/>
      <c r="DN57" s="66"/>
      <c r="DO57" s="15"/>
      <c r="DP57" s="23"/>
      <c r="DQ57" s="23"/>
    </row>
    <row r="58" spans="1:121" ht="15" customHeight="1" x14ac:dyDescent="0.35">
      <c r="A58" s="22"/>
      <c r="B58" s="22"/>
      <c r="E58" s="18"/>
      <c r="F58" s="11"/>
      <c r="G58" s="36"/>
      <c r="H58" s="36"/>
      <c r="I58" s="17">
        <f t="shared" si="4"/>
        <v>0</v>
      </c>
      <c r="J58" s="36"/>
      <c r="K58" s="11"/>
      <c r="L58" s="11"/>
      <c r="M58" s="135"/>
      <c r="N58" s="11"/>
      <c r="O58" s="39"/>
      <c r="P58" s="69"/>
      <c r="Q58" s="15"/>
      <c r="R58" s="18"/>
      <c r="S58" s="39"/>
      <c r="T58" s="17"/>
      <c r="U58" s="88"/>
      <c r="V58" s="17">
        <f t="shared" si="5"/>
        <v>0</v>
      </c>
      <c r="W58" s="88"/>
      <c r="X58" s="88"/>
      <c r="Y58" s="88"/>
      <c r="Z58" s="135"/>
      <c r="AA58" s="39"/>
      <c r="AB58" s="39"/>
      <c r="AC58" s="39"/>
      <c r="AD58" s="23"/>
      <c r="AE58" s="59"/>
      <c r="AF58" s="64"/>
      <c r="AG58" s="55"/>
      <c r="AH58" s="65"/>
      <c r="AI58" s="55"/>
      <c r="AJ58" s="65"/>
      <c r="AK58" s="64"/>
      <c r="AL58" s="66"/>
      <c r="AM58" s="64"/>
      <c r="AN58" s="23"/>
      <c r="AO58" s="59"/>
      <c r="AP58" s="64"/>
      <c r="AQ58" s="55"/>
      <c r="AR58" s="65"/>
      <c r="AS58" s="55"/>
      <c r="AT58" s="65"/>
      <c r="AU58" s="64"/>
      <c r="AV58" s="66"/>
      <c r="AW58" s="64"/>
      <c r="AX58" s="23"/>
      <c r="AY58" s="59"/>
      <c r="AZ58" s="64"/>
      <c r="BA58" s="55"/>
      <c r="BB58" s="65"/>
      <c r="BC58" s="55"/>
      <c r="BD58" s="65"/>
      <c r="BE58" s="64"/>
      <c r="BF58" s="66"/>
      <c r="BG58" s="15"/>
      <c r="BH58" s="23"/>
      <c r="BI58" s="59"/>
      <c r="BJ58" s="64"/>
      <c r="BK58" s="55"/>
      <c r="BL58" s="65"/>
      <c r="BM58" s="55"/>
      <c r="BN58" s="65"/>
      <c r="BO58" s="64"/>
      <c r="BP58" s="66"/>
      <c r="BQ58" s="64"/>
      <c r="BR58" s="23"/>
      <c r="BS58" s="59"/>
      <c r="BT58" s="64"/>
      <c r="BU58" s="55"/>
      <c r="BV58" s="65"/>
      <c r="BW58" s="55"/>
      <c r="BX58" s="65"/>
      <c r="BY58" s="64"/>
      <c r="BZ58" s="66"/>
      <c r="CA58" s="15"/>
      <c r="CB58" s="23"/>
      <c r="CC58" s="59"/>
      <c r="CD58" s="64"/>
      <c r="CE58" s="55"/>
      <c r="CF58" s="65"/>
      <c r="CG58" s="55"/>
      <c r="CH58" s="65"/>
      <c r="CI58" s="64"/>
      <c r="CJ58" s="66"/>
      <c r="CK58" s="64"/>
      <c r="CL58" s="23"/>
      <c r="CM58" s="59"/>
      <c r="CN58" s="64"/>
      <c r="CO58" s="55"/>
      <c r="CP58" s="65"/>
      <c r="CQ58" s="55"/>
      <c r="CR58" s="65"/>
      <c r="CS58" s="64"/>
      <c r="CT58" s="66"/>
      <c r="CU58" s="64"/>
      <c r="CV58" s="23"/>
      <c r="CW58" s="59"/>
      <c r="CX58" s="64"/>
      <c r="CY58" s="55"/>
      <c r="CZ58" s="65"/>
      <c r="DA58" s="55"/>
      <c r="DB58" s="65"/>
      <c r="DC58" s="64"/>
      <c r="DD58" s="66"/>
      <c r="DE58" s="64"/>
      <c r="DF58" s="23"/>
      <c r="DG58" s="59"/>
      <c r="DH58" s="64"/>
      <c r="DI58" s="55"/>
      <c r="DJ58" s="65"/>
      <c r="DK58" s="55"/>
      <c r="DL58" s="65"/>
      <c r="DM58" s="64"/>
      <c r="DN58" s="66"/>
      <c r="DO58" s="15"/>
      <c r="DP58" s="23"/>
      <c r="DQ58" s="23"/>
    </row>
    <row r="59" spans="1:121" ht="15" customHeight="1" x14ac:dyDescent="0.35">
      <c r="B59" s="22"/>
      <c r="E59" s="18"/>
      <c r="F59" s="11"/>
      <c r="G59" s="36"/>
      <c r="H59" s="36"/>
      <c r="I59" s="17">
        <f t="shared" si="4"/>
        <v>0</v>
      </c>
      <c r="J59" s="36"/>
      <c r="K59" s="11"/>
      <c r="L59" s="11"/>
      <c r="M59" s="135"/>
      <c r="N59" s="11"/>
      <c r="O59" s="39"/>
      <c r="P59" s="69"/>
      <c r="Q59" s="15"/>
      <c r="R59" s="18"/>
      <c r="S59" s="39"/>
      <c r="T59" s="17"/>
      <c r="U59" s="88"/>
      <c r="V59" s="17">
        <f t="shared" si="5"/>
        <v>0</v>
      </c>
      <c r="W59" s="88"/>
      <c r="X59" s="88"/>
      <c r="Y59" s="88"/>
      <c r="Z59" s="135"/>
      <c r="AA59" s="39"/>
      <c r="AB59" s="39"/>
      <c r="AC59" s="39"/>
      <c r="AD59" s="23"/>
      <c r="AE59" s="59"/>
      <c r="AF59" s="64"/>
      <c r="AG59" s="55"/>
      <c r="AH59" s="65"/>
      <c r="AI59" s="55"/>
      <c r="AJ59" s="65"/>
      <c r="AK59" s="64"/>
      <c r="AL59" s="66"/>
      <c r="AM59" s="64"/>
      <c r="AN59" s="23"/>
      <c r="AO59" s="59"/>
      <c r="AP59" s="64"/>
      <c r="AQ59" s="55"/>
      <c r="AR59" s="65"/>
      <c r="AS59" s="55"/>
      <c r="AT59" s="65"/>
      <c r="AU59" s="64"/>
      <c r="AV59" s="66"/>
      <c r="AW59" s="64"/>
      <c r="AX59" s="23"/>
      <c r="AY59" s="59"/>
      <c r="AZ59" s="64"/>
      <c r="BA59" s="55"/>
      <c r="BB59" s="65"/>
      <c r="BC59" s="55"/>
      <c r="BD59" s="65"/>
      <c r="BE59" s="64"/>
      <c r="BF59" s="66"/>
      <c r="BG59" s="15"/>
      <c r="BH59" s="23"/>
      <c r="BI59" s="59"/>
      <c r="BJ59" s="64"/>
      <c r="BK59" s="55"/>
      <c r="BL59" s="65"/>
      <c r="BM59" s="55"/>
      <c r="BN59" s="65"/>
      <c r="BO59" s="64"/>
      <c r="BP59" s="66"/>
      <c r="BQ59" s="64"/>
      <c r="BR59" s="23"/>
      <c r="BS59" s="59"/>
      <c r="BT59" s="64"/>
      <c r="BU59" s="55"/>
      <c r="BV59" s="65"/>
      <c r="BW59" s="55"/>
      <c r="BX59" s="65"/>
      <c r="BY59" s="64"/>
      <c r="BZ59" s="66"/>
      <c r="CA59" s="15"/>
      <c r="CB59" s="23"/>
      <c r="CC59" s="59"/>
      <c r="CD59" s="64"/>
      <c r="CE59" s="55"/>
      <c r="CF59" s="65"/>
      <c r="CG59" s="55"/>
      <c r="CH59" s="65"/>
      <c r="CI59" s="64"/>
      <c r="CJ59" s="66"/>
      <c r="CK59" s="64"/>
      <c r="CL59" s="23"/>
      <c r="CM59" s="59"/>
      <c r="CN59" s="64"/>
      <c r="CO59" s="55"/>
      <c r="CP59" s="65"/>
      <c r="CQ59" s="55"/>
      <c r="CR59" s="65"/>
      <c r="CS59" s="64"/>
      <c r="CT59" s="66"/>
      <c r="CU59" s="64"/>
      <c r="CV59" s="23"/>
      <c r="CW59" s="59"/>
      <c r="CX59" s="64"/>
      <c r="CY59" s="55"/>
      <c r="CZ59" s="65"/>
      <c r="DA59" s="55"/>
      <c r="DB59" s="65"/>
      <c r="DC59" s="64"/>
      <c r="DD59" s="66"/>
      <c r="DE59" s="64"/>
      <c r="DF59" s="23"/>
      <c r="DG59" s="59"/>
      <c r="DH59" s="64"/>
      <c r="DI59" s="55"/>
      <c r="DJ59" s="65"/>
      <c r="DK59" s="55"/>
      <c r="DL59" s="65"/>
      <c r="DM59" s="64"/>
      <c r="DN59" s="66"/>
      <c r="DO59" s="15"/>
      <c r="DP59" s="23"/>
      <c r="DQ59" s="23"/>
    </row>
    <row r="60" spans="1:121" ht="15" customHeight="1" x14ac:dyDescent="0.35">
      <c r="E60" s="18"/>
      <c r="F60" s="11"/>
      <c r="G60" s="36"/>
      <c r="H60" s="36"/>
      <c r="I60" s="17">
        <f t="shared" si="4"/>
        <v>0</v>
      </c>
      <c r="J60" s="36"/>
      <c r="K60" s="11"/>
      <c r="L60" s="11"/>
      <c r="M60" s="135"/>
      <c r="N60" s="11"/>
      <c r="O60" s="39"/>
      <c r="P60" s="11"/>
      <c r="Q60" s="15"/>
      <c r="R60" s="18"/>
      <c r="S60" s="39"/>
      <c r="T60" s="17"/>
      <c r="U60" s="88"/>
      <c r="V60" s="17">
        <f t="shared" si="5"/>
        <v>0</v>
      </c>
      <c r="W60" s="88"/>
      <c r="X60" s="88"/>
      <c r="Y60" s="88"/>
      <c r="Z60" s="135"/>
      <c r="AA60" s="39"/>
      <c r="AB60" s="39"/>
      <c r="AC60" s="39"/>
      <c r="AD60" s="23"/>
      <c r="AE60" s="59"/>
      <c r="AF60" s="64"/>
      <c r="AG60" s="55"/>
      <c r="AH60" s="65"/>
      <c r="AI60" s="55"/>
      <c r="AJ60" s="65"/>
      <c r="AK60" s="64"/>
      <c r="AL60" s="66"/>
      <c r="AM60" s="64"/>
      <c r="AN60" s="23"/>
      <c r="AO60" s="59"/>
      <c r="AP60" s="64"/>
      <c r="AQ60" s="55"/>
      <c r="AR60" s="65"/>
      <c r="AS60" s="55"/>
      <c r="AT60" s="65"/>
      <c r="AU60" s="64"/>
      <c r="AV60" s="66"/>
      <c r="AW60" s="64"/>
      <c r="AX60" s="23"/>
      <c r="AY60" s="59"/>
      <c r="AZ60" s="64"/>
      <c r="BA60" s="55"/>
      <c r="BB60" s="65"/>
      <c r="BC60" s="55"/>
      <c r="BD60" s="65"/>
      <c r="BE60" s="64"/>
      <c r="BF60" s="66"/>
      <c r="BG60" s="15"/>
      <c r="BH60" s="23"/>
      <c r="BI60" s="59"/>
      <c r="BJ60" s="64"/>
      <c r="BK60" s="55"/>
      <c r="BL60" s="65"/>
      <c r="BM60" s="55"/>
      <c r="BN60" s="65"/>
      <c r="BO60" s="64"/>
      <c r="BP60" s="66"/>
      <c r="BQ60" s="64"/>
      <c r="BR60" s="23"/>
      <c r="BS60" s="59"/>
      <c r="BT60" s="64"/>
      <c r="BU60" s="55"/>
      <c r="BV60" s="65"/>
      <c r="BW60" s="55"/>
      <c r="BX60" s="65"/>
      <c r="BY60" s="64"/>
      <c r="BZ60" s="66"/>
      <c r="CA60" s="15"/>
      <c r="CB60" s="23"/>
      <c r="CC60" s="59"/>
      <c r="CD60" s="64"/>
      <c r="CE60" s="55"/>
      <c r="CF60" s="65"/>
      <c r="CG60" s="55"/>
      <c r="CH60" s="65"/>
      <c r="CI60" s="64"/>
      <c r="CJ60" s="66"/>
      <c r="CK60" s="64"/>
      <c r="CL60" s="23"/>
      <c r="CM60" s="59"/>
      <c r="CN60" s="64"/>
      <c r="CO60" s="55"/>
      <c r="CP60" s="65"/>
      <c r="CQ60" s="55"/>
      <c r="CR60" s="65"/>
      <c r="CS60" s="64"/>
      <c r="CT60" s="66"/>
      <c r="CU60" s="64"/>
      <c r="CV60" s="23"/>
      <c r="CW60" s="59"/>
      <c r="CX60" s="64"/>
      <c r="CY60" s="55"/>
      <c r="CZ60" s="65"/>
      <c r="DA60" s="55"/>
      <c r="DB60" s="65"/>
      <c r="DC60" s="64"/>
      <c r="DD60" s="66"/>
      <c r="DE60" s="64"/>
      <c r="DF60" s="23"/>
      <c r="DG60" s="59"/>
      <c r="DH60" s="64"/>
      <c r="DI60" s="55"/>
      <c r="DJ60" s="65"/>
      <c r="DK60" s="55"/>
      <c r="DL60" s="65"/>
      <c r="DM60" s="64"/>
      <c r="DN60" s="66"/>
      <c r="DO60" s="15"/>
      <c r="DP60" s="23"/>
      <c r="DQ60" s="23"/>
    </row>
    <row r="61" spans="1:121" ht="15" customHeight="1" x14ac:dyDescent="0.35">
      <c r="E61" s="19"/>
      <c r="F61" s="11"/>
      <c r="G61" s="36"/>
      <c r="H61" s="36"/>
      <c r="I61" s="17">
        <f t="shared" si="4"/>
        <v>0</v>
      </c>
      <c r="J61" s="36"/>
      <c r="K61" s="11"/>
      <c r="L61" s="11"/>
      <c r="M61" s="135"/>
      <c r="N61" s="11"/>
      <c r="O61" s="39"/>
      <c r="P61" s="11"/>
      <c r="Q61" s="15"/>
      <c r="R61" s="19"/>
      <c r="S61" s="39"/>
      <c r="T61" s="17"/>
      <c r="U61" s="88"/>
      <c r="V61" s="17">
        <f t="shared" si="5"/>
        <v>0</v>
      </c>
      <c r="W61" s="88"/>
      <c r="X61" s="88"/>
      <c r="Y61" s="88"/>
      <c r="Z61" s="135"/>
      <c r="AA61" s="39"/>
      <c r="AB61" s="39"/>
      <c r="AC61" s="38"/>
      <c r="AD61" s="23"/>
      <c r="AE61" s="60"/>
      <c r="AF61" s="64"/>
      <c r="AG61" s="55"/>
      <c r="AH61" s="65"/>
      <c r="AI61" s="55"/>
      <c r="AJ61" s="65"/>
      <c r="AK61" s="64"/>
      <c r="AL61" s="66"/>
      <c r="AM61" s="64"/>
      <c r="AN61" s="23"/>
      <c r="AO61" s="60"/>
      <c r="AP61" s="64"/>
      <c r="AQ61" s="55"/>
      <c r="AR61" s="65"/>
      <c r="AS61" s="55"/>
      <c r="AT61" s="65"/>
      <c r="AU61" s="64"/>
      <c r="AV61" s="66"/>
      <c r="AW61" s="64"/>
      <c r="AX61" s="23"/>
      <c r="AY61" s="60"/>
      <c r="AZ61" s="64"/>
      <c r="BA61" s="55"/>
      <c r="BB61" s="65"/>
      <c r="BC61" s="55"/>
      <c r="BD61" s="65"/>
      <c r="BE61" s="64"/>
      <c r="BF61" s="66"/>
      <c r="BG61" s="15"/>
      <c r="BH61" s="23"/>
      <c r="BI61" s="60"/>
      <c r="BJ61" s="64"/>
      <c r="BK61" s="55"/>
      <c r="BL61" s="65"/>
      <c r="BM61" s="55"/>
      <c r="BN61" s="65"/>
      <c r="BO61" s="64"/>
      <c r="BP61" s="66"/>
      <c r="BQ61" s="64"/>
      <c r="BR61" s="23"/>
      <c r="BS61" s="60"/>
      <c r="BT61" s="64"/>
      <c r="BU61" s="55"/>
      <c r="BV61" s="65"/>
      <c r="BW61" s="55"/>
      <c r="BX61" s="65"/>
      <c r="BY61" s="64"/>
      <c r="BZ61" s="66"/>
      <c r="CA61" s="15"/>
      <c r="CB61" s="23"/>
      <c r="CC61" s="60"/>
      <c r="CD61" s="64"/>
      <c r="CE61" s="55"/>
      <c r="CF61" s="65"/>
      <c r="CG61" s="55"/>
      <c r="CH61" s="65"/>
      <c r="CI61" s="64"/>
      <c r="CJ61" s="66"/>
      <c r="CK61" s="64"/>
      <c r="CL61" s="23"/>
      <c r="CM61" s="60"/>
      <c r="CN61" s="64"/>
      <c r="CO61" s="55"/>
      <c r="CP61" s="65"/>
      <c r="CQ61" s="55"/>
      <c r="CR61" s="65"/>
      <c r="CS61" s="64"/>
      <c r="CT61" s="66"/>
      <c r="CU61" s="64"/>
      <c r="CV61" s="23"/>
      <c r="CW61" s="60"/>
      <c r="CX61" s="64"/>
      <c r="CY61" s="55"/>
      <c r="CZ61" s="65"/>
      <c r="DA61" s="55"/>
      <c r="DB61" s="65"/>
      <c r="DC61" s="64"/>
      <c r="DD61" s="66"/>
      <c r="DE61" s="64"/>
      <c r="DF61" s="23"/>
      <c r="DG61" s="60"/>
      <c r="DH61" s="64"/>
      <c r="DI61" s="55"/>
      <c r="DJ61" s="65"/>
      <c r="DK61" s="55"/>
      <c r="DL61" s="65"/>
      <c r="DM61" s="64"/>
      <c r="DN61" s="66"/>
      <c r="DO61" s="15"/>
      <c r="DP61" s="23"/>
      <c r="DQ61" s="23"/>
    </row>
    <row r="62" spans="1:121" ht="19.5" customHeight="1" x14ac:dyDescent="0.45">
      <c r="E62" s="20"/>
      <c r="F62" s="10"/>
      <c r="G62" s="49"/>
      <c r="H62" s="49"/>
      <c r="I62" s="17">
        <f t="shared" si="4"/>
        <v>0</v>
      </c>
      <c r="J62" s="49"/>
      <c r="K62" s="11"/>
      <c r="L62" s="11"/>
      <c r="M62" s="135"/>
      <c r="N62" s="11"/>
      <c r="O62" s="39"/>
      <c r="P62" s="11"/>
      <c r="Q62" s="15"/>
      <c r="R62" s="53"/>
      <c r="S62" s="202"/>
      <c r="T62" s="50"/>
      <c r="U62" s="208"/>
      <c r="V62" s="17">
        <f t="shared" si="5"/>
        <v>0</v>
      </c>
      <c r="W62" s="208"/>
      <c r="X62" s="208"/>
      <c r="Y62" s="208"/>
      <c r="Z62" s="135"/>
      <c r="AA62" s="39"/>
      <c r="AB62" s="39"/>
      <c r="AC62" s="38"/>
      <c r="AD62" s="35"/>
      <c r="AE62" s="67"/>
      <c r="AF62" s="25"/>
      <c r="AG62" s="55"/>
      <c r="AH62" s="68"/>
      <c r="AI62" s="55"/>
      <c r="AJ62" s="68"/>
      <c r="AK62" s="64"/>
      <c r="AL62" s="66"/>
      <c r="AM62" s="15"/>
      <c r="AN62" s="23"/>
      <c r="AO62" s="67"/>
      <c r="AP62" s="25"/>
      <c r="AQ62" s="55"/>
      <c r="AR62" s="68"/>
      <c r="AS62" s="55"/>
      <c r="AT62" s="68"/>
      <c r="AU62" s="64"/>
      <c r="AV62" s="66"/>
      <c r="AW62" s="64"/>
      <c r="AX62" s="23"/>
      <c r="AY62" s="67"/>
      <c r="AZ62" s="25"/>
      <c r="BA62" s="55"/>
      <c r="BB62" s="68"/>
      <c r="BC62" s="55"/>
      <c r="BD62" s="68"/>
      <c r="BE62" s="64"/>
      <c r="BF62" s="66"/>
      <c r="BG62" s="15"/>
      <c r="BH62" s="23"/>
      <c r="BI62" s="67"/>
      <c r="BJ62" s="25"/>
      <c r="BK62" s="55"/>
      <c r="BL62" s="68"/>
      <c r="BM62" s="55"/>
      <c r="BN62" s="68"/>
      <c r="BO62" s="64"/>
      <c r="BP62" s="66"/>
      <c r="BQ62" s="64"/>
      <c r="BR62" s="23"/>
      <c r="BS62" s="67"/>
      <c r="BT62" s="25"/>
      <c r="BU62" s="55"/>
      <c r="BV62" s="68"/>
      <c r="BW62" s="55"/>
      <c r="BX62" s="68"/>
      <c r="BY62" s="64"/>
      <c r="BZ62" s="66"/>
      <c r="CA62" s="15"/>
      <c r="CB62" s="23"/>
      <c r="CC62" s="67"/>
      <c r="CD62" s="25"/>
      <c r="CE62" s="55"/>
      <c r="CF62" s="68"/>
      <c r="CG62" s="55"/>
      <c r="CH62" s="68"/>
      <c r="CI62" s="64"/>
      <c r="CJ62" s="66"/>
      <c r="CK62" s="64"/>
      <c r="CL62" s="23"/>
      <c r="CM62" s="67"/>
      <c r="CN62" s="25"/>
      <c r="CO62" s="55"/>
      <c r="CP62" s="68"/>
      <c r="CQ62" s="55"/>
      <c r="CR62" s="68"/>
      <c r="CS62" s="64"/>
      <c r="CT62" s="66"/>
      <c r="CU62" s="64"/>
      <c r="CV62" s="23"/>
      <c r="CW62" s="67"/>
      <c r="CX62" s="25"/>
      <c r="CY62" s="55"/>
      <c r="CZ62" s="68"/>
      <c r="DA62" s="55"/>
      <c r="DB62" s="68"/>
      <c r="DC62" s="64"/>
      <c r="DD62" s="66"/>
      <c r="DE62" s="64"/>
      <c r="DF62" s="23"/>
      <c r="DG62" s="67"/>
      <c r="DH62" s="25"/>
      <c r="DI62" s="55"/>
      <c r="DJ62" s="68"/>
      <c r="DK62" s="55"/>
      <c r="DL62" s="68"/>
      <c r="DM62" s="64"/>
      <c r="DN62" s="66"/>
      <c r="DO62" s="15"/>
      <c r="DP62" s="23"/>
      <c r="DQ62" s="23"/>
    </row>
    <row r="63" spans="1:121" ht="16.5" customHeight="1" thickBot="1" x14ac:dyDescent="0.4">
      <c r="E63" s="303"/>
      <c r="F63" s="303"/>
      <c r="G63" s="320">
        <f>SUBTOTAL(9,G5:G62)</f>
        <v>0</v>
      </c>
      <c r="H63" s="305">
        <f>SUBTOTAL(9,H5:H62)</f>
        <v>24029.39</v>
      </c>
      <c r="I63" s="305">
        <f>SUBTOTAL(9,I5:I62)</f>
        <v>88</v>
      </c>
      <c r="J63" s="305">
        <f>SUM(J26:J61)</f>
        <v>0</v>
      </c>
      <c r="K63" s="305"/>
      <c r="L63" s="318"/>
      <c r="M63" s="135"/>
      <c r="N63" s="318"/>
      <c r="O63" s="319"/>
      <c r="P63" s="319"/>
      <c r="Q63" s="16"/>
      <c r="R63" s="303"/>
      <c r="S63" s="303"/>
      <c r="T63" s="320">
        <f>SUBTOTAL(9,T5:T62)</f>
        <v>8072.01</v>
      </c>
      <c r="U63" s="305">
        <f>SUBTOTAL(9,U5:U62)</f>
        <v>109.13999999999999</v>
      </c>
      <c r="V63" s="305">
        <f>SUBTOTAL(9,V5:V62)</f>
        <v>8181.1500000000005</v>
      </c>
      <c r="W63" s="305">
        <f>SUBTOTAL(9,W5:W62)</f>
        <v>0</v>
      </c>
      <c r="X63" s="305"/>
      <c r="Y63" s="318"/>
      <c r="Z63" s="135"/>
      <c r="AA63" s="318"/>
      <c r="AB63" s="319"/>
      <c r="AC63" s="319"/>
      <c r="AD63" s="27"/>
      <c r="AE63" s="74"/>
      <c r="AF63" s="75"/>
      <c r="AG63" s="16"/>
      <c r="AH63" s="16"/>
      <c r="AI63" s="16"/>
      <c r="AJ63" s="16"/>
      <c r="AK63" s="34"/>
      <c r="AL63" s="16"/>
      <c r="AM63" s="16"/>
      <c r="AN63" s="23"/>
      <c r="AO63" s="74"/>
      <c r="AP63" s="75"/>
      <c r="AQ63" s="16"/>
      <c r="AR63" s="16"/>
      <c r="AS63" s="16"/>
      <c r="AT63" s="16"/>
      <c r="AU63" s="34"/>
      <c r="AV63" s="16"/>
      <c r="AW63" s="16"/>
      <c r="AX63" s="23"/>
      <c r="AY63" s="74"/>
      <c r="AZ63" s="75"/>
      <c r="BA63" s="16"/>
      <c r="BB63" s="16"/>
      <c r="BC63" s="16"/>
      <c r="BD63" s="16"/>
      <c r="BE63" s="34"/>
      <c r="BF63" s="16"/>
      <c r="BG63" s="16"/>
      <c r="BH63" s="23"/>
      <c r="BI63" s="74"/>
      <c r="BJ63" s="75"/>
      <c r="BK63" s="16"/>
      <c r="BL63" s="16"/>
      <c r="BM63" s="16"/>
      <c r="BN63" s="16"/>
      <c r="BO63" s="34"/>
      <c r="BP63" s="16"/>
      <c r="BQ63" s="16"/>
      <c r="BR63" s="23"/>
      <c r="BS63" s="74"/>
      <c r="BT63" s="75"/>
      <c r="BU63" s="16"/>
      <c r="BV63" s="16"/>
      <c r="BW63" s="16"/>
      <c r="BX63" s="16"/>
      <c r="BY63" s="34"/>
      <c r="BZ63" s="16"/>
      <c r="CA63" s="16"/>
      <c r="CB63" s="23"/>
      <c r="CC63" s="74"/>
      <c r="CD63" s="75"/>
      <c r="CE63" s="16"/>
      <c r="CF63" s="16"/>
      <c r="CG63" s="16"/>
      <c r="CH63" s="16"/>
      <c r="CI63" s="34"/>
      <c r="CJ63" s="16"/>
      <c r="CK63" s="16"/>
      <c r="CL63" s="23"/>
      <c r="CM63" s="74"/>
      <c r="CN63" s="75"/>
      <c r="CO63" s="16"/>
      <c r="CP63" s="16"/>
      <c r="CQ63" s="16"/>
      <c r="CR63" s="16"/>
      <c r="CS63" s="34"/>
      <c r="CT63" s="16"/>
      <c r="CU63" s="16"/>
      <c r="CV63" s="23"/>
      <c r="CW63" s="74"/>
      <c r="CX63" s="75"/>
      <c r="CY63" s="16"/>
      <c r="CZ63" s="16"/>
      <c r="DA63" s="16"/>
      <c r="DB63" s="16"/>
      <c r="DC63" s="34"/>
      <c r="DD63" s="16"/>
      <c r="DE63" s="16"/>
      <c r="DF63" s="23"/>
      <c r="DG63" s="74"/>
      <c r="DH63" s="75"/>
      <c r="DI63" s="16"/>
      <c r="DJ63" s="16"/>
      <c r="DK63" s="16"/>
      <c r="DL63" s="16"/>
      <c r="DM63" s="34"/>
      <c r="DN63" s="16"/>
      <c r="DO63" s="16"/>
      <c r="DP63" s="23"/>
      <c r="DQ63" s="23"/>
    </row>
    <row r="64" spans="1:121" ht="15.75" customHeight="1" thickTop="1" x14ac:dyDescent="0.35">
      <c r="H64" s="52"/>
      <c r="M64" s="135"/>
      <c r="R64" s="28"/>
      <c r="S64" s="28"/>
      <c r="T64" s="25"/>
      <c r="U64" s="51"/>
      <c r="V64" s="48"/>
      <c r="W64" s="48"/>
      <c r="X64" s="30"/>
      <c r="Y64" s="30"/>
      <c r="Z64" s="135"/>
      <c r="AA64" s="30"/>
      <c r="AD64" s="31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</row>
    <row r="65" spans="7:121" x14ac:dyDescent="0.35">
      <c r="M65" s="135"/>
      <c r="R65" s="32"/>
      <c r="S65" s="30"/>
      <c r="T65" s="28"/>
      <c r="U65" s="29"/>
      <c r="V65" s="30"/>
      <c r="W65" s="30"/>
      <c r="X65" s="30"/>
      <c r="Y65" s="30"/>
      <c r="Z65" s="135"/>
      <c r="AA65" s="30"/>
      <c r="AD65" s="31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</row>
    <row r="66" spans="7:121" x14ac:dyDescent="0.35">
      <c r="M66" s="135"/>
      <c r="R66" s="25"/>
      <c r="S66" s="25"/>
      <c r="T66" s="25"/>
      <c r="U66" s="26"/>
      <c r="V66" s="25"/>
      <c r="W66" s="25"/>
      <c r="X66" s="25"/>
      <c r="Y66" s="25"/>
      <c r="Z66" s="135"/>
      <c r="AA66" s="25"/>
      <c r="AD66" s="27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</row>
    <row r="67" spans="7:121" x14ac:dyDescent="0.35">
      <c r="G67" s="1"/>
      <c r="M67" s="135"/>
      <c r="R67" s="25"/>
      <c r="S67" s="25"/>
      <c r="T67" s="25"/>
      <c r="U67" s="26"/>
      <c r="V67" s="25"/>
      <c r="W67" s="25"/>
      <c r="X67" s="25"/>
      <c r="Y67" s="25"/>
      <c r="Z67" s="135"/>
      <c r="AA67" s="25"/>
      <c r="AD67" s="27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</row>
    <row r="68" spans="7:121" x14ac:dyDescent="0.35">
      <c r="M68" s="135"/>
      <c r="R68" s="25"/>
      <c r="S68" s="25"/>
      <c r="T68" s="25"/>
      <c r="U68" s="26"/>
      <c r="V68" s="25"/>
      <c r="W68" s="25"/>
      <c r="X68" s="25"/>
      <c r="Y68" s="25"/>
      <c r="Z68" s="135"/>
      <c r="AA68" s="25"/>
      <c r="AD68" s="27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</row>
    <row r="69" spans="7:121" x14ac:dyDescent="0.35">
      <c r="M69" s="135"/>
      <c r="R69" s="25"/>
      <c r="S69" s="25"/>
      <c r="T69" s="25"/>
      <c r="U69" s="26"/>
      <c r="V69" s="25"/>
      <c r="W69" s="25"/>
      <c r="X69" s="25"/>
      <c r="Y69" s="25"/>
      <c r="Z69" s="135"/>
      <c r="AA69" s="25"/>
      <c r="AD69" s="27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</row>
    <row r="70" spans="7:121" x14ac:dyDescent="0.35">
      <c r="M70" s="135"/>
      <c r="R70" s="34"/>
      <c r="S70" s="34"/>
      <c r="T70" s="34"/>
      <c r="U70" s="34"/>
      <c r="V70" s="34"/>
      <c r="W70" s="34"/>
      <c r="X70" s="34"/>
      <c r="Y70" s="34"/>
      <c r="Z70" s="135"/>
      <c r="AA70" s="34"/>
      <c r="AD70" s="34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</row>
    <row r="71" spans="7:121" x14ac:dyDescent="0.35">
      <c r="M71" s="135"/>
      <c r="Z71" s="135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</row>
    <row r="72" spans="7:121" x14ac:dyDescent="0.35">
      <c r="M72" s="135"/>
      <c r="Z72" s="135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</row>
    <row r="73" spans="7:121" x14ac:dyDescent="0.35">
      <c r="M73" s="135"/>
      <c r="Z73" s="135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</row>
    <row r="74" spans="7:121" x14ac:dyDescent="0.35">
      <c r="M74" s="135"/>
      <c r="Z74" s="135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</row>
    <row r="75" spans="7:121" x14ac:dyDescent="0.35">
      <c r="M75" s="135"/>
      <c r="Z75" s="135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</row>
    <row r="76" spans="7:121" x14ac:dyDescent="0.35">
      <c r="M76" s="135"/>
      <c r="Z76" s="135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</row>
    <row r="77" spans="7:121" x14ac:dyDescent="0.35">
      <c r="M77" s="135"/>
      <c r="Z77" s="135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</row>
    <row r="78" spans="7:121" x14ac:dyDescent="0.35">
      <c r="M78" s="135"/>
      <c r="Z78" s="135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</row>
    <row r="79" spans="7:121" x14ac:dyDescent="0.35">
      <c r="M79" s="135"/>
      <c r="Z79" s="135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</row>
    <row r="80" spans="7:121" x14ac:dyDescent="0.35">
      <c r="M80" s="135"/>
      <c r="Z80" s="135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</row>
    <row r="81" spans="13:121" x14ac:dyDescent="0.35">
      <c r="M81" s="135"/>
      <c r="Z81" s="135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</row>
    <row r="82" spans="13:121" x14ac:dyDescent="0.35">
      <c r="M82" s="135"/>
      <c r="Z82" s="135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</row>
    <row r="83" spans="13:121" x14ac:dyDescent="0.35">
      <c r="M83" s="135"/>
      <c r="Z83" s="135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</row>
    <row r="84" spans="13:121" x14ac:dyDescent="0.35">
      <c r="M84" s="135"/>
      <c r="Z84" s="135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</row>
    <row r="85" spans="13:121" x14ac:dyDescent="0.35">
      <c r="M85" s="135"/>
      <c r="Z85" s="135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</row>
    <row r="86" spans="13:121" x14ac:dyDescent="0.35">
      <c r="M86" s="135"/>
      <c r="Z86" s="135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</row>
    <row r="87" spans="13:121" x14ac:dyDescent="0.35">
      <c r="M87" s="135"/>
      <c r="Z87" s="135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</row>
    <row r="88" spans="13:121" x14ac:dyDescent="0.35">
      <c r="M88" s="135"/>
      <c r="Z88" s="135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</row>
    <row r="89" spans="13:121" x14ac:dyDescent="0.35">
      <c r="M89" s="135"/>
      <c r="Z89" s="135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</row>
    <row r="90" spans="13:121" x14ac:dyDescent="0.35">
      <c r="M90" s="135"/>
      <c r="Z90" s="135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</row>
    <row r="91" spans="13:121" x14ac:dyDescent="0.35">
      <c r="M91" s="135"/>
      <c r="Z91" s="135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</row>
    <row r="92" spans="13:121" x14ac:dyDescent="0.35">
      <c r="M92" s="135"/>
      <c r="Z92" s="135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</row>
    <row r="93" spans="13:121" x14ac:dyDescent="0.35">
      <c r="M93" s="135"/>
      <c r="Z93" s="135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</row>
    <row r="94" spans="13:121" x14ac:dyDescent="0.35">
      <c r="M94" s="135"/>
      <c r="Z94" s="135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</row>
    <row r="95" spans="13:121" x14ac:dyDescent="0.35">
      <c r="M95" s="135"/>
      <c r="Z95" s="135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</row>
    <row r="96" spans="13:121" x14ac:dyDescent="0.35">
      <c r="M96" s="135"/>
      <c r="Z96" s="135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/>
      <c r="DK96" s="23"/>
      <c r="DL96" s="23"/>
      <c r="DM96" s="23"/>
      <c r="DN96" s="23"/>
      <c r="DO96" s="23"/>
      <c r="DP96" s="23"/>
      <c r="DQ96" s="23"/>
    </row>
    <row r="97" spans="13:121" x14ac:dyDescent="0.35">
      <c r="M97" s="135"/>
      <c r="Z97" s="135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/>
      <c r="DI97" s="23"/>
      <c r="DJ97" s="23"/>
      <c r="DK97" s="23"/>
      <c r="DL97" s="23"/>
      <c r="DM97" s="23"/>
      <c r="DN97" s="23"/>
      <c r="DO97" s="23"/>
      <c r="DP97" s="23"/>
      <c r="DQ97" s="23"/>
    </row>
    <row r="98" spans="13:121" x14ac:dyDescent="0.35">
      <c r="M98" s="135"/>
      <c r="Z98" s="135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/>
      <c r="BU98" s="23"/>
      <c r="BV98" s="23"/>
      <c r="BW98" s="23"/>
      <c r="BX98" s="23"/>
      <c r="BY98" s="23"/>
      <c r="BZ98" s="23"/>
      <c r="CA98" s="23"/>
      <c r="CB98" s="23"/>
      <c r="CC98" s="23"/>
      <c r="CD98" s="23"/>
      <c r="CE98" s="23"/>
      <c r="CF98" s="23"/>
      <c r="CG98" s="23"/>
      <c r="CH98" s="23"/>
      <c r="CI98" s="23"/>
      <c r="CJ98" s="23"/>
      <c r="CK98" s="23"/>
      <c r="CL98" s="23"/>
      <c r="CM98" s="23"/>
      <c r="CN98" s="23"/>
      <c r="CO98" s="23"/>
      <c r="CP98" s="23"/>
      <c r="CQ98" s="23"/>
      <c r="CR98" s="23"/>
      <c r="CS98" s="23"/>
      <c r="CT98" s="23"/>
      <c r="CU98" s="23"/>
      <c r="CV98" s="23"/>
      <c r="CW98" s="23"/>
      <c r="CX98" s="23"/>
      <c r="CY98" s="23"/>
      <c r="CZ98" s="23"/>
      <c r="DA98" s="23"/>
      <c r="DB98" s="23"/>
      <c r="DC98" s="23"/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</row>
    <row r="99" spans="13:121" x14ac:dyDescent="0.35">
      <c r="M99" s="135"/>
      <c r="Z99" s="135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</row>
    <row r="100" spans="13:121" x14ac:dyDescent="0.35">
      <c r="M100" s="135"/>
      <c r="Z100" s="135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</row>
    <row r="101" spans="13:121" x14ac:dyDescent="0.35">
      <c r="M101" s="135"/>
      <c r="Z101" s="135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/>
      <c r="DL101" s="23"/>
      <c r="DM101" s="23"/>
      <c r="DN101" s="23"/>
      <c r="DO101" s="23"/>
      <c r="DP101" s="23"/>
      <c r="DQ101" s="23"/>
    </row>
    <row r="102" spans="13:121" x14ac:dyDescent="0.35">
      <c r="M102" s="135"/>
      <c r="Z102" s="135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/>
      <c r="CD102" s="23"/>
      <c r="CE102" s="23"/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/>
      <c r="DB102" s="23"/>
      <c r="DC102" s="23"/>
      <c r="DD102" s="23"/>
      <c r="DE102" s="23"/>
      <c r="DF102" s="23"/>
      <c r="DG102" s="23"/>
      <c r="DH102" s="23"/>
      <c r="DI102" s="23"/>
      <c r="DJ102" s="23"/>
      <c r="DK102" s="23"/>
      <c r="DL102" s="23"/>
      <c r="DM102" s="23"/>
      <c r="DN102" s="23"/>
      <c r="DO102" s="23"/>
      <c r="DP102" s="23"/>
      <c r="DQ102" s="23"/>
    </row>
    <row r="103" spans="13:121" x14ac:dyDescent="0.35">
      <c r="M103" s="135"/>
      <c r="Z103" s="135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</row>
    <row r="104" spans="13:121" x14ac:dyDescent="0.35">
      <c r="M104" s="135"/>
      <c r="Z104" s="135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/>
      <c r="CG104" s="23"/>
      <c r="CH104" s="23"/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</row>
    <row r="105" spans="13:121" x14ac:dyDescent="0.35">
      <c r="M105" s="135"/>
      <c r="Z105" s="135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</row>
    <row r="106" spans="13:121" x14ac:dyDescent="0.35">
      <c r="M106" s="135"/>
      <c r="Z106" s="135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</row>
    <row r="107" spans="13:121" x14ac:dyDescent="0.35">
      <c r="M107" s="135"/>
      <c r="Z107" s="135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</row>
    <row r="108" spans="13:121" x14ac:dyDescent="0.35">
      <c r="M108" s="135"/>
      <c r="Z108" s="135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</row>
    <row r="109" spans="13:121" x14ac:dyDescent="0.35">
      <c r="M109" s="135"/>
      <c r="Z109" s="135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</row>
    <row r="110" spans="13:121" x14ac:dyDescent="0.35">
      <c r="M110" s="135"/>
      <c r="Z110" s="135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AZ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</row>
    <row r="111" spans="13:121" x14ac:dyDescent="0.35">
      <c r="M111" s="135"/>
      <c r="Z111" s="135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</row>
    <row r="112" spans="13:121" x14ac:dyDescent="0.35">
      <c r="M112" s="135"/>
      <c r="Z112" s="135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23"/>
      <c r="CS112" s="23"/>
      <c r="CT112" s="23"/>
      <c r="CU112" s="23"/>
      <c r="CV112" s="23"/>
      <c r="CW112" s="23"/>
      <c r="CX112" s="23"/>
      <c r="CY112" s="23"/>
      <c r="CZ112" s="23"/>
      <c r="DA112" s="23"/>
      <c r="DB112" s="23"/>
      <c r="DC112" s="23"/>
      <c r="DD112" s="23"/>
      <c r="DE112" s="23"/>
      <c r="DF112" s="23"/>
      <c r="DG112" s="23"/>
      <c r="DH112" s="23"/>
      <c r="DI112" s="23"/>
      <c r="DJ112" s="23"/>
      <c r="DK112" s="23"/>
      <c r="DL112" s="23"/>
      <c r="DM112" s="23"/>
      <c r="DN112" s="23"/>
      <c r="DO112" s="23"/>
      <c r="DP112" s="23"/>
      <c r="DQ112" s="23"/>
    </row>
    <row r="113" spans="13:121" x14ac:dyDescent="0.35">
      <c r="M113" s="135"/>
      <c r="Z113" s="135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/>
      <c r="BP113" s="23"/>
      <c r="BQ113" s="23"/>
      <c r="BR113" s="23"/>
      <c r="BS113" s="23"/>
      <c r="BT113" s="23"/>
      <c r="BU113" s="23"/>
      <c r="BV113" s="23"/>
      <c r="BW113" s="23"/>
      <c r="BX113" s="23"/>
      <c r="BY113" s="23"/>
      <c r="BZ113" s="23"/>
      <c r="CA113" s="23"/>
      <c r="CB113" s="23"/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/>
      <c r="CY113" s="23"/>
      <c r="CZ113" s="23"/>
      <c r="DA113" s="23"/>
      <c r="DB113" s="23"/>
      <c r="DC113" s="23"/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</row>
    <row r="114" spans="13:121" x14ac:dyDescent="0.35">
      <c r="M114" s="135"/>
      <c r="Z114" s="135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  <c r="BK114" s="23"/>
      <c r="BL114" s="23"/>
      <c r="BM114" s="23"/>
      <c r="BN114" s="23"/>
      <c r="BO114" s="23"/>
      <c r="BP114" s="23"/>
      <c r="BQ114" s="23"/>
      <c r="BR114" s="23"/>
      <c r="BS114" s="23"/>
      <c r="BT114" s="23"/>
      <c r="BU114" s="23"/>
      <c r="BV114" s="23"/>
      <c r="BW114" s="23"/>
      <c r="BX114" s="23"/>
      <c r="BY114" s="23"/>
      <c r="BZ114" s="23"/>
      <c r="CA114" s="23"/>
      <c r="CB114" s="23"/>
      <c r="CC114" s="23"/>
      <c r="CD114" s="23"/>
      <c r="CE114" s="23"/>
      <c r="CF114" s="23"/>
      <c r="CG114" s="23"/>
      <c r="CH114" s="23"/>
      <c r="CI114" s="23"/>
      <c r="CJ114" s="23"/>
      <c r="CK114" s="23"/>
      <c r="CL114" s="23"/>
      <c r="CM114" s="23"/>
      <c r="CN114" s="23"/>
      <c r="CO114" s="23"/>
      <c r="CP114" s="23"/>
      <c r="CQ114" s="23"/>
      <c r="CR114" s="23"/>
      <c r="CS114" s="23"/>
      <c r="CT114" s="23"/>
      <c r="CU114" s="23"/>
      <c r="CV114" s="23"/>
      <c r="CW114" s="23"/>
      <c r="CX114" s="23"/>
      <c r="CY114" s="23"/>
      <c r="CZ114" s="23"/>
      <c r="DA114" s="23"/>
      <c r="DB114" s="23"/>
      <c r="DC114" s="23"/>
      <c r="DD114" s="23"/>
      <c r="DE114" s="23"/>
      <c r="DF114" s="23"/>
      <c r="DG114" s="23"/>
      <c r="DH114" s="23"/>
      <c r="DI114" s="23"/>
      <c r="DJ114" s="23"/>
      <c r="DK114" s="23"/>
      <c r="DL114" s="23"/>
      <c r="DM114" s="23"/>
      <c r="DN114" s="23"/>
      <c r="DO114" s="23"/>
      <c r="DP114" s="23"/>
      <c r="DQ114" s="23"/>
    </row>
    <row r="115" spans="13:121" x14ac:dyDescent="0.35">
      <c r="M115" s="135"/>
      <c r="Z115" s="135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23"/>
      <c r="CS115" s="23"/>
      <c r="CT115" s="23"/>
      <c r="CU115" s="23"/>
      <c r="CV115" s="23"/>
      <c r="CW115" s="23"/>
      <c r="CX115" s="23"/>
      <c r="CY115" s="23"/>
      <c r="CZ115" s="23"/>
      <c r="DA115" s="23"/>
      <c r="DB115" s="23"/>
      <c r="DC115" s="23"/>
      <c r="DD115" s="23"/>
      <c r="DE115" s="23"/>
      <c r="DF115" s="23"/>
      <c r="DG115" s="23"/>
      <c r="DH115" s="23"/>
      <c r="DI115" s="23"/>
      <c r="DJ115" s="23"/>
      <c r="DK115" s="23"/>
      <c r="DL115" s="23"/>
      <c r="DM115" s="23"/>
      <c r="DN115" s="23"/>
      <c r="DO115" s="23"/>
      <c r="DP115" s="23"/>
      <c r="DQ115" s="23"/>
    </row>
    <row r="116" spans="13:121" x14ac:dyDescent="0.35">
      <c r="M116" s="135"/>
      <c r="Z116" s="135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23"/>
      <c r="DD116" s="23"/>
      <c r="DE116" s="23"/>
      <c r="DF116" s="23"/>
      <c r="DG116" s="23"/>
      <c r="DH116" s="23"/>
      <c r="DI116" s="23"/>
      <c r="DJ116" s="23"/>
      <c r="DK116" s="23"/>
      <c r="DL116" s="23"/>
      <c r="DM116" s="23"/>
      <c r="DN116" s="23"/>
      <c r="DO116" s="23"/>
      <c r="DP116" s="23"/>
      <c r="DQ116" s="23"/>
    </row>
    <row r="117" spans="13:121" x14ac:dyDescent="0.35">
      <c r="M117" s="135"/>
      <c r="Z117" s="135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  <c r="BE117" s="23"/>
      <c r="BF117" s="23"/>
      <c r="BG117" s="23"/>
      <c r="BH117" s="23"/>
      <c r="BI117" s="23"/>
      <c r="BJ117" s="23"/>
      <c r="BK117" s="23"/>
      <c r="BL117" s="23"/>
      <c r="BM117" s="23"/>
      <c r="BN117" s="23"/>
      <c r="BO117" s="23"/>
      <c r="BP117" s="23"/>
      <c r="BQ117" s="23"/>
      <c r="BR117" s="23"/>
      <c r="BS117" s="23"/>
      <c r="BT117" s="23"/>
      <c r="BU117" s="23"/>
      <c r="BV117" s="23"/>
      <c r="BW117" s="23"/>
      <c r="BX117" s="23"/>
      <c r="BY117" s="23"/>
      <c r="BZ117" s="23"/>
      <c r="CA117" s="23"/>
      <c r="CB117" s="23"/>
      <c r="CC117" s="23"/>
      <c r="CD117" s="23"/>
      <c r="CE117" s="23"/>
      <c r="CF117" s="23"/>
      <c r="CG117" s="23"/>
      <c r="CH117" s="23"/>
      <c r="CI117" s="23"/>
      <c r="CJ117" s="23"/>
      <c r="CK117" s="23"/>
      <c r="CL117" s="23"/>
      <c r="CM117" s="23"/>
      <c r="CN117" s="23"/>
      <c r="CO117" s="23"/>
      <c r="CP117" s="23"/>
      <c r="CQ117" s="23"/>
      <c r="CR117" s="23"/>
      <c r="CS117" s="23"/>
      <c r="CT117" s="23"/>
      <c r="CU117" s="23"/>
      <c r="CV117" s="23"/>
      <c r="CW117" s="23"/>
      <c r="CX117" s="23"/>
      <c r="CY117" s="23"/>
      <c r="CZ117" s="23"/>
      <c r="DA117" s="23"/>
      <c r="DB117" s="23"/>
      <c r="DC117" s="23"/>
      <c r="DD117" s="23"/>
      <c r="DE117" s="23"/>
      <c r="DF117" s="23"/>
      <c r="DG117" s="23"/>
      <c r="DH117" s="23"/>
      <c r="DI117" s="23"/>
      <c r="DJ117" s="23"/>
      <c r="DK117" s="23"/>
      <c r="DL117" s="23"/>
      <c r="DM117" s="23"/>
      <c r="DN117" s="23"/>
      <c r="DO117" s="23"/>
      <c r="DP117" s="23"/>
      <c r="DQ117" s="23"/>
    </row>
    <row r="118" spans="13:121" x14ac:dyDescent="0.35">
      <c r="M118" s="135"/>
      <c r="Z118" s="135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/>
      <c r="CV118" s="23"/>
      <c r="CW118" s="23"/>
      <c r="CX118" s="23"/>
      <c r="CY118" s="23"/>
      <c r="CZ118" s="23"/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</row>
    <row r="119" spans="13:121" x14ac:dyDescent="0.35">
      <c r="M119" s="135"/>
      <c r="Z119" s="135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AZ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/>
      <c r="CA119" s="23"/>
      <c r="CB119" s="23"/>
      <c r="CC119" s="23"/>
      <c r="CD119" s="23"/>
      <c r="CE119" s="23"/>
      <c r="CF119" s="23"/>
      <c r="CG119" s="23"/>
      <c r="CH119" s="23"/>
      <c r="CI119" s="23"/>
      <c r="CJ119" s="23"/>
      <c r="CK119" s="23"/>
      <c r="CL119" s="23"/>
      <c r="CM119" s="23"/>
      <c r="CN119" s="23"/>
      <c r="CO119" s="23"/>
      <c r="CP119" s="23"/>
      <c r="CQ119" s="23"/>
      <c r="CR119" s="23"/>
      <c r="CS119" s="23"/>
      <c r="CT119" s="23"/>
      <c r="CU119" s="23"/>
      <c r="CV119" s="23"/>
      <c r="CW119" s="23"/>
      <c r="CX119" s="23"/>
      <c r="CY119" s="23"/>
      <c r="CZ119" s="23"/>
      <c r="DA119" s="23"/>
      <c r="DB119" s="23"/>
      <c r="DC119" s="23"/>
      <c r="DD119" s="23"/>
      <c r="DE119" s="23"/>
      <c r="DF119" s="23"/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</row>
    <row r="120" spans="13:121" x14ac:dyDescent="0.35">
      <c r="M120" s="135"/>
      <c r="Z120" s="135"/>
    </row>
    <row r="121" spans="13:121" x14ac:dyDescent="0.35">
      <c r="M121" s="135"/>
      <c r="Z121" s="135"/>
    </row>
    <row r="122" spans="13:121" x14ac:dyDescent="0.35">
      <c r="M122" s="135"/>
      <c r="Z122" s="135"/>
    </row>
    <row r="123" spans="13:121" x14ac:dyDescent="0.35">
      <c r="M123" s="135"/>
      <c r="Z123" s="135"/>
    </row>
    <row r="124" spans="13:121" x14ac:dyDescent="0.35">
      <c r="M124" s="135"/>
      <c r="Z124" s="135"/>
    </row>
    <row r="125" spans="13:121" x14ac:dyDescent="0.35">
      <c r="M125" s="135"/>
      <c r="Z125" s="135"/>
    </row>
    <row r="126" spans="13:121" x14ac:dyDescent="0.35">
      <c r="M126" s="135"/>
      <c r="Z126" s="135"/>
    </row>
    <row r="127" spans="13:121" x14ac:dyDescent="0.35">
      <c r="M127" s="135"/>
      <c r="Z127" s="135"/>
    </row>
    <row r="128" spans="13:121" x14ac:dyDescent="0.35">
      <c r="M128" s="135"/>
      <c r="Z128" s="135"/>
    </row>
    <row r="129" spans="13:26" x14ac:dyDescent="0.35">
      <c r="M129" s="135"/>
      <c r="Z129" s="135"/>
    </row>
    <row r="130" spans="13:26" x14ac:dyDescent="0.35">
      <c r="M130" s="135"/>
      <c r="Z130" s="135"/>
    </row>
    <row r="131" spans="13:26" x14ac:dyDescent="0.35">
      <c r="M131" s="135"/>
      <c r="Z131" s="135"/>
    </row>
    <row r="132" spans="13:26" x14ac:dyDescent="0.35">
      <c r="M132" s="135"/>
      <c r="Z132" s="135"/>
    </row>
    <row r="133" spans="13:26" x14ac:dyDescent="0.35">
      <c r="M133" s="135"/>
      <c r="Z133" s="135"/>
    </row>
    <row r="134" spans="13:26" x14ac:dyDescent="0.35">
      <c r="M134" s="135"/>
      <c r="Z134" s="135"/>
    </row>
    <row r="135" spans="13:26" x14ac:dyDescent="0.35">
      <c r="M135" s="135"/>
      <c r="Z135" s="135"/>
    </row>
    <row r="136" spans="13:26" x14ac:dyDescent="0.35">
      <c r="M136" s="135"/>
      <c r="Z136" s="135"/>
    </row>
    <row r="137" spans="13:26" x14ac:dyDescent="0.35">
      <c r="M137" s="135"/>
      <c r="Z137" s="135"/>
    </row>
    <row r="138" spans="13:26" x14ac:dyDescent="0.35">
      <c r="M138" s="135"/>
      <c r="Z138" s="135"/>
    </row>
    <row r="139" spans="13:26" x14ac:dyDescent="0.35">
      <c r="M139" s="135"/>
      <c r="Z139" s="135"/>
    </row>
    <row r="140" spans="13:26" x14ac:dyDescent="0.35">
      <c r="M140" s="135"/>
      <c r="Z140" s="135"/>
    </row>
    <row r="141" spans="13:26" x14ac:dyDescent="0.35">
      <c r="M141" s="135"/>
      <c r="Z141" s="135"/>
    </row>
    <row r="142" spans="13:26" x14ac:dyDescent="0.35">
      <c r="M142" s="135"/>
      <c r="Z142" s="135"/>
    </row>
    <row r="143" spans="13:26" x14ac:dyDescent="0.35">
      <c r="M143" s="135"/>
      <c r="Z143" s="135"/>
    </row>
    <row r="144" spans="13:26" x14ac:dyDescent="0.35">
      <c r="M144" s="135"/>
      <c r="Z144" s="135"/>
    </row>
    <row r="145" spans="13:26" x14ac:dyDescent="0.35">
      <c r="M145" s="135"/>
      <c r="Z145" s="135"/>
    </row>
    <row r="146" spans="13:26" x14ac:dyDescent="0.35">
      <c r="M146" s="135"/>
      <c r="Z146" s="135"/>
    </row>
    <row r="147" spans="13:26" x14ac:dyDescent="0.35">
      <c r="M147" s="135"/>
      <c r="Z147" s="135"/>
    </row>
    <row r="148" spans="13:26" x14ac:dyDescent="0.35">
      <c r="M148" s="135"/>
      <c r="Z148" s="135"/>
    </row>
    <row r="149" spans="13:26" x14ac:dyDescent="0.35">
      <c r="M149" s="135"/>
      <c r="Z149" s="135"/>
    </row>
    <row r="150" spans="13:26" x14ac:dyDescent="0.35">
      <c r="M150" s="135"/>
      <c r="Z150" s="135"/>
    </row>
    <row r="151" spans="13:26" x14ac:dyDescent="0.35">
      <c r="M151" s="135"/>
      <c r="Z151" s="135"/>
    </row>
    <row r="152" spans="13:26" x14ac:dyDescent="0.35">
      <c r="M152" s="135"/>
      <c r="Z152" s="135"/>
    </row>
    <row r="153" spans="13:26" x14ac:dyDescent="0.35">
      <c r="M153" s="135"/>
      <c r="Z153" s="135"/>
    </row>
    <row r="154" spans="13:26" x14ac:dyDescent="0.35">
      <c r="M154" s="135"/>
      <c r="Z154" s="135"/>
    </row>
    <row r="155" spans="13:26" x14ac:dyDescent="0.35">
      <c r="M155" s="135"/>
      <c r="Z155" s="135"/>
    </row>
    <row r="156" spans="13:26" x14ac:dyDescent="0.35">
      <c r="M156" s="135"/>
      <c r="Z156" s="135"/>
    </row>
    <row r="157" spans="13:26" x14ac:dyDescent="0.35">
      <c r="M157" s="135"/>
      <c r="Z157" s="135"/>
    </row>
    <row r="158" spans="13:26" x14ac:dyDescent="0.35">
      <c r="M158" s="135"/>
      <c r="Z158" s="135"/>
    </row>
    <row r="159" spans="13:26" x14ac:dyDescent="0.35">
      <c r="M159" s="135"/>
      <c r="Z159" s="135"/>
    </row>
    <row r="160" spans="13:26" x14ac:dyDescent="0.35">
      <c r="M160" s="135"/>
      <c r="Z160" s="135"/>
    </row>
    <row r="161" spans="13:26" x14ac:dyDescent="0.35">
      <c r="M161" s="135"/>
      <c r="Z161" s="135"/>
    </row>
    <row r="162" spans="13:26" x14ac:dyDescent="0.35">
      <c r="M162" s="135"/>
      <c r="Z162" s="135"/>
    </row>
    <row r="163" spans="13:26" x14ac:dyDescent="0.35">
      <c r="M163" s="135"/>
      <c r="Z163" s="135"/>
    </row>
    <row r="164" spans="13:26" x14ac:dyDescent="0.35">
      <c r="M164" s="135"/>
      <c r="Z164" s="135"/>
    </row>
    <row r="165" spans="13:26" x14ac:dyDescent="0.35">
      <c r="M165" s="135"/>
      <c r="Z165" s="135"/>
    </row>
    <row r="166" spans="13:26" x14ac:dyDescent="0.35">
      <c r="M166" s="135"/>
      <c r="Z166" s="135"/>
    </row>
    <row r="167" spans="13:26" x14ac:dyDescent="0.35">
      <c r="M167" s="135"/>
      <c r="Z167" s="135"/>
    </row>
    <row r="168" spans="13:26" x14ac:dyDescent="0.35">
      <c r="M168" s="135"/>
      <c r="Z168" s="135"/>
    </row>
    <row r="169" spans="13:26" x14ac:dyDescent="0.35">
      <c r="M169" s="135"/>
      <c r="Z169" s="135"/>
    </row>
    <row r="170" spans="13:26" x14ac:dyDescent="0.35">
      <c r="M170" s="135"/>
      <c r="Z170" s="135"/>
    </row>
    <row r="171" spans="13:26" x14ac:dyDescent="0.35">
      <c r="M171" s="135"/>
      <c r="Z171" s="135"/>
    </row>
    <row r="172" spans="13:26" x14ac:dyDescent="0.35">
      <c r="M172" s="135"/>
      <c r="Z172" s="135"/>
    </row>
    <row r="173" spans="13:26" x14ac:dyDescent="0.35">
      <c r="M173" s="135"/>
      <c r="Z173" s="135"/>
    </row>
    <row r="174" spans="13:26" x14ac:dyDescent="0.35">
      <c r="M174" s="135"/>
      <c r="Z174" s="135"/>
    </row>
    <row r="175" spans="13:26" x14ac:dyDescent="0.35">
      <c r="M175" s="316"/>
      <c r="Z175" s="316"/>
    </row>
    <row r="176" spans="13:26" x14ac:dyDescent="0.35">
      <c r="M176" s="318"/>
      <c r="Z176" s="318"/>
    </row>
  </sheetData>
  <autoFilter ref="R4:AC62" xr:uid="{00000000-0009-0000-0000-000005000000}"/>
  <mergeCells count="16">
    <mergeCell ref="B42:B48"/>
    <mergeCell ref="B49:B55"/>
    <mergeCell ref="B12:B15"/>
    <mergeCell ref="B4:B11"/>
    <mergeCell ref="DG3:DO3"/>
    <mergeCell ref="A3:B3"/>
    <mergeCell ref="E3:P3"/>
    <mergeCell ref="R3:AC3"/>
    <mergeCell ref="AE3:AM3"/>
    <mergeCell ref="AO3:AW3"/>
    <mergeCell ref="AY3:BG3"/>
    <mergeCell ref="BI3:BQ3"/>
    <mergeCell ref="BS3:CA3"/>
    <mergeCell ref="CC3:CK3"/>
    <mergeCell ref="CM3:CU3"/>
    <mergeCell ref="CW3:DE3"/>
  </mergeCells>
  <phoneticPr fontId="38" type="noConversion"/>
  <conditionalFormatting sqref="E26:L61 E5:E25 L5:L25 G5:J25 N5:P61">
    <cfRule type="expression" dxfId="225" priority="4">
      <formula>$O5=""</formula>
    </cfRule>
  </conditionalFormatting>
  <conditionalFormatting sqref="AB5:AC23 R5:Y61 AA24:AC61">
    <cfRule type="expression" dxfId="224" priority="3">
      <formula>$AB5=""</formula>
    </cfRule>
  </conditionalFormatting>
  <conditionalFormatting sqref="M5:M175">
    <cfRule type="expression" dxfId="223" priority="2">
      <formula>$O5=""</formula>
    </cfRule>
  </conditionalFormatting>
  <conditionalFormatting sqref="Z5:Z175">
    <cfRule type="expression" dxfId="222" priority="1">
      <formula>$O5=""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2:DP176"/>
  <sheetViews>
    <sheetView showGridLines="0" topLeftCell="CT1" zoomScale="60" zoomScaleNormal="60" workbookViewId="0">
      <selection activeCell="DM1" sqref="DM1:DM1048576"/>
    </sheetView>
  </sheetViews>
  <sheetFormatPr baseColWidth="10" defaultRowHeight="14.5" x14ac:dyDescent="0.35"/>
  <cols>
    <col min="1" max="1" width="37" customWidth="1"/>
    <col min="2" max="2" width="22.54296875" bestFit="1" customWidth="1"/>
    <col min="3" max="3" width="20.1796875" customWidth="1"/>
    <col min="4" max="4" width="18.453125" customWidth="1"/>
    <col min="5" max="5" width="15.7265625" customWidth="1"/>
    <col min="6" max="6" width="26.26953125" customWidth="1"/>
    <col min="7" max="7" width="38" customWidth="1"/>
    <col min="8" max="8" width="11.81640625" bestFit="1" customWidth="1"/>
    <col min="9" max="9" width="16.453125" customWidth="1"/>
    <col min="10" max="10" width="12.54296875" customWidth="1"/>
    <col min="11" max="11" width="10.453125" customWidth="1"/>
    <col min="12" max="12" width="20" customWidth="1"/>
    <col min="13" max="13" width="19.7265625" hidden="1" customWidth="1"/>
    <col min="14" max="14" width="19.453125" customWidth="1"/>
    <col min="15" max="15" width="19.54296875" bestFit="1" customWidth="1"/>
    <col min="16" max="16" width="20.54296875" bestFit="1" customWidth="1"/>
    <col min="18" max="18" width="15" customWidth="1"/>
    <col min="19" max="19" width="23.7265625" bestFit="1" customWidth="1"/>
    <col min="20" max="20" width="26.54296875" customWidth="1"/>
    <col min="21" max="21" width="13" customWidth="1"/>
    <col min="22" max="22" width="19.54296875" bestFit="1" customWidth="1"/>
    <col min="23" max="23" width="12.7265625" customWidth="1"/>
    <col min="24" max="24" width="19.54296875" customWidth="1"/>
    <col min="25" max="25" width="20.54296875" customWidth="1"/>
    <col min="26" max="26" width="19.7265625" hidden="1" customWidth="1"/>
    <col min="27" max="27" width="14" bestFit="1" customWidth="1"/>
    <col min="28" max="28" width="19.54296875" bestFit="1" customWidth="1"/>
    <col min="29" max="29" width="14.81640625" customWidth="1"/>
    <col min="31" max="31" width="16.453125" customWidth="1"/>
    <col min="32" max="32" width="19.1796875" bestFit="1" customWidth="1"/>
    <col min="33" max="33" width="22.453125" customWidth="1"/>
    <col min="34" max="34" width="11" bestFit="1" customWidth="1"/>
    <col min="35" max="35" width="19.54296875" bestFit="1" customWidth="1"/>
    <col min="36" max="36" width="10.453125" bestFit="1" customWidth="1"/>
    <col min="37" max="38" width="10.453125" customWidth="1"/>
    <col min="39" max="39" width="19.7265625" hidden="1" customWidth="1"/>
    <col min="40" max="40" width="16.81640625" bestFit="1" customWidth="1"/>
    <col min="41" max="41" width="17.54296875" bestFit="1" customWidth="1"/>
    <col min="42" max="42" width="13.26953125" bestFit="1" customWidth="1"/>
    <col min="44" max="44" width="15.7265625" customWidth="1"/>
    <col min="45" max="45" width="21.453125" customWidth="1"/>
    <col min="46" max="46" width="32.7265625" customWidth="1"/>
    <col min="47" max="47" width="10.54296875" bestFit="1" customWidth="1"/>
    <col min="48" max="48" width="13.1796875" customWidth="1"/>
    <col min="49" max="50" width="13.81640625" customWidth="1"/>
    <col min="51" max="51" width="10.453125" bestFit="1" customWidth="1"/>
    <col min="52" max="52" width="19.7265625" hidden="1" customWidth="1"/>
    <col min="53" max="53" width="20.1796875" customWidth="1"/>
    <col min="54" max="54" width="14.81640625" bestFit="1" customWidth="1"/>
    <col min="55" max="55" width="15" bestFit="1" customWidth="1"/>
    <col min="57" max="57" width="16.1796875" customWidth="1"/>
    <col min="58" max="58" width="18.1796875" customWidth="1"/>
    <col min="59" max="59" width="21.81640625" customWidth="1"/>
    <col min="60" max="60" width="11.7265625" customWidth="1"/>
    <col min="61" max="61" width="13.81640625" customWidth="1"/>
    <col min="62" max="62" width="17.81640625" customWidth="1"/>
    <col min="63" max="63" width="14.54296875" customWidth="1"/>
    <col min="64" max="64" width="21.7265625" customWidth="1"/>
    <col min="65" max="65" width="19.7265625" hidden="1" customWidth="1"/>
    <col min="66" max="66" width="17.54296875" customWidth="1"/>
    <col min="67" max="67" width="19.453125" customWidth="1"/>
    <col min="68" max="68" width="19.26953125" customWidth="1"/>
    <col min="70" max="70" width="14.7265625" customWidth="1"/>
    <col min="71" max="71" width="19.54296875" customWidth="1"/>
    <col min="72" max="72" width="27.453125" customWidth="1"/>
    <col min="73" max="73" width="10.54296875" bestFit="1" customWidth="1"/>
    <col min="74" max="74" width="13.54296875" customWidth="1"/>
    <col min="75" max="75" width="10.453125" bestFit="1" customWidth="1"/>
    <col min="76" max="77" width="10.453125" customWidth="1"/>
    <col min="78" max="78" width="19.7265625" hidden="1" customWidth="1"/>
    <col min="79" max="79" width="18" customWidth="1"/>
    <col min="80" max="80" width="13.7265625" bestFit="1" customWidth="1"/>
    <col min="81" max="81" width="13.26953125" bestFit="1" customWidth="1"/>
    <col min="83" max="83" width="13.7265625" customWidth="1"/>
    <col min="84" max="84" width="17.54296875" customWidth="1"/>
    <col min="85" max="85" width="30.453125" customWidth="1"/>
    <col min="86" max="86" width="11.81640625" customWidth="1"/>
    <col min="87" max="87" width="15.1796875" customWidth="1"/>
    <col min="88" max="88" width="12.81640625" customWidth="1"/>
    <col min="89" max="89" width="19.54296875" bestFit="1" customWidth="1"/>
    <col min="90" max="90" width="10.453125" bestFit="1" customWidth="1"/>
    <col min="91" max="91" width="19.7265625" hidden="1" customWidth="1"/>
    <col min="92" max="92" width="16.453125" customWidth="1"/>
    <col min="93" max="93" width="13.7265625" bestFit="1" customWidth="1"/>
    <col min="94" max="94" width="13.26953125" bestFit="1" customWidth="1"/>
    <col min="96" max="96" width="15.81640625" customWidth="1"/>
    <col min="97" max="97" width="25.453125" customWidth="1"/>
    <col min="98" max="98" width="39.26953125" customWidth="1"/>
    <col min="99" max="99" width="10.54296875" bestFit="1" customWidth="1"/>
    <col min="100" max="100" width="13.54296875" customWidth="1"/>
    <col min="101" max="101" width="12.1796875" customWidth="1"/>
    <col min="102" max="102" width="14.26953125" customWidth="1"/>
    <col min="103" max="103" width="18.26953125" customWidth="1"/>
    <col min="104" max="104" width="19.7265625" hidden="1" customWidth="1"/>
    <col min="105" max="105" width="16.453125" customWidth="1"/>
    <col min="106" max="106" width="13.7265625" bestFit="1" customWidth="1"/>
    <col min="107" max="107" width="13.26953125" bestFit="1" customWidth="1"/>
    <col min="109" max="109" width="13.81640625" customWidth="1"/>
    <col min="110" max="110" width="18.26953125" customWidth="1"/>
    <col min="111" max="111" width="37.81640625" customWidth="1"/>
    <col min="113" max="113" width="15" customWidth="1"/>
    <col min="116" max="116" width="15.26953125" customWidth="1"/>
    <col min="117" max="117" width="19.7265625" hidden="1" customWidth="1"/>
    <col min="118" max="118" width="19.54296875" customWidth="1"/>
    <col min="119" max="119" width="16.1796875" customWidth="1"/>
    <col min="120" max="120" width="15.453125" customWidth="1"/>
  </cols>
  <sheetData>
    <row r="2" spans="1:120" ht="15" customHeight="1" thickBot="1" x14ac:dyDescent="0.4"/>
    <row r="3" spans="1:120" ht="18.75" customHeight="1" thickBot="1" x14ac:dyDescent="0.5">
      <c r="A3" s="478" t="s">
        <v>46</v>
      </c>
      <c r="B3" s="479"/>
      <c r="D3" s="21"/>
      <c r="E3" s="455" t="s">
        <v>51</v>
      </c>
      <c r="F3" s="456"/>
      <c r="G3" s="456"/>
      <c r="H3" s="456"/>
      <c r="I3" s="456"/>
      <c r="J3" s="456"/>
      <c r="K3" s="456"/>
      <c r="L3" s="456"/>
      <c r="M3" s="456"/>
      <c r="N3" s="456"/>
      <c r="O3" s="456"/>
      <c r="P3" s="456"/>
      <c r="R3" s="455" t="s">
        <v>16</v>
      </c>
      <c r="S3" s="456"/>
      <c r="T3" s="456"/>
      <c r="U3" s="456"/>
      <c r="V3" s="456"/>
      <c r="W3" s="456"/>
      <c r="X3" s="456"/>
      <c r="Y3" s="456"/>
      <c r="Z3" s="456"/>
      <c r="AA3" s="456"/>
      <c r="AB3" s="456"/>
      <c r="AC3" s="456"/>
      <c r="AE3" s="455" t="s">
        <v>59</v>
      </c>
      <c r="AF3" s="456"/>
      <c r="AG3" s="456"/>
      <c r="AH3" s="456"/>
      <c r="AI3" s="456"/>
      <c r="AJ3" s="456"/>
      <c r="AK3" s="456"/>
      <c r="AL3" s="456"/>
      <c r="AM3" s="456"/>
      <c r="AN3" s="456"/>
      <c r="AO3" s="456"/>
      <c r="AP3" s="456"/>
      <c r="AR3" s="455" t="s">
        <v>122</v>
      </c>
      <c r="AS3" s="456"/>
      <c r="AT3" s="456"/>
      <c r="AU3" s="456"/>
      <c r="AV3" s="456"/>
      <c r="AW3" s="456"/>
      <c r="AX3" s="456"/>
      <c r="AY3" s="456"/>
      <c r="AZ3" s="456"/>
      <c r="BA3" s="456"/>
      <c r="BB3" s="456"/>
      <c r="BC3" s="456"/>
      <c r="BE3" s="455" t="s">
        <v>61</v>
      </c>
      <c r="BF3" s="456"/>
      <c r="BG3" s="456"/>
      <c r="BH3" s="456"/>
      <c r="BI3" s="456"/>
      <c r="BJ3" s="456"/>
      <c r="BK3" s="456"/>
      <c r="BL3" s="456"/>
      <c r="BM3" s="456"/>
      <c r="BN3" s="456"/>
      <c r="BO3" s="456"/>
      <c r="BP3" s="456"/>
      <c r="BR3" s="455" t="s">
        <v>65</v>
      </c>
      <c r="BS3" s="456"/>
      <c r="BT3" s="456"/>
      <c r="BU3" s="456"/>
      <c r="BV3" s="456"/>
      <c r="BW3" s="456"/>
      <c r="BX3" s="456"/>
      <c r="BY3" s="456"/>
      <c r="BZ3" s="456"/>
      <c r="CA3" s="456"/>
      <c r="CB3" s="456"/>
      <c r="CC3" s="456"/>
      <c r="CE3" s="455" t="s">
        <v>123</v>
      </c>
      <c r="CF3" s="456"/>
      <c r="CG3" s="456"/>
      <c r="CH3" s="456"/>
      <c r="CI3" s="456"/>
      <c r="CJ3" s="456"/>
      <c r="CK3" s="456"/>
      <c r="CL3" s="456"/>
      <c r="CM3" s="456"/>
      <c r="CN3" s="456"/>
      <c r="CO3" s="456"/>
      <c r="CP3" s="456"/>
      <c r="CR3" s="455" t="s">
        <v>29</v>
      </c>
      <c r="CS3" s="456"/>
      <c r="CT3" s="456"/>
      <c r="CU3" s="456"/>
      <c r="CV3" s="456"/>
      <c r="CW3" s="456"/>
      <c r="CX3" s="456"/>
      <c r="CY3" s="456"/>
      <c r="CZ3" s="456"/>
      <c r="DA3" s="456"/>
      <c r="DB3" s="456"/>
      <c r="DC3" s="456"/>
      <c r="DE3" s="475" t="s">
        <v>158</v>
      </c>
      <c r="DF3" s="475"/>
      <c r="DG3" s="475"/>
      <c r="DH3" s="475"/>
      <c r="DI3" s="475"/>
      <c r="DJ3" s="475"/>
      <c r="DK3" s="475"/>
      <c r="DL3" s="475"/>
      <c r="DM3" s="475"/>
      <c r="DN3" s="475"/>
      <c r="DO3" s="475"/>
      <c r="DP3" s="475"/>
    </row>
    <row r="4" spans="1:120" s="8" customFormat="1" ht="42.75" customHeight="1" thickBot="1" x14ac:dyDescent="0.4">
      <c r="A4" s="476" t="s">
        <v>40</v>
      </c>
      <c r="B4" s="477"/>
      <c r="D4" s="113"/>
      <c r="E4" s="296" t="s">
        <v>172</v>
      </c>
      <c r="F4" s="296" t="s">
        <v>173</v>
      </c>
      <c r="G4" s="71" t="s">
        <v>174</v>
      </c>
      <c r="H4" s="71" t="s">
        <v>34</v>
      </c>
      <c r="I4" s="71" t="s">
        <v>170</v>
      </c>
      <c r="J4" s="71" t="s">
        <v>171</v>
      </c>
      <c r="K4" s="71" t="s">
        <v>100</v>
      </c>
      <c r="L4" s="71" t="s">
        <v>36</v>
      </c>
      <c r="M4" s="71" t="s">
        <v>613</v>
      </c>
      <c r="N4" s="71" t="s">
        <v>169</v>
      </c>
      <c r="O4" s="71" t="s">
        <v>42</v>
      </c>
      <c r="P4" s="71" t="s">
        <v>45</v>
      </c>
      <c r="Q4" s="198"/>
      <c r="R4" s="296" t="s">
        <v>172</v>
      </c>
      <c r="S4" s="296" t="s">
        <v>173</v>
      </c>
      <c r="T4" s="71" t="s">
        <v>174</v>
      </c>
      <c r="U4" s="71" t="s">
        <v>34</v>
      </c>
      <c r="V4" s="71" t="s">
        <v>170</v>
      </c>
      <c r="W4" s="71" t="s">
        <v>171</v>
      </c>
      <c r="X4" s="71" t="s">
        <v>100</v>
      </c>
      <c r="Y4" s="71" t="s">
        <v>36</v>
      </c>
      <c r="Z4" s="71" t="s">
        <v>613</v>
      </c>
      <c r="AA4" s="71" t="s">
        <v>175</v>
      </c>
      <c r="AB4" s="71" t="s">
        <v>42</v>
      </c>
      <c r="AC4" s="71" t="s">
        <v>45</v>
      </c>
      <c r="AE4" s="296" t="s">
        <v>172</v>
      </c>
      <c r="AF4" s="296" t="s">
        <v>173</v>
      </c>
      <c r="AG4" s="71" t="s">
        <v>174</v>
      </c>
      <c r="AH4" s="71" t="s">
        <v>34</v>
      </c>
      <c r="AI4" s="71" t="s">
        <v>170</v>
      </c>
      <c r="AJ4" s="71" t="s">
        <v>171</v>
      </c>
      <c r="AK4" s="71" t="s">
        <v>100</v>
      </c>
      <c r="AL4" s="71" t="s">
        <v>36</v>
      </c>
      <c r="AM4" s="71" t="s">
        <v>613</v>
      </c>
      <c r="AN4" s="71" t="s">
        <v>169</v>
      </c>
      <c r="AO4" s="71" t="s">
        <v>42</v>
      </c>
      <c r="AP4" s="71" t="s">
        <v>45</v>
      </c>
      <c r="AR4" s="296" t="s">
        <v>172</v>
      </c>
      <c r="AS4" s="296" t="s">
        <v>173</v>
      </c>
      <c r="AT4" s="71" t="s">
        <v>174</v>
      </c>
      <c r="AU4" s="71" t="s">
        <v>34</v>
      </c>
      <c r="AV4" s="71" t="s">
        <v>170</v>
      </c>
      <c r="AW4" s="71" t="s">
        <v>171</v>
      </c>
      <c r="AX4" s="71" t="s">
        <v>100</v>
      </c>
      <c r="AY4" s="71" t="s">
        <v>36</v>
      </c>
      <c r="AZ4" s="71" t="s">
        <v>613</v>
      </c>
      <c r="BA4" s="71" t="s">
        <v>169</v>
      </c>
      <c r="BB4" s="71" t="s">
        <v>42</v>
      </c>
      <c r="BC4" s="71" t="s">
        <v>45</v>
      </c>
      <c r="BE4" s="296" t="s">
        <v>172</v>
      </c>
      <c r="BF4" s="296" t="s">
        <v>173</v>
      </c>
      <c r="BG4" s="71" t="s">
        <v>174</v>
      </c>
      <c r="BH4" s="71" t="s">
        <v>34</v>
      </c>
      <c r="BI4" s="71" t="s">
        <v>170</v>
      </c>
      <c r="BJ4" s="71" t="s">
        <v>171</v>
      </c>
      <c r="BK4" s="71" t="s">
        <v>100</v>
      </c>
      <c r="BL4" s="71" t="s">
        <v>36</v>
      </c>
      <c r="BM4" s="71" t="s">
        <v>613</v>
      </c>
      <c r="BN4" s="71" t="s">
        <v>169</v>
      </c>
      <c r="BO4" s="71" t="s">
        <v>42</v>
      </c>
      <c r="BP4" s="71" t="s">
        <v>45</v>
      </c>
      <c r="BR4" s="296" t="s">
        <v>172</v>
      </c>
      <c r="BS4" s="296" t="s">
        <v>173</v>
      </c>
      <c r="BT4" s="71" t="s">
        <v>174</v>
      </c>
      <c r="BU4" s="71" t="s">
        <v>34</v>
      </c>
      <c r="BV4" s="71" t="s">
        <v>170</v>
      </c>
      <c r="BW4" s="71" t="s">
        <v>171</v>
      </c>
      <c r="BX4" s="71" t="s">
        <v>100</v>
      </c>
      <c r="BY4" s="71" t="s">
        <v>36</v>
      </c>
      <c r="BZ4" s="71" t="s">
        <v>613</v>
      </c>
      <c r="CA4" s="71" t="s">
        <v>169</v>
      </c>
      <c r="CB4" s="71" t="s">
        <v>42</v>
      </c>
      <c r="CC4" s="71" t="s">
        <v>45</v>
      </c>
      <c r="CE4" s="296" t="s">
        <v>172</v>
      </c>
      <c r="CF4" s="296" t="s">
        <v>173</v>
      </c>
      <c r="CG4" s="71" t="s">
        <v>174</v>
      </c>
      <c r="CH4" s="71" t="s">
        <v>34</v>
      </c>
      <c r="CI4" s="71" t="s">
        <v>170</v>
      </c>
      <c r="CJ4" s="71" t="s">
        <v>171</v>
      </c>
      <c r="CK4" s="71" t="s">
        <v>100</v>
      </c>
      <c r="CL4" s="71" t="s">
        <v>36</v>
      </c>
      <c r="CM4" s="71" t="s">
        <v>613</v>
      </c>
      <c r="CN4" s="71" t="s">
        <v>169</v>
      </c>
      <c r="CO4" s="71" t="s">
        <v>42</v>
      </c>
      <c r="CP4" s="71" t="s">
        <v>45</v>
      </c>
      <c r="CR4" s="296" t="s">
        <v>172</v>
      </c>
      <c r="CS4" s="296" t="s">
        <v>173</v>
      </c>
      <c r="CT4" s="71" t="s">
        <v>174</v>
      </c>
      <c r="CU4" s="71" t="s">
        <v>34</v>
      </c>
      <c r="CV4" s="71" t="s">
        <v>170</v>
      </c>
      <c r="CW4" s="71" t="s">
        <v>171</v>
      </c>
      <c r="CX4" s="71" t="s">
        <v>100</v>
      </c>
      <c r="CY4" s="71" t="s">
        <v>36</v>
      </c>
      <c r="CZ4" s="71" t="s">
        <v>613</v>
      </c>
      <c r="DA4" s="71" t="s">
        <v>169</v>
      </c>
      <c r="DB4" s="71" t="s">
        <v>42</v>
      </c>
      <c r="DC4" s="71" t="s">
        <v>45</v>
      </c>
      <c r="DE4" s="54" t="s">
        <v>172</v>
      </c>
      <c r="DF4" s="54" t="s">
        <v>173</v>
      </c>
      <c r="DG4" s="54" t="s">
        <v>174</v>
      </c>
      <c r="DH4" s="54" t="s">
        <v>34</v>
      </c>
      <c r="DI4" s="54" t="s">
        <v>170</v>
      </c>
      <c r="DJ4" s="54" t="s">
        <v>171</v>
      </c>
      <c r="DK4" s="54" t="s">
        <v>100</v>
      </c>
      <c r="DL4" s="54" t="s">
        <v>36</v>
      </c>
      <c r="DM4" s="71" t="s">
        <v>613</v>
      </c>
      <c r="DN4" s="71" t="s">
        <v>169</v>
      </c>
      <c r="DO4" s="54" t="s">
        <v>42</v>
      </c>
      <c r="DP4" s="54" t="s">
        <v>45</v>
      </c>
    </row>
    <row r="5" spans="1:120" ht="21.5" thickBot="1" x14ac:dyDescent="0.4">
      <c r="A5" s="476" t="s">
        <v>59</v>
      </c>
      <c r="B5" s="477"/>
      <c r="C5" s="105"/>
      <c r="E5" s="185">
        <v>44100</v>
      </c>
      <c r="F5" s="73"/>
      <c r="G5" s="138" t="s">
        <v>397</v>
      </c>
      <c r="H5" s="186">
        <v>19.989999999999998</v>
      </c>
      <c r="I5" s="186"/>
      <c r="J5" s="186">
        <f t="shared" ref="J5:J36" si="0">H5+I5</f>
        <v>19.989999999999998</v>
      </c>
      <c r="K5" s="186"/>
      <c r="L5" s="138" t="s">
        <v>9</v>
      </c>
      <c r="M5" s="39"/>
      <c r="N5" s="73"/>
      <c r="O5" s="138" t="s">
        <v>77</v>
      </c>
      <c r="P5" s="185">
        <v>44100</v>
      </c>
      <c r="Q5" s="199"/>
      <c r="R5" s="18">
        <v>44075</v>
      </c>
      <c r="S5" s="73"/>
      <c r="T5" s="11" t="s">
        <v>449</v>
      </c>
      <c r="U5" s="17">
        <v>50.45</v>
      </c>
      <c r="V5" s="11">
        <v>4.29</v>
      </c>
      <c r="W5" s="17">
        <f t="shared" ref="W5:W13" si="1">U5+V5</f>
        <v>54.74</v>
      </c>
      <c r="X5" s="17"/>
      <c r="Y5" s="11" t="s">
        <v>8</v>
      </c>
      <c r="Z5" s="39"/>
      <c r="AA5" s="73"/>
      <c r="AB5" s="39" t="s">
        <v>54</v>
      </c>
      <c r="AC5" s="69">
        <v>44109</v>
      </c>
      <c r="AE5" s="185">
        <v>43880</v>
      </c>
      <c r="AF5" s="73"/>
      <c r="AG5" s="138" t="s">
        <v>475</v>
      </c>
      <c r="AH5" s="186">
        <v>359.27</v>
      </c>
      <c r="AI5" s="186">
        <v>26.04</v>
      </c>
      <c r="AJ5" s="186">
        <f t="shared" ref="AJ5:AJ10" si="2">AH5+AI5</f>
        <v>385.31</v>
      </c>
      <c r="AK5" s="186"/>
      <c r="AL5" s="138" t="s">
        <v>2</v>
      </c>
      <c r="AM5" s="39"/>
      <c r="AN5" s="73"/>
      <c r="AO5" s="138" t="s">
        <v>58</v>
      </c>
      <c r="AP5" s="185">
        <v>43880</v>
      </c>
      <c r="AR5" s="185">
        <v>43986</v>
      </c>
      <c r="AS5" s="73"/>
      <c r="AT5" s="39" t="s">
        <v>480</v>
      </c>
      <c r="AU5" s="39">
        <v>100.23</v>
      </c>
      <c r="AV5" s="39">
        <v>8.52</v>
      </c>
      <c r="AW5" s="186">
        <f>AU5+AV5</f>
        <v>108.75</v>
      </c>
      <c r="AX5" s="186"/>
      <c r="AY5" s="39" t="s">
        <v>6</v>
      </c>
      <c r="AZ5" s="39"/>
      <c r="BA5" s="73"/>
      <c r="BB5" s="39" t="s">
        <v>43</v>
      </c>
      <c r="BC5" s="89">
        <v>43986</v>
      </c>
      <c r="BE5" s="185">
        <v>43843</v>
      </c>
      <c r="BF5" s="73"/>
      <c r="BG5" s="73" t="s">
        <v>485</v>
      </c>
      <c r="BH5" s="138" t="s">
        <v>62</v>
      </c>
      <c r="BI5" s="186">
        <v>450</v>
      </c>
      <c r="BJ5" s="186"/>
      <c r="BK5" s="186">
        <f t="shared" ref="BK5:BK20" si="3">BI5+BJ5</f>
        <v>450</v>
      </c>
      <c r="BL5" s="138" t="s">
        <v>1</v>
      </c>
      <c r="BM5" s="39"/>
      <c r="BN5" s="73"/>
      <c r="BO5" s="138" t="s">
        <v>54</v>
      </c>
      <c r="BP5" s="185">
        <v>43979</v>
      </c>
      <c r="BR5" s="134">
        <v>43851</v>
      </c>
      <c r="BS5" s="73"/>
      <c r="BT5" s="114" t="s">
        <v>501</v>
      </c>
      <c r="BU5" s="40">
        <v>7.25</v>
      </c>
      <c r="BV5" s="114"/>
      <c r="BW5" s="40">
        <f>BU5+BV5</f>
        <v>7.25</v>
      </c>
      <c r="BX5" s="114"/>
      <c r="BY5" s="114" t="s">
        <v>1</v>
      </c>
      <c r="BZ5" s="39"/>
      <c r="CA5" s="73"/>
      <c r="CB5" s="114" t="s">
        <v>77</v>
      </c>
      <c r="CC5" s="177">
        <v>43977</v>
      </c>
      <c r="CE5" s="158">
        <v>43940</v>
      </c>
      <c r="CF5" s="158"/>
      <c r="CG5" s="286" t="s">
        <v>508</v>
      </c>
      <c r="CH5" s="286">
        <v>60</v>
      </c>
      <c r="CI5" s="286"/>
      <c r="CJ5" s="160">
        <f t="shared" ref="CJ5:CJ20" si="4">CH5+CI5</f>
        <v>60</v>
      </c>
      <c r="CK5" s="73"/>
      <c r="CL5" s="286" t="s">
        <v>4</v>
      </c>
      <c r="CM5" s="39"/>
      <c r="CN5" s="73"/>
      <c r="CO5" s="286" t="s">
        <v>43</v>
      </c>
      <c r="CP5" s="287">
        <v>43940</v>
      </c>
      <c r="CR5" s="185">
        <v>44110</v>
      </c>
      <c r="CS5" s="73"/>
      <c r="CT5" s="11" t="s">
        <v>524</v>
      </c>
      <c r="CU5" s="186">
        <v>14</v>
      </c>
      <c r="CV5" s="11"/>
      <c r="CW5" s="186">
        <f t="shared" ref="CW5:CW15" si="5">CU5+CV5</f>
        <v>14</v>
      </c>
      <c r="CX5" s="186"/>
      <c r="CY5" s="11" t="s">
        <v>10</v>
      </c>
      <c r="CZ5" s="39"/>
      <c r="DA5" s="73"/>
      <c r="DB5" s="39" t="s">
        <v>77</v>
      </c>
      <c r="DC5" s="11" t="s">
        <v>167</v>
      </c>
      <c r="DE5" s="18">
        <v>43959</v>
      </c>
      <c r="DF5" s="20"/>
      <c r="DG5" s="331" t="s">
        <v>568</v>
      </c>
      <c r="DH5" s="17">
        <v>1513.1</v>
      </c>
      <c r="DI5" s="17">
        <v>27.06</v>
      </c>
      <c r="DJ5" s="17">
        <v>1313.16</v>
      </c>
      <c r="DK5" s="20"/>
      <c r="DL5" s="19" t="s">
        <v>13</v>
      </c>
      <c r="DM5" s="39"/>
      <c r="DN5" s="20"/>
      <c r="DO5" s="19" t="s">
        <v>43</v>
      </c>
      <c r="DP5" s="18">
        <v>44026</v>
      </c>
    </row>
    <row r="6" spans="1:120" ht="18.75" customHeight="1" x14ac:dyDescent="0.35">
      <c r="A6" s="221" t="s">
        <v>57</v>
      </c>
      <c r="B6" s="461"/>
      <c r="E6" s="185">
        <v>44090</v>
      </c>
      <c r="F6" s="73"/>
      <c r="G6" s="138" t="s">
        <v>398</v>
      </c>
      <c r="H6" s="186">
        <v>234</v>
      </c>
      <c r="I6" s="186"/>
      <c r="J6" s="186">
        <f t="shared" si="0"/>
        <v>234</v>
      </c>
      <c r="K6" s="186"/>
      <c r="L6" s="138" t="s">
        <v>9</v>
      </c>
      <c r="M6" s="39"/>
      <c r="N6" s="73"/>
      <c r="O6" s="138" t="s">
        <v>54</v>
      </c>
      <c r="P6" s="185"/>
      <c r="Q6" s="199"/>
      <c r="R6" s="18">
        <v>44096</v>
      </c>
      <c r="S6" s="73"/>
      <c r="T6" s="11" t="s">
        <v>450</v>
      </c>
      <c r="U6" s="17">
        <v>68.36</v>
      </c>
      <c r="V6" s="11"/>
      <c r="W6" s="17">
        <f t="shared" si="1"/>
        <v>68.36</v>
      </c>
      <c r="X6" s="17"/>
      <c r="Y6" s="11" t="s">
        <v>9</v>
      </c>
      <c r="Z6" s="39"/>
      <c r="AA6" s="73"/>
      <c r="AB6" s="39" t="s">
        <v>58</v>
      </c>
      <c r="AC6" s="69">
        <v>44096</v>
      </c>
      <c r="AE6" s="185">
        <v>44012</v>
      </c>
      <c r="AF6" s="73"/>
      <c r="AG6" s="138" t="s">
        <v>476</v>
      </c>
      <c r="AH6" s="186">
        <v>650.15</v>
      </c>
      <c r="AI6" s="186"/>
      <c r="AJ6" s="186">
        <f t="shared" si="2"/>
        <v>650.15</v>
      </c>
      <c r="AK6" s="186"/>
      <c r="AL6" s="138" t="s">
        <v>6</v>
      </c>
      <c r="AM6" s="39"/>
      <c r="AN6" s="73"/>
      <c r="AO6" s="138" t="s">
        <v>58</v>
      </c>
      <c r="AP6" s="185">
        <v>44032</v>
      </c>
      <c r="AR6" s="185">
        <v>43955</v>
      </c>
      <c r="AS6" s="73"/>
      <c r="AT6" s="39" t="s">
        <v>481</v>
      </c>
      <c r="AU6" s="186">
        <v>49.73</v>
      </c>
      <c r="AV6" s="186">
        <v>4.2300000000000004</v>
      </c>
      <c r="AW6" s="186">
        <f>AU6+AV6</f>
        <v>53.959999999999994</v>
      </c>
      <c r="AX6" s="186"/>
      <c r="AY6" s="138" t="s">
        <v>13</v>
      </c>
      <c r="AZ6" s="39"/>
      <c r="BA6" s="73"/>
      <c r="BB6" s="138" t="s">
        <v>52</v>
      </c>
      <c r="BC6" s="185">
        <v>43955</v>
      </c>
      <c r="BE6" s="185">
        <v>44074</v>
      </c>
      <c r="BF6" s="73"/>
      <c r="BG6" s="73" t="s">
        <v>486</v>
      </c>
      <c r="BH6" s="11" t="s">
        <v>63</v>
      </c>
      <c r="BI6" s="186">
        <v>60.04</v>
      </c>
      <c r="BJ6" s="11">
        <v>5.0999999999999996</v>
      </c>
      <c r="BK6" s="186">
        <f t="shared" si="3"/>
        <v>65.14</v>
      </c>
      <c r="BL6" s="11" t="s">
        <v>8</v>
      </c>
      <c r="BM6" s="39"/>
      <c r="BN6" s="73"/>
      <c r="BO6" s="39" t="s">
        <v>54</v>
      </c>
      <c r="BP6" s="69">
        <v>44109</v>
      </c>
      <c r="BR6" s="185">
        <v>44019</v>
      </c>
      <c r="BS6" s="73"/>
      <c r="BT6" s="114" t="s">
        <v>502</v>
      </c>
      <c r="BU6" s="186">
        <v>79.739999999999995</v>
      </c>
      <c r="BV6" s="39">
        <v>6.78</v>
      </c>
      <c r="BW6" s="186">
        <f t="shared" ref="BW6:BW11" si="6">BU6+BV6</f>
        <v>86.52</v>
      </c>
      <c r="BX6" s="39"/>
      <c r="BY6" s="39" t="s">
        <v>7</v>
      </c>
      <c r="BZ6" s="39"/>
      <c r="CA6" s="73"/>
      <c r="CB6" s="39" t="s">
        <v>43</v>
      </c>
      <c r="CC6" s="89">
        <v>44019</v>
      </c>
      <c r="CE6" s="185">
        <v>43878</v>
      </c>
      <c r="CF6" s="185"/>
      <c r="CG6" s="286" t="s">
        <v>509</v>
      </c>
      <c r="CH6" s="39">
        <v>92.04</v>
      </c>
      <c r="CI6" s="39"/>
      <c r="CJ6" s="186">
        <f t="shared" si="4"/>
        <v>92.04</v>
      </c>
      <c r="CK6" s="73"/>
      <c r="CL6" s="39" t="s">
        <v>2</v>
      </c>
      <c r="CM6" s="39"/>
      <c r="CN6" s="73"/>
      <c r="CO6" s="39" t="s">
        <v>43</v>
      </c>
      <c r="CP6" s="89">
        <v>43878</v>
      </c>
      <c r="CR6" s="270">
        <v>44109</v>
      </c>
      <c r="CS6" s="73"/>
      <c r="CT6" s="11" t="s">
        <v>525</v>
      </c>
      <c r="CU6" s="73">
        <v>7.5</v>
      </c>
      <c r="CV6" s="73"/>
      <c r="CW6" s="186">
        <f t="shared" si="5"/>
        <v>7.5</v>
      </c>
      <c r="CX6" s="186"/>
      <c r="CY6" s="73" t="s">
        <v>10</v>
      </c>
      <c r="CZ6" s="39"/>
      <c r="DA6" s="73"/>
      <c r="DB6" s="73" t="s">
        <v>77</v>
      </c>
      <c r="DC6" s="270">
        <v>44109</v>
      </c>
      <c r="DE6" s="18">
        <v>44092</v>
      </c>
      <c r="DF6" s="20"/>
      <c r="DG6" s="331" t="s">
        <v>569</v>
      </c>
      <c r="DH6" s="17">
        <v>1997</v>
      </c>
      <c r="DI6" s="17"/>
      <c r="DJ6" s="17">
        <f>DH6+DI6</f>
        <v>1997</v>
      </c>
      <c r="DK6" s="20"/>
      <c r="DL6" s="19" t="s">
        <v>9</v>
      </c>
      <c r="DM6" s="39"/>
      <c r="DN6" s="20"/>
      <c r="DO6" s="19" t="s">
        <v>43</v>
      </c>
      <c r="DP6" s="18">
        <v>44092</v>
      </c>
    </row>
    <row r="7" spans="1:120" ht="18.75" customHeight="1" x14ac:dyDescent="0.35">
      <c r="A7" s="221" t="s">
        <v>56</v>
      </c>
      <c r="B7" s="461"/>
      <c r="E7" s="185">
        <v>44090</v>
      </c>
      <c r="F7" s="73"/>
      <c r="G7" s="138" t="s">
        <v>399</v>
      </c>
      <c r="H7" s="186">
        <v>2272.5</v>
      </c>
      <c r="I7" s="186">
        <v>193.16</v>
      </c>
      <c r="J7" s="186">
        <f t="shared" si="0"/>
        <v>2465.66</v>
      </c>
      <c r="K7" s="186"/>
      <c r="L7" s="138" t="s">
        <v>9</v>
      </c>
      <c r="M7" s="39"/>
      <c r="N7" s="73"/>
      <c r="O7" s="138" t="s">
        <v>54</v>
      </c>
      <c r="P7" s="185">
        <v>44109</v>
      </c>
      <c r="Q7" s="199"/>
      <c r="R7" s="185">
        <v>44044</v>
      </c>
      <c r="S7" s="73"/>
      <c r="T7" s="11" t="s">
        <v>451</v>
      </c>
      <c r="U7" s="186">
        <v>78.290000000000006</v>
      </c>
      <c r="V7" s="11">
        <v>6.65</v>
      </c>
      <c r="W7" s="186">
        <f t="shared" si="1"/>
        <v>84.940000000000012</v>
      </c>
      <c r="X7" s="186"/>
      <c r="Y7" s="11" t="s">
        <v>8</v>
      </c>
      <c r="Z7" s="39"/>
      <c r="AA7" s="73"/>
      <c r="AB7" s="39" t="s">
        <v>54</v>
      </c>
      <c r="AC7" s="69">
        <v>44109</v>
      </c>
      <c r="AE7" s="46">
        <v>44078</v>
      </c>
      <c r="AF7" s="73"/>
      <c r="AG7" s="138" t="s">
        <v>477</v>
      </c>
      <c r="AH7" s="186">
        <v>733.21</v>
      </c>
      <c r="AI7" s="186"/>
      <c r="AJ7" s="186">
        <f t="shared" si="2"/>
        <v>733.21</v>
      </c>
      <c r="AK7" s="186"/>
      <c r="AL7" s="138" t="s">
        <v>9</v>
      </c>
      <c r="AM7" s="39"/>
      <c r="AN7" s="73"/>
      <c r="AO7" s="272" t="s">
        <v>58</v>
      </c>
      <c r="AP7" s="185">
        <v>43728</v>
      </c>
      <c r="AR7" s="161">
        <v>43955</v>
      </c>
      <c r="AS7" s="73"/>
      <c r="AT7" s="39" t="s">
        <v>482</v>
      </c>
      <c r="AU7" s="167">
        <v>-25.79</v>
      </c>
      <c r="AV7" s="167">
        <v>-2.19</v>
      </c>
      <c r="AW7" s="162">
        <f>AU7+AV7</f>
        <v>-27.98</v>
      </c>
      <c r="AX7" s="162"/>
      <c r="AY7" s="167" t="s">
        <v>13</v>
      </c>
      <c r="AZ7" s="39"/>
      <c r="BA7" s="73"/>
      <c r="BB7" s="95" t="s">
        <v>91</v>
      </c>
      <c r="BC7" s="161">
        <v>43955</v>
      </c>
      <c r="BE7" s="185">
        <v>44103</v>
      </c>
      <c r="BF7" s="73"/>
      <c r="BG7" s="73" t="s">
        <v>487</v>
      </c>
      <c r="BH7" s="11" t="s">
        <v>64</v>
      </c>
      <c r="BI7" s="186">
        <v>120</v>
      </c>
      <c r="BJ7" s="11">
        <v>10.199999999999999</v>
      </c>
      <c r="BK7" s="186">
        <f t="shared" si="3"/>
        <v>130.19999999999999</v>
      </c>
      <c r="BL7" s="11" t="s">
        <v>9</v>
      </c>
      <c r="BM7" s="39"/>
      <c r="BN7" s="73"/>
      <c r="BO7" s="39"/>
      <c r="BP7" s="11"/>
      <c r="BR7" s="185">
        <v>43970</v>
      </c>
      <c r="BS7" s="73"/>
      <c r="BT7" s="114" t="s">
        <v>503</v>
      </c>
      <c r="BU7" s="186">
        <v>29.41</v>
      </c>
      <c r="BV7" s="186">
        <v>2.5</v>
      </c>
      <c r="BW7" s="186">
        <f t="shared" si="6"/>
        <v>31.91</v>
      </c>
      <c r="BX7" s="186"/>
      <c r="BY7" s="138" t="s">
        <v>13</v>
      </c>
      <c r="BZ7" s="39"/>
      <c r="CA7" s="73"/>
      <c r="CB7" s="138" t="s">
        <v>43</v>
      </c>
      <c r="CC7" s="185">
        <v>43970</v>
      </c>
      <c r="CE7" s="185">
        <v>43877</v>
      </c>
      <c r="CF7" s="185"/>
      <c r="CG7" s="286" t="s">
        <v>510</v>
      </c>
      <c r="CH7" s="39">
        <v>128.59</v>
      </c>
      <c r="CI7" s="39">
        <v>25.72</v>
      </c>
      <c r="CJ7" s="186">
        <f t="shared" si="4"/>
        <v>154.31</v>
      </c>
      <c r="CK7" s="73"/>
      <c r="CL7" s="39" t="s">
        <v>2</v>
      </c>
      <c r="CM7" s="39"/>
      <c r="CN7" s="73"/>
      <c r="CO7" s="39" t="s">
        <v>43</v>
      </c>
      <c r="CP7" s="89">
        <v>43877</v>
      </c>
      <c r="CR7" s="270">
        <v>44106</v>
      </c>
      <c r="CS7" s="73"/>
      <c r="CT7" s="11" t="s">
        <v>526</v>
      </c>
      <c r="CU7" s="73">
        <v>4.3</v>
      </c>
      <c r="CV7" s="73"/>
      <c r="CW7" s="186">
        <f t="shared" si="5"/>
        <v>4.3</v>
      </c>
      <c r="CX7" s="186"/>
      <c r="CY7" s="73" t="s">
        <v>10</v>
      </c>
      <c r="CZ7" s="39"/>
      <c r="DA7" s="73"/>
      <c r="DB7" s="73" t="s">
        <v>77</v>
      </c>
      <c r="DC7" s="270">
        <v>44106</v>
      </c>
      <c r="DE7" s="18"/>
      <c r="DF7" s="39"/>
      <c r="DG7" s="17"/>
      <c r="DH7" s="39"/>
      <c r="DI7" s="17">
        <f t="shared" ref="DI7:DI80" si="7">DG7+DH7</f>
        <v>0</v>
      </c>
      <c r="DJ7" s="39"/>
      <c r="DK7" s="39"/>
      <c r="DL7" s="19"/>
      <c r="DM7" s="39"/>
      <c r="DN7" s="89"/>
      <c r="DO7" s="20"/>
      <c r="DP7" s="20"/>
    </row>
    <row r="8" spans="1:120" s="8" customFormat="1" ht="19" thickBot="1" x14ac:dyDescent="0.4">
      <c r="A8" s="221" t="s">
        <v>70</v>
      </c>
      <c r="B8" s="461"/>
      <c r="E8" s="185">
        <v>44075</v>
      </c>
      <c r="F8" s="163"/>
      <c r="G8" s="138" t="s">
        <v>400</v>
      </c>
      <c r="H8" s="186">
        <v>7.85</v>
      </c>
      <c r="I8" s="186"/>
      <c r="J8" s="186">
        <f t="shared" si="0"/>
        <v>7.85</v>
      </c>
      <c r="K8" s="186"/>
      <c r="L8" s="138" t="s">
        <v>8</v>
      </c>
      <c r="M8" s="39"/>
      <c r="N8" s="163"/>
      <c r="O8" s="138" t="s">
        <v>43</v>
      </c>
      <c r="P8" s="185">
        <v>44075</v>
      </c>
      <c r="Q8" s="199"/>
      <c r="R8" s="18">
        <v>44069</v>
      </c>
      <c r="S8" s="163"/>
      <c r="T8" s="11" t="s">
        <v>452</v>
      </c>
      <c r="U8" s="17">
        <v>68.36</v>
      </c>
      <c r="V8" s="11"/>
      <c r="W8" s="17">
        <f t="shared" si="1"/>
        <v>68.36</v>
      </c>
      <c r="X8" s="17"/>
      <c r="Y8" s="11" t="s">
        <v>8</v>
      </c>
      <c r="Z8" s="39"/>
      <c r="AA8" s="163"/>
      <c r="AB8" s="39" t="s">
        <v>58</v>
      </c>
      <c r="AC8" s="69">
        <v>44069</v>
      </c>
      <c r="AE8" s="185">
        <v>44093</v>
      </c>
      <c r="AF8" s="163"/>
      <c r="AG8" s="138" t="s">
        <v>478</v>
      </c>
      <c r="AH8" s="186">
        <v>823.43</v>
      </c>
      <c r="AI8" s="186"/>
      <c r="AJ8" s="186">
        <f t="shared" si="2"/>
        <v>823.43</v>
      </c>
      <c r="AK8" s="186"/>
      <c r="AL8" s="138" t="s">
        <v>9</v>
      </c>
      <c r="AM8" s="39"/>
      <c r="AN8" s="163"/>
      <c r="AO8" s="138" t="s">
        <v>58</v>
      </c>
      <c r="AP8" s="185">
        <v>44124</v>
      </c>
      <c r="AR8" s="185">
        <v>44074</v>
      </c>
      <c r="AS8" s="163"/>
      <c r="AT8" s="39" t="s">
        <v>483</v>
      </c>
      <c r="AU8" s="186">
        <v>264.83</v>
      </c>
      <c r="AV8" s="186">
        <v>22.51</v>
      </c>
      <c r="AW8" s="186">
        <f>AU8+AV8</f>
        <v>287.33999999999997</v>
      </c>
      <c r="AX8" s="186"/>
      <c r="AY8" s="138" t="s">
        <v>8</v>
      </c>
      <c r="AZ8" s="39"/>
      <c r="BA8" s="163"/>
      <c r="BB8" s="138" t="s">
        <v>54</v>
      </c>
      <c r="BC8" s="185">
        <v>44074</v>
      </c>
      <c r="BE8" s="185">
        <v>44074</v>
      </c>
      <c r="BF8" s="163"/>
      <c r="BG8" s="73" t="s">
        <v>488</v>
      </c>
      <c r="BH8" s="11" t="s">
        <v>64</v>
      </c>
      <c r="BI8" s="186">
        <v>120</v>
      </c>
      <c r="BJ8" s="11">
        <v>10.199999999999999</v>
      </c>
      <c r="BK8" s="186">
        <f t="shared" si="3"/>
        <v>130.19999999999999</v>
      </c>
      <c r="BL8" s="11" t="s">
        <v>8</v>
      </c>
      <c r="BM8" s="39"/>
      <c r="BN8" s="163"/>
      <c r="BO8" s="39"/>
      <c r="BP8" s="11"/>
      <c r="BR8" s="46">
        <v>43953</v>
      </c>
      <c r="BS8" s="163"/>
      <c r="BT8" s="114" t="s">
        <v>504</v>
      </c>
      <c r="BU8" s="186">
        <v>77.34</v>
      </c>
      <c r="BV8" s="186">
        <v>6.15</v>
      </c>
      <c r="BW8" s="186">
        <f t="shared" si="6"/>
        <v>83.490000000000009</v>
      </c>
      <c r="BX8" s="186"/>
      <c r="BY8" s="138" t="s">
        <v>13</v>
      </c>
      <c r="BZ8" s="39"/>
      <c r="CA8" s="163"/>
      <c r="CB8" s="138" t="s">
        <v>43</v>
      </c>
      <c r="CC8" s="185">
        <v>43953</v>
      </c>
      <c r="CE8" s="185">
        <v>43877</v>
      </c>
      <c r="CF8" s="185"/>
      <c r="CG8" s="286" t="s">
        <v>511</v>
      </c>
      <c r="CH8" s="39">
        <v>43.33</v>
      </c>
      <c r="CI8" s="39">
        <v>8.67</v>
      </c>
      <c r="CJ8" s="186">
        <f t="shared" si="4"/>
        <v>52</v>
      </c>
      <c r="CK8" s="163"/>
      <c r="CL8" s="39" t="s">
        <v>2</v>
      </c>
      <c r="CM8" s="39"/>
      <c r="CN8" s="163"/>
      <c r="CO8" s="39" t="s">
        <v>43</v>
      </c>
      <c r="CP8" s="89">
        <v>43877</v>
      </c>
      <c r="CR8" s="270">
        <v>44105</v>
      </c>
      <c r="CS8" s="163"/>
      <c r="CT8" s="11" t="s">
        <v>527</v>
      </c>
      <c r="CU8" s="73">
        <v>9.34</v>
      </c>
      <c r="CV8" s="73"/>
      <c r="CW8" s="186">
        <f t="shared" si="5"/>
        <v>9.34</v>
      </c>
      <c r="CX8" s="186"/>
      <c r="CY8" s="73" t="s">
        <v>10</v>
      </c>
      <c r="CZ8" s="39"/>
      <c r="DA8" s="163"/>
      <c r="DB8" s="73" t="s">
        <v>77</v>
      </c>
      <c r="DC8" s="270">
        <v>44105</v>
      </c>
      <c r="DE8" s="18"/>
      <c r="DF8" s="39"/>
      <c r="DG8" s="17"/>
      <c r="DH8" s="39"/>
      <c r="DI8" s="17">
        <f t="shared" si="7"/>
        <v>0</v>
      </c>
      <c r="DJ8" s="39"/>
      <c r="DK8" s="39"/>
      <c r="DL8" s="19"/>
      <c r="DM8" s="39"/>
      <c r="DN8" s="89"/>
      <c r="DO8" s="260"/>
      <c r="DP8" s="260"/>
    </row>
    <row r="9" spans="1:120" ht="15.75" customHeight="1" thickBot="1" x14ac:dyDescent="0.4">
      <c r="A9" s="222" t="s">
        <v>60</v>
      </c>
      <c r="B9" s="223" t="s">
        <v>122</v>
      </c>
      <c r="C9" s="57"/>
      <c r="E9" s="185">
        <v>44074</v>
      </c>
      <c r="F9" s="73"/>
      <c r="G9" s="138" t="s">
        <v>401</v>
      </c>
      <c r="H9" s="186">
        <v>170</v>
      </c>
      <c r="I9" s="186">
        <v>14.45</v>
      </c>
      <c r="J9" s="186">
        <f t="shared" si="0"/>
        <v>184.45</v>
      </c>
      <c r="K9" s="186"/>
      <c r="L9" s="138" t="s">
        <v>8</v>
      </c>
      <c r="M9" s="114"/>
      <c r="N9" s="73"/>
      <c r="O9" s="138" t="s">
        <v>43</v>
      </c>
      <c r="P9" s="185">
        <v>44074</v>
      </c>
      <c r="Q9" s="200"/>
      <c r="R9" s="185">
        <v>44013</v>
      </c>
      <c r="S9" s="73"/>
      <c r="T9" s="11" t="s">
        <v>453</v>
      </c>
      <c r="U9" s="186">
        <v>65.39</v>
      </c>
      <c r="V9" s="11">
        <v>5.56</v>
      </c>
      <c r="W9" s="186">
        <f t="shared" si="1"/>
        <v>70.95</v>
      </c>
      <c r="X9" s="186"/>
      <c r="Y9" s="11" t="s">
        <v>7</v>
      </c>
      <c r="Z9" s="114"/>
      <c r="AA9" s="73"/>
      <c r="AB9" s="272" t="s">
        <v>54</v>
      </c>
      <c r="AC9" s="185">
        <v>44041</v>
      </c>
      <c r="AE9" s="185">
        <v>43950</v>
      </c>
      <c r="AF9" s="73"/>
      <c r="AG9" s="138" t="s">
        <v>479</v>
      </c>
      <c r="AH9" s="186">
        <v>716.56</v>
      </c>
      <c r="AI9" s="186"/>
      <c r="AJ9" s="186">
        <f t="shared" si="2"/>
        <v>716.56</v>
      </c>
      <c r="AK9" s="186"/>
      <c r="AL9" s="186" t="s">
        <v>4</v>
      </c>
      <c r="AM9" s="114"/>
      <c r="AN9" s="73"/>
      <c r="AO9" s="186" t="s">
        <v>58</v>
      </c>
      <c r="AP9" s="185">
        <v>43971</v>
      </c>
      <c r="AR9" s="185">
        <v>43955</v>
      </c>
      <c r="AS9" s="73"/>
      <c r="AT9" s="39" t="s">
        <v>484</v>
      </c>
      <c r="AU9" s="186">
        <v>64.47</v>
      </c>
      <c r="AV9" s="186">
        <v>5.48</v>
      </c>
      <c r="AW9" s="186">
        <f>AU9+AV9</f>
        <v>69.95</v>
      </c>
      <c r="AX9" s="186"/>
      <c r="AY9" s="186" t="s">
        <v>13</v>
      </c>
      <c r="AZ9" s="114"/>
      <c r="BA9" s="73"/>
      <c r="BB9" s="186" t="s">
        <v>43</v>
      </c>
      <c r="BC9" s="185">
        <v>43955</v>
      </c>
      <c r="BE9" s="185">
        <v>44042</v>
      </c>
      <c r="BF9" s="73"/>
      <c r="BG9" s="73" t="s">
        <v>489</v>
      </c>
      <c r="BH9" s="11" t="s">
        <v>64</v>
      </c>
      <c r="BI9" s="186">
        <v>270</v>
      </c>
      <c r="BJ9" s="11">
        <v>22.95</v>
      </c>
      <c r="BK9" s="186">
        <f t="shared" si="3"/>
        <v>292.95</v>
      </c>
      <c r="BL9" s="11" t="s">
        <v>7</v>
      </c>
      <c r="BM9" s="114"/>
      <c r="BN9" s="73"/>
      <c r="BO9" s="39"/>
      <c r="BP9" s="11"/>
      <c r="BR9" s="185">
        <v>43862</v>
      </c>
      <c r="BS9" s="73"/>
      <c r="BT9" s="114" t="s">
        <v>505</v>
      </c>
      <c r="BU9" s="186">
        <v>7.3</v>
      </c>
      <c r="BV9" s="186">
        <v>0.62</v>
      </c>
      <c r="BW9" s="186">
        <f t="shared" si="6"/>
        <v>7.92</v>
      </c>
      <c r="BX9" s="186"/>
      <c r="BY9" s="138" t="s">
        <v>67</v>
      </c>
      <c r="BZ9" s="114"/>
      <c r="CA9" s="73"/>
      <c r="CB9" s="138" t="s">
        <v>77</v>
      </c>
      <c r="CC9" s="185">
        <v>43862</v>
      </c>
      <c r="CE9" s="158">
        <v>43874</v>
      </c>
      <c r="CF9" s="158"/>
      <c r="CG9" s="286" t="s">
        <v>512</v>
      </c>
      <c r="CH9" s="286">
        <v>9.5</v>
      </c>
      <c r="CI9" s="286"/>
      <c r="CJ9" s="160">
        <f t="shared" si="4"/>
        <v>9.5</v>
      </c>
      <c r="CK9" s="73"/>
      <c r="CL9" s="286" t="s">
        <v>2</v>
      </c>
      <c r="CM9" s="114"/>
      <c r="CN9" s="73"/>
      <c r="CO9" s="286" t="s">
        <v>53</v>
      </c>
      <c r="CP9" s="287">
        <v>43874</v>
      </c>
      <c r="CR9" s="270">
        <v>44104</v>
      </c>
      <c r="CS9" s="73"/>
      <c r="CT9" s="11" t="s">
        <v>528</v>
      </c>
      <c r="CU9" s="73">
        <v>6</v>
      </c>
      <c r="CV9" s="73"/>
      <c r="CW9" s="186">
        <f t="shared" si="5"/>
        <v>6</v>
      </c>
      <c r="CX9" s="186"/>
      <c r="CY9" s="73" t="s">
        <v>9</v>
      </c>
      <c r="CZ9" s="114"/>
      <c r="DA9" s="73"/>
      <c r="DB9" s="73" t="s">
        <v>77</v>
      </c>
      <c r="DC9" s="270">
        <v>44104</v>
      </c>
      <c r="DE9" s="18"/>
      <c r="DF9" s="39"/>
      <c r="DG9" s="17"/>
      <c r="DH9" s="39"/>
      <c r="DI9" s="17">
        <f t="shared" si="7"/>
        <v>0</v>
      </c>
      <c r="DJ9" s="39"/>
      <c r="DK9" s="39"/>
      <c r="DL9" s="19"/>
      <c r="DM9" s="114"/>
      <c r="DN9" s="89"/>
      <c r="DO9" s="20"/>
      <c r="DP9" s="20"/>
    </row>
    <row r="10" spans="1:120" ht="14.5" customHeight="1" x14ac:dyDescent="0.35">
      <c r="A10" s="224" t="s">
        <v>62</v>
      </c>
      <c r="B10" s="460" t="s">
        <v>61</v>
      </c>
      <c r="C10" s="57"/>
      <c r="E10" s="18">
        <v>44071</v>
      </c>
      <c r="F10" s="73"/>
      <c r="G10" s="138" t="s">
        <v>402</v>
      </c>
      <c r="H10" s="17">
        <v>160</v>
      </c>
      <c r="I10" s="17"/>
      <c r="J10" s="17">
        <f t="shared" si="0"/>
        <v>160</v>
      </c>
      <c r="K10" s="17"/>
      <c r="L10" s="19" t="s">
        <v>8</v>
      </c>
      <c r="M10" s="138"/>
      <c r="N10" s="73"/>
      <c r="O10" s="19" t="s">
        <v>77</v>
      </c>
      <c r="P10" s="18">
        <v>44071</v>
      </c>
      <c r="Q10" s="15"/>
      <c r="R10" s="18">
        <v>44069</v>
      </c>
      <c r="S10" s="73"/>
      <c r="T10" s="11" t="s">
        <v>454</v>
      </c>
      <c r="U10" s="17">
        <v>39.17</v>
      </c>
      <c r="V10" s="11"/>
      <c r="W10" s="17">
        <f t="shared" si="1"/>
        <v>39.17</v>
      </c>
      <c r="X10" s="17"/>
      <c r="Y10" s="11" t="s">
        <v>8</v>
      </c>
      <c r="Z10" s="138"/>
      <c r="AA10" s="73"/>
      <c r="AB10" s="39" t="s">
        <v>43</v>
      </c>
      <c r="AC10" s="69">
        <v>44097</v>
      </c>
      <c r="AE10" s="185"/>
      <c r="AF10" s="73"/>
      <c r="AG10" s="11"/>
      <c r="AH10" s="186"/>
      <c r="AI10" s="11"/>
      <c r="AJ10" s="186">
        <f t="shared" si="2"/>
        <v>0</v>
      </c>
      <c r="AK10" s="11"/>
      <c r="AL10" s="11"/>
      <c r="AM10" s="138"/>
      <c r="AN10" s="11"/>
      <c r="AO10" s="39"/>
      <c r="AP10" s="11"/>
      <c r="AR10" s="185"/>
      <c r="AS10" s="11"/>
      <c r="AT10" s="186"/>
      <c r="AU10" s="11"/>
      <c r="AV10" s="186">
        <f t="shared" ref="AV10:AV67" si="8">AT10+AU10</f>
        <v>0</v>
      </c>
      <c r="AW10" s="186"/>
      <c r="AX10" s="186"/>
      <c r="AY10" s="11"/>
      <c r="AZ10" s="138"/>
      <c r="BA10" s="73"/>
      <c r="BB10" s="39"/>
      <c r="BC10" s="11"/>
      <c r="BE10" s="185">
        <v>44011</v>
      </c>
      <c r="BF10" s="73"/>
      <c r="BG10" s="73" t="s">
        <v>490</v>
      </c>
      <c r="BH10" s="11" t="s">
        <v>64</v>
      </c>
      <c r="BI10" s="186">
        <v>120</v>
      </c>
      <c r="BJ10" s="11">
        <v>10.199999999999999</v>
      </c>
      <c r="BK10" s="186">
        <f t="shared" si="3"/>
        <v>130.19999999999999</v>
      </c>
      <c r="BL10" s="11" t="s">
        <v>6</v>
      </c>
      <c r="BM10" s="138"/>
      <c r="BN10" s="73"/>
      <c r="BO10" s="39"/>
      <c r="BP10" s="11"/>
      <c r="BR10" s="185">
        <v>43897</v>
      </c>
      <c r="BS10" s="73"/>
      <c r="BT10" s="114" t="s">
        <v>506</v>
      </c>
      <c r="BU10" s="186">
        <v>86.74</v>
      </c>
      <c r="BV10" s="186">
        <v>7.37</v>
      </c>
      <c r="BW10" s="186">
        <f t="shared" si="6"/>
        <v>94.11</v>
      </c>
      <c r="BX10" s="186"/>
      <c r="BY10" s="138" t="s">
        <v>3</v>
      </c>
      <c r="BZ10" s="138"/>
      <c r="CA10" s="73"/>
      <c r="CB10" s="138" t="s">
        <v>43</v>
      </c>
      <c r="CC10" s="185">
        <v>43897</v>
      </c>
      <c r="CE10" s="185">
        <v>43872</v>
      </c>
      <c r="CF10" s="185"/>
      <c r="CG10" s="286" t="s">
        <v>513</v>
      </c>
      <c r="CH10" s="39">
        <v>419.41</v>
      </c>
      <c r="CI10" s="39">
        <v>41.49</v>
      </c>
      <c r="CJ10" s="186">
        <f t="shared" si="4"/>
        <v>460.90000000000003</v>
      </c>
      <c r="CK10" s="73"/>
      <c r="CL10" s="39" t="s">
        <v>2</v>
      </c>
      <c r="CM10" s="138"/>
      <c r="CN10" s="73"/>
      <c r="CO10" s="39" t="s">
        <v>43</v>
      </c>
      <c r="CP10" s="89">
        <v>43872</v>
      </c>
      <c r="CR10" s="185">
        <v>44091</v>
      </c>
      <c r="CS10" s="73"/>
      <c r="CT10" s="11" t="s">
        <v>529</v>
      </c>
      <c r="CU10" s="186">
        <v>11.26</v>
      </c>
      <c r="CV10" s="39">
        <v>0.24</v>
      </c>
      <c r="CW10" s="186">
        <f t="shared" si="5"/>
        <v>11.5</v>
      </c>
      <c r="CX10" s="186"/>
      <c r="CY10" s="39" t="s">
        <v>9</v>
      </c>
      <c r="CZ10" s="138"/>
      <c r="DA10" s="73"/>
      <c r="DB10" s="138" t="s">
        <v>43</v>
      </c>
      <c r="DC10" s="89">
        <v>44091</v>
      </c>
      <c r="DE10" s="18"/>
      <c r="DF10" s="39"/>
      <c r="DG10" s="17"/>
      <c r="DH10" s="39"/>
      <c r="DI10" s="17">
        <f t="shared" si="7"/>
        <v>0</v>
      </c>
      <c r="DJ10" s="39"/>
      <c r="DK10" s="19"/>
      <c r="DL10" s="19"/>
      <c r="DM10" s="138"/>
      <c r="DN10" s="89"/>
      <c r="DO10" s="20"/>
      <c r="DP10" s="20"/>
    </row>
    <row r="11" spans="1:120" ht="14.5" customHeight="1" x14ac:dyDescent="0.35">
      <c r="A11" s="224" t="s">
        <v>63</v>
      </c>
      <c r="B11" s="461"/>
      <c r="C11" s="44"/>
      <c r="E11" s="18">
        <v>44065</v>
      </c>
      <c r="F11" s="73"/>
      <c r="G11" s="138" t="s">
        <v>403</v>
      </c>
      <c r="H11" s="17">
        <v>11.5</v>
      </c>
      <c r="I11" s="17"/>
      <c r="J11" s="17">
        <f t="shared" si="0"/>
        <v>11.5</v>
      </c>
      <c r="K11" s="17"/>
      <c r="L11" s="19" t="s">
        <v>8</v>
      </c>
      <c r="M11" s="138"/>
      <c r="N11" s="73"/>
      <c r="O11" s="19" t="s">
        <v>43</v>
      </c>
      <c r="P11" s="18">
        <v>44065</v>
      </c>
      <c r="Q11" s="15"/>
      <c r="R11" s="185">
        <v>44036</v>
      </c>
      <c r="S11" s="73"/>
      <c r="T11" s="11" t="s">
        <v>455</v>
      </c>
      <c r="U11" s="186">
        <v>63</v>
      </c>
      <c r="V11" s="11">
        <v>5.36</v>
      </c>
      <c r="W11" s="186">
        <f t="shared" si="1"/>
        <v>68.36</v>
      </c>
      <c r="X11" s="186"/>
      <c r="Y11" s="11" t="s">
        <v>7</v>
      </c>
      <c r="Z11" s="138"/>
      <c r="AA11" s="73"/>
      <c r="AB11" s="39" t="s">
        <v>58</v>
      </c>
      <c r="AC11" s="69">
        <v>44036</v>
      </c>
      <c r="AE11" s="185"/>
      <c r="AF11" s="11"/>
      <c r="AG11" s="186"/>
      <c r="AH11" s="11"/>
      <c r="AI11" s="186">
        <f t="shared" ref="AI11:AI67" si="9">AG11+AH11</f>
        <v>0</v>
      </c>
      <c r="AJ11" s="11"/>
      <c r="AK11" s="11"/>
      <c r="AL11" s="11"/>
      <c r="AM11" s="138"/>
      <c r="AN11" s="11"/>
      <c r="AO11" s="39"/>
      <c r="AP11" s="11"/>
      <c r="AR11" s="185"/>
      <c r="AS11" s="11"/>
      <c r="AT11" s="186"/>
      <c r="AU11" s="11"/>
      <c r="AV11" s="186">
        <f t="shared" si="8"/>
        <v>0</v>
      </c>
      <c r="AW11" s="186"/>
      <c r="AX11" s="186"/>
      <c r="AY11" s="11"/>
      <c r="AZ11" s="138"/>
      <c r="BA11" s="11"/>
      <c r="BB11" s="39"/>
      <c r="BC11" s="11"/>
      <c r="BE11" s="46">
        <v>43980</v>
      </c>
      <c r="BF11" s="73"/>
      <c r="BG11" s="73" t="s">
        <v>491</v>
      </c>
      <c r="BH11" s="138" t="s">
        <v>64</v>
      </c>
      <c r="BI11" s="186">
        <v>120</v>
      </c>
      <c r="BJ11" s="186">
        <v>10.199999999999999</v>
      </c>
      <c r="BK11" s="186">
        <f t="shared" si="3"/>
        <v>130.19999999999999</v>
      </c>
      <c r="BL11" s="138" t="s">
        <v>13</v>
      </c>
      <c r="BM11" s="138"/>
      <c r="BN11" s="73"/>
      <c r="BO11" s="272"/>
      <c r="BP11" s="138"/>
      <c r="BR11" s="185">
        <v>43859</v>
      </c>
      <c r="BS11" s="73"/>
      <c r="BT11" s="114" t="s">
        <v>507</v>
      </c>
      <c r="BU11" s="186">
        <v>9.2100000000000009</v>
      </c>
      <c r="BV11" s="186">
        <v>0.78</v>
      </c>
      <c r="BW11" s="186">
        <f t="shared" si="6"/>
        <v>9.99</v>
      </c>
      <c r="BX11" s="186"/>
      <c r="BY11" s="186" t="s">
        <v>1</v>
      </c>
      <c r="BZ11" s="138"/>
      <c r="CA11" s="73"/>
      <c r="CB11" s="186" t="s">
        <v>77</v>
      </c>
      <c r="CC11" s="185">
        <v>43859</v>
      </c>
      <c r="CE11" s="185">
        <v>43872</v>
      </c>
      <c r="CF11" s="185"/>
      <c r="CG11" s="286" t="s">
        <v>514</v>
      </c>
      <c r="CH11" s="39">
        <v>148</v>
      </c>
      <c r="CI11" s="39"/>
      <c r="CJ11" s="186">
        <f t="shared" si="4"/>
        <v>148</v>
      </c>
      <c r="CK11" s="73"/>
      <c r="CL11" s="39" t="s">
        <v>2</v>
      </c>
      <c r="CM11" s="138"/>
      <c r="CN11" s="73"/>
      <c r="CO11" s="39" t="s">
        <v>43</v>
      </c>
      <c r="CP11" s="89">
        <v>43872</v>
      </c>
      <c r="CR11" s="185">
        <v>44090</v>
      </c>
      <c r="CS11" s="73"/>
      <c r="CT11" s="11" t="s">
        <v>530</v>
      </c>
      <c r="CU11" s="186">
        <v>21.52</v>
      </c>
      <c r="CV11" s="39"/>
      <c r="CW11" s="186">
        <f t="shared" si="5"/>
        <v>21.52</v>
      </c>
      <c r="CX11" s="186"/>
      <c r="CY11" s="39" t="s">
        <v>9</v>
      </c>
      <c r="CZ11" s="138"/>
      <c r="DA11" s="73"/>
      <c r="DB11" s="138" t="s">
        <v>43</v>
      </c>
      <c r="DC11" s="89">
        <v>44090</v>
      </c>
      <c r="DE11" s="18"/>
      <c r="DF11" s="39"/>
      <c r="DG11" s="39"/>
      <c r="DH11" s="39"/>
      <c r="DI11" s="17">
        <f t="shared" si="7"/>
        <v>0</v>
      </c>
      <c r="DJ11" s="39"/>
      <c r="DK11" s="19"/>
      <c r="DL11" s="19"/>
      <c r="DM11" s="138"/>
      <c r="DN11" s="89"/>
      <c r="DO11" s="20"/>
      <c r="DP11" s="20"/>
    </row>
    <row r="12" spans="1:120" ht="14.5" customHeight="1" thickBot="1" x14ac:dyDescent="0.4">
      <c r="A12" s="224" t="s">
        <v>64</v>
      </c>
      <c r="B12" s="462"/>
      <c r="C12" s="43"/>
      <c r="E12" s="185">
        <v>44063</v>
      </c>
      <c r="F12" s="73"/>
      <c r="G12" s="138" t="s">
        <v>404</v>
      </c>
      <c r="H12" s="186">
        <v>53.02</v>
      </c>
      <c r="I12" s="186"/>
      <c r="J12" s="186">
        <f t="shared" si="0"/>
        <v>53.02</v>
      </c>
      <c r="K12" s="186"/>
      <c r="L12" s="138" t="s">
        <v>8</v>
      </c>
      <c r="M12" s="95"/>
      <c r="N12" s="73"/>
      <c r="O12" s="138" t="s">
        <v>43</v>
      </c>
      <c r="P12" s="185">
        <v>44072</v>
      </c>
      <c r="Q12" s="15"/>
      <c r="R12" s="134">
        <v>43921</v>
      </c>
      <c r="S12" s="73"/>
      <c r="T12" s="11" t="s">
        <v>456</v>
      </c>
      <c r="U12" s="40">
        <v>88.34</v>
      </c>
      <c r="V12" s="40">
        <v>7.51</v>
      </c>
      <c r="W12" s="40">
        <f t="shared" si="1"/>
        <v>95.850000000000009</v>
      </c>
      <c r="X12" s="40"/>
      <c r="Y12" s="40" t="s">
        <v>3</v>
      </c>
      <c r="Z12" s="95"/>
      <c r="AA12" s="73"/>
      <c r="AB12" s="72" t="s">
        <v>54</v>
      </c>
      <c r="AC12" s="185">
        <v>44055</v>
      </c>
      <c r="AE12" s="185"/>
      <c r="AF12" s="11"/>
      <c r="AG12" s="186"/>
      <c r="AH12" s="11"/>
      <c r="AI12" s="186">
        <f t="shared" si="9"/>
        <v>0</v>
      </c>
      <c r="AJ12" s="11"/>
      <c r="AK12" s="11"/>
      <c r="AL12" s="11"/>
      <c r="AM12" s="95"/>
      <c r="AN12" s="11"/>
      <c r="AO12" s="39"/>
      <c r="AP12" s="11"/>
      <c r="AR12" s="185"/>
      <c r="AS12" s="11"/>
      <c r="AT12" s="186"/>
      <c r="AU12" s="11"/>
      <c r="AV12" s="186">
        <f t="shared" si="8"/>
        <v>0</v>
      </c>
      <c r="AW12" s="186"/>
      <c r="AX12" s="186"/>
      <c r="AY12" s="11"/>
      <c r="AZ12" s="95"/>
      <c r="BA12" s="11"/>
      <c r="BB12" s="39"/>
      <c r="BC12" s="11"/>
      <c r="BE12" s="185">
        <v>43951</v>
      </c>
      <c r="BF12" s="73"/>
      <c r="BG12" s="73" t="s">
        <v>492</v>
      </c>
      <c r="BH12" s="138" t="s">
        <v>64</v>
      </c>
      <c r="BI12" s="186">
        <v>120</v>
      </c>
      <c r="BJ12" s="186">
        <v>10.199999999999999</v>
      </c>
      <c r="BK12" s="186">
        <f t="shared" si="3"/>
        <v>130.19999999999999</v>
      </c>
      <c r="BL12" s="138" t="s">
        <v>4</v>
      </c>
      <c r="BM12" s="95"/>
      <c r="BN12" s="73"/>
      <c r="BO12" s="138"/>
      <c r="BP12" s="295"/>
      <c r="BR12" s="185">
        <v>43998</v>
      </c>
      <c r="BS12" s="73"/>
      <c r="BT12" s="114" t="s">
        <v>508</v>
      </c>
      <c r="BU12" s="39">
        <v>74.290000000000006</v>
      </c>
      <c r="BV12" s="39">
        <v>6.31</v>
      </c>
      <c r="BW12" s="186">
        <f>BU12+BV12</f>
        <v>80.600000000000009</v>
      </c>
      <c r="BX12" s="39"/>
      <c r="BY12" s="39" t="s">
        <v>6</v>
      </c>
      <c r="BZ12" s="95"/>
      <c r="CA12" s="73"/>
      <c r="CB12" s="39" t="s">
        <v>54</v>
      </c>
      <c r="CC12" s="89">
        <v>44109</v>
      </c>
      <c r="CE12" s="185">
        <v>43871</v>
      </c>
      <c r="CF12" s="185"/>
      <c r="CG12" s="286" t="s">
        <v>515</v>
      </c>
      <c r="CH12" s="39">
        <v>5.67</v>
      </c>
      <c r="CI12" s="39">
        <v>1.1299999999999999</v>
      </c>
      <c r="CJ12" s="186">
        <f t="shared" si="4"/>
        <v>6.8</v>
      </c>
      <c r="CK12" s="73"/>
      <c r="CL12" s="39" t="s">
        <v>2</v>
      </c>
      <c r="CM12" s="95"/>
      <c r="CN12" s="73"/>
      <c r="CO12" s="39" t="s">
        <v>43</v>
      </c>
      <c r="CP12" s="89">
        <v>43871</v>
      </c>
      <c r="CR12" s="185">
        <v>44067</v>
      </c>
      <c r="CS12" s="73"/>
      <c r="CT12" s="11" t="s">
        <v>531</v>
      </c>
      <c r="CU12" s="186">
        <v>8.5</v>
      </c>
      <c r="CV12" s="39"/>
      <c r="CW12" s="186">
        <f t="shared" si="5"/>
        <v>8.5</v>
      </c>
      <c r="CX12" s="186"/>
      <c r="CY12" s="39" t="s">
        <v>8</v>
      </c>
      <c r="CZ12" s="95"/>
      <c r="DA12" s="73"/>
      <c r="DB12" s="138" t="s">
        <v>77</v>
      </c>
      <c r="DC12" s="89">
        <v>44067</v>
      </c>
      <c r="DE12" s="18"/>
      <c r="DF12" s="39"/>
      <c r="DG12" s="17"/>
      <c r="DH12" s="39"/>
      <c r="DI12" s="17">
        <f t="shared" si="7"/>
        <v>0</v>
      </c>
      <c r="DJ12" s="39"/>
      <c r="DK12" s="17"/>
      <c r="DL12" s="19"/>
      <c r="DM12" s="95"/>
      <c r="DN12" s="89"/>
      <c r="DO12" s="20"/>
      <c r="DP12" s="20"/>
    </row>
    <row r="13" spans="1:120" ht="14.5" customHeight="1" x14ac:dyDescent="0.35">
      <c r="A13" s="225" t="s">
        <v>132</v>
      </c>
      <c r="B13" s="460" t="s">
        <v>65</v>
      </c>
      <c r="C13" s="43"/>
      <c r="E13" s="185">
        <v>44063</v>
      </c>
      <c r="F13" s="73"/>
      <c r="G13" s="138" t="s">
        <v>405</v>
      </c>
      <c r="H13" s="186">
        <v>210</v>
      </c>
      <c r="I13" s="186">
        <v>17.850000000000001</v>
      </c>
      <c r="J13" s="186">
        <f t="shared" si="0"/>
        <v>227.85</v>
      </c>
      <c r="K13" s="186"/>
      <c r="L13" s="138" t="s">
        <v>8</v>
      </c>
      <c r="M13" s="138"/>
      <c r="N13" s="73"/>
      <c r="O13" s="138" t="s">
        <v>78</v>
      </c>
      <c r="P13" s="185">
        <v>44106</v>
      </c>
      <c r="Q13" s="15"/>
      <c r="R13" s="185">
        <v>43983</v>
      </c>
      <c r="S13" s="73"/>
      <c r="T13" s="11" t="s">
        <v>457</v>
      </c>
      <c r="U13" s="11">
        <v>47.75</v>
      </c>
      <c r="V13" s="11">
        <v>4.0599999999999996</v>
      </c>
      <c r="W13" s="186">
        <f t="shared" si="1"/>
        <v>51.81</v>
      </c>
      <c r="X13" s="186"/>
      <c r="Y13" s="11" t="s">
        <v>6</v>
      </c>
      <c r="Z13" s="138"/>
      <c r="AA13" s="73"/>
      <c r="AB13" s="272" t="s">
        <v>54</v>
      </c>
      <c r="AC13" s="185">
        <v>44041</v>
      </c>
      <c r="AE13" s="185"/>
      <c r="AF13" s="11"/>
      <c r="AG13" s="186"/>
      <c r="AH13" s="11"/>
      <c r="AI13" s="186">
        <f t="shared" si="9"/>
        <v>0</v>
      </c>
      <c r="AJ13" s="11"/>
      <c r="AK13" s="11"/>
      <c r="AL13" s="11"/>
      <c r="AM13" s="138"/>
      <c r="AN13" s="11"/>
      <c r="AO13" s="39"/>
      <c r="AP13" s="11"/>
      <c r="AR13" s="185"/>
      <c r="AS13" s="11"/>
      <c r="AT13" s="186"/>
      <c r="AU13" s="11"/>
      <c r="AV13" s="186">
        <f t="shared" si="8"/>
        <v>0</v>
      </c>
      <c r="AW13" s="186"/>
      <c r="AX13" s="186"/>
      <c r="AY13" s="11"/>
      <c r="AZ13" s="138"/>
      <c r="BA13" s="11"/>
      <c r="BB13" s="39"/>
      <c r="BC13" s="11"/>
      <c r="BE13" s="185">
        <v>44043</v>
      </c>
      <c r="BF13" s="73"/>
      <c r="BG13" s="73" t="s">
        <v>493</v>
      </c>
      <c r="BH13" s="11" t="s">
        <v>63</v>
      </c>
      <c r="BI13" s="186">
        <v>300.2</v>
      </c>
      <c r="BJ13" s="11">
        <v>25.52</v>
      </c>
      <c r="BK13" s="186">
        <f t="shared" si="3"/>
        <v>325.71999999999997</v>
      </c>
      <c r="BL13" s="11" t="s">
        <v>7</v>
      </c>
      <c r="BM13" s="138"/>
      <c r="BN13" s="73"/>
      <c r="BO13" s="39" t="s">
        <v>54</v>
      </c>
      <c r="BP13" s="69">
        <v>44109</v>
      </c>
      <c r="BR13" s="185"/>
      <c r="BS13" s="39"/>
      <c r="BT13" s="186"/>
      <c r="BU13" s="39"/>
      <c r="BV13" s="186">
        <f t="shared" ref="BV13:BV67" si="10">BT13+BU13</f>
        <v>0</v>
      </c>
      <c r="BW13" s="39"/>
      <c r="BX13" s="39"/>
      <c r="BY13" s="39"/>
      <c r="BZ13" s="138"/>
      <c r="CA13" s="39"/>
      <c r="CB13" s="39"/>
      <c r="CC13" s="39"/>
      <c r="CE13" s="185">
        <v>43871</v>
      </c>
      <c r="CF13" s="185"/>
      <c r="CG13" s="286" t="s">
        <v>516</v>
      </c>
      <c r="CH13" s="39">
        <v>5.08</v>
      </c>
      <c r="CI13" s="39">
        <v>1.02</v>
      </c>
      <c r="CJ13" s="186">
        <f t="shared" si="4"/>
        <v>6.1</v>
      </c>
      <c r="CK13" s="73"/>
      <c r="CL13" s="39" t="s">
        <v>2</v>
      </c>
      <c r="CM13" s="138"/>
      <c r="CN13" s="73"/>
      <c r="CO13" s="39" t="s">
        <v>43</v>
      </c>
      <c r="CP13" s="89">
        <v>43871</v>
      </c>
      <c r="CR13" s="185">
        <v>44063</v>
      </c>
      <c r="CS13" s="73"/>
      <c r="CT13" s="11" t="s">
        <v>532</v>
      </c>
      <c r="CU13" s="186">
        <v>22</v>
      </c>
      <c r="CV13" s="39"/>
      <c r="CW13" s="186">
        <f t="shared" si="5"/>
        <v>22</v>
      </c>
      <c r="CX13" s="186"/>
      <c r="CY13" s="39" t="s">
        <v>8</v>
      </c>
      <c r="CZ13" s="138"/>
      <c r="DA13" s="73"/>
      <c r="DB13" s="138" t="s">
        <v>43</v>
      </c>
      <c r="DC13" s="89">
        <v>44063</v>
      </c>
      <c r="DE13" s="18"/>
      <c r="DF13" s="39"/>
      <c r="DG13" s="17"/>
      <c r="DH13" s="39"/>
      <c r="DI13" s="17">
        <f t="shared" si="7"/>
        <v>0</v>
      </c>
      <c r="DJ13" s="39"/>
      <c r="DK13" s="17"/>
      <c r="DL13" s="19"/>
      <c r="DM13" s="138"/>
      <c r="DN13" s="89"/>
      <c r="DO13" s="20"/>
      <c r="DP13" s="20"/>
    </row>
    <row r="14" spans="1:120" ht="14.5" customHeight="1" x14ac:dyDescent="0.35">
      <c r="A14" s="226" t="s">
        <v>133</v>
      </c>
      <c r="B14" s="461"/>
      <c r="C14" s="43"/>
      <c r="E14" s="185">
        <v>44062</v>
      </c>
      <c r="F14" s="73"/>
      <c r="G14" s="138" t="s">
        <v>406</v>
      </c>
      <c r="H14" s="186">
        <v>400</v>
      </c>
      <c r="I14" s="186"/>
      <c r="J14" s="186">
        <f t="shared" si="0"/>
        <v>400</v>
      </c>
      <c r="K14" s="186"/>
      <c r="L14" s="138" t="s">
        <v>8</v>
      </c>
      <c r="M14" s="138"/>
      <c r="N14" s="73"/>
      <c r="O14" s="185" t="s">
        <v>54</v>
      </c>
      <c r="P14" s="185">
        <v>44062</v>
      </c>
      <c r="Q14" s="15"/>
      <c r="R14" s="185">
        <v>44018</v>
      </c>
      <c r="S14" s="73"/>
      <c r="T14" s="11" t="s">
        <v>458</v>
      </c>
      <c r="U14" s="186">
        <v>46.06</v>
      </c>
      <c r="V14" s="11">
        <v>3.92</v>
      </c>
      <c r="W14" s="186">
        <v>91.25</v>
      </c>
      <c r="X14" s="186"/>
      <c r="Y14" s="11" t="s">
        <v>7</v>
      </c>
      <c r="Z14" s="138"/>
      <c r="AA14" s="73"/>
      <c r="AB14" s="39" t="s">
        <v>43</v>
      </c>
      <c r="AC14" s="69">
        <v>44018</v>
      </c>
      <c r="AE14" s="185"/>
      <c r="AF14" s="11"/>
      <c r="AG14" s="11"/>
      <c r="AH14" s="11"/>
      <c r="AI14" s="186">
        <f t="shared" si="9"/>
        <v>0</v>
      </c>
      <c r="AJ14" s="11"/>
      <c r="AK14" s="11"/>
      <c r="AL14" s="11"/>
      <c r="AM14" s="138"/>
      <c r="AN14" s="11"/>
      <c r="AO14" s="39"/>
      <c r="AP14" s="11"/>
      <c r="AR14" s="185"/>
      <c r="AS14" s="11"/>
      <c r="AT14" s="11"/>
      <c r="AU14" s="11"/>
      <c r="AV14" s="186">
        <f t="shared" si="8"/>
        <v>0</v>
      </c>
      <c r="AW14" s="186"/>
      <c r="AX14" s="186"/>
      <c r="AY14" s="11"/>
      <c r="AZ14" s="138"/>
      <c r="BA14" s="11"/>
      <c r="BB14" s="39"/>
      <c r="BC14" s="11"/>
      <c r="BE14" s="185">
        <v>44012</v>
      </c>
      <c r="BF14" s="73"/>
      <c r="BG14" s="73" t="s">
        <v>494</v>
      </c>
      <c r="BH14" s="11" t="s">
        <v>63</v>
      </c>
      <c r="BI14" s="186">
        <v>240.16</v>
      </c>
      <c r="BJ14" s="11">
        <v>20.420000000000002</v>
      </c>
      <c r="BK14" s="186">
        <f t="shared" si="3"/>
        <v>260.58</v>
      </c>
      <c r="BL14" s="11" t="s">
        <v>6</v>
      </c>
      <c r="BM14" s="138"/>
      <c r="BN14" s="73"/>
      <c r="BO14" s="39" t="s">
        <v>54</v>
      </c>
      <c r="BP14" s="69">
        <v>44109</v>
      </c>
      <c r="BR14" s="185"/>
      <c r="BS14" s="39"/>
      <c r="BT14" s="186"/>
      <c r="BU14" s="39"/>
      <c r="BV14" s="186">
        <f t="shared" si="10"/>
        <v>0</v>
      </c>
      <c r="BW14" s="39"/>
      <c r="BX14" s="39"/>
      <c r="BY14" s="39"/>
      <c r="BZ14" s="138"/>
      <c r="CA14" s="39"/>
      <c r="CB14" s="39"/>
      <c r="CC14" s="39"/>
      <c r="CE14" s="185">
        <v>43840</v>
      </c>
      <c r="CF14" s="185"/>
      <c r="CG14" s="286" t="s">
        <v>517</v>
      </c>
      <c r="CH14" s="39">
        <v>154.31</v>
      </c>
      <c r="CI14" s="39"/>
      <c r="CJ14" s="186">
        <f t="shared" si="4"/>
        <v>154.31</v>
      </c>
      <c r="CK14" s="73"/>
      <c r="CL14" s="39" t="s">
        <v>1</v>
      </c>
      <c r="CM14" s="138"/>
      <c r="CN14" s="73"/>
      <c r="CO14" s="39" t="s">
        <v>43</v>
      </c>
      <c r="CP14" s="89">
        <v>43839</v>
      </c>
      <c r="CR14" s="185">
        <v>44061</v>
      </c>
      <c r="CS14" s="73"/>
      <c r="CT14" s="11" t="s">
        <v>533</v>
      </c>
      <c r="CU14" s="186">
        <v>33.799999999999997</v>
      </c>
      <c r="CV14" s="39"/>
      <c r="CW14" s="186">
        <f t="shared" si="5"/>
        <v>33.799999999999997</v>
      </c>
      <c r="CX14" s="186"/>
      <c r="CY14" s="39" t="s">
        <v>8</v>
      </c>
      <c r="CZ14" s="138"/>
      <c r="DA14" s="73"/>
      <c r="DB14" s="138" t="s">
        <v>43</v>
      </c>
      <c r="DC14" s="89">
        <v>44061</v>
      </c>
      <c r="DE14" s="18"/>
      <c r="DF14" s="39"/>
      <c r="DG14" s="17"/>
      <c r="DH14" s="39"/>
      <c r="DI14" s="17">
        <f t="shared" si="7"/>
        <v>0</v>
      </c>
      <c r="DJ14" s="39"/>
      <c r="DK14" s="17"/>
      <c r="DL14" s="19"/>
      <c r="DM14" s="138"/>
      <c r="DN14" s="89"/>
      <c r="DO14" s="20"/>
      <c r="DP14" s="20"/>
    </row>
    <row r="15" spans="1:120" ht="14.5" customHeight="1" thickBot="1" x14ac:dyDescent="0.4">
      <c r="A15" s="227" t="s">
        <v>66</v>
      </c>
      <c r="B15" s="178"/>
      <c r="C15" s="43"/>
      <c r="E15" s="185">
        <v>44062</v>
      </c>
      <c r="F15" s="73"/>
      <c r="G15" s="138" t="s">
        <v>407</v>
      </c>
      <c r="H15" s="186">
        <v>74.900000000000006</v>
      </c>
      <c r="I15" s="186"/>
      <c r="J15" s="186">
        <f t="shared" si="0"/>
        <v>74.900000000000006</v>
      </c>
      <c r="K15" s="186"/>
      <c r="L15" s="138" t="s">
        <v>8</v>
      </c>
      <c r="M15" s="39"/>
      <c r="N15" s="73"/>
      <c r="O15" s="138" t="s">
        <v>43</v>
      </c>
      <c r="P15" s="185">
        <v>44061</v>
      </c>
      <c r="Q15" s="15"/>
      <c r="R15" s="185">
        <v>43952</v>
      </c>
      <c r="S15" s="73"/>
      <c r="T15" s="11" t="s">
        <v>459</v>
      </c>
      <c r="U15" s="186">
        <v>36.799999999999997</v>
      </c>
      <c r="V15" s="40">
        <v>3.13</v>
      </c>
      <c r="W15" s="186">
        <f t="shared" ref="W15:W30" si="11">U15+V15</f>
        <v>39.93</v>
      </c>
      <c r="X15" s="186"/>
      <c r="Y15" s="40" t="s">
        <v>13</v>
      </c>
      <c r="Z15" s="39"/>
      <c r="AA15" s="73"/>
      <c r="AB15" s="272" t="s">
        <v>54</v>
      </c>
      <c r="AC15" s="185">
        <v>44041</v>
      </c>
      <c r="AE15" s="185"/>
      <c r="AF15" s="11"/>
      <c r="AG15" s="186"/>
      <c r="AH15" s="11"/>
      <c r="AI15" s="186">
        <f t="shared" si="9"/>
        <v>0</v>
      </c>
      <c r="AJ15" s="11"/>
      <c r="AK15" s="11"/>
      <c r="AL15" s="11"/>
      <c r="AM15" s="39"/>
      <c r="AN15" s="11"/>
      <c r="AO15" s="39"/>
      <c r="AP15" s="11"/>
      <c r="AR15" s="185"/>
      <c r="AS15" s="11"/>
      <c r="AT15" s="186"/>
      <c r="AU15" s="11"/>
      <c r="AV15" s="186">
        <f t="shared" si="8"/>
        <v>0</v>
      </c>
      <c r="AW15" s="186"/>
      <c r="AX15" s="186"/>
      <c r="AY15" s="11"/>
      <c r="AZ15" s="39"/>
      <c r="BA15" s="11"/>
      <c r="BB15" s="39"/>
      <c r="BC15" s="11"/>
      <c r="BE15" s="185">
        <v>43921</v>
      </c>
      <c r="BF15" s="73"/>
      <c r="BG15" s="73" t="s">
        <v>495</v>
      </c>
      <c r="BH15" s="138" t="s">
        <v>64</v>
      </c>
      <c r="BI15" s="186">
        <v>120</v>
      </c>
      <c r="BJ15" s="186">
        <v>10.199999999999999</v>
      </c>
      <c r="BK15" s="186">
        <f t="shared" si="3"/>
        <v>130.19999999999999</v>
      </c>
      <c r="BL15" s="186" t="s">
        <v>3</v>
      </c>
      <c r="BM15" s="39"/>
      <c r="BN15" s="73"/>
      <c r="BO15" s="186"/>
      <c r="BP15" s="185"/>
      <c r="BR15" s="185"/>
      <c r="BS15" s="39"/>
      <c r="BT15" s="186"/>
      <c r="BU15" s="39"/>
      <c r="BV15" s="186">
        <f t="shared" si="10"/>
        <v>0</v>
      </c>
      <c r="BW15" s="39"/>
      <c r="BX15" s="39"/>
      <c r="BY15" s="39"/>
      <c r="BZ15" s="39"/>
      <c r="CA15" s="39"/>
      <c r="CB15" s="39"/>
      <c r="CC15" s="39"/>
      <c r="CE15" s="46">
        <v>44034</v>
      </c>
      <c r="CF15" s="46"/>
      <c r="CG15" s="286" t="s">
        <v>518</v>
      </c>
      <c r="CH15" s="248">
        <v>16</v>
      </c>
      <c r="CI15" s="163"/>
      <c r="CJ15" s="186">
        <f t="shared" si="4"/>
        <v>16</v>
      </c>
      <c r="CK15" s="73"/>
      <c r="CL15" s="163" t="s">
        <v>7</v>
      </c>
      <c r="CM15" s="39"/>
      <c r="CN15" s="73"/>
      <c r="CO15" s="163" t="s">
        <v>43</v>
      </c>
      <c r="CP15" s="46">
        <v>44034</v>
      </c>
      <c r="CR15" s="185">
        <v>44061</v>
      </c>
      <c r="CS15" s="73"/>
      <c r="CT15" s="11" t="s">
        <v>534</v>
      </c>
      <c r="CU15" s="186">
        <v>3.95</v>
      </c>
      <c r="CV15" s="39"/>
      <c r="CW15" s="186">
        <f t="shared" si="5"/>
        <v>3.95</v>
      </c>
      <c r="CX15" s="186"/>
      <c r="CY15" s="39" t="s">
        <v>8</v>
      </c>
      <c r="CZ15" s="39"/>
      <c r="DA15" s="73"/>
      <c r="DB15" s="138" t="s">
        <v>77</v>
      </c>
      <c r="DC15" s="89">
        <v>44061</v>
      </c>
      <c r="DE15" s="18"/>
      <c r="DF15" s="39"/>
      <c r="DG15" s="17"/>
      <c r="DH15" s="39"/>
      <c r="DI15" s="17">
        <f t="shared" si="7"/>
        <v>0</v>
      </c>
      <c r="DJ15" s="39"/>
      <c r="DK15" s="17"/>
      <c r="DL15" s="19"/>
      <c r="DM15" s="39"/>
      <c r="DN15" s="89"/>
      <c r="DO15" s="20"/>
      <c r="DP15" s="20"/>
    </row>
    <row r="16" spans="1:120" ht="21.75" customHeight="1" thickBot="1" x14ac:dyDescent="0.4">
      <c r="A16" s="476" t="s">
        <v>29</v>
      </c>
      <c r="B16" s="477"/>
      <c r="C16" s="43"/>
      <c r="E16" s="18">
        <v>44060</v>
      </c>
      <c r="F16" s="73"/>
      <c r="G16" s="138" t="s">
        <v>408</v>
      </c>
      <c r="H16" s="17">
        <v>4.9000000000000004</v>
      </c>
      <c r="I16" s="17"/>
      <c r="J16" s="17">
        <f t="shared" si="0"/>
        <v>4.9000000000000004</v>
      </c>
      <c r="K16" s="17"/>
      <c r="L16" s="19" t="s">
        <v>8</v>
      </c>
      <c r="M16" s="19"/>
      <c r="N16" s="73"/>
      <c r="O16" s="19" t="s">
        <v>77</v>
      </c>
      <c r="P16" s="18">
        <v>44060</v>
      </c>
      <c r="Q16" s="15"/>
      <c r="R16" s="185">
        <v>44007</v>
      </c>
      <c r="S16" s="73"/>
      <c r="T16" s="11" t="s">
        <v>460</v>
      </c>
      <c r="U16" s="186">
        <v>68.36</v>
      </c>
      <c r="V16" s="11"/>
      <c r="W16" s="186">
        <f t="shared" si="11"/>
        <v>68.36</v>
      </c>
      <c r="X16" s="186"/>
      <c r="Y16" s="11" t="s">
        <v>6</v>
      </c>
      <c r="Z16" s="19"/>
      <c r="AA16" s="73"/>
      <c r="AB16" s="39" t="s">
        <v>68</v>
      </c>
      <c r="AC16" s="69">
        <v>44007</v>
      </c>
      <c r="AE16" s="185"/>
      <c r="AF16" s="11"/>
      <c r="AG16" s="186"/>
      <c r="AH16" s="11"/>
      <c r="AI16" s="186">
        <f t="shared" si="9"/>
        <v>0</v>
      </c>
      <c r="AJ16" s="11"/>
      <c r="AK16" s="11"/>
      <c r="AL16" s="11"/>
      <c r="AM16" s="19"/>
      <c r="AN16" s="11"/>
      <c r="AO16" s="39"/>
      <c r="AP16" s="11"/>
      <c r="AR16" s="185"/>
      <c r="AS16" s="11"/>
      <c r="AT16" s="186"/>
      <c r="AU16" s="11"/>
      <c r="AV16" s="186">
        <f t="shared" si="8"/>
        <v>0</v>
      </c>
      <c r="AW16" s="186"/>
      <c r="AX16" s="186"/>
      <c r="AY16" s="11"/>
      <c r="AZ16" s="19"/>
      <c r="BA16" s="11"/>
      <c r="BB16" s="39"/>
      <c r="BC16" s="11"/>
      <c r="BE16" s="134">
        <v>43889</v>
      </c>
      <c r="BF16" s="73"/>
      <c r="BG16" s="73" t="s">
        <v>496</v>
      </c>
      <c r="BH16" s="135" t="s">
        <v>63</v>
      </c>
      <c r="BI16" s="40">
        <v>180.12</v>
      </c>
      <c r="BJ16" s="135">
        <v>15.32</v>
      </c>
      <c r="BK16" s="40">
        <f t="shared" si="3"/>
        <v>195.44</v>
      </c>
      <c r="BL16" s="135" t="s">
        <v>2</v>
      </c>
      <c r="BM16" s="19"/>
      <c r="BN16" s="73"/>
      <c r="BO16" s="114" t="s">
        <v>54</v>
      </c>
      <c r="BP16" s="137"/>
      <c r="BR16" s="185"/>
      <c r="BS16" s="39"/>
      <c r="BT16" s="186"/>
      <c r="BU16" s="39"/>
      <c r="BV16" s="186">
        <f t="shared" si="10"/>
        <v>0</v>
      </c>
      <c r="BW16" s="39"/>
      <c r="BX16" s="39"/>
      <c r="BY16" s="39"/>
      <c r="BZ16" s="19"/>
      <c r="CA16" s="39"/>
      <c r="CB16" s="39"/>
      <c r="CC16" s="39"/>
      <c r="CE16" s="46">
        <v>44055</v>
      </c>
      <c r="CF16" s="46"/>
      <c r="CG16" s="286" t="s">
        <v>519</v>
      </c>
      <c r="CH16" s="276">
        <v>6</v>
      </c>
      <c r="CI16" s="275"/>
      <c r="CJ16" s="186">
        <f t="shared" si="4"/>
        <v>6</v>
      </c>
      <c r="CK16" s="73"/>
      <c r="CL16" s="275" t="s">
        <v>8</v>
      </c>
      <c r="CM16" s="19"/>
      <c r="CN16" s="73"/>
      <c r="CO16" s="275" t="s">
        <v>77</v>
      </c>
      <c r="CP16" s="277">
        <v>44055</v>
      </c>
      <c r="CR16" s="185">
        <v>44056</v>
      </c>
      <c r="CS16" s="73"/>
      <c r="CT16" s="11" t="s">
        <v>535</v>
      </c>
      <c r="CU16" s="186">
        <v>9.7899999999999991</v>
      </c>
      <c r="CV16" s="39"/>
      <c r="CW16" s="186">
        <v>10</v>
      </c>
      <c r="CX16" s="186"/>
      <c r="CY16" s="39" t="s">
        <v>8</v>
      </c>
      <c r="CZ16" s="19"/>
      <c r="DA16" s="73"/>
      <c r="DB16" s="138" t="s">
        <v>77</v>
      </c>
      <c r="DC16" s="89">
        <v>44056</v>
      </c>
      <c r="DE16" s="18"/>
      <c r="DF16" s="39"/>
      <c r="DG16" s="17"/>
      <c r="DH16" s="39"/>
      <c r="DI16" s="17">
        <f t="shared" si="7"/>
        <v>0</v>
      </c>
      <c r="DJ16" s="39"/>
      <c r="DK16" s="17"/>
      <c r="DL16" s="19"/>
      <c r="DM16" s="19"/>
      <c r="DN16" s="89"/>
      <c r="DO16" s="20"/>
      <c r="DP16" s="20"/>
    </row>
    <row r="17" spans="1:120" ht="15" customHeight="1" x14ac:dyDescent="0.35">
      <c r="A17" s="224" t="s">
        <v>134</v>
      </c>
      <c r="B17" s="214" t="s">
        <v>123</v>
      </c>
      <c r="C17" s="43"/>
      <c r="E17" s="185">
        <v>44057</v>
      </c>
      <c r="F17" s="73"/>
      <c r="G17" s="138" t="s">
        <v>409</v>
      </c>
      <c r="H17" s="186">
        <v>444.5</v>
      </c>
      <c r="I17" s="186"/>
      <c r="J17" s="186">
        <f t="shared" si="0"/>
        <v>444.5</v>
      </c>
      <c r="K17" s="186"/>
      <c r="L17" s="138" t="s">
        <v>8</v>
      </c>
      <c r="M17" s="138"/>
      <c r="N17" s="73"/>
      <c r="O17" s="138" t="s">
        <v>43</v>
      </c>
      <c r="P17" s="185">
        <v>44057</v>
      </c>
      <c r="Q17" s="15"/>
      <c r="R17" s="185">
        <v>43976</v>
      </c>
      <c r="S17" s="73"/>
      <c r="T17" s="11" t="s">
        <v>461</v>
      </c>
      <c r="U17" s="186">
        <v>68.36</v>
      </c>
      <c r="V17" s="11"/>
      <c r="W17" s="186">
        <f t="shared" si="11"/>
        <v>68.36</v>
      </c>
      <c r="X17" s="186"/>
      <c r="Y17" s="11" t="s">
        <v>13</v>
      </c>
      <c r="Z17" s="138"/>
      <c r="AA17" s="73"/>
      <c r="AB17" s="39" t="s">
        <v>58</v>
      </c>
      <c r="AC17" s="69">
        <v>43976</v>
      </c>
      <c r="AE17" s="185"/>
      <c r="AF17" s="11"/>
      <c r="AG17" s="186"/>
      <c r="AH17" s="11"/>
      <c r="AI17" s="186">
        <f t="shared" si="9"/>
        <v>0</v>
      </c>
      <c r="AJ17" s="11"/>
      <c r="AK17" s="11"/>
      <c r="AL17" s="11"/>
      <c r="AM17" s="138"/>
      <c r="AN17" s="11"/>
      <c r="AO17" s="39"/>
      <c r="AP17" s="11"/>
      <c r="AR17" s="185"/>
      <c r="AS17" s="11"/>
      <c r="AT17" s="186"/>
      <c r="AU17" s="11"/>
      <c r="AV17" s="186">
        <f t="shared" si="8"/>
        <v>0</v>
      </c>
      <c r="AW17" s="186"/>
      <c r="AX17" s="186"/>
      <c r="AY17" s="11"/>
      <c r="AZ17" s="138"/>
      <c r="BA17" s="11"/>
      <c r="BB17" s="39"/>
      <c r="BC17" s="11"/>
      <c r="BE17" s="185">
        <v>43890</v>
      </c>
      <c r="BF17" s="73"/>
      <c r="BG17" s="73" t="s">
        <v>497</v>
      </c>
      <c r="BH17" s="11" t="s">
        <v>64</v>
      </c>
      <c r="BI17" s="186">
        <v>120</v>
      </c>
      <c r="BJ17" s="11">
        <v>10.199999999999999</v>
      </c>
      <c r="BK17" s="186">
        <f t="shared" si="3"/>
        <v>130.19999999999999</v>
      </c>
      <c r="BL17" s="11" t="s">
        <v>2</v>
      </c>
      <c r="BM17" s="138"/>
      <c r="BN17" s="73"/>
      <c r="BO17" s="39"/>
      <c r="BP17" s="69"/>
      <c r="BR17" s="185"/>
      <c r="BS17" s="39"/>
      <c r="BT17" s="186"/>
      <c r="BU17" s="39"/>
      <c r="BV17" s="186">
        <f t="shared" si="10"/>
        <v>0</v>
      </c>
      <c r="BW17" s="39"/>
      <c r="BX17" s="39"/>
      <c r="BY17" s="39"/>
      <c r="BZ17" s="138"/>
      <c r="CA17" s="39"/>
      <c r="CB17" s="39"/>
      <c r="CC17" s="39"/>
      <c r="CE17" s="46">
        <v>44056</v>
      </c>
      <c r="CF17" s="46"/>
      <c r="CG17" s="286" t="s">
        <v>520</v>
      </c>
      <c r="CH17" s="248">
        <v>120</v>
      </c>
      <c r="CI17" s="163"/>
      <c r="CJ17" s="186">
        <f t="shared" si="4"/>
        <v>120</v>
      </c>
      <c r="CK17" s="73"/>
      <c r="CL17" s="163" t="s">
        <v>8</v>
      </c>
      <c r="CM17" s="138"/>
      <c r="CN17" s="73"/>
      <c r="CO17" s="163" t="s">
        <v>43</v>
      </c>
      <c r="CP17" s="46">
        <v>44056</v>
      </c>
      <c r="CR17" s="270">
        <v>44048</v>
      </c>
      <c r="CS17" s="73"/>
      <c r="CT17" s="11" t="s">
        <v>536</v>
      </c>
      <c r="CU17" s="73">
        <v>2.9</v>
      </c>
      <c r="CV17" s="73"/>
      <c r="CW17" s="186">
        <f t="shared" ref="CW17:CW48" si="12">CU17+CV17</f>
        <v>2.9</v>
      </c>
      <c r="CX17" s="186"/>
      <c r="CY17" s="73" t="s">
        <v>8</v>
      </c>
      <c r="CZ17" s="138"/>
      <c r="DA17" s="73"/>
      <c r="DB17" s="73" t="s">
        <v>43</v>
      </c>
      <c r="DC17" s="270">
        <v>44048</v>
      </c>
      <c r="DE17" s="18"/>
      <c r="DF17" s="39"/>
      <c r="DG17" s="17"/>
      <c r="DH17" s="39"/>
      <c r="DI17" s="17">
        <f t="shared" si="7"/>
        <v>0</v>
      </c>
      <c r="DJ17" s="39"/>
      <c r="DK17" s="17"/>
      <c r="DL17" s="19"/>
      <c r="DM17" s="138"/>
      <c r="DN17" s="89"/>
      <c r="DO17" s="20"/>
      <c r="DP17" s="20"/>
    </row>
    <row r="18" spans="1:120" ht="15" customHeight="1" x14ac:dyDescent="0.35">
      <c r="A18" s="224" t="s">
        <v>135</v>
      </c>
      <c r="B18" s="461"/>
      <c r="C18" s="43"/>
      <c r="E18" s="185">
        <v>44049</v>
      </c>
      <c r="F18" s="73"/>
      <c r="G18" s="138" t="s">
        <v>410</v>
      </c>
      <c r="H18" s="186">
        <v>119.49</v>
      </c>
      <c r="I18" s="186">
        <v>2.08</v>
      </c>
      <c r="J18" s="186">
        <f t="shared" si="0"/>
        <v>121.57</v>
      </c>
      <c r="K18" s="186"/>
      <c r="L18" s="138" t="s">
        <v>8</v>
      </c>
      <c r="M18" s="138"/>
      <c r="N18" s="73"/>
      <c r="O18" s="138" t="s">
        <v>54</v>
      </c>
      <c r="P18" s="185">
        <v>44049</v>
      </c>
      <c r="Q18" s="15"/>
      <c r="R18" s="18">
        <v>43922</v>
      </c>
      <c r="S18" s="73"/>
      <c r="T18" s="11" t="s">
        <v>462</v>
      </c>
      <c r="U18" s="17">
        <v>53.44</v>
      </c>
      <c r="V18" s="11"/>
      <c r="W18" s="17">
        <f t="shared" si="11"/>
        <v>53.44</v>
      </c>
      <c r="X18" s="17"/>
      <c r="Y18" s="11" t="s">
        <v>4</v>
      </c>
      <c r="Z18" s="138"/>
      <c r="AA18" s="73"/>
      <c r="AB18" s="290" t="s">
        <v>54</v>
      </c>
      <c r="AC18" s="18">
        <v>44041</v>
      </c>
      <c r="AE18" s="185"/>
      <c r="AF18" s="11"/>
      <c r="AG18" s="186"/>
      <c r="AH18" s="11"/>
      <c r="AI18" s="186">
        <f t="shared" si="9"/>
        <v>0</v>
      </c>
      <c r="AJ18" s="11"/>
      <c r="AK18" s="11"/>
      <c r="AL18" s="11"/>
      <c r="AM18" s="138"/>
      <c r="AN18" s="11"/>
      <c r="AO18" s="39"/>
      <c r="AP18" s="11"/>
      <c r="AR18" s="185"/>
      <c r="AS18" s="11"/>
      <c r="AT18" s="186"/>
      <c r="AU18" s="11"/>
      <c r="AV18" s="186">
        <f t="shared" si="8"/>
        <v>0</v>
      </c>
      <c r="AW18" s="186"/>
      <c r="AX18" s="186"/>
      <c r="AY18" s="11"/>
      <c r="AZ18" s="138"/>
      <c r="BA18" s="11"/>
      <c r="BB18" s="39"/>
      <c r="BC18" s="11"/>
      <c r="BE18" s="18">
        <v>43858</v>
      </c>
      <c r="BF18" s="73"/>
      <c r="BG18" s="73" t="s">
        <v>498</v>
      </c>
      <c r="BH18" s="19" t="s">
        <v>63</v>
      </c>
      <c r="BI18" s="17">
        <v>180.13</v>
      </c>
      <c r="BJ18" s="17">
        <v>15.31</v>
      </c>
      <c r="BK18" s="17">
        <f t="shared" si="3"/>
        <v>195.44</v>
      </c>
      <c r="BL18" s="19" t="s">
        <v>1</v>
      </c>
      <c r="BM18" s="138"/>
      <c r="BN18" s="73"/>
      <c r="BO18" s="19" t="s">
        <v>154</v>
      </c>
      <c r="BP18" s="18">
        <v>43998</v>
      </c>
      <c r="BR18" s="185"/>
      <c r="BS18" s="39"/>
      <c r="BT18" s="186"/>
      <c r="BU18" s="39"/>
      <c r="BV18" s="186">
        <f t="shared" si="10"/>
        <v>0</v>
      </c>
      <c r="BW18" s="39"/>
      <c r="BX18" s="39"/>
      <c r="BY18" s="39"/>
      <c r="BZ18" s="138"/>
      <c r="CA18" s="39"/>
      <c r="CB18" s="39"/>
      <c r="CC18" s="39"/>
      <c r="CE18" s="46">
        <v>44063</v>
      </c>
      <c r="CF18" s="46"/>
      <c r="CG18" s="286" t="s">
        <v>521</v>
      </c>
      <c r="CH18" s="248">
        <v>160</v>
      </c>
      <c r="CI18" s="163"/>
      <c r="CJ18" s="186">
        <f t="shared" si="4"/>
        <v>160</v>
      </c>
      <c r="CK18" s="73"/>
      <c r="CL18" s="163" t="s">
        <v>8</v>
      </c>
      <c r="CM18" s="138"/>
      <c r="CN18" s="73"/>
      <c r="CO18" s="163" t="s">
        <v>77</v>
      </c>
      <c r="CP18" s="46">
        <v>44063</v>
      </c>
      <c r="CR18" s="185">
        <v>44046</v>
      </c>
      <c r="CS18" s="73"/>
      <c r="CT18" s="11" t="s">
        <v>537</v>
      </c>
      <c r="CU18" s="186">
        <v>6.76</v>
      </c>
      <c r="CV18" s="39">
        <v>0.14000000000000001</v>
      </c>
      <c r="CW18" s="186">
        <f t="shared" si="12"/>
        <v>6.8999999999999995</v>
      </c>
      <c r="CX18" s="186"/>
      <c r="CY18" s="39" t="s">
        <v>8</v>
      </c>
      <c r="CZ18" s="138"/>
      <c r="DA18" s="73"/>
      <c r="DB18" s="138" t="s">
        <v>43</v>
      </c>
      <c r="DC18" s="89">
        <v>44046</v>
      </c>
      <c r="DE18" s="18"/>
      <c r="DF18" s="39"/>
      <c r="DG18" s="17"/>
      <c r="DH18" s="39"/>
      <c r="DI18" s="17">
        <f t="shared" si="7"/>
        <v>0</v>
      </c>
      <c r="DJ18" s="39"/>
      <c r="DK18" s="17"/>
      <c r="DL18" s="19"/>
      <c r="DM18" s="138"/>
      <c r="DN18" s="89"/>
      <c r="DO18" s="20"/>
      <c r="DP18" s="20"/>
    </row>
    <row r="19" spans="1:120" ht="15" customHeight="1" x14ac:dyDescent="0.35">
      <c r="A19" s="224" t="s">
        <v>136</v>
      </c>
      <c r="B19" s="461"/>
      <c r="C19" s="44"/>
      <c r="E19" s="185">
        <v>44000</v>
      </c>
      <c r="F19" s="73"/>
      <c r="G19" s="138" t="s">
        <v>411</v>
      </c>
      <c r="H19" s="186">
        <v>11.26</v>
      </c>
      <c r="I19" s="39">
        <v>0.96</v>
      </c>
      <c r="J19" s="186">
        <f t="shared" si="0"/>
        <v>12.219999999999999</v>
      </c>
      <c r="K19" s="39"/>
      <c r="L19" s="39" t="s">
        <v>6</v>
      </c>
      <c r="M19" s="138"/>
      <c r="N19" s="73"/>
      <c r="O19" s="39" t="s">
        <v>43</v>
      </c>
      <c r="P19" s="89">
        <v>44000</v>
      </c>
      <c r="Q19" s="15"/>
      <c r="R19" s="185">
        <v>43984</v>
      </c>
      <c r="S19" s="73"/>
      <c r="T19" s="11" t="s">
        <v>463</v>
      </c>
      <c r="U19" s="186">
        <v>60</v>
      </c>
      <c r="V19" s="39">
        <v>5.0999999999999996</v>
      </c>
      <c r="W19" s="186">
        <f t="shared" si="11"/>
        <v>65.099999999999994</v>
      </c>
      <c r="X19" s="186"/>
      <c r="Y19" s="39" t="s">
        <v>6</v>
      </c>
      <c r="Z19" s="138"/>
      <c r="AA19" s="73"/>
      <c r="AB19" s="139" t="s">
        <v>54</v>
      </c>
      <c r="AC19" s="273">
        <v>44011</v>
      </c>
      <c r="AE19" s="185"/>
      <c r="AF19" s="11"/>
      <c r="AG19" s="186"/>
      <c r="AH19" s="11"/>
      <c r="AI19" s="186">
        <f t="shared" si="9"/>
        <v>0</v>
      </c>
      <c r="AJ19" s="11"/>
      <c r="AK19" s="11"/>
      <c r="AL19" s="11"/>
      <c r="AM19" s="138"/>
      <c r="AN19" s="11"/>
      <c r="AO19" s="39"/>
      <c r="AP19" s="11"/>
      <c r="AR19" s="185"/>
      <c r="AS19" s="11"/>
      <c r="AT19" s="186"/>
      <c r="AU19" s="11"/>
      <c r="AV19" s="186">
        <f t="shared" si="8"/>
        <v>0</v>
      </c>
      <c r="AW19" s="186"/>
      <c r="AX19" s="186"/>
      <c r="AY19" s="11"/>
      <c r="AZ19" s="138"/>
      <c r="BA19" s="11"/>
      <c r="BB19" s="39"/>
      <c r="BC19" s="11"/>
      <c r="BE19" s="185">
        <v>43861</v>
      </c>
      <c r="BF19" s="73"/>
      <c r="BG19" s="73" t="s">
        <v>499</v>
      </c>
      <c r="BH19" s="11" t="s">
        <v>64</v>
      </c>
      <c r="BI19" s="186">
        <v>120</v>
      </c>
      <c r="BJ19" s="11">
        <v>10.199999999999999</v>
      </c>
      <c r="BK19" s="186">
        <f t="shared" si="3"/>
        <v>130.19999999999999</v>
      </c>
      <c r="BL19" s="11" t="s">
        <v>1</v>
      </c>
      <c r="BM19" s="138"/>
      <c r="BN19" s="73"/>
      <c r="BO19" s="39"/>
      <c r="BP19" s="69"/>
      <c r="BR19" s="185"/>
      <c r="BS19" s="39"/>
      <c r="BT19" s="186"/>
      <c r="BU19" s="39"/>
      <c r="BV19" s="186">
        <f t="shared" si="10"/>
        <v>0</v>
      </c>
      <c r="BW19" s="39"/>
      <c r="BX19" s="39"/>
      <c r="BY19" s="39"/>
      <c r="BZ19" s="138"/>
      <c r="CA19" s="39"/>
      <c r="CB19" s="39"/>
      <c r="CC19" s="39"/>
      <c r="CE19" s="46">
        <v>44088</v>
      </c>
      <c r="CF19" s="46"/>
      <c r="CG19" s="286" t="s">
        <v>522</v>
      </c>
      <c r="CH19" s="248">
        <v>974</v>
      </c>
      <c r="CI19" s="163"/>
      <c r="CJ19" s="186">
        <f t="shared" si="4"/>
        <v>974</v>
      </c>
      <c r="CK19" s="73"/>
      <c r="CL19" s="163" t="s">
        <v>9</v>
      </c>
      <c r="CM19" s="138"/>
      <c r="CN19" s="73"/>
      <c r="CO19" s="163" t="s">
        <v>165</v>
      </c>
      <c r="CP19" s="46">
        <v>44088</v>
      </c>
      <c r="CR19" s="185">
        <v>43906</v>
      </c>
      <c r="CS19" s="73"/>
      <c r="CT19" s="11" t="s">
        <v>538</v>
      </c>
      <c r="CU19" s="186">
        <v>25.24</v>
      </c>
      <c r="CV19" s="39"/>
      <c r="CW19" s="160">
        <f t="shared" si="12"/>
        <v>25.24</v>
      </c>
      <c r="CX19" s="160"/>
      <c r="CY19" s="39" t="s">
        <v>3</v>
      </c>
      <c r="CZ19" s="138"/>
      <c r="DA19" s="73"/>
      <c r="DB19" s="138" t="s">
        <v>43</v>
      </c>
      <c r="DC19" s="89">
        <v>43906</v>
      </c>
      <c r="DE19" s="18"/>
      <c r="DF19" s="39"/>
      <c r="DG19" s="17"/>
      <c r="DH19" s="39"/>
      <c r="DI19" s="17">
        <f t="shared" si="7"/>
        <v>0</v>
      </c>
      <c r="DJ19" s="39"/>
      <c r="DK19" s="17"/>
      <c r="DL19" s="19"/>
      <c r="DM19" s="138"/>
      <c r="DN19" s="89"/>
      <c r="DO19" s="20"/>
      <c r="DP19" s="20"/>
    </row>
    <row r="20" spans="1:120" ht="15.75" customHeight="1" thickBot="1" x14ac:dyDescent="0.4">
      <c r="A20" s="228" t="s">
        <v>137</v>
      </c>
      <c r="B20" s="462"/>
      <c r="C20" s="45"/>
      <c r="E20" s="185">
        <v>43995</v>
      </c>
      <c r="F20" s="73"/>
      <c r="G20" s="138" t="s">
        <v>412</v>
      </c>
      <c r="H20" s="186">
        <v>49.95</v>
      </c>
      <c r="I20" s="186"/>
      <c r="J20" s="186">
        <f t="shared" si="0"/>
        <v>49.95</v>
      </c>
      <c r="K20" s="186"/>
      <c r="L20" s="138" t="s">
        <v>6</v>
      </c>
      <c r="M20" s="138"/>
      <c r="N20" s="73"/>
      <c r="O20" s="138" t="s">
        <v>43</v>
      </c>
      <c r="P20" s="185">
        <v>43995</v>
      </c>
      <c r="Q20" s="15"/>
      <c r="R20" s="185">
        <v>43958</v>
      </c>
      <c r="S20" s="73"/>
      <c r="T20" s="11" t="s">
        <v>464</v>
      </c>
      <c r="U20" s="186">
        <v>38.04</v>
      </c>
      <c r="V20" s="11">
        <v>3.23</v>
      </c>
      <c r="W20" s="186">
        <f t="shared" si="11"/>
        <v>41.269999999999996</v>
      </c>
      <c r="X20" s="186"/>
      <c r="Y20" s="11" t="s">
        <v>13</v>
      </c>
      <c r="Z20" s="138"/>
      <c r="AA20" s="73"/>
      <c r="AB20" s="39" t="s">
        <v>43</v>
      </c>
      <c r="AC20" s="69">
        <v>44018</v>
      </c>
      <c r="AE20" s="185"/>
      <c r="AF20" s="11"/>
      <c r="AG20" s="186"/>
      <c r="AH20" s="11"/>
      <c r="AI20" s="186">
        <f t="shared" si="9"/>
        <v>0</v>
      </c>
      <c r="AJ20" s="11"/>
      <c r="AK20" s="11"/>
      <c r="AL20" s="11"/>
      <c r="AM20" s="138"/>
      <c r="AN20" s="11"/>
      <c r="AO20" s="39"/>
      <c r="AP20" s="11"/>
      <c r="AR20" s="185"/>
      <c r="AS20" s="11"/>
      <c r="AT20" s="186"/>
      <c r="AU20" s="11"/>
      <c r="AV20" s="186">
        <f t="shared" si="8"/>
        <v>0</v>
      </c>
      <c r="AW20" s="186"/>
      <c r="AX20" s="186"/>
      <c r="AY20" s="11"/>
      <c r="AZ20" s="138"/>
      <c r="BA20" s="11"/>
      <c r="BB20" s="39"/>
      <c r="BC20" s="11"/>
      <c r="BE20" s="185">
        <v>43921</v>
      </c>
      <c r="BF20" s="73"/>
      <c r="BG20" s="73" t="s">
        <v>500</v>
      </c>
      <c r="BH20" s="11" t="s">
        <v>63</v>
      </c>
      <c r="BI20" s="186">
        <v>130.29</v>
      </c>
      <c r="BJ20" s="11"/>
      <c r="BK20" s="186">
        <f t="shared" si="3"/>
        <v>130.29</v>
      </c>
      <c r="BL20" s="11" t="s">
        <v>3</v>
      </c>
      <c r="BM20" s="138"/>
      <c r="BN20" s="73"/>
      <c r="BO20" s="39" t="s">
        <v>54</v>
      </c>
      <c r="BP20" s="69">
        <v>43998</v>
      </c>
      <c r="BR20" s="185"/>
      <c r="BS20" s="39"/>
      <c r="BT20" s="186"/>
      <c r="BU20" s="39"/>
      <c r="BV20" s="186">
        <f t="shared" si="10"/>
        <v>0</v>
      </c>
      <c r="BW20" s="39"/>
      <c r="BX20" s="39"/>
      <c r="BY20" s="39"/>
      <c r="BZ20" s="138"/>
      <c r="CA20" s="39"/>
      <c r="CB20" s="39"/>
      <c r="CC20" s="39"/>
      <c r="CE20" s="270">
        <v>43892</v>
      </c>
      <c r="CF20" s="270"/>
      <c r="CG20" s="286" t="s">
        <v>523</v>
      </c>
      <c r="CH20" s="271">
        <v>36</v>
      </c>
      <c r="CI20" s="73"/>
      <c r="CJ20" s="186">
        <f t="shared" si="4"/>
        <v>36</v>
      </c>
      <c r="CK20" s="73"/>
      <c r="CL20" s="73" t="s">
        <v>3</v>
      </c>
      <c r="CM20" s="138"/>
      <c r="CN20" s="73"/>
      <c r="CO20" s="73" t="s">
        <v>43</v>
      </c>
      <c r="CP20" s="270">
        <v>43892</v>
      </c>
      <c r="CR20" s="185">
        <v>44014</v>
      </c>
      <c r="CS20" s="73"/>
      <c r="CT20" s="11" t="s">
        <v>539</v>
      </c>
      <c r="CU20" s="186">
        <v>22.53</v>
      </c>
      <c r="CV20" s="39">
        <v>0.47</v>
      </c>
      <c r="CW20" s="186">
        <f t="shared" si="12"/>
        <v>23</v>
      </c>
      <c r="CX20" s="186"/>
      <c r="CY20" s="39" t="s">
        <v>7</v>
      </c>
      <c r="CZ20" s="138"/>
      <c r="DA20" s="73"/>
      <c r="DB20" s="138" t="s">
        <v>43</v>
      </c>
      <c r="DC20" s="89">
        <v>44014</v>
      </c>
      <c r="DE20" s="18"/>
      <c r="DF20" s="39"/>
      <c r="DG20" s="17"/>
      <c r="DH20" s="39"/>
      <c r="DI20" s="17">
        <f t="shared" si="7"/>
        <v>0</v>
      </c>
      <c r="DJ20" s="39"/>
      <c r="DK20" s="17"/>
      <c r="DL20" s="19"/>
      <c r="DM20" s="138"/>
      <c r="DN20" s="89"/>
      <c r="DO20" s="20"/>
      <c r="DP20" s="20"/>
    </row>
    <row r="21" spans="1:120" ht="15" customHeight="1" x14ac:dyDescent="0.35">
      <c r="A21" s="90"/>
      <c r="C21" s="43"/>
      <c r="E21" s="185">
        <v>43994</v>
      </c>
      <c r="F21" s="73"/>
      <c r="G21" s="138" t="s">
        <v>413</v>
      </c>
      <c r="H21" s="39">
        <v>79.8</v>
      </c>
      <c r="I21" s="39">
        <v>1.68</v>
      </c>
      <c r="J21" s="186">
        <f t="shared" si="0"/>
        <v>81.48</v>
      </c>
      <c r="K21" s="39"/>
      <c r="L21" s="39" t="s">
        <v>6</v>
      </c>
      <c r="M21" s="17"/>
      <c r="N21" s="73"/>
      <c r="O21" s="39" t="s">
        <v>77</v>
      </c>
      <c r="P21" s="89">
        <v>43994</v>
      </c>
      <c r="Q21" s="15"/>
      <c r="R21" s="185">
        <v>44012</v>
      </c>
      <c r="S21" s="73"/>
      <c r="T21" s="11" t="s">
        <v>465</v>
      </c>
      <c r="U21" s="186">
        <v>84.09</v>
      </c>
      <c r="V21" s="11">
        <v>7.15</v>
      </c>
      <c r="W21" s="186">
        <f t="shared" si="11"/>
        <v>91.240000000000009</v>
      </c>
      <c r="X21" s="186"/>
      <c r="Y21" s="11" t="s">
        <v>6</v>
      </c>
      <c r="Z21" s="17"/>
      <c r="AA21" s="73"/>
      <c r="AB21" s="39" t="s">
        <v>54</v>
      </c>
      <c r="AC21" s="69">
        <v>44055</v>
      </c>
      <c r="AE21" s="185"/>
      <c r="AF21" s="11"/>
      <c r="AG21" s="186"/>
      <c r="AH21" s="11"/>
      <c r="AI21" s="186">
        <f t="shared" si="9"/>
        <v>0</v>
      </c>
      <c r="AJ21" s="11"/>
      <c r="AK21" s="11"/>
      <c r="AL21" s="11"/>
      <c r="AM21" s="17"/>
      <c r="AN21" s="11"/>
      <c r="AO21" s="39"/>
      <c r="AP21" s="11"/>
      <c r="AR21" s="185"/>
      <c r="AS21" s="11"/>
      <c r="AT21" s="186"/>
      <c r="AU21" s="11"/>
      <c r="AV21" s="186">
        <f t="shared" si="8"/>
        <v>0</v>
      </c>
      <c r="AW21" s="186"/>
      <c r="AX21" s="186"/>
      <c r="AY21" s="11"/>
      <c r="AZ21" s="17"/>
      <c r="BA21" s="11"/>
      <c r="BB21" s="39"/>
      <c r="BC21" s="11"/>
      <c r="BE21" s="185"/>
      <c r="BF21" s="11"/>
      <c r="BG21" s="73"/>
      <c r="BH21" s="11"/>
      <c r="BI21" s="11"/>
      <c r="BJ21" s="11"/>
      <c r="BK21" s="186">
        <f t="shared" ref="BK21:BK67" si="13">BG21+BH21</f>
        <v>0</v>
      </c>
      <c r="BL21" s="11"/>
      <c r="BM21" s="17"/>
      <c r="BN21" s="11"/>
      <c r="BO21" s="39"/>
      <c r="BP21" s="11"/>
      <c r="BR21" s="185"/>
      <c r="BS21" s="39"/>
      <c r="BT21" s="186"/>
      <c r="BU21" s="39"/>
      <c r="BV21" s="186">
        <f t="shared" si="10"/>
        <v>0</v>
      </c>
      <c r="BW21" s="39"/>
      <c r="BX21" s="39"/>
      <c r="BY21" s="39"/>
      <c r="BZ21" s="17"/>
      <c r="CA21" s="39"/>
      <c r="CB21" s="39"/>
      <c r="CC21" s="39"/>
      <c r="CE21" s="73"/>
      <c r="CF21" s="73"/>
      <c r="CG21" s="73"/>
      <c r="CH21" s="73"/>
      <c r="CI21" s="271"/>
      <c r="CJ21" s="73"/>
      <c r="CK21" s="186">
        <f t="shared" ref="CK21:CK67" si="14">CI21+CJ21</f>
        <v>0</v>
      </c>
      <c r="CL21" s="73"/>
      <c r="CM21" s="17"/>
      <c r="CN21" s="73"/>
      <c r="CO21" s="73"/>
      <c r="CP21" s="73"/>
      <c r="CR21" s="185">
        <v>43999</v>
      </c>
      <c r="CS21" s="73"/>
      <c r="CT21" s="11" t="s">
        <v>540</v>
      </c>
      <c r="CU21" s="186">
        <v>24</v>
      </c>
      <c r="CV21" s="39"/>
      <c r="CW21" s="186">
        <f t="shared" si="12"/>
        <v>24</v>
      </c>
      <c r="CX21" s="186"/>
      <c r="CY21" s="39" t="s">
        <v>6</v>
      </c>
      <c r="CZ21" s="17"/>
      <c r="DA21" s="73"/>
      <c r="DB21" s="138" t="s">
        <v>43</v>
      </c>
      <c r="DC21" s="89">
        <v>43999</v>
      </c>
      <c r="DE21" s="18"/>
      <c r="DF21" s="39"/>
      <c r="DG21" s="17"/>
      <c r="DH21" s="39"/>
      <c r="DI21" s="17">
        <f t="shared" si="7"/>
        <v>0</v>
      </c>
      <c r="DJ21" s="39"/>
      <c r="DK21" s="17"/>
      <c r="DL21" s="19"/>
      <c r="DM21" s="17"/>
      <c r="DN21" s="89"/>
      <c r="DO21" s="20"/>
      <c r="DP21" s="20"/>
    </row>
    <row r="22" spans="1:120" ht="15" customHeight="1" x14ac:dyDescent="0.35">
      <c r="A22" s="90"/>
      <c r="B22" s="231"/>
      <c r="C22" s="43"/>
      <c r="E22" s="185">
        <v>43991</v>
      </c>
      <c r="F22" s="73"/>
      <c r="G22" s="138" t="s">
        <v>414</v>
      </c>
      <c r="H22" s="39">
        <v>319.63</v>
      </c>
      <c r="I22" s="39">
        <v>6.62</v>
      </c>
      <c r="J22" s="186">
        <f t="shared" si="0"/>
        <v>326.25</v>
      </c>
      <c r="K22" s="39"/>
      <c r="L22" s="39" t="s">
        <v>6</v>
      </c>
      <c r="M22" s="138"/>
      <c r="N22" s="73"/>
      <c r="O22" s="39" t="s">
        <v>43</v>
      </c>
      <c r="P22" s="89">
        <v>43992</v>
      </c>
      <c r="Q22" s="15"/>
      <c r="R22" s="18">
        <v>43891</v>
      </c>
      <c r="S22" s="73"/>
      <c r="T22" s="11" t="s">
        <v>466</v>
      </c>
      <c r="U22" s="17">
        <v>48.4</v>
      </c>
      <c r="V22" s="17">
        <v>4.1100000000000003</v>
      </c>
      <c r="W22" s="17">
        <f t="shared" si="11"/>
        <v>52.51</v>
      </c>
      <c r="X22" s="17"/>
      <c r="Y22" s="17" t="s">
        <v>3</v>
      </c>
      <c r="Z22" s="138"/>
      <c r="AA22" s="73"/>
      <c r="AB22" s="290" t="s">
        <v>54</v>
      </c>
      <c r="AC22" s="18">
        <v>44041</v>
      </c>
      <c r="AE22" s="185"/>
      <c r="AF22" s="11"/>
      <c r="AG22" s="186"/>
      <c r="AH22" s="11"/>
      <c r="AI22" s="186">
        <f t="shared" si="9"/>
        <v>0</v>
      </c>
      <c r="AJ22" s="11"/>
      <c r="AK22" s="11"/>
      <c r="AL22" s="11"/>
      <c r="AM22" s="138"/>
      <c r="AN22" s="11"/>
      <c r="AO22" s="39"/>
      <c r="AP22" s="11"/>
      <c r="AR22" s="185"/>
      <c r="AS22" s="11"/>
      <c r="AT22" s="186"/>
      <c r="AU22" s="11"/>
      <c r="AV22" s="186">
        <f t="shared" si="8"/>
        <v>0</v>
      </c>
      <c r="AW22" s="186"/>
      <c r="AX22" s="186"/>
      <c r="AY22" s="11"/>
      <c r="AZ22" s="138"/>
      <c r="BA22" s="11"/>
      <c r="BB22" s="39"/>
      <c r="BC22" s="11"/>
      <c r="BE22" s="185"/>
      <c r="BF22" s="11"/>
      <c r="BG22" s="73"/>
      <c r="BH22" s="11"/>
      <c r="BI22" s="11"/>
      <c r="BJ22" s="11"/>
      <c r="BK22" s="186">
        <f t="shared" si="13"/>
        <v>0</v>
      </c>
      <c r="BL22" s="11"/>
      <c r="BM22" s="138"/>
      <c r="BN22" s="11"/>
      <c r="BO22" s="39"/>
      <c r="BP22" s="11"/>
      <c r="BR22" s="185"/>
      <c r="BS22" s="39"/>
      <c r="BT22" s="186"/>
      <c r="BU22" s="39"/>
      <c r="BV22" s="186">
        <f t="shared" si="10"/>
        <v>0</v>
      </c>
      <c r="BW22" s="39"/>
      <c r="BX22" s="39"/>
      <c r="BY22" s="39"/>
      <c r="BZ22" s="138"/>
      <c r="CA22" s="39"/>
      <c r="CB22" s="39"/>
      <c r="CC22" s="39"/>
      <c r="CE22" s="73"/>
      <c r="CF22" s="73"/>
      <c r="CG22" s="73"/>
      <c r="CH22" s="73"/>
      <c r="CI22" s="271"/>
      <c r="CJ22" s="73"/>
      <c r="CK22" s="186">
        <f t="shared" si="14"/>
        <v>0</v>
      </c>
      <c r="CL22" s="73"/>
      <c r="CM22" s="138"/>
      <c r="CN22" s="73"/>
      <c r="CO22" s="73"/>
      <c r="CP22" s="73"/>
      <c r="CR22" s="185">
        <v>43999</v>
      </c>
      <c r="CS22" s="73"/>
      <c r="CT22" s="11" t="s">
        <v>541</v>
      </c>
      <c r="CU22" s="186">
        <v>41.56</v>
      </c>
      <c r="CV22" s="39"/>
      <c r="CW22" s="186">
        <f t="shared" si="12"/>
        <v>41.56</v>
      </c>
      <c r="CX22" s="186"/>
      <c r="CY22" s="39" t="s">
        <v>6</v>
      </c>
      <c r="CZ22" s="138"/>
      <c r="DA22" s="73"/>
      <c r="DB22" s="138" t="s">
        <v>43</v>
      </c>
      <c r="DC22" s="89">
        <v>43999</v>
      </c>
      <c r="DE22" s="185"/>
      <c r="DF22" s="39"/>
      <c r="DG22" s="186"/>
      <c r="DH22" s="39"/>
      <c r="DI22" s="186">
        <f t="shared" si="7"/>
        <v>0</v>
      </c>
      <c r="DJ22" s="39"/>
      <c r="DK22" s="186"/>
      <c r="DL22" s="138"/>
      <c r="DM22" s="138"/>
      <c r="DN22" s="89"/>
      <c r="DO22" s="73"/>
      <c r="DP22" s="73"/>
    </row>
    <row r="23" spans="1:120" ht="15" customHeight="1" x14ac:dyDescent="0.35">
      <c r="A23" s="90"/>
      <c r="B23" s="231"/>
      <c r="C23" s="43"/>
      <c r="E23" s="185">
        <v>43990</v>
      </c>
      <c r="F23" s="73"/>
      <c r="G23" s="138" t="s">
        <v>415</v>
      </c>
      <c r="H23" s="39">
        <v>9.2200000000000006</v>
      </c>
      <c r="I23" s="39">
        <v>0.78</v>
      </c>
      <c r="J23" s="186">
        <f t="shared" si="0"/>
        <v>10</v>
      </c>
      <c r="K23" s="39"/>
      <c r="L23" s="39" t="s">
        <v>6</v>
      </c>
      <c r="M23" s="138"/>
      <c r="N23" s="73"/>
      <c r="O23" s="39" t="s">
        <v>77</v>
      </c>
      <c r="P23" s="89">
        <v>43986</v>
      </c>
      <c r="Q23" s="15"/>
      <c r="R23" s="185">
        <v>43945</v>
      </c>
      <c r="S23" s="73"/>
      <c r="T23" s="11" t="s">
        <v>467</v>
      </c>
      <c r="U23" s="186">
        <v>68.36</v>
      </c>
      <c r="V23" s="186"/>
      <c r="W23" s="186">
        <f t="shared" si="11"/>
        <v>68.36</v>
      </c>
      <c r="X23" s="186"/>
      <c r="Y23" s="186" t="s">
        <v>4</v>
      </c>
      <c r="Z23" s="138"/>
      <c r="AA23" s="73"/>
      <c r="AB23" s="138" t="s">
        <v>58</v>
      </c>
      <c r="AC23" s="185">
        <v>43945</v>
      </c>
      <c r="AE23" s="185"/>
      <c r="AF23" s="11"/>
      <c r="AG23" s="186"/>
      <c r="AH23" s="11"/>
      <c r="AI23" s="186">
        <f t="shared" si="9"/>
        <v>0</v>
      </c>
      <c r="AJ23" s="11"/>
      <c r="AK23" s="11"/>
      <c r="AL23" s="11"/>
      <c r="AM23" s="138"/>
      <c r="AN23" s="11"/>
      <c r="AO23" s="39"/>
      <c r="AP23" s="11"/>
      <c r="AR23" s="185"/>
      <c r="AS23" s="11"/>
      <c r="AT23" s="186"/>
      <c r="AU23" s="11"/>
      <c r="AV23" s="186">
        <f t="shared" si="8"/>
        <v>0</v>
      </c>
      <c r="AW23" s="186"/>
      <c r="AX23" s="186"/>
      <c r="AY23" s="11"/>
      <c r="AZ23" s="138"/>
      <c r="BA23" s="11"/>
      <c r="BB23" s="39"/>
      <c r="BC23" s="11"/>
      <c r="BE23" s="185"/>
      <c r="BF23" s="11"/>
      <c r="BG23" s="73"/>
      <c r="BH23" s="11"/>
      <c r="BI23" s="11"/>
      <c r="BJ23" s="11"/>
      <c r="BK23" s="186">
        <f t="shared" si="13"/>
        <v>0</v>
      </c>
      <c r="BL23" s="11"/>
      <c r="BM23" s="138"/>
      <c r="BN23" s="11"/>
      <c r="BO23" s="39"/>
      <c r="BP23" s="11"/>
      <c r="BR23" s="185"/>
      <c r="BS23" s="39"/>
      <c r="BT23" s="186"/>
      <c r="BU23" s="39"/>
      <c r="BV23" s="186">
        <f t="shared" si="10"/>
        <v>0</v>
      </c>
      <c r="BW23" s="39"/>
      <c r="BX23" s="39"/>
      <c r="BY23" s="39"/>
      <c r="BZ23" s="138"/>
      <c r="CA23" s="39"/>
      <c r="CB23" s="39"/>
      <c r="CC23" s="39"/>
      <c r="CE23" s="73"/>
      <c r="CF23" s="73"/>
      <c r="CG23" s="73"/>
      <c r="CH23" s="73"/>
      <c r="CI23" s="271"/>
      <c r="CJ23" s="73"/>
      <c r="CK23" s="186">
        <f t="shared" si="14"/>
        <v>0</v>
      </c>
      <c r="CL23" s="73"/>
      <c r="CM23" s="138"/>
      <c r="CN23" s="73"/>
      <c r="CO23" s="73"/>
      <c r="CP23" s="73"/>
      <c r="CR23" s="46">
        <v>43998</v>
      </c>
      <c r="CS23" s="73"/>
      <c r="CT23" s="11" t="s">
        <v>542</v>
      </c>
      <c r="CU23" s="186">
        <v>5.29</v>
      </c>
      <c r="CV23" s="163">
        <v>0.11</v>
      </c>
      <c r="CW23" s="186">
        <f t="shared" si="12"/>
        <v>5.4</v>
      </c>
      <c r="CX23" s="186"/>
      <c r="CY23" s="39" t="s">
        <v>6</v>
      </c>
      <c r="CZ23" s="138"/>
      <c r="DA23" s="73"/>
      <c r="DB23" s="138" t="s">
        <v>43</v>
      </c>
      <c r="DC23" s="89">
        <v>43998</v>
      </c>
      <c r="DE23" s="185"/>
      <c r="DF23" s="39"/>
      <c r="DG23" s="186"/>
      <c r="DH23" s="39"/>
      <c r="DI23" s="186">
        <f t="shared" si="7"/>
        <v>0</v>
      </c>
      <c r="DJ23" s="39"/>
      <c r="DK23" s="186"/>
      <c r="DL23" s="138"/>
      <c r="DM23" s="138"/>
      <c r="DN23" s="89"/>
      <c r="DO23" s="73"/>
      <c r="DP23" s="73"/>
    </row>
    <row r="24" spans="1:120" ht="15" customHeight="1" x14ac:dyDescent="0.35">
      <c r="A24" s="90"/>
      <c r="B24" s="231"/>
      <c r="C24" s="43"/>
      <c r="E24" s="185">
        <v>43985</v>
      </c>
      <c r="F24" s="73"/>
      <c r="G24" s="138" t="s">
        <v>416</v>
      </c>
      <c r="H24" s="39">
        <v>79</v>
      </c>
      <c r="I24" s="39"/>
      <c r="J24" s="186">
        <f t="shared" si="0"/>
        <v>79</v>
      </c>
      <c r="K24" s="39"/>
      <c r="L24" s="39" t="s">
        <v>6</v>
      </c>
      <c r="M24" s="114"/>
      <c r="N24" s="73"/>
      <c r="O24" s="39" t="s">
        <v>43</v>
      </c>
      <c r="P24" s="89">
        <v>43985</v>
      </c>
      <c r="Q24" s="15"/>
      <c r="R24" s="185">
        <v>43913</v>
      </c>
      <c r="S24" s="73"/>
      <c r="T24" s="11" t="s">
        <v>468</v>
      </c>
      <c r="U24" s="186">
        <v>68.36</v>
      </c>
      <c r="V24" s="186"/>
      <c r="W24" s="186">
        <f t="shared" si="11"/>
        <v>68.36</v>
      </c>
      <c r="X24" s="186"/>
      <c r="Y24" s="186" t="s">
        <v>3</v>
      </c>
      <c r="Z24" s="114"/>
      <c r="AA24" s="73"/>
      <c r="AB24" s="186" t="s">
        <v>58</v>
      </c>
      <c r="AC24" s="185">
        <v>43913</v>
      </c>
      <c r="AE24" s="185"/>
      <c r="AF24" s="11"/>
      <c r="AG24" s="186"/>
      <c r="AH24" s="11"/>
      <c r="AI24" s="186">
        <f t="shared" si="9"/>
        <v>0</v>
      </c>
      <c r="AJ24" s="11"/>
      <c r="AK24" s="11"/>
      <c r="AL24" s="11"/>
      <c r="AM24" s="114"/>
      <c r="AN24" s="11"/>
      <c r="AO24" s="39"/>
      <c r="AP24" s="11"/>
      <c r="AR24" s="185"/>
      <c r="AS24" s="11"/>
      <c r="AT24" s="186"/>
      <c r="AU24" s="11"/>
      <c r="AV24" s="186">
        <f t="shared" si="8"/>
        <v>0</v>
      </c>
      <c r="AW24" s="186"/>
      <c r="AX24" s="186"/>
      <c r="AY24" s="11"/>
      <c r="AZ24" s="114"/>
      <c r="BA24" s="11"/>
      <c r="BB24" s="39"/>
      <c r="BC24" s="11"/>
      <c r="BE24" s="185"/>
      <c r="BF24" s="11"/>
      <c r="BG24" s="73"/>
      <c r="BH24" s="11"/>
      <c r="BI24" s="11"/>
      <c r="BJ24" s="11"/>
      <c r="BK24" s="186">
        <f t="shared" si="13"/>
        <v>0</v>
      </c>
      <c r="BL24" s="11"/>
      <c r="BM24" s="114"/>
      <c r="BN24" s="11"/>
      <c r="BO24" s="39"/>
      <c r="BP24" s="11"/>
      <c r="BR24" s="185"/>
      <c r="BS24" s="39"/>
      <c r="BT24" s="186"/>
      <c r="BU24" s="39"/>
      <c r="BV24" s="186">
        <f t="shared" si="10"/>
        <v>0</v>
      </c>
      <c r="BW24" s="39"/>
      <c r="BX24" s="39"/>
      <c r="BY24" s="39"/>
      <c r="BZ24" s="114"/>
      <c r="CA24" s="39"/>
      <c r="CB24" s="39"/>
      <c r="CC24" s="39"/>
      <c r="CE24" s="73"/>
      <c r="CF24" s="73"/>
      <c r="CG24" s="73"/>
      <c r="CH24" s="73"/>
      <c r="CI24" s="271"/>
      <c r="CJ24" s="73"/>
      <c r="CK24" s="186">
        <f t="shared" si="14"/>
        <v>0</v>
      </c>
      <c r="CL24" s="73"/>
      <c r="CM24" s="114"/>
      <c r="CN24" s="73"/>
      <c r="CO24" s="73"/>
      <c r="CP24" s="73"/>
      <c r="CR24" s="185">
        <v>43998</v>
      </c>
      <c r="CS24" s="73"/>
      <c r="CT24" s="11" t="s">
        <v>543</v>
      </c>
      <c r="CU24" s="186">
        <v>22.53</v>
      </c>
      <c r="CV24" s="39">
        <v>0.47</v>
      </c>
      <c r="CW24" s="186">
        <f t="shared" si="12"/>
        <v>23</v>
      </c>
      <c r="CX24" s="186"/>
      <c r="CY24" s="39" t="s">
        <v>6</v>
      </c>
      <c r="CZ24" s="114"/>
      <c r="DA24" s="73"/>
      <c r="DB24" s="138" t="s">
        <v>43</v>
      </c>
      <c r="DC24" s="89">
        <v>43998</v>
      </c>
      <c r="DE24" s="185"/>
      <c r="DF24" s="39"/>
      <c r="DG24" s="186"/>
      <c r="DH24" s="39"/>
      <c r="DI24" s="186">
        <f t="shared" si="7"/>
        <v>0</v>
      </c>
      <c r="DJ24" s="39"/>
      <c r="DK24" s="186"/>
      <c r="DL24" s="138"/>
      <c r="DM24" s="114"/>
      <c r="DN24" s="89"/>
      <c r="DO24" s="73"/>
      <c r="DP24" s="73"/>
    </row>
    <row r="25" spans="1:120" ht="15" customHeight="1" x14ac:dyDescent="0.35">
      <c r="A25" s="229"/>
      <c r="B25" s="231"/>
      <c r="C25" s="43"/>
      <c r="E25" s="185">
        <v>43974</v>
      </c>
      <c r="F25" s="73"/>
      <c r="G25" s="138" t="s">
        <v>417</v>
      </c>
      <c r="H25" s="39">
        <v>3.49</v>
      </c>
      <c r="I25" s="39"/>
      <c r="J25" s="186">
        <f t="shared" si="0"/>
        <v>3.49</v>
      </c>
      <c r="K25" s="39"/>
      <c r="L25" s="39" t="s">
        <v>13</v>
      </c>
      <c r="M25" s="135"/>
      <c r="N25" s="73"/>
      <c r="O25" s="39" t="s">
        <v>52</v>
      </c>
      <c r="P25" s="89">
        <v>43971</v>
      </c>
      <c r="Q25" s="15"/>
      <c r="R25" s="279">
        <v>43862</v>
      </c>
      <c r="S25" s="73"/>
      <c r="T25" s="11" t="s">
        <v>469</v>
      </c>
      <c r="U25" s="17">
        <v>44.53</v>
      </c>
      <c r="V25" s="17">
        <v>3.79</v>
      </c>
      <c r="W25" s="17">
        <f t="shared" si="11"/>
        <v>48.32</v>
      </c>
      <c r="X25" s="17"/>
      <c r="Y25" s="11" t="s">
        <v>55</v>
      </c>
      <c r="Z25" s="135"/>
      <c r="AA25" s="73"/>
      <c r="AB25" s="290" t="s">
        <v>54</v>
      </c>
      <c r="AC25" s="18">
        <v>44041</v>
      </c>
      <c r="AE25" s="185"/>
      <c r="AF25" s="11"/>
      <c r="AG25" s="186"/>
      <c r="AH25" s="11"/>
      <c r="AI25" s="186">
        <f t="shared" si="9"/>
        <v>0</v>
      </c>
      <c r="AJ25" s="11"/>
      <c r="AK25" s="11"/>
      <c r="AL25" s="11"/>
      <c r="AM25" s="135"/>
      <c r="AN25" s="11"/>
      <c r="AO25" s="39"/>
      <c r="AP25" s="11"/>
      <c r="AR25" s="185"/>
      <c r="AS25" s="11"/>
      <c r="AT25" s="186"/>
      <c r="AU25" s="11"/>
      <c r="AV25" s="186">
        <f t="shared" si="8"/>
        <v>0</v>
      </c>
      <c r="AW25" s="186"/>
      <c r="AX25" s="186"/>
      <c r="AY25" s="11"/>
      <c r="AZ25" s="135"/>
      <c r="BA25" s="11"/>
      <c r="BB25" s="39"/>
      <c r="BC25" s="11"/>
      <c r="BE25" s="185"/>
      <c r="BF25" s="11"/>
      <c r="BG25" s="73"/>
      <c r="BH25" s="11"/>
      <c r="BI25" s="11"/>
      <c r="BJ25" s="11"/>
      <c r="BK25" s="186">
        <f t="shared" si="13"/>
        <v>0</v>
      </c>
      <c r="BL25" s="11"/>
      <c r="BM25" s="135"/>
      <c r="BN25" s="11"/>
      <c r="BO25" s="39"/>
      <c r="BP25" s="11"/>
      <c r="BR25" s="185"/>
      <c r="BS25" s="39"/>
      <c r="BT25" s="186"/>
      <c r="BU25" s="39"/>
      <c r="BV25" s="186">
        <f t="shared" si="10"/>
        <v>0</v>
      </c>
      <c r="BW25" s="39"/>
      <c r="BX25" s="39"/>
      <c r="BY25" s="39"/>
      <c r="BZ25" s="135"/>
      <c r="CA25" s="39"/>
      <c r="CB25" s="39"/>
      <c r="CC25" s="39"/>
      <c r="CE25" s="73"/>
      <c r="CF25" s="73"/>
      <c r="CG25" s="73"/>
      <c r="CH25" s="73"/>
      <c r="CI25" s="271"/>
      <c r="CJ25" s="73"/>
      <c r="CK25" s="186">
        <f t="shared" si="14"/>
        <v>0</v>
      </c>
      <c r="CL25" s="73"/>
      <c r="CM25" s="135"/>
      <c r="CN25" s="73"/>
      <c r="CO25" s="73"/>
      <c r="CP25" s="73"/>
      <c r="CR25" s="185">
        <v>43991</v>
      </c>
      <c r="CS25" s="73"/>
      <c r="CT25" s="11" t="s">
        <v>544</v>
      </c>
      <c r="CU25" s="186">
        <v>4.0199999999999996</v>
      </c>
      <c r="CV25" s="39">
        <v>0.08</v>
      </c>
      <c r="CW25" s="186">
        <f t="shared" si="12"/>
        <v>4.0999999999999996</v>
      </c>
      <c r="CX25" s="186"/>
      <c r="CY25" s="39" t="s">
        <v>6</v>
      </c>
      <c r="CZ25" s="135"/>
      <c r="DA25" s="73"/>
      <c r="DB25" s="138" t="s">
        <v>43</v>
      </c>
      <c r="DC25" s="89">
        <v>43991</v>
      </c>
      <c r="DE25" s="185"/>
      <c r="DF25" s="39"/>
      <c r="DG25" s="186"/>
      <c r="DH25" s="39"/>
      <c r="DI25" s="186">
        <f t="shared" si="7"/>
        <v>0</v>
      </c>
      <c r="DJ25" s="39"/>
      <c r="DK25" s="186"/>
      <c r="DL25" s="138"/>
      <c r="DM25" s="135"/>
      <c r="DN25" s="89"/>
      <c r="DO25" s="73"/>
      <c r="DP25" s="73"/>
    </row>
    <row r="26" spans="1:120" ht="15" customHeight="1" x14ac:dyDescent="0.35">
      <c r="A26" s="229"/>
      <c r="B26" s="231"/>
      <c r="C26" s="43"/>
      <c r="E26" s="185">
        <v>43971</v>
      </c>
      <c r="F26" s="73"/>
      <c r="G26" s="138" t="s">
        <v>418</v>
      </c>
      <c r="H26" s="11">
        <v>2.94</v>
      </c>
      <c r="I26" s="11">
        <v>0.59</v>
      </c>
      <c r="J26" s="186">
        <f t="shared" si="0"/>
        <v>3.53</v>
      </c>
      <c r="K26" s="11"/>
      <c r="L26" s="11" t="s">
        <v>13</v>
      </c>
      <c r="M26" s="39"/>
      <c r="N26" s="73"/>
      <c r="O26" s="39" t="s">
        <v>43</v>
      </c>
      <c r="P26" s="69">
        <v>43971</v>
      </c>
      <c r="Q26" s="15"/>
      <c r="R26" s="185">
        <v>43897</v>
      </c>
      <c r="S26" s="73"/>
      <c r="T26" s="11" t="s">
        <v>470</v>
      </c>
      <c r="U26" s="186">
        <v>46.43</v>
      </c>
      <c r="V26" s="11"/>
      <c r="W26" s="186">
        <f t="shared" si="11"/>
        <v>46.43</v>
      </c>
      <c r="X26" s="186"/>
      <c r="Y26" s="11" t="s">
        <v>3</v>
      </c>
      <c r="Z26" s="39"/>
      <c r="AA26" s="73"/>
      <c r="AB26" s="39" t="s">
        <v>58</v>
      </c>
      <c r="AC26" s="69">
        <v>43897</v>
      </c>
      <c r="AE26" s="185"/>
      <c r="AF26" s="11"/>
      <c r="AG26" s="186"/>
      <c r="AH26" s="11"/>
      <c r="AI26" s="186">
        <f t="shared" si="9"/>
        <v>0</v>
      </c>
      <c r="AJ26" s="11"/>
      <c r="AK26" s="11"/>
      <c r="AL26" s="11"/>
      <c r="AM26" s="39"/>
      <c r="AN26" s="11"/>
      <c r="AO26" s="39"/>
      <c r="AP26" s="11"/>
      <c r="AR26" s="185"/>
      <c r="AS26" s="11"/>
      <c r="AT26" s="186"/>
      <c r="AU26" s="11"/>
      <c r="AV26" s="186">
        <f t="shared" si="8"/>
        <v>0</v>
      </c>
      <c r="AW26" s="186"/>
      <c r="AX26" s="186"/>
      <c r="AY26" s="11"/>
      <c r="AZ26" s="39"/>
      <c r="BA26" s="11"/>
      <c r="BB26" s="39"/>
      <c r="BC26" s="11"/>
      <c r="BE26" s="185"/>
      <c r="BF26" s="11"/>
      <c r="BG26" s="73"/>
      <c r="BH26" s="11"/>
      <c r="BI26" s="11"/>
      <c r="BJ26" s="11"/>
      <c r="BK26" s="186">
        <f t="shared" si="13"/>
        <v>0</v>
      </c>
      <c r="BL26" s="11"/>
      <c r="BM26" s="39"/>
      <c r="BN26" s="11"/>
      <c r="BO26" s="39"/>
      <c r="BP26" s="11"/>
      <c r="BR26" s="185"/>
      <c r="BS26" s="39"/>
      <c r="BT26" s="186"/>
      <c r="BU26" s="39"/>
      <c r="BV26" s="186">
        <f t="shared" si="10"/>
        <v>0</v>
      </c>
      <c r="BW26" s="39"/>
      <c r="BX26" s="39"/>
      <c r="BY26" s="39"/>
      <c r="BZ26" s="39"/>
      <c r="CA26" s="39"/>
      <c r="CB26" s="39"/>
      <c r="CC26" s="39"/>
      <c r="CE26" s="73"/>
      <c r="CF26" s="73"/>
      <c r="CG26" s="73"/>
      <c r="CH26" s="73"/>
      <c r="CI26" s="271"/>
      <c r="CJ26" s="73"/>
      <c r="CK26" s="186">
        <f t="shared" si="14"/>
        <v>0</v>
      </c>
      <c r="CL26" s="73"/>
      <c r="CM26" s="39"/>
      <c r="CN26" s="73"/>
      <c r="CO26" s="73"/>
      <c r="CP26" s="73"/>
      <c r="CR26" s="185">
        <v>43986</v>
      </c>
      <c r="CS26" s="73"/>
      <c r="CT26" s="11" t="s">
        <v>545</v>
      </c>
      <c r="CU26" s="186">
        <v>8.6999999999999993</v>
      </c>
      <c r="CV26" s="186"/>
      <c r="CW26" s="186">
        <f t="shared" si="12"/>
        <v>8.6999999999999993</v>
      </c>
      <c r="CX26" s="186"/>
      <c r="CY26" s="138" t="s">
        <v>6</v>
      </c>
      <c r="CZ26" s="39"/>
      <c r="DA26" s="73"/>
      <c r="DB26" s="138" t="s">
        <v>43</v>
      </c>
      <c r="DC26" s="185">
        <v>43986</v>
      </c>
      <c r="DE26" s="185"/>
      <c r="DF26" s="39"/>
      <c r="DG26" s="186"/>
      <c r="DH26" s="39"/>
      <c r="DI26" s="186">
        <f t="shared" si="7"/>
        <v>0</v>
      </c>
      <c r="DJ26" s="39"/>
      <c r="DK26" s="186"/>
      <c r="DL26" s="138"/>
      <c r="DM26" s="39"/>
      <c r="DN26" s="89"/>
      <c r="DO26" s="73"/>
      <c r="DP26" s="73"/>
    </row>
    <row r="27" spans="1:120" ht="15" customHeight="1" x14ac:dyDescent="0.35">
      <c r="A27" s="117"/>
      <c r="B27" s="118" t="s">
        <v>84</v>
      </c>
      <c r="C27" s="43"/>
      <c r="E27" s="185">
        <v>43970</v>
      </c>
      <c r="F27" s="73"/>
      <c r="G27" s="138" t="s">
        <v>419</v>
      </c>
      <c r="H27" s="186">
        <v>58.43</v>
      </c>
      <c r="I27" s="186"/>
      <c r="J27" s="186">
        <f t="shared" si="0"/>
        <v>58.43</v>
      </c>
      <c r="K27" s="186"/>
      <c r="L27" s="138" t="s">
        <v>13</v>
      </c>
      <c r="M27" s="135"/>
      <c r="N27" s="73"/>
      <c r="O27" s="138" t="s">
        <v>43</v>
      </c>
      <c r="P27" s="89">
        <v>43970</v>
      </c>
      <c r="Q27" s="15"/>
      <c r="R27" s="18">
        <v>43889</v>
      </c>
      <c r="S27" s="73"/>
      <c r="T27" s="11" t="s">
        <v>471</v>
      </c>
      <c r="U27" s="17">
        <v>68.36</v>
      </c>
      <c r="V27" s="39"/>
      <c r="W27" s="17">
        <f t="shared" si="11"/>
        <v>68.36</v>
      </c>
      <c r="X27" s="17"/>
      <c r="Y27" s="39" t="s">
        <v>2</v>
      </c>
      <c r="Z27" s="135"/>
      <c r="AA27" s="73"/>
      <c r="AB27" s="39" t="s">
        <v>58</v>
      </c>
      <c r="AC27" s="89">
        <v>43889</v>
      </c>
      <c r="AE27" s="185"/>
      <c r="AF27" s="11"/>
      <c r="AG27" s="186"/>
      <c r="AH27" s="11"/>
      <c r="AI27" s="186">
        <f t="shared" si="9"/>
        <v>0</v>
      </c>
      <c r="AJ27" s="11"/>
      <c r="AK27" s="11"/>
      <c r="AL27" s="11"/>
      <c r="AM27" s="135"/>
      <c r="AN27" s="11"/>
      <c r="AO27" s="39"/>
      <c r="AP27" s="11"/>
      <c r="AR27" s="185"/>
      <c r="AS27" s="11"/>
      <c r="AT27" s="186"/>
      <c r="AU27" s="11"/>
      <c r="AV27" s="186">
        <f t="shared" si="8"/>
        <v>0</v>
      </c>
      <c r="AW27" s="186"/>
      <c r="AX27" s="186"/>
      <c r="AY27" s="11"/>
      <c r="AZ27" s="135"/>
      <c r="BA27" s="11"/>
      <c r="BB27" s="39"/>
      <c r="BC27" s="11"/>
      <c r="BE27" s="185"/>
      <c r="BF27" s="11"/>
      <c r="BG27" s="73"/>
      <c r="BH27" s="11"/>
      <c r="BI27" s="11"/>
      <c r="BJ27" s="11"/>
      <c r="BK27" s="186">
        <f t="shared" si="13"/>
        <v>0</v>
      </c>
      <c r="BL27" s="11"/>
      <c r="BM27" s="135"/>
      <c r="BN27" s="11"/>
      <c r="BO27" s="39"/>
      <c r="BP27" s="11"/>
      <c r="BR27" s="185"/>
      <c r="BS27" s="39"/>
      <c r="BT27" s="186"/>
      <c r="BU27" s="39"/>
      <c r="BV27" s="186">
        <f t="shared" si="10"/>
        <v>0</v>
      </c>
      <c r="BW27" s="39"/>
      <c r="BX27" s="39"/>
      <c r="BY27" s="39"/>
      <c r="BZ27" s="135"/>
      <c r="CA27" s="39"/>
      <c r="CB27" s="39"/>
      <c r="CC27" s="39"/>
      <c r="CE27" s="73"/>
      <c r="CF27" s="73"/>
      <c r="CG27" s="73"/>
      <c r="CH27" s="73"/>
      <c r="CI27" s="271"/>
      <c r="CJ27" s="73"/>
      <c r="CK27" s="186">
        <f t="shared" si="14"/>
        <v>0</v>
      </c>
      <c r="CL27" s="73"/>
      <c r="CM27" s="135"/>
      <c r="CN27" s="73"/>
      <c r="CO27" s="73"/>
      <c r="CP27" s="73"/>
      <c r="CR27" s="46">
        <v>43986</v>
      </c>
      <c r="CS27" s="73"/>
      <c r="CT27" s="11" t="s">
        <v>546</v>
      </c>
      <c r="CU27" s="186">
        <v>20</v>
      </c>
      <c r="CV27" s="186"/>
      <c r="CW27" s="186">
        <f t="shared" si="12"/>
        <v>20</v>
      </c>
      <c r="CX27" s="186"/>
      <c r="CY27" s="138" t="s">
        <v>6</v>
      </c>
      <c r="CZ27" s="135"/>
      <c r="DA27" s="73"/>
      <c r="DB27" s="138" t="s">
        <v>43</v>
      </c>
      <c r="DC27" s="185">
        <v>43986</v>
      </c>
      <c r="DE27" s="185"/>
      <c r="DF27" s="39"/>
      <c r="DG27" s="186"/>
      <c r="DH27" s="39"/>
      <c r="DI27" s="186">
        <f t="shared" si="7"/>
        <v>0</v>
      </c>
      <c r="DJ27" s="39"/>
      <c r="DK27" s="186"/>
      <c r="DL27" s="138"/>
      <c r="DM27" s="135"/>
      <c r="DN27" s="89"/>
      <c r="DO27" s="73"/>
      <c r="DP27" s="73"/>
    </row>
    <row r="28" spans="1:120" ht="15" customHeight="1" x14ac:dyDescent="0.35">
      <c r="A28" s="116"/>
      <c r="B28" s="118" t="s">
        <v>97</v>
      </c>
      <c r="C28" s="44"/>
      <c r="E28" s="185">
        <v>43957</v>
      </c>
      <c r="F28" s="73"/>
      <c r="G28" s="138" t="s">
        <v>420</v>
      </c>
      <c r="H28" s="186">
        <v>19.260000000000002</v>
      </c>
      <c r="I28" s="186">
        <v>1.64</v>
      </c>
      <c r="J28" s="186">
        <f t="shared" si="0"/>
        <v>20.900000000000002</v>
      </c>
      <c r="K28" s="186"/>
      <c r="L28" s="138" t="s">
        <v>13</v>
      </c>
      <c r="M28" s="39"/>
      <c r="N28" s="73"/>
      <c r="O28" s="138" t="s">
        <v>52</v>
      </c>
      <c r="P28" s="185">
        <v>43957</v>
      </c>
      <c r="Q28" s="15"/>
      <c r="R28" s="18">
        <v>43831</v>
      </c>
      <c r="S28" s="73"/>
      <c r="T28" s="11" t="s">
        <v>472</v>
      </c>
      <c r="U28" s="17">
        <v>63.56</v>
      </c>
      <c r="V28" s="11"/>
      <c r="W28" s="17">
        <f t="shared" si="11"/>
        <v>63.56</v>
      </c>
      <c r="X28" s="17"/>
      <c r="Y28" s="11" t="s">
        <v>1</v>
      </c>
      <c r="Z28" s="39"/>
      <c r="AA28" s="73"/>
      <c r="AB28" s="290" t="s">
        <v>54</v>
      </c>
      <c r="AC28" s="18">
        <v>44041</v>
      </c>
      <c r="AE28" s="185"/>
      <c r="AF28" s="11"/>
      <c r="AG28" s="186"/>
      <c r="AH28" s="11"/>
      <c r="AI28" s="186">
        <f t="shared" si="9"/>
        <v>0</v>
      </c>
      <c r="AJ28" s="11"/>
      <c r="AK28" s="11"/>
      <c r="AL28" s="11"/>
      <c r="AM28" s="39"/>
      <c r="AN28" s="11"/>
      <c r="AO28" s="39"/>
      <c r="AP28" s="11"/>
      <c r="AR28" s="185"/>
      <c r="AS28" s="11"/>
      <c r="AT28" s="186"/>
      <c r="AU28" s="11"/>
      <c r="AV28" s="186">
        <f t="shared" si="8"/>
        <v>0</v>
      </c>
      <c r="AW28" s="186"/>
      <c r="AX28" s="186"/>
      <c r="AY28" s="11"/>
      <c r="AZ28" s="39"/>
      <c r="BA28" s="11"/>
      <c r="BB28" s="39"/>
      <c r="BC28" s="11"/>
      <c r="BE28" s="185"/>
      <c r="BF28" s="11"/>
      <c r="BG28" s="73"/>
      <c r="BH28" s="11"/>
      <c r="BI28" s="11"/>
      <c r="BJ28" s="11"/>
      <c r="BK28" s="186">
        <f t="shared" si="13"/>
        <v>0</v>
      </c>
      <c r="BL28" s="11"/>
      <c r="BM28" s="39"/>
      <c r="BN28" s="11"/>
      <c r="BO28" s="39"/>
      <c r="BP28" s="11"/>
      <c r="BR28" s="185"/>
      <c r="BS28" s="39"/>
      <c r="BT28" s="186"/>
      <c r="BU28" s="39"/>
      <c r="BV28" s="186">
        <f t="shared" si="10"/>
        <v>0</v>
      </c>
      <c r="BW28" s="39"/>
      <c r="BX28" s="39"/>
      <c r="BY28" s="39"/>
      <c r="BZ28" s="39"/>
      <c r="CA28" s="39"/>
      <c r="CB28" s="39"/>
      <c r="CC28" s="39"/>
      <c r="CE28" s="73"/>
      <c r="CF28" s="73"/>
      <c r="CG28" s="73"/>
      <c r="CH28" s="73"/>
      <c r="CI28" s="271"/>
      <c r="CJ28" s="73"/>
      <c r="CK28" s="186">
        <f t="shared" si="14"/>
        <v>0</v>
      </c>
      <c r="CL28" s="73"/>
      <c r="CM28" s="39"/>
      <c r="CN28" s="73"/>
      <c r="CO28" s="73"/>
      <c r="CP28" s="73"/>
      <c r="CR28" s="185">
        <v>43979</v>
      </c>
      <c r="CS28" s="73"/>
      <c r="CT28" s="11" t="s">
        <v>547</v>
      </c>
      <c r="CU28" s="186">
        <v>18</v>
      </c>
      <c r="CV28" s="11"/>
      <c r="CW28" s="186">
        <f t="shared" si="12"/>
        <v>18</v>
      </c>
      <c r="CX28" s="186"/>
      <c r="CY28" s="11" t="s">
        <v>13</v>
      </c>
      <c r="CZ28" s="39"/>
      <c r="DA28" s="73"/>
      <c r="DB28" s="39" t="s">
        <v>43</v>
      </c>
      <c r="DC28" s="69">
        <v>43979</v>
      </c>
      <c r="DE28" s="185"/>
      <c r="DF28" s="39"/>
      <c r="DG28" s="186"/>
      <c r="DH28" s="39"/>
      <c r="DI28" s="186">
        <f t="shared" si="7"/>
        <v>0</v>
      </c>
      <c r="DJ28" s="39"/>
      <c r="DK28" s="186"/>
      <c r="DL28" s="138"/>
      <c r="DM28" s="39"/>
      <c r="DN28" s="89"/>
      <c r="DO28" s="73"/>
      <c r="DP28" s="73"/>
    </row>
    <row r="29" spans="1:120" ht="15" customHeight="1" x14ac:dyDescent="0.35">
      <c r="A29" s="170" t="s">
        <v>94</v>
      </c>
      <c r="C29" s="44"/>
      <c r="E29" s="185">
        <v>43955</v>
      </c>
      <c r="F29" s="73"/>
      <c r="G29" s="138" t="s">
        <v>421</v>
      </c>
      <c r="H29" s="39">
        <v>20.91</v>
      </c>
      <c r="I29" s="39">
        <v>1.78</v>
      </c>
      <c r="J29" s="186">
        <f t="shared" si="0"/>
        <v>22.69</v>
      </c>
      <c r="K29" s="39"/>
      <c r="L29" s="39" t="s">
        <v>13</v>
      </c>
      <c r="M29" s="114"/>
      <c r="N29" s="73"/>
      <c r="O29" s="39" t="s">
        <v>43</v>
      </c>
      <c r="P29" s="89">
        <v>43955</v>
      </c>
      <c r="Q29" s="15"/>
      <c r="R29" s="18">
        <v>44088</v>
      </c>
      <c r="S29" s="73"/>
      <c r="T29" s="11" t="s">
        <v>473</v>
      </c>
      <c r="U29" s="17">
        <v>60</v>
      </c>
      <c r="V29" s="11">
        <v>5.0999999999999996</v>
      </c>
      <c r="W29" s="17">
        <f t="shared" si="11"/>
        <v>65.099999999999994</v>
      </c>
      <c r="X29" s="17"/>
      <c r="Y29" s="11" t="s">
        <v>9</v>
      </c>
      <c r="Z29" s="114"/>
      <c r="AA29" s="73"/>
      <c r="AB29" s="39" t="s">
        <v>54</v>
      </c>
      <c r="AC29" s="69">
        <v>44109</v>
      </c>
      <c r="AE29" s="185"/>
      <c r="AF29" s="11"/>
      <c r="AG29" s="186"/>
      <c r="AH29" s="11"/>
      <c r="AI29" s="186">
        <f t="shared" si="9"/>
        <v>0</v>
      </c>
      <c r="AJ29" s="11"/>
      <c r="AK29" s="11"/>
      <c r="AL29" s="11"/>
      <c r="AM29" s="114"/>
      <c r="AN29" s="11"/>
      <c r="AO29" s="39"/>
      <c r="AP29" s="11"/>
      <c r="AR29" s="185"/>
      <c r="AS29" s="11"/>
      <c r="AT29" s="186"/>
      <c r="AU29" s="11"/>
      <c r="AV29" s="186">
        <f t="shared" si="8"/>
        <v>0</v>
      </c>
      <c r="AW29" s="186"/>
      <c r="AX29" s="186"/>
      <c r="AY29" s="11"/>
      <c r="AZ29" s="114"/>
      <c r="BA29" s="11"/>
      <c r="BB29" s="39"/>
      <c r="BC29" s="11"/>
      <c r="BE29" s="185"/>
      <c r="BF29" s="11"/>
      <c r="BG29" s="73"/>
      <c r="BH29" s="11"/>
      <c r="BI29" s="11"/>
      <c r="BJ29" s="11"/>
      <c r="BK29" s="186">
        <f t="shared" si="13"/>
        <v>0</v>
      </c>
      <c r="BL29" s="11"/>
      <c r="BM29" s="114"/>
      <c r="BN29" s="11"/>
      <c r="BO29" s="39"/>
      <c r="BP29" s="11"/>
      <c r="BR29" s="185"/>
      <c r="BS29" s="39"/>
      <c r="BT29" s="186"/>
      <c r="BU29" s="39"/>
      <c r="BV29" s="186">
        <f t="shared" si="10"/>
        <v>0</v>
      </c>
      <c r="BW29" s="39"/>
      <c r="BX29" s="39"/>
      <c r="BY29" s="39"/>
      <c r="BZ29" s="114"/>
      <c r="CA29" s="39"/>
      <c r="CB29" s="39"/>
      <c r="CC29" s="39"/>
      <c r="CE29" s="73"/>
      <c r="CF29" s="73"/>
      <c r="CG29" s="73"/>
      <c r="CH29" s="73"/>
      <c r="CI29" s="271"/>
      <c r="CJ29" s="73"/>
      <c r="CK29" s="186">
        <f t="shared" si="14"/>
        <v>0</v>
      </c>
      <c r="CL29" s="73"/>
      <c r="CM29" s="114"/>
      <c r="CN29" s="73"/>
      <c r="CO29" s="73"/>
      <c r="CP29" s="73"/>
      <c r="CR29" s="185">
        <v>43971</v>
      </c>
      <c r="CS29" s="73"/>
      <c r="CT29" s="11" t="s">
        <v>548</v>
      </c>
      <c r="CU29" s="186">
        <v>8</v>
      </c>
      <c r="CV29" s="186"/>
      <c r="CW29" s="186">
        <f t="shared" si="12"/>
        <v>8</v>
      </c>
      <c r="CX29" s="186"/>
      <c r="CY29" s="138" t="s">
        <v>13</v>
      </c>
      <c r="CZ29" s="114"/>
      <c r="DA29" s="73"/>
      <c r="DB29" s="138" t="s">
        <v>77</v>
      </c>
      <c r="DC29" s="185">
        <v>43971</v>
      </c>
      <c r="DE29" s="185"/>
      <c r="DF29" s="39"/>
      <c r="DG29" s="186"/>
      <c r="DH29" s="39"/>
      <c r="DI29" s="186">
        <f t="shared" si="7"/>
        <v>0</v>
      </c>
      <c r="DJ29" s="39"/>
      <c r="DK29" s="186"/>
      <c r="DL29" s="138"/>
      <c r="DM29" s="114"/>
      <c r="DN29" s="89"/>
      <c r="DO29" s="73"/>
      <c r="DP29" s="73"/>
    </row>
    <row r="30" spans="1:120" ht="15" customHeight="1" x14ac:dyDescent="0.35">
      <c r="A30" s="90"/>
      <c r="E30" s="185">
        <v>43955</v>
      </c>
      <c r="F30" s="73"/>
      <c r="G30" s="138" t="s">
        <v>422</v>
      </c>
      <c r="H30" s="39">
        <v>27.65</v>
      </c>
      <c r="I30" s="39">
        <v>2.35</v>
      </c>
      <c r="J30" s="186">
        <f t="shared" si="0"/>
        <v>30</v>
      </c>
      <c r="K30" s="39"/>
      <c r="L30" s="39" t="s">
        <v>13</v>
      </c>
      <c r="M30" s="114"/>
      <c r="N30" s="73"/>
      <c r="O30" s="39" t="s">
        <v>43</v>
      </c>
      <c r="P30" s="89">
        <v>43955</v>
      </c>
      <c r="Q30" s="15"/>
      <c r="R30" s="18">
        <v>43854</v>
      </c>
      <c r="S30" s="73"/>
      <c r="T30" s="11" t="s">
        <v>474</v>
      </c>
      <c r="U30" s="17">
        <v>68.36</v>
      </c>
      <c r="V30" s="11"/>
      <c r="W30" s="17">
        <f t="shared" si="11"/>
        <v>68.36</v>
      </c>
      <c r="X30" s="17"/>
      <c r="Y30" s="11" t="s">
        <v>1</v>
      </c>
      <c r="Z30" s="114"/>
      <c r="AA30" s="73"/>
      <c r="AB30" s="39" t="s">
        <v>58</v>
      </c>
      <c r="AC30" s="69">
        <v>43854</v>
      </c>
      <c r="AE30" s="185"/>
      <c r="AF30" s="11"/>
      <c r="AG30" s="186"/>
      <c r="AH30" s="11"/>
      <c r="AI30" s="186">
        <f t="shared" si="9"/>
        <v>0</v>
      </c>
      <c r="AJ30" s="11"/>
      <c r="AK30" s="11"/>
      <c r="AL30" s="11"/>
      <c r="AM30" s="114"/>
      <c r="AN30" s="11"/>
      <c r="AO30" s="39"/>
      <c r="AP30" s="11"/>
      <c r="AR30" s="185"/>
      <c r="AS30" s="11"/>
      <c r="AT30" s="186"/>
      <c r="AU30" s="11"/>
      <c r="AV30" s="186">
        <f t="shared" si="8"/>
        <v>0</v>
      </c>
      <c r="AW30" s="186"/>
      <c r="AX30" s="186"/>
      <c r="AY30" s="11"/>
      <c r="AZ30" s="114"/>
      <c r="BA30" s="11"/>
      <c r="BB30" s="39"/>
      <c r="BC30" s="11"/>
      <c r="BE30" s="185"/>
      <c r="BF30" s="11"/>
      <c r="BG30" s="73"/>
      <c r="BH30" s="11"/>
      <c r="BI30" s="11"/>
      <c r="BJ30" s="11"/>
      <c r="BK30" s="186">
        <f t="shared" si="13"/>
        <v>0</v>
      </c>
      <c r="BL30" s="11"/>
      <c r="BM30" s="114"/>
      <c r="BN30" s="11"/>
      <c r="BO30" s="39"/>
      <c r="BP30" s="11"/>
      <c r="BR30" s="185"/>
      <c r="BS30" s="39"/>
      <c r="BT30" s="186"/>
      <c r="BU30" s="39"/>
      <c r="BV30" s="186">
        <f t="shared" si="10"/>
        <v>0</v>
      </c>
      <c r="BW30" s="39"/>
      <c r="BX30" s="39"/>
      <c r="BY30" s="39"/>
      <c r="BZ30" s="114"/>
      <c r="CA30" s="39"/>
      <c r="CB30" s="39"/>
      <c r="CC30" s="39"/>
      <c r="CE30" s="73"/>
      <c r="CF30" s="73"/>
      <c r="CG30" s="73"/>
      <c r="CH30" s="73"/>
      <c r="CI30" s="271"/>
      <c r="CJ30" s="73"/>
      <c r="CK30" s="186">
        <f t="shared" si="14"/>
        <v>0</v>
      </c>
      <c r="CL30" s="73"/>
      <c r="CM30" s="114"/>
      <c r="CN30" s="73"/>
      <c r="CO30" s="73"/>
      <c r="CP30" s="73"/>
      <c r="CR30" s="185">
        <v>43963</v>
      </c>
      <c r="CS30" s="73"/>
      <c r="CT30" s="11" t="s">
        <v>549</v>
      </c>
      <c r="CU30" s="186">
        <v>10.28</v>
      </c>
      <c r="CV30" s="40"/>
      <c r="CW30" s="186">
        <f t="shared" si="12"/>
        <v>10.28</v>
      </c>
      <c r="CX30" s="186"/>
      <c r="CY30" s="138" t="s">
        <v>13</v>
      </c>
      <c r="CZ30" s="114"/>
      <c r="DA30" s="73"/>
      <c r="DB30" s="138" t="s">
        <v>43</v>
      </c>
      <c r="DC30" s="185">
        <v>43963</v>
      </c>
      <c r="DE30" s="185"/>
      <c r="DF30" s="39"/>
      <c r="DG30" s="186"/>
      <c r="DH30" s="39"/>
      <c r="DI30" s="186">
        <f t="shared" si="7"/>
        <v>0</v>
      </c>
      <c r="DJ30" s="39"/>
      <c r="DK30" s="186"/>
      <c r="DL30" s="138"/>
      <c r="DM30" s="114"/>
      <c r="DN30" s="89"/>
      <c r="DO30" s="73"/>
      <c r="DP30" s="73"/>
    </row>
    <row r="31" spans="1:120" ht="15" customHeight="1" x14ac:dyDescent="0.35">
      <c r="A31" s="90"/>
      <c r="B31" s="231"/>
      <c r="E31" s="18">
        <v>43953</v>
      </c>
      <c r="F31" s="73"/>
      <c r="G31" s="138" t="s">
        <v>423</v>
      </c>
      <c r="H31" s="17">
        <v>13.81</v>
      </c>
      <c r="I31" s="17">
        <v>1.17</v>
      </c>
      <c r="J31" s="17">
        <f t="shared" si="0"/>
        <v>14.98</v>
      </c>
      <c r="K31" s="17"/>
      <c r="L31" s="19" t="s">
        <v>13</v>
      </c>
      <c r="M31" s="135"/>
      <c r="N31" s="73"/>
      <c r="O31" s="19" t="s">
        <v>86</v>
      </c>
      <c r="P31" s="18">
        <v>43965</v>
      </c>
      <c r="Q31" s="15"/>
      <c r="R31" s="18"/>
      <c r="S31" s="11"/>
      <c r="T31" s="17"/>
      <c r="U31" s="11"/>
      <c r="V31" s="17">
        <f t="shared" ref="V31:V55" si="15">T31+U31</f>
        <v>0</v>
      </c>
      <c r="W31" s="17"/>
      <c r="X31" s="17"/>
      <c r="Y31" s="11"/>
      <c r="Z31" s="135"/>
      <c r="AA31" s="73"/>
      <c r="AB31" s="39"/>
      <c r="AC31" s="11"/>
      <c r="AE31" s="185"/>
      <c r="AF31" s="11"/>
      <c r="AG31" s="186"/>
      <c r="AH31" s="11"/>
      <c r="AI31" s="186">
        <f t="shared" si="9"/>
        <v>0</v>
      </c>
      <c r="AJ31" s="11"/>
      <c r="AK31" s="11"/>
      <c r="AL31" s="11"/>
      <c r="AM31" s="135"/>
      <c r="AN31" s="11"/>
      <c r="AO31" s="39"/>
      <c r="AP31" s="11"/>
      <c r="AR31" s="185"/>
      <c r="AS31" s="11"/>
      <c r="AT31" s="186"/>
      <c r="AU31" s="11"/>
      <c r="AV31" s="186">
        <f t="shared" si="8"/>
        <v>0</v>
      </c>
      <c r="AW31" s="186"/>
      <c r="AX31" s="186"/>
      <c r="AY31" s="11"/>
      <c r="AZ31" s="135"/>
      <c r="BA31" s="11"/>
      <c r="BB31" s="39"/>
      <c r="BC31" s="11"/>
      <c r="BE31" s="185"/>
      <c r="BF31" s="11"/>
      <c r="BG31" s="73"/>
      <c r="BH31" s="11"/>
      <c r="BI31" s="11"/>
      <c r="BJ31" s="11"/>
      <c r="BK31" s="186">
        <f t="shared" si="13"/>
        <v>0</v>
      </c>
      <c r="BL31" s="11"/>
      <c r="BM31" s="135"/>
      <c r="BN31" s="11"/>
      <c r="BO31" s="39"/>
      <c r="BP31" s="11"/>
      <c r="BR31" s="185"/>
      <c r="BS31" s="39"/>
      <c r="BT31" s="186"/>
      <c r="BU31" s="39"/>
      <c r="BV31" s="186">
        <f t="shared" si="10"/>
        <v>0</v>
      </c>
      <c r="BW31" s="39"/>
      <c r="BX31" s="39"/>
      <c r="BY31" s="39"/>
      <c r="BZ31" s="135"/>
      <c r="CA31" s="39"/>
      <c r="CB31" s="39"/>
      <c r="CC31" s="39"/>
      <c r="CE31" s="73"/>
      <c r="CF31" s="73"/>
      <c r="CG31" s="73"/>
      <c r="CH31" s="73"/>
      <c r="CI31" s="271"/>
      <c r="CJ31" s="73"/>
      <c r="CK31" s="186">
        <f t="shared" si="14"/>
        <v>0</v>
      </c>
      <c r="CL31" s="73"/>
      <c r="CM31" s="135"/>
      <c r="CN31" s="73"/>
      <c r="CO31" s="73"/>
      <c r="CP31" s="73"/>
      <c r="CR31" s="185">
        <v>43900</v>
      </c>
      <c r="CS31" s="73"/>
      <c r="CT31" s="11" t="s">
        <v>550</v>
      </c>
      <c r="CU31" s="186">
        <v>18</v>
      </c>
      <c r="CV31" s="11"/>
      <c r="CW31" s="186">
        <f t="shared" si="12"/>
        <v>18</v>
      </c>
      <c r="CX31" s="186"/>
      <c r="CY31" s="11" t="s">
        <v>3</v>
      </c>
      <c r="CZ31" s="135"/>
      <c r="DA31" s="73"/>
      <c r="DB31" s="39" t="s">
        <v>43</v>
      </c>
      <c r="DC31" s="69">
        <v>43900</v>
      </c>
      <c r="DE31" s="185"/>
      <c r="DF31" s="39"/>
      <c r="DG31" s="186"/>
      <c r="DH31" s="39"/>
      <c r="DI31" s="186">
        <f t="shared" si="7"/>
        <v>0</v>
      </c>
      <c r="DJ31" s="39"/>
      <c r="DK31" s="186"/>
      <c r="DL31" s="138"/>
      <c r="DM31" s="135"/>
      <c r="DN31" s="89"/>
      <c r="DO31" s="73"/>
      <c r="DP31" s="73"/>
    </row>
    <row r="32" spans="1:120" ht="15" customHeight="1" x14ac:dyDescent="0.35">
      <c r="A32" s="229"/>
      <c r="B32" s="231"/>
      <c r="E32" s="185">
        <v>43953</v>
      </c>
      <c r="F32" s="73"/>
      <c r="G32" s="138" t="s">
        <v>424</v>
      </c>
      <c r="H32" s="39">
        <v>16.350000000000001</v>
      </c>
      <c r="I32" s="39"/>
      <c r="J32" s="186">
        <f t="shared" si="0"/>
        <v>16.350000000000001</v>
      </c>
      <c r="K32" s="39"/>
      <c r="L32" s="39" t="s">
        <v>13</v>
      </c>
      <c r="M32" s="135"/>
      <c r="N32" s="73"/>
      <c r="O32" s="39" t="s">
        <v>53</v>
      </c>
      <c r="P32" s="89">
        <v>43953</v>
      </c>
      <c r="Q32" s="15"/>
      <c r="R32" s="185"/>
      <c r="S32" s="11"/>
      <c r="T32" s="186"/>
      <c r="U32" s="11"/>
      <c r="V32" s="186">
        <f t="shared" si="15"/>
        <v>0</v>
      </c>
      <c r="W32" s="186"/>
      <c r="X32" s="186"/>
      <c r="Y32" s="73"/>
      <c r="Z32" s="135"/>
      <c r="AA32" s="11"/>
      <c r="AB32" s="39"/>
      <c r="AC32" s="11"/>
      <c r="AE32" s="185"/>
      <c r="AF32" s="11"/>
      <c r="AG32" s="186"/>
      <c r="AH32" s="11"/>
      <c r="AI32" s="186">
        <f t="shared" si="9"/>
        <v>0</v>
      </c>
      <c r="AJ32" s="11"/>
      <c r="AK32" s="11"/>
      <c r="AL32" s="11"/>
      <c r="AM32" s="135"/>
      <c r="AN32" s="11"/>
      <c r="AO32" s="39"/>
      <c r="AP32" s="11"/>
      <c r="AR32" s="185"/>
      <c r="AS32" s="11"/>
      <c r="AT32" s="186"/>
      <c r="AU32" s="11"/>
      <c r="AV32" s="186">
        <f t="shared" si="8"/>
        <v>0</v>
      </c>
      <c r="AW32" s="186"/>
      <c r="AX32" s="186"/>
      <c r="AY32" s="11"/>
      <c r="AZ32" s="135"/>
      <c r="BA32" s="11"/>
      <c r="BB32" s="39"/>
      <c r="BC32" s="11"/>
      <c r="BE32" s="185"/>
      <c r="BF32" s="11"/>
      <c r="BG32" s="73"/>
      <c r="BH32" s="11"/>
      <c r="BI32" s="11"/>
      <c r="BJ32" s="11"/>
      <c r="BK32" s="186">
        <f t="shared" si="13"/>
        <v>0</v>
      </c>
      <c r="BL32" s="11"/>
      <c r="BM32" s="135"/>
      <c r="BN32" s="11"/>
      <c r="BO32" s="39"/>
      <c r="BP32" s="11"/>
      <c r="BR32" s="185"/>
      <c r="BS32" s="39"/>
      <c r="BT32" s="186"/>
      <c r="BU32" s="39"/>
      <c r="BV32" s="186">
        <f t="shared" si="10"/>
        <v>0</v>
      </c>
      <c r="BW32" s="39"/>
      <c r="BX32" s="39"/>
      <c r="BY32" s="39"/>
      <c r="BZ32" s="135"/>
      <c r="CA32" s="39"/>
      <c r="CB32" s="39"/>
      <c r="CC32" s="39"/>
      <c r="CE32" s="73"/>
      <c r="CF32" s="73"/>
      <c r="CG32" s="73"/>
      <c r="CH32" s="73"/>
      <c r="CI32" s="271"/>
      <c r="CJ32" s="73"/>
      <c r="CK32" s="186">
        <f t="shared" si="14"/>
        <v>0</v>
      </c>
      <c r="CL32" s="73"/>
      <c r="CM32" s="135"/>
      <c r="CN32" s="73"/>
      <c r="CO32" s="73"/>
      <c r="CP32" s="73"/>
      <c r="CR32" s="185">
        <v>43885</v>
      </c>
      <c r="CS32" s="73"/>
      <c r="CT32" s="11" t="s">
        <v>551</v>
      </c>
      <c r="CU32" s="186">
        <v>6.17</v>
      </c>
      <c r="CV32" s="39">
        <v>0.13</v>
      </c>
      <c r="CW32" s="186">
        <f t="shared" si="12"/>
        <v>6.3</v>
      </c>
      <c r="CX32" s="186"/>
      <c r="CY32" s="39" t="s">
        <v>2</v>
      </c>
      <c r="CZ32" s="135"/>
      <c r="DA32" s="73"/>
      <c r="DB32" s="138" t="s">
        <v>43</v>
      </c>
      <c r="DC32" s="89">
        <v>43885</v>
      </c>
      <c r="DE32" s="185"/>
      <c r="DF32" s="39"/>
      <c r="DG32" s="186"/>
      <c r="DH32" s="39"/>
      <c r="DI32" s="186">
        <f t="shared" si="7"/>
        <v>0</v>
      </c>
      <c r="DJ32" s="39"/>
      <c r="DK32" s="186"/>
      <c r="DL32" s="138"/>
      <c r="DM32" s="135"/>
      <c r="DN32" s="89"/>
      <c r="DO32" s="73"/>
      <c r="DP32" s="73"/>
    </row>
    <row r="33" spans="1:120" ht="15" customHeight="1" x14ac:dyDescent="0.35">
      <c r="A33" s="229"/>
      <c r="B33" s="231"/>
      <c r="E33" s="46">
        <v>43953</v>
      </c>
      <c r="F33" s="73"/>
      <c r="G33" s="138" t="s">
        <v>425</v>
      </c>
      <c r="H33" s="39">
        <v>19.690000000000001</v>
      </c>
      <c r="I33" s="39"/>
      <c r="J33" s="186">
        <f t="shared" si="0"/>
        <v>19.690000000000001</v>
      </c>
      <c r="K33" s="39"/>
      <c r="L33" s="39" t="s">
        <v>4</v>
      </c>
      <c r="M33" s="135"/>
      <c r="N33" s="73"/>
      <c r="O33" s="39" t="s">
        <v>43</v>
      </c>
      <c r="P33" s="89">
        <v>43923</v>
      </c>
      <c r="Q33" s="15"/>
      <c r="R33" s="185"/>
      <c r="S33" s="11"/>
      <c r="T33" s="186"/>
      <c r="U33" s="11"/>
      <c r="V33" s="186">
        <f t="shared" si="15"/>
        <v>0</v>
      </c>
      <c r="W33" s="186"/>
      <c r="X33" s="186"/>
      <c r="Y33" s="11"/>
      <c r="Z33" s="135"/>
      <c r="AA33" s="11"/>
      <c r="AB33" s="39"/>
      <c r="AC33" s="11"/>
      <c r="AE33" s="185"/>
      <c r="AF33" s="11"/>
      <c r="AG33" s="186"/>
      <c r="AH33" s="11"/>
      <c r="AI33" s="186">
        <f t="shared" si="9"/>
        <v>0</v>
      </c>
      <c r="AJ33" s="11"/>
      <c r="AK33" s="11"/>
      <c r="AL33" s="11"/>
      <c r="AM33" s="135"/>
      <c r="AN33" s="11"/>
      <c r="AO33" s="39"/>
      <c r="AP33" s="11"/>
      <c r="AR33" s="185"/>
      <c r="AS33" s="11"/>
      <c r="AT33" s="186"/>
      <c r="AU33" s="11"/>
      <c r="AV33" s="186">
        <f t="shared" si="8"/>
        <v>0</v>
      </c>
      <c r="AW33" s="186"/>
      <c r="AX33" s="186"/>
      <c r="AY33" s="11"/>
      <c r="AZ33" s="135"/>
      <c r="BA33" s="11"/>
      <c r="BB33" s="39"/>
      <c r="BC33" s="11"/>
      <c r="BE33" s="185"/>
      <c r="BF33" s="11"/>
      <c r="BG33" s="73"/>
      <c r="BH33" s="11"/>
      <c r="BI33" s="11"/>
      <c r="BJ33" s="11"/>
      <c r="BK33" s="186">
        <f t="shared" si="13"/>
        <v>0</v>
      </c>
      <c r="BL33" s="11"/>
      <c r="BM33" s="135"/>
      <c r="BN33" s="11"/>
      <c r="BO33" s="39"/>
      <c r="BP33" s="11"/>
      <c r="BR33" s="185"/>
      <c r="BS33" s="39"/>
      <c r="BT33" s="186"/>
      <c r="BU33" s="39"/>
      <c r="BV33" s="186">
        <f t="shared" si="10"/>
        <v>0</v>
      </c>
      <c r="BW33" s="39"/>
      <c r="BX33" s="39"/>
      <c r="BY33" s="39"/>
      <c r="BZ33" s="135"/>
      <c r="CA33" s="39"/>
      <c r="CB33" s="39"/>
      <c r="CC33" s="39"/>
      <c r="CE33" s="73"/>
      <c r="CF33" s="73"/>
      <c r="CG33" s="73"/>
      <c r="CH33" s="73"/>
      <c r="CI33" s="271"/>
      <c r="CJ33" s="73"/>
      <c r="CK33" s="186">
        <f t="shared" si="14"/>
        <v>0</v>
      </c>
      <c r="CL33" s="73"/>
      <c r="CM33" s="135"/>
      <c r="CN33" s="73"/>
      <c r="CO33" s="73"/>
      <c r="CP33" s="73"/>
      <c r="CR33" s="185">
        <v>43877</v>
      </c>
      <c r="CS33" s="73"/>
      <c r="CT33" s="11" t="s">
        <v>552</v>
      </c>
      <c r="CU33" s="186">
        <v>38.1</v>
      </c>
      <c r="CV33" s="186"/>
      <c r="CW33" s="17">
        <f t="shared" si="12"/>
        <v>38.1</v>
      </c>
      <c r="CX33" s="17"/>
      <c r="CY33" s="186" t="s">
        <v>2</v>
      </c>
      <c r="CZ33" s="135"/>
      <c r="DA33" s="73"/>
      <c r="DB33" s="138" t="s">
        <v>43</v>
      </c>
      <c r="DC33" s="185">
        <v>43877</v>
      </c>
      <c r="DE33" s="185"/>
      <c r="DF33" s="39"/>
      <c r="DG33" s="186"/>
      <c r="DH33" s="39"/>
      <c r="DI33" s="186">
        <f t="shared" si="7"/>
        <v>0</v>
      </c>
      <c r="DJ33" s="39"/>
      <c r="DK33" s="186"/>
      <c r="DL33" s="138"/>
      <c r="DM33" s="135"/>
      <c r="DN33" s="89"/>
      <c r="DO33" s="73"/>
      <c r="DP33" s="73"/>
    </row>
    <row r="34" spans="1:120" ht="15" customHeight="1" x14ac:dyDescent="0.35">
      <c r="A34" s="229"/>
      <c r="B34" s="231"/>
      <c r="E34" s="185">
        <v>43952</v>
      </c>
      <c r="F34" s="73"/>
      <c r="G34" s="138" t="s">
        <v>426</v>
      </c>
      <c r="H34" s="39">
        <v>63</v>
      </c>
      <c r="I34" s="39">
        <v>1.32</v>
      </c>
      <c r="J34" s="186">
        <f t="shared" si="0"/>
        <v>64.319999999999993</v>
      </c>
      <c r="K34" s="39"/>
      <c r="L34" s="39" t="s">
        <v>4</v>
      </c>
      <c r="M34" s="135"/>
      <c r="N34" s="73"/>
      <c r="O34" s="39" t="s">
        <v>53</v>
      </c>
      <c r="P34" s="89">
        <v>43952</v>
      </c>
      <c r="Q34" s="15"/>
      <c r="R34" s="185"/>
      <c r="S34" s="11"/>
      <c r="T34" s="186"/>
      <c r="U34" s="11"/>
      <c r="V34" s="186">
        <f t="shared" si="15"/>
        <v>0</v>
      </c>
      <c r="W34" s="186"/>
      <c r="X34" s="186"/>
      <c r="Y34" s="11"/>
      <c r="Z34" s="135"/>
      <c r="AA34" s="11"/>
      <c r="AB34" s="39"/>
      <c r="AC34" s="11"/>
      <c r="AE34" s="185"/>
      <c r="AF34" s="11"/>
      <c r="AG34" s="186"/>
      <c r="AH34" s="11"/>
      <c r="AI34" s="186">
        <f t="shared" si="9"/>
        <v>0</v>
      </c>
      <c r="AJ34" s="11"/>
      <c r="AK34" s="11"/>
      <c r="AL34" s="11"/>
      <c r="AM34" s="135"/>
      <c r="AN34" s="11"/>
      <c r="AO34" s="39"/>
      <c r="AP34" s="11"/>
      <c r="AR34" s="185"/>
      <c r="AS34" s="11"/>
      <c r="AT34" s="186"/>
      <c r="AU34" s="11"/>
      <c r="AV34" s="186">
        <f t="shared" si="8"/>
        <v>0</v>
      </c>
      <c r="AW34" s="186"/>
      <c r="AX34" s="186"/>
      <c r="AY34" s="11"/>
      <c r="AZ34" s="135"/>
      <c r="BA34" s="11"/>
      <c r="BB34" s="39"/>
      <c r="BC34" s="11"/>
      <c r="BE34" s="185"/>
      <c r="BF34" s="11"/>
      <c r="BG34" s="73"/>
      <c r="BH34" s="11"/>
      <c r="BI34" s="11"/>
      <c r="BJ34" s="11"/>
      <c r="BK34" s="186">
        <f t="shared" si="13"/>
        <v>0</v>
      </c>
      <c r="BL34" s="11"/>
      <c r="BM34" s="135"/>
      <c r="BN34" s="11"/>
      <c r="BO34" s="39"/>
      <c r="BP34" s="11"/>
      <c r="BR34" s="185"/>
      <c r="BS34" s="39"/>
      <c r="BT34" s="186"/>
      <c r="BU34" s="39"/>
      <c r="BV34" s="186">
        <f t="shared" si="10"/>
        <v>0</v>
      </c>
      <c r="BW34" s="39"/>
      <c r="BX34" s="39"/>
      <c r="BY34" s="39"/>
      <c r="BZ34" s="135"/>
      <c r="CA34" s="39"/>
      <c r="CB34" s="39"/>
      <c r="CC34" s="39"/>
      <c r="CE34" s="73"/>
      <c r="CF34" s="73"/>
      <c r="CG34" s="73"/>
      <c r="CH34" s="73"/>
      <c r="CI34" s="271"/>
      <c r="CJ34" s="73"/>
      <c r="CK34" s="186">
        <f t="shared" si="14"/>
        <v>0</v>
      </c>
      <c r="CL34" s="73"/>
      <c r="CM34" s="135"/>
      <c r="CN34" s="73"/>
      <c r="CO34" s="73"/>
      <c r="CP34" s="73"/>
      <c r="CR34" s="185">
        <v>43875</v>
      </c>
      <c r="CS34" s="73"/>
      <c r="CT34" s="11" t="s">
        <v>553</v>
      </c>
      <c r="CU34" s="186">
        <v>27.6</v>
      </c>
      <c r="CV34" s="186"/>
      <c r="CW34" s="17">
        <f t="shared" si="12"/>
        <v>27.6</v>
      </c>
      <c r="CX34" s="17"/>
      <c r="CY34" s="138" t="s">
        <v>2</v>
      </c>
      <c r="CZ34" s="135"/>
      <c r="DA34" s="73"/>
      <c r="DB34" s="138" t="s">
        <v>43</v>
      </c>
      <c r="DC34" s="185">
        <v>43875</v>
      </c>
      <c r="DE34" s="185"/>
      <c r="DF34" s="39"/>
      <c r="DG34" s="186"/>
      <c r="DH34" s="39"/>
      <c r="DI34" s="186">
        <f t="shared" si="7"/>
        <v>0</v>
      </c>
      <c r="DJ34" s="39"/>
      <c r="DK34" s="186"/>
      <c r="DL34" s="138"/>
      <c r="DM34" s="135"/>
      <c r="DN34" s="89"/>
      <c r="DO34" s="73"/>
      <c r="DP34" s="73"/>
    </row>
    <row r="35" spans="1:120" ht="15" customHeight="1" x14ac:dyDescent="0.35">
      <c r="A35" s="229"/>
      <c r="B35" s="231"/>
      <c r="E35" s="185">
        <v>43950</v>
      </c>
      <c r="F35" s="73"/>
      <c r="G35" s="138" t="s">
        <v>427</v>
      </c>
      <c r="H35" s="39">
        <v>18.989999999999998</v>
      </c>
      <c r="I35" s="39">
        <v>1.61</v>
      </c>
      <c r="J35" s="186">
        <f t="shared" si="0"/>
        <v>20.599999999999998</v>
      </c>
      <c r="K35" s="39"/>
      <c r="L35" s="39" t="s">
        <v>4</v>
      </c>
      <c r="M35" s="135"/>
      <c r="N35" s="73"/>
      <c r="O35" s="39" t="s">
        <v>77</v>
      </c>
      <c r="P35" s="89">
        <v>43950</v>
      </c>
      <c r="Q35" s="15"/>
      <c r="R35" s="185"/>
      <c r="S35" s="11"/>
      <c r="T35" s="186"/>
      <c r="U35" s="11"/>
      <c r="V35" s="186">
        <f t="shared" si="15"/>
        <v>0</v>
      </c>
      <c r="W35" s="186"/>
      <c r="X35" s="186"/>
      <c r="Y35" s="11"/>
      <c r="Z35" s="135"/>
      <c r="AA35" s="11"/>
      <c r="AB35" s="39"/>
      <c r="AC35" s="11"/>
      <c r="AE35" s="185"/>
      <c r="AF35" s="11"/>
      <c r="AG35" s="186"/>
      <c r="AH35" s="11"/>
      <c r="AI35" s="186">
        <f t="shared" si="9"/>
        <v>0</v>
      </c>
      <c r="AJ35" s="11"/>
      <c r="AK35" s="11"/>
      <c r="AL35" s="11"/>
      <c r="AM35" s="135"/>
      <c r="AN35" s="11"/>
      <c r="AO35" s="39"/>
      <c r="AP35" s="11"/>
      <c r="AR35" s="185"/>
      <c r="AS35" s="11"/>
      <c r="AT35" s="186"/>
      <c r="AU35" s="11"/>
      <c r="AV35" s="186">
        <f t="shared" si="8"/>
        <v>0</v>
      </c>
      <c r="AW35" s="186"/>
      <c r="AX35" s="186"/>
      <c r="AY35" s="11"/>
      <c r="AZ35" s="135"/>
      <c r="BA35" s="11"/>
      <c r="BB35" s="39"/>
      <c r="BC35" s="11"/>
      <c r="BE35" s="185"/>
      <c r="BF35" s="11"/>
      <c r="BG35" s="73"/>
      <c r="BH35" s="11"/>
      <c r="BI35" s="11"/>
      <c r="BJ35" s="11"/>
      <c r="BK35" s="186">
        <f t="shared" si="13"/>
        <v>0</v>
      </c>
      <c r="BL35" s="11"/>
      <c r="BM35" s="135"/>
      <c r="BN35" s="11"/>
      <c r="BO35" s="39"/>
      <c r="BP35" s="11"/>
      <c r="BR35" s="185"/>
      <c r="BS35" s="39"/>
      <c r="BT35" s="186"/>
      <c r="BU35" s="39"/>
      <c r="BV35" s="186">
        <f t="shared" si="10"/>
        <v>0</v>
      </c>
      <c r="BW35" s="39"/>
      <c r="BX35" s="39"/>
      <c r="BY35" s="39"/>
      <c r="BZ35" s="135"/>
      <c r="CA35" s="39"/>
      <c r="CB35" s="39"/>
      <c r="CC35" s="39"/>
      <c r="CE35" s="73"/>
      <c r="CF35" s="73"/>
      <c r="CG35" s="73"/>
      <c r="CH35" s="73"/>
      <c r="CI35" s="271"/>
      <c r="CJ35" s="73"/>
      <c r="CK35" s="186">
        <f t="shared" si="14"/>
        <v>0</v>
      </c>
      <c r="CL35" s="73"/>
      <c r="CM35" s="135"/>
      <c r="CN35" s="73"/>
      <c r="CO35" s="73"/>
      <c r="CP35" s="73"/>
      <c r="CR35" s="185">
        <v>43874</v>
      </c>
      <c r="CS35" s="73"/>
      <c r="CT35" s="11" t="s">
        <v>554</v>
      </c>
      <c r="CU35" s="186">
        <v>39.4</v>
      </c>
      <c r="CV35" s="39"/>
      <c r="CW35" s="186">
        <f t="shared" si="12"/>
        <v>39.4</v>
      </c>
      <c r="CX35" s="186"/>
      <c r="CY35" s="138" t="s">
        <v>55</v>
      </c>
      <c r="CZ35" s="135"/>
      <c r="DA35" s="73"/>
      <c r="DB35" s="138" t="s">
        <v>43</v>
      </c>
      <c r="DC35" s="89">
        <v>43874</v>
      </c>
      <c r="DE35" s="185"/>
      <c r="DF35" s="39"/>
      <c r="DG35" s="186"/>
      <c r="DH35" s="39"/>
      <c r="DI35" s="186">
        <f t="shared" si="7"/>
        <v>0</v>
      </c>
      <c r="DJ35" s="39"/>
      <c r="DK35" s="186"/>
      <c r="DL35" s="138"/>
      <c r="DM35" s="135"/>
      <c r="DN35" s="89"/>
      <c r="DO35" s="73"/>
      <c r="DP35" s="73"/>
    </row>
    <row r="36" spans="1:120" ht="15" customHeight="1" x14ac:dyDescent="0.35">
      <c r="A36" s="230"/>
      <c r="B36" s="231"/>
      <c r="E36" s="185">
        <v>43950</v>
      </c>
      <c r="F36" s="73"/>
      <c r="G36" s="138" t="s">
        <v>428</v>
      </c>
      <c r="H36" s="186">
        <v>18.53</v>
      </c>
      <c r="I36" s="186">
        <v>1.57</v>
      </c>
      <c r="J36" s="186">
        <f t="shared" si="0"/>
        <v>20.100000000000001</v>
      </c>
      <c r="K36" s="186"/>
      <c r="L36" s="138" t="s">
        <v>4</v>
      </c>
      <c r="M36" s="135"/>
      <c r="N36" s="73"/>
      <c r="O36" s="39" t="s">
        <v>52</v>
      </c>
      <c r="P36" s="89">
        <v>43950</v>
      </c>
      <c r="Q36" s="15"/>
      <c r="R36" s="73"/>
      <c r="S36" s="73"/>
      <c r="T36" s="73"/>
      <c r="U36" s="73"/>
      <c r="V36" s="186">
        <f t="shared" si="15"/>
        <v>0</v>
      </c>
      <c r="W36" s="186"/>
      <c r="X36" s="186"/>
      <c r="Y36" s="11"/>
      <c r="Z36" s="135"/>
      <c r="AA36" s="11"/>
      <c r="AB36" s="39"/>
      <c r="AC36" s="69"/>
      <c r="AE36" s="185"/>
      <c r="AF36" s="11"/>
      <c r="AG36" s="186"/>
      <c r="AH36" s="11"/>
      <c r="AI36" s="186">
        <f t="shared" si="9"/>
        <v>0</v>
      </c>
      <c r="AJ36" s="11"/>
      <c r="AK36" s="11"/>
      <c r="AL36" s="11"/>
      <c r="AM36" s="135"/>
      <c r="AN36" s="11"/>
      <c r="AO36" s="39"/>
      <c r="AP36" s="11"/>
      <c r="AR36" s="185"/>
      <c r="AS36" s="11"/>
      <c r="AT36" s="186"/>
      <c r="AU36" s="11"/>
      <c r="AV36" s="186">
        <f t="shared" si="8"/>
        <v>0</v>
      </c>
      <c r="AW36" s="186"/>
      <c r="AX36" s="186"/>
      <c r="AY36" s="11"/>
      <c r="AZ36" s="135"/>
      <c r="BA36" s="11"/>
      <c r="BB36" s="39"/>
      <c r="BC36" s="11"/>
      <c r="BE36" s="20"/>
      <c r="BF36" s="20"/>
      <c r="BG36" s="73"/>
      <c r="BH36" s="20"/>
      <c r="BI36" s="20"/>
      <c r="BJ36" s="20"/>
      <c r="BK36" s="186">
        <f t="shared" si="13"/>
        <v>0</v>
      </c>
      <c r="BL36" s="20"/>
      <c r="BM36" s="135"/>
      <c r="BN36" s="20"/>
      <c r="BO36" s="39"/>
      <c r="BP36" s="11"/>
      <c r="BR36" s="185"/>
      <c r="BS36" s="39"/>
      <c r="BT36" s="186"/>
      <c r="BU36" s="39"/>
      <c r="BV36" s="186">
        <f t="shared" si="10"/>
        <v>0</v>
      </c>
      <c r="BW36" s="39"/>
      <c r="BX36" s="39"/>
      <c r="BY36" s="39"/>
      <c r="BZ36" s="135"/>
      <c r="CA36" s="39"/>
      <c r="CB36" s="39"/>
      <c r="CC36" s="39"/>
      <c r="CE36" s="73"/>
      <c r="CF36" s="73"/>
      <c r="CG36" s="73"/>
      <c r="CH36" s="73"/>
      <c r="CI36" s="271"/>
      <c r="CJ36" s="73"/>
      <c r="CK36" s="186">
        <f t="shared" si="14"/>
        <v>0</v>
      </c>
      <c r="CL36" s="73"/>
      <c r="CM36" s="135"/>
      <c r="CN36" s="73"/>
      <c r="CO36" s="73"/>
      <c r="CP36" s="73"/>
      <c r="CR36" s="185">
        <v>43873</v>
      </c>
      <c r="CS36" s="73"/>
      <c r="CT36" s="11" t="s">
        <v>555</v>
      </c>
      <c r="CU36" s="186">
        <v>53.93</v>
      </c>
      <c r="CV36" s="39"/>
      <c r="CW36" s="186">
        <f t="shared" si="12"/>
        <v>53.93</v>
      </c>
      <c r="CX36" s="186"/>
      <c r="CY36" s="186" t="s">
        <v>55</v>
      </c>
      <c r="CZ36" s="135"/>
      <c r="DA36" s="73"/>
      <c r="DB36" s="138" t="s">
        <v>43</v>
      </c>
      <c r="DC36" s="89">
        <v>43873</v>
      </c>
      <c r="DE36" s="185"/>
      <c r="DF36" s="39"/>
      <c r="DG36" s="186"/>
      <c r="DH36" s="39"/>
      <c r="DI36" s="186">
        <f t="shared" si="7"/>
        <v>0</v>
      </c>
      <c r="DJ36" s="39"/>
      <c r="DK36" s="186"/>
      <c r="DL36" s="138"/>
      <c r="DM36" s="135"/>
      <c r="DN36" s="89"/>
      <c r="DO36" s="73"/>
      <c r="DP36" s="73"/>
    </row>
    <row r="37" spans="1:120" ht="15" customHeight="1" x14ac:dyDescent="0.35">
      <c r="A37" s="230"/>
      <c r="B37" s="231"/>
      <c r="E37" s="185">
        <v>43950</v>
      </c>
      <c r="F37" s="73"/>
      <c r="G37" s="138" t="s">
        <v>429</v>
      </c>
      <c r="H37" s="186">
        <v>45.74</v>
      </c>
      <c r="I37" s="186">
        <v>3.89</v>
      </c>
      <c r="J37" s="186">
        <f t="shared" ref="J37:J56" si="16">H37+I37</f>
        <v>49.63</v>
      </c>
      <c r="K37" s="186"/>
      <c r="L37" s="186" t="s">
        <v>4</v>
      </c>
      <c r="M37" s="135"/>
      <c r="N37" s="73"/>
      <c r="O37" s="186" t="s">
        <v>43</v>
      </c>
      <c r="P37" s="185">
        <v>43950</v>
      </c>
      <c r="Q37" s="15"/>
      <c r="R37" s="185"/>
      <c r="S37" s="11"/>
      <c r="T37" s="186"/>
      <c r="U37" s="11"/>
      <c r="V37" s="186">
        <f t="shared" si="15"/>
        <v>0</v>
      </c>
      <c r="W37" s="186"/>
      <c r="X37" s="186"/>
      <c r="Y37" s="11"/>
      <c r="Z37" s="135"/>
      <c r="AA37" s="11"/>
      <c r="AB37" s="39"/>
      <c r="AC37" s="11"/>
      <c r="AE37" s="185"/>
      <c r="AF37" s="11"/>
      <c r="AG37" s="186"/>
      <c r="AH37" s="11"/>
      <c r="AI37" s="186">
        <f t="shared" si="9"/>
        <v>0</v>
      </c>
      <c r="AJ37" s="11"/>
      <c r="AK37" s="11"/>
      <c r="AL37" s="11"/>
      <c r="AM37" s="135"/>
      <c r="AN37" s="11"/>
      <c r="AO37" s="39"/>
      <c r="AP37" s="11"/>
      <c r="AR37" s="185"/>
      <c r="AS37" s="11"/>
      <c r="AT37" s="186"/>
      <c r="AU37" s="11"/>
      <c r="AV37" s="186">
        <f t="shared" si="8"/>
        <v>0</v>
      </c>
      <c r="AW37" s="186"/>
      <c r="AX37" s="186"/>
      <c r="AY37" s="11"/>
      <c r="AZ37" s="135"/>
      <c r="BA37" s="11"/>
      <c r="BB37" s="39"/>
      <c r="BC37" s="11"/>
      <c r="BE37" s="20"/>
      <c r="BF37" s="20"/>
      <c r="BG37" s="73"/>
      <c r="BH37" s="20"/>
      <c r="BI37" s="20"/>
      <c r="BJ37" s="20"/>
      <c r="BK37" s="186">
        <f t="shared" si="13"/>
        <v>0</v>
      </c>
      <c r="BL37" s="20"/>
      <c r="BM37" s="135"/>
      <c r="BN37" s="20"/>
      <c r="BO37" s="39"/>
      <c r="BP37" s="11"/>
      <c r="BR37" s="185"/>
      <c r="BS37" s="39"/>
      <c r="BT37" s="186"/>
      <c r="BU37" s="39"/>
      <c r="BV37" s="186">
        <f t="shared" si="10"/>
        <v>0</v>
      </c>
      <c r="BW37" s="39"/>
      <c r="BX37" s="39"/>
      <c r="BY37" s="39"/>
      <c r="BZ37" s="135"/>
      <c r="CA37" s="39"/>
      <c r="CB37" s="39"/>
      <c r="CC37" s="39"/>
      <c r="CE37" s="73"/>
      <c r="CF37" s="73"/>
      <c r="CG37" s="73"/>
      <c r="CH37" s="73"/>
      <c r="CI37" s="271"/>
      <c r="CJ37" s="73"/>
      <c r="CK37" s="186">
        <f t="shared" si="14"/>
        <v>0</v>
      </c>
      <c r="CL37" s="73"/>
      <c r="CM37" s="135"/>
      <c r="CN37" s="73"/>
      <c r="CO37" s="73"/>
      <c r="CP37" s="73"/>
      <c r="CR37" s="185">
        <v>43871</v>
      </c>
      <c r="CS37" s="73"/>
      <c r="CT37" s="11" t="s">
        <v>556</v>
      </c>
      <c r="CU37" s="186">
        <v>26.35</v>
      </c>
      <c r="CV37" s="39"/>
      <c r="CW37" s="186">
        <f t="shared" si="12"/>
        <v>26.35</v>
      </c>
      <c r="CX37" s="186"/>
      <c r="CY37" s="138" t="s">
        <v>55</v>
      </c>
      <c r="CZ37" s="135"/>
      <c r="DA37" s="73"/>
      <c r="DB37" s="138" t="s">
        <v>43</v>
      </c>
      <c r="DC37" s="89">
        <v>43871</v>
      </c>
      <c r="DE37" s="185"/>
      <c r="DF37" s="39"/>
      <c r="DG37" s="186"/>
      <c r="DH37" s="39"/>
      <c r="DI37" s="186">
        <f t="shared" si="7"/>
        <v>0</v>
      </c>
      <c r="DJ37" s="39"/>
      <c r="DK37" s="186"/>
      <c r="DL37" s="138"/>
      <c r="DM37" s="135"/>
      <c r="DN37" s="89"/>
      <c r="DO37" s="73"/>
      <c r="DP37" s="73"/>
    </row>
    <row r="38" spans="1:120" ht="15" customHeight="1" x14ac:dyDescent="0.35">
      <c r="A38" s="230"/>
      <c r="B38" s="231"/>
      <c r="E38" s="185">
        <v>43948</v>
      </c>
      <c r="F38" s="73"/>
      <c r="G38" s="138" t="s">
        <v>430</v>
      </c>
      <c r="H38" s="186">
        <v>125</v>
      </c>
      <c r="I38" s="186"/>
      <c r="J38" s="186">
        <f t="shared" si="16"/>
        <v>125</v>
      </c>
      <c r="K38" s="186"/>
      <c r="L38" s="138" t="s">
        <v>4</v>
      </c>
      <c r="M38" s="135"/>
      <c r="N38" s="73"/>
      <c r="O38" s="39" t="s">
        <v>43</v>
      </c>
      <c r="P38" s="89">
        <v>43948</v>
      </c>
      <c r="Q38" s="15"/>
      <c r="R38" s="185"/>
      <c r="S38" s="11"/>
      <c r="T38" s="186"/>
      <c r="U38" s="11"/>
      <c r="V38" s="186">
        <f t="shared" si="15"/>
        <v>0</v>
      </c>
      <c r="W38" s="186"/>
      <c r="X38" s="186"/>
      <c r="Y38" s="11"/>
      <c r="Z38" s="135"/>
      <c r="AA38" s="11"/>
      <c r="AB38" s="39"/>
      <c r="AC38" s="11"/>
      <c r="AE38" s="185"/>
      <c r="AF38" s="11"/>
      <c r="AG38" s="186"/>
      <c r="AH38" s="11"/>
      <c r="AI38" s="186">
        <f t="shared" si="9"/>
        <v>0</v>
      </c>
      <c r="AJ38" s="11"/>
      <c r="AK38" s="11"/>
      <c r="AL38" s="11"/>
      <c r="AM38" s="135"/>
      <c r="AN38" s="11"/>
      <c r="AO38" s="39"/>
      <c r="AP38" s="11"/>
      <c r="AR38" s="185"/>
      <c r="AS38" s="11"/>
      <c r="AT38" s="186"/>
      <c r="AU38" s="11"/>
      <c r="AV38" s="186">
        <f t="shared" si="8"/>
        <v>0</v>
      </c>
      <c r="AW38" s="186"/>
      <c r="AX38" s="186"/>
      <c r="AY38" s="11"/>
      <c r="AZ38" s="135"/>
      <c r="BA38" s="11"/>
      <c r="BB38" s="39"/>
      <c r="BC38" s="11"/>
      <c r="BE38" s="185"/>
      <c r="BF38" s="11"/>
      <c r="BG38" s="73"/>
      <c r="BH38" s="11"/>
      <c r="BI38" s="11"/>
      <c r="BJ38" s="11"/>
      <c r="BK38" s="186">
        <f t="shared" si="13"/>
        <v>0</v>
      </c>
      <c r="BL38" s="11"/>
      <c r="BM38" s="135"/>
      <c r="BN38" s="11"/>
      <c r="BO38" s="39"/>
      <c r="BP38" s="11"/>
      <c r="BR38" s="185"/>
      <c r="BS38" s="39"/>
      <c r="BT38" s="186"/>
      <c r="BU38" s="39"/>
      <c r="BV38" s="186">
        <f t="shared" si="10"/>
        <v>0</v>
      </c>
      <c r="BW38" s="39"/>
      <c r="BX38" s="39"/>
      <c r="BY38" s="39"/>
      <c r="BZ38" s="135"/>
      <c r="CA38" s="39"/>
      <c r="CB38" s="39"/>
      <c r="CC38" s="39"/>
      <c r="CE38" s="73"/>
      <c r="CF38" s="73"/>
      <c r="CG38" s="73"/>
      <c r="CH38" s="73"/>
      <c r="CI38" s="271"/>
      <c r="CJ38" s="73"/>
      <c r="CK38" s="186">
        <f t="shared" si="14"/>
        <v>0</v>
      </c>
      <c r="CL38" s="73"/>
      <c r="CM38" s="135"/>
      <c r="CN38" s="73"/>
      <c r="CO38" s="73"/>
      <c r="CP38" s="73"/>
      <c r="CR38" s="185">
        <v>43867</v>
      </c>
      <c r="CS38" s="73"/>
      <c r="CT38" s="11" t="s">
        <v>557</v>
      </c>
      <c r="CU38" s="186">
        <v>17.5</v>
      </c>
      <c r="CV38" s="39"/>
      <c r="CW38" s="186">
        <f t="shared" si="12"/>
        <v>17.5</v>
      </c>
      <c r="CX38" s="186"/>
      <c r="CY38" s="186" t="s">
        <v>55</v>
      </c>
      <c r="CZ38" s="135"/>
      <c r="DA38" s="73"/>
      <c r="DB38" s="138" t="s">
        <v>43</v>
      </c>
      <c r="DC38" s="89">
        <v>43871</v>
      </c>
      <c r="DE38" s="185"/>
      <c r="DF38" s="39"/>
      <c r="DG38" s="186"/>
      <c r="DH38" s="39"/>
      <c r="DI38" s="186">
        <f t="shared" si="7"/>
        <v>0</v>
      </c>
      <c r="DJ38" s="39"/>
      <c r="DK38" s="186"/>
      <c r="DL38" s="138"/>
      <c r="DM38" s="135"/>
      <c r="DN38" s="89"/>
      <c r="DO38" s="73"/>
      <c r="DP38" s="73"/>
    </row>
    <row r="39" spans="1:120" ht="15" customHeight="1" x14ac:dyDescent="0.35">
      <c r="A39" s="230"/>
      <c r="B39" s="231"/>
      <c r="E39" s="18">
        <v>43923</v>
      </c>
      <c r="F39" s="73"/>
      <c r="G39" s="138" t="s">
        <v>431</v>
      </c>
      <c r="H39" s="17">
        <v>86.8</v>
      </c>
      <c r="I39" s="17">
        <v>7.38</v>
      </c>
      <c r="J39" s="17">
        <f t="shared" si="16"/>
        <v>94.179999999999993</v>
      </c>
      <c r="K39" s="17"/>
      <c r="L39" s="19" t="s">
        <v>4</v>
      </c>
      <c r="M39" s="135"/>
      <c r="N39" s="73"/>
      <c r="O39" s="19" t="s">
        <v>43</v>
      </c>
      <c r="P39" s="18">
        <v>43923</v>
      </c>
      <c r="Q39" s="15"/>
      <c r="R39" s="185"/>
      <c r="S39" s="11"/>
      <c r="T39" s="186"/>
      <c r="U39" s="11"/>
      <c r="V39" s="186">
        <f t="shared" si="15"/>
        <v>0</v>
      </c>
      <c r="W39" s="186"/>
      <c r="X39" s="186"/>
      <c r="Y39" s="11"/>
      <c r="Z39" s="135"/>
      <c r="AA39" s="11"/>
      <c r="AB39" s="39"/>
      <c r="AC39" s="11"/>
      <c r="AE39" s="185"/>
      <c r="AF39" s="11"/>
      <c r="AG39" s="186"/>
      <c r="AH39" s="11"/>
      <c r="AI39" s="186">
        <f t="shared" si="9"/>
        <v>0</v>
      </c>
      <c r="AJ39" s="11"/>
      <c r="AK39" s="11"/>
      <c r="AL39" s="11"/>
      <c r="AM39" s="135"/>
      <c r="AN39" s="11"/>
      <c r="AO39" s="39"/>
      <c r="AP39" s="11"/>
      <c r="AR39" s="185"/>
      <c r="AS39" s="11"/>
      <c r="AT39" s="186"/>
      <c r="AU39" s="11"/>
      <c r="AV39" s="186">
        <f t="shared" si="8"/>
        <v>0</v>
      </c>
      <c r="AW39" s="186"/>
      <c r="AX39" s="186"/>
      <c r="AY39" s="11"/>
      <c r="AZ39" s="135"/>
      <c r="BA39" s="11"/>
      <c r="BB39" s="39"/>
      <c r="BC39" s="11"/>
      <c r="BE39" s="185"/>
      <c r="BF39" s="11"/>
      <c r="BG39" s="73"/>
      <c r="BH39" s="11"/>
      <c r="BI39" s="11"/>
      <c r="BJ39" s="11"/>
      <c r="BK39" s="186">
        <f t="shared" si="13"/>
        <v>0</v>
      </c>
      <c r="BL39" s="11"/>
      <c r="BM39" s="135"/>
      <c r="BN39" s="11"/>
      <c r="BO39" s="39"/>
      <c r="BP39" s="11"/>
      <c r="BR39" s="185"/>
      <c r="BS39" s="39"/>
      <c r="BT39" s="186"/>
      <c r="BU39" s="39"/>
      <c r="BV39" s="186">
        <f t="shared" si="10"/>
        <v>0</v>
      </c>
      <c r="BW39" s="39"/>
      <c r="BX39" s="39"/>
      <c r="BY39" s="39"/>
      <c r="BZ39" s="135"/>
      <c r="CA39" s="39"/>
      <c r="CB39" s="39"/>
      <c r="CC39" s="39"/>
      <c r="CE39" s="73"/>
      <c r="CF39" s="73"/>
      <c r="CG39" s="73"/>
      <c r="CH39" s="73"/>
      <c r="CI39" s="271"/>
      <c r="CJ39" s="73"/>
      <c r="CK39" s="186">
        <f t="shared" si="14"/>
        <v>0</v>
      </c>
      <c r="CL39" s="73"/>
      <c r="CM39" s="135"/>
      <c r="CN39" s="73"/>
      <c r="CO39" s="73"/>
      <c r="CP39" s="73"/>
      <c r="CR39" s="185">
        <v>43867</v>
      </c>
      <c r="CS39" s="73"/>
      <c r="CT39" s="11" t="s">
        <v>558</v>
      </c>
      <c r="CU39" s="186">
        <v>41.34</v>
      </c>
      <c r="CV39" s="39">
        <v>3.51</v>
      </c>
      <c r="CW39" s="186">
        <f t="shared" si="12"/>
        <v>44.85</v>
      </c>
      <c r="CX39" s="186"/>
      <c r="CY39" s="39" t="s">
        <v>2</v>
      </c>
      <c r="CZ39" s="135"/>
      <c r="DA39" s="73"/>
      <c r="DB39" s="138" t="s">
        <v>43</v>
      </c>
      <c r="DC39" s="89">
        <v>43867</v>
      </c>
      <c r="DE39" s="185"/>
      <c r="DF39" s="39"/>
      <c r="DG39" s="186"/>
      <c r="DH39" s="39"/>
      <c r="DI39" s="186">
        <f t="shared" si="7"/>
        <v>0</v>
      </c>
      <c r="DJ39" s="39"/>
      <c r="DK39" s="186"/>
      <c r="DL39" s="138"/>
      <c r="DM39" s="135"/>
      <c r="DN39" s="89"/>
      <c r="DO39" s="73"/>
      <c r="DP39" s="73"/>
    </row>
    <row r="40" spans="1:120" ht="15" customHeight="1" x14ac:dyDescent="0.35">
      <c r="A40" s="230"/>
      <c r="B40" s="231"/>
      <c r="E40" s="185">
        <v>43906</v>
      </c>
      <c r="F40" s="73"/>
      <c r="G40" s="138" t="s">
        <v>432</v>
      </c>
      <c r="H40" s="39">
        <v>23.26</v>
      </c>
      <c r="I40" s="39">
        <v>1.98</v>
      </c>
      <c r="J40" s="186">
        <f t="shared" si="16"/>
        <v>25.240000000000002</v>
      </c>
      <c r="K40" s="39"/>
      <c r="L40" s="39" t="s">
        <v>3</v>
      </c>
      <c r="M40" s="135"/>
      <c r="N40" s="73"/>
      <c r="O40" s="39" t="s">
        <v>43</v>
      </c>
      <c r="P40" s="89">
        <v>43906</v>
      </c>
      <c r="Q40" s="15"/>
      <c r="R40" s="185"/>
      <c r="S40" s="11"/>
      <c r="T40" s="186"/>
      <c r="U40" s="11"/>
      <c r="V40" s="186">
        <f t="shared" si="15"/>
        <v>0</v>
      </c>
      <c r="W40" s="186"/>
      <c r="X40" s="186"/>
      <c r="Y40" s="11"/>
      <c r="Z40" s="135"/>
      <c r="AA40" s="11"/>
      <c r="AB40" s="39"/>
      <c r="AC40" s="11"/>
      <c r="AE40" s="185"/>
      <c r="AF40" s="11"/>
      <c r="AG40" s="186"/>
      <c r="AH40" s="11"/>
      <c r="AI40" s="186">
        <f t="shared" si="9"/>
        <v>0</v>
      </c>
      <c r="AJ40" s="11"/>
      <c r="AK40" s="11"/>
      <c r="AL40" s="11"/>
      <c r="AM40" s="135"/>
      <c r="AN40" s="11"/>
      <c r="AO40" s="39"/>
      <c r="AP40" s="11"/>
      <c r="AR40" s="185"/>
      <c r="AS40" s="11"/>
      <c r="AT40" s="186"/>
      <c r="AU40" s="11"/>
      <c r="AV40" s="186">
        <f t="shared" si="8"/>
        <v>0</v>
      </c>
      <c r="AW40" s="186"/>
      <c r="AX40" s="186"/>
      <c r="AY40" s="11"/>
      <c r="AZ40" s="135"/>
      <c r="BA40" s="11"/>
      <c r="BB40" s="39"/>
      <c r="BC40" s="11"/>
      <c r="BE40" s="185"/>
      <c r="BF40" s="11"/>
      <c r="BG40" s="73"/>
      <c r="BH40" s="11"/>
      <c r="BI40" s="11"/>
      <c r="BJ40" s="11"/>
      <c r="BK40" s="186">
        <f t="shared" si="13"/>
        <v>0</v>
      </c>
      <c r="BL40" s="11"/>
      <c r="BM40" s="135"/>
      <c r="BN40" s="11"/>
      <c r="BO40" s="39"/>
      <c r="BP40" s="11"/>
      <c r="BR40" s="185"/>
      <c r="BS40" s="39"/>
      <c r="BT40" s="186"/>
      <c r="BU40" s="39"/>
      <c r="BV40" s="186">
        <f t="shared" si="10"/>
        <v>0</v>
      </c>
      <c r="BW40" s="39"/>
      <c r="BX40" s="39"/>
      <c r="BY40" s="39"/>
      <c r="BZ40" s="135"/>
      <c r="CA40" s="39"/>
      <c r="CB40" s="39"/>
      <c r="CC40" s="39"/>
      <c r="CE40" s="73"/>
      <c r="CF40" s="73"/>
      <c r="CG40" s="73"/>
      <c r="CH40" s="73"/>
      <c r="CI40" s="271"/>
      <c r="CJ40" s="73"/>
      <c r="CK40" s="186">
        <f t="shared" si="14"/>
        <v>0</v>
      </c>
      <c r="CL40" s="73"/>
      <c r="CM40" s="135"/>
      <c r="CN40" s="73"/>
      <c r="CO40" s="73"/>
      <c r="CP40" s="73"/>
      <c r="CR40" s="185">
        <v>43866</v>
      </c>
      <c r="CS40" s="73"/>
      <c r="CT40" s="11" t="s">
        <v>559</v>
      </c>
      <c r="CU40" s="39">
        <v>15.6</v>
      </c>
      <c r="CV40" s="39"/>
      <c r="CW40" s="186">
        <f t="shared" si="12"/>
        <v>15.6</v>
      </c>
      <c r="CX40" s="186"/>
      <c r="CY40" s="138" t="s">
        <v>55</v>
      </c>
      <c r="CZ40" s="135"/>
      <c r="DA40" s="73"/>
      <c r="DB40" s="138" t="s">
        <v>43</v>
      </c>
      <c r="DC40" s="89">
        <v>43866</v>
      </c>
      <c r="DE40" s="185"/>
      <c r="DF40" s="39"/>
      <c r="DG40" s="186"/>
      <c r="DH40" s="39"/>
      <c r="DI40" s="186">
        <f t="shared" si="7"/>
        <v>0</v>
      </c>
      <c r="DJ40" s="39"/>
      <c r="DK40" s="186"/>
      <c r="DL40" s="138"/>
      <c r="DM40" s="135"/>
      <c r="DN40" s="89"/>
      <c r="DO40" s="73"/>
      <c r="DP40" s="73"/>
    </row>
    <row r="41" spans="1:120" ht="15" customHeight="1" x14ac:dyDescent="0.35">
      <c r="B41" s="231"/>
      <c r="E41" s="185">
        <v>43900</v>
      </c>
      <c r="F41" s="73"/>
      <c r="G41" s="138" t="s">
        <v>433</v>
      </c>
      <c r="H41" s="39">
        <v>319.63</v>
      </c>
      <c r="I41" s="39">
        <v>6.62</v>
      </c>
      <c r="J41" s="186">
        <f t="shared" si="16"/>
        <v>326.25</v>
      </c>
      <c r="K41" s="39"/>
      <c r="L41" s="39" t="s">
        <v>3</v>
      </c>
      <c r="M41" s="135"/>
      <c r="N41" s="73"/>
      <c r="O41" s="39" t="s">
        <v>54</v>
      </c>
      <c r="P41" s="89">
        <v>43900</v>
      </c>
      <c r="Q41" s="15"/>
      <c r="R41" s="185"/>
      <c r="S41" s="11"/>
      <c r="T41" s="186"/>
      <c r="U41" s="11"/>
      <c r="V41" s="186">
        <f t="shared" si="15"/>
        <v>0</v>
      </c>
      <c r="W41" s="186"/>
      <c r="X41" s="186"/>
      <c r="Y41" s="11"/>
      <c r="Z41" s="135"/>
      <c r="AA41" s="11"/>
      <c r="AB41" s="39"/>
      <c r="AC41" s="11"/>
      <c r="AE41" s="185"/>
      <c r="AF41" s="11"/>
      <c r="AG41" s="186"/>
      <c r="AH41" s="11"/>
      <c r="AI41" s="186">
        <f t="shared" si="9"/>
        <v>0</v>
      </c>
      <c r="AJ41" s="11"/>
      <c r="AK41" s="11"/>
      <c r="AL41" s="11"/>
      <c r="AM41" s="135"/>
      <c r="AN41" s="11"/>
      <c r="AO41" s="39"/>
      <c r="AP41" s="11"/>
      <c r="AR41" s="185"/>
      <c r="AS41" s="11"/>
      <c r="AT41" s="186"/>
      <c r="AU41" s="11"/>
      <c r="AV41" s="186">
        <f t="shared" si="8"/>
        <v>0</v>
      </c>
      <c r="AW41" s="186"/>
      <c r="AX41" s="186"/>
      <c r="AY41" s="11"/>
      <c r="AZ41" s="135"/>
      <c r="BA41" s="11"/>
      <c r="BB41" s="39"/>
      <c r="BC41" s="11"/>
      <c r="BE41" s="185"/>
      <c r="BF41" s="11"/>
      <c r="BG41" s="73"/>
      <c r="BH41" s="11"/>
      <c r="BI41" s="11"/>
      <c r="BJ41" s="11"/>
      <c r="BK41" s="186">
        <f t="shared" si="13"/>
        <v>0</v>
      </c>
      <c r="BL41" s="11"/>
      <c r="BM41" s="135"/>
      <c r="BN41" s="11"/>
      <c r="BO41" s="39"/>
      <c r="BP41" s="11"/>
      <c r="BR41" s="185"/>
      <c r="BS41" s="39"/>
      <c r="BT41" s="186"/>
      <c r="BU41" s="39"/>
      <c r="BV41" s="186">
        <f t="shared" si="10"/>
        <v>0</v>
      </c>
      <c r="BW41" s="39"/>
      <c r="BX41" s="39"/>
      <c r="BY41" s="39"/>
      <c r="BZ41" s="135"/>
      <c r="CA41" s="39"/>
      <c r="CB41" s="39"/>
      <c r="CC41" s="39"/>
      <c r="CE41" s="73"/>
      <c r="CF41" s="73"/>
      <c r="CG41" s="73"/>
      <c r="CH41" s="73"/>
      <c r="CI41" s="271"/>
      <c r="CJ41" s="73"/>
      <c r="CK41" s="186">
        <f t="shared" si="14"/>
        <v>0</v>
      </c>
      <c r="CL41" s="73"/>
      <c r="CM41" s="135"/>
      <c r="CN41" s="73"/>
      <c r="CO41" s="73"/>
      <c r="CP41" s="73"/>
      <c r="CR41" s="185">
        <v>43866</v>
      </c>
      <c r="CS41" s="73"/>
      <c r="CT41" s="11" t="s">
        <v>560</v>
      </c>
      <c r="CU41" s="186">
        <v>31</v>
      </c>
      <c r="CV41" s="39"/>
      <c r="CW41" s="186">
        <f t="shared" si="12"/>
        <v>31</v>
      </c>
      <c r="CX41" s="186"/>
      <c r="CY41" s="186" t="s">
        <v>55</v>
      </c>
      <c r="CZ41" s="135"/>
      <c r="DA41" s="73"/>
      <c r="DB41" s="138" t="s">
        <v>43</v>
      </c>
      <c r="DC41" s="89">
        <v>43866</v>
      </c>
      <c r="DE41" s="185"/>
      <c r="DF41" s="39"/>
      <c r="DG41" s="186"/>
      <c r="DH41" s="39"/>
      <c r="DI41" s="186">
        <f t="shared" si="7"/>
        <v>0</v>
      </c>
      <c r="DJ41" s="39"/>
      <c r="DK41" s="186"/>
      <c r="DL41" s="138"/>
      <c r="DM41" s="135"/>
      <c r="DN41" s="89"/>
      <c r="DO41" s="73"/>
      <c r="DP41" s="73"/>
    </row>
    <row r="42" spans="1:120" ht="15" customHeight="1" x14ac:dyDescent="0.35">
      <c r="E42" s="185">
        <v>43882</v>
      </c>
      <c r="F42" s="73"/>
      <c r="G42" s="138" t="s">
        <v>434</v>
      </c>
      <c r="H42" s="39">
        <v>5.45</v>
      </c>
      <c r="I42" s="39"/>
      <c r="J42" s="186">
        <f t="shared" si="16"/>
        <v>5.45</v>
      </c>
      <c r="K42" s="39"/>
      <c r="L42" s="39" t="s">
        <v>3</v>
      </c>
      <c r="M42" s="11"/>
      <c r="N42" s="73"/>
      <c r="O42" s="39" t="s">
        <v>43</v>
      </c>
      <c r="P42" s="89">
        <v>43882</v>
      </c>
      <c r="Q42" s="15"/>
      <c r="R42" s="185"/>
      <c r="S42" s="11"/>
      <c r="T42" s="186"/>
      <c r="U42" s="11"/>
      <c r="V42" s="186">
        <f t="shared" si="15"/>
        <v>0</v>
      </c>
      <c r="W42" s="186"/>
      <c r="X42" s="186"/>
      <c r="Y42" s="11"/>
      <c r="Z42" s="11"/>
      <c r="AA42" s="11"/>
      <c r="AB42" s="39"/>
      <c r="AC42" s="11"/>
      <c r="AE42" s="185"/>
      <c r="AF42" s="11"/>
      <c r="AG42" s="186"/>
      <c r="AH42" s="11"/>
      <c r="AI42" s="186">
        <f t="shared" si="9"/>
        <v>0</v>
      </c>
      <c r="AJ42" s="11"/>
      <c r="AK42" s="11"/>
      <c r="AL42" s="11"/>
      <c r="AM42" s="11"/>
      <c r="AN42" s="11"/>
      <c r="AO42" s="39"/>
      <c r="AP42" s="11"/>
      <c r="AR42" s="185"/>
      <c r="AS42" s="11"/>
      <c r="AT42" s="186"/>
      <c r="AU42" s="11"/>
      <c r="AV42" s="186">
        <f t="shared" si="8"/>
        <v>0</v>
      </c>
      <c r="AW42" s="186"/>
      <c r="AX42" s="186"/>
      <c r="AY42" s="11"/>
      <c r="AZ42" s="11"/>
      <c r="BA42" s="11"/>
      <c r="BB42" s="39"/>
      <c r="BC42" s="11"/>
      <c r="BE42" s="185"/>
      <c r="BF42" s="11"/>
      <c r="BG42" s="73"/>
      <c r="BH42" s="11"/>
      <c r="BI42" s="11"/>
      <c r="BJ42" s="11"/>
      <c r="BK42" s="186">
        <f t="shared" si="13"/>
        <v>0</v>
      </c>
      <c r="BL42" s="11"/>
      <c r="BM42" s="11"/>
      <c r="BN42" s="11"/>
      <c r="BO42" s="39"/>
      <c r="BP42" s="11"/>
      <c r="BR42" s="185"/>
      <c r="BS42" s="39"/>
      <c r="BT42" s="186"/>
      <c r="BU42" s="39"/>
      <c r="BV42" s="186">
        <f t="shared" si="10"/>
        <v>0</v>
      </c>
      <c r="BW42" s="39"/>
      <c r="BX42" s="39"/>
      <c r="BY42" s="39"/>
      <c r="BZ42" s="11"/>
      <c r="CA42" s="39"/>
      <c r="CB42" s="39"/>
      <c r="CC42" s="39"/>
      <c r="CE42" s="73"/>
      <c r="CF42" s="73"/>
      <c r="CG42" s="73"/>
      <c r="CH42" s="73"/>
      <c r="CI42" s="271"/>
      <c r="CJ42" s="73"/>
      <c r="CK42" s="186">
        <f t="shared" si="14"/>
        <v>0</v>
      </c>
      <c r="CL42" s="73"/>
      <c r="CM42" s="11"/>
      <c r="CN42" s="73"/>
      <c r="CO42" s="73"/>
      <c r="CP42" s="73"/>
      <c r="CR42" s="185">
        <v>43864</v>
      </c>
      <c r="CS42" s="73"/>
      <c r="CT42" s="11" t="s">
        <v>561</v>
      </c>
      <c r="CU42" s="186">
        <v>10</v>
      </c>
      <c r="CV42" s="39"/>
      <c r="CW42" s="186">
        <f t="shared" si="12"/>
        <v>10</v>
      </c>
      <c r="CX42" s="186"/>
      <c r="CY42" s="138" t="s">
        <v>55</v>
      </c>
      <c r="CZ42" s="11"/>
      <c r="DA42" s="73"/>
      <c r="DB42" s="138" t="s">
        <v>43</v>
      </c>
      <c r="DC42" s="89">
        <v>43864</v>
      </c>
      <c r="DE42" s="185"/>
      <c r="DF42" s="39"/>
      <c r="DG42" s="186"/>
      <c r="DH42" s="39"/>
      <c r="DI42" s="186">
        <f t="shared" si="7"/>
        <v>0</v>
      </c>
      <c r="DJ42" s="39"/>
      <c r="DK42" s="186"/>
      <c r="DL42" s="138"/>
      <c r="DM42" s="11"/>
      <c r="DN42" s="89"/>
      <c r="DO42" s="73"/>
      <c r="DP42" s="73"/>
    </row>
    <row r="43" spans="1:120" ht="15" customHeight="1" x14ac:dyDescent="0.35">
      <c r="E43" s="185">
        <v>43882</v>
      </c>
      <c r="F43" s="73"/>
      <c r="G43" s="138" t="s">
        <v>435</v>
      </c>
      <c r="H43" s="39">
        <v>5.45</v>
      </c>
      <c r="I43" s="39"/>
      <c r="J43" s="186">
        <f t="shared" si="16"/>
        <v>5.45</v>
      </c>
      <c r="K43" s="39"/>
      <c r="L43" s="39" t="s">
        <v>2</v>
      </c>
      <c r="M43" s="11"/>
      <c r="N43" s="73"/>
      <c r="O43" s="39" t="s">
        <v>43</v>
      </c>
      <c r="P43" s="89">
        <v>43882</v>
      </c>
      <c r="Q43" s="15"/>
      <c r="R43" s="185"/>
      <c r="S43" s="11"/>
      <c r="T43" s="186"/>
      <c r="U43" s="11"/>
      <c r="V43" s="186">
        <f t="shared" si="15"/>
        <v>0</v>
      </c>
      <c r="W43" s="186"/>
      <c r="X43" s="186"/>
      <c r="Y43" s="11"/>
      <c r="Z43" s="11"/>
      <c r="AA43" s="11"/>
      <c r="AB43" s="39"/>
      <c r="AC43" s="11"/>
      <c r="AE43" s="185"/>
      <c r="AF43" s="11"/>
      <c r="AG43" s="186"/>
      <c r="AH43" s="11"/>
      <c r="AI43" s="186">
        <f t="shared" si="9"/>
        <v>0</v>
      </c>
      <c r="AJ43" s="11"/>
      <c r="AK43" s="11"/>
      <c r="AL43" s="11"/>
      <c r="AM43" s="11"/>
      <c r="AN43" s="11"/>
      <c r="AO43" s="39"/>
      <c r="AP43" s="11"/>
      <c r="AR43" s="185"/>
      <c r="AS43" s="11"/>
      <c r="AT43" s="186"/>
      <c r="AU43" s="11"/>
      <c r="AV43" s="186">
        <f t="shared" si="8"/>
        <v>0</v>
      </c>
      <c r="AW43" s="186"/>
      <c r="AX43" s="186"/>
      <c r="AY43" s="11"/>
      <c r="AZ43" s="11"/>
      <c r="BA43" s="11"/>
      <c r="BB43" s="39"/>
      <c r="BC43" s="11"/>
      <c r="BE43" s="185"/>
      <c r="BF43" s="11"/>
      <c r="BG43" s="73"/>
      <c r="BH43" s="11"/>
      <c r="BI43" s="11"/>
      <c r="BJ43" s="11"/>
      <c r="BK43" s="186">
        <f t="shared" si="13"/>
        <v>0</v>
      </c>
      <c r="BL43" s="11"/>
      <c r="BM43" s="11"/>
      <c r="BN43" s="11"/>
      <c r="BO43" s="39"/>
      <c r="BP43" s="11"/>
      <c r="BR43" s="185"/>
      <c r="BS43" s="39"/>
      <c r="BT43" s="186"/>
      <c r="BU43" s="39"/>
      <c r="BV43" s="186">
        <f t="shared" si="10"/>
        <v>0</v>
      </c>
      <c r="BW43" s="39"/>
      <c r="BX43" s="39"/>
      <c r="BY43" s="39"/>
      <c r="BZ43" s="11"/>
      <c r="CA43" s="39"/>
      <c r="CB43" s="39"/>
      <c r="CC43" s="39"/>
      <c r="CE43" s="73"/>
      <c r="CF43" s="73"/>
      <c r="CG43" s="73"/>
      <c r="CH43" s="73"/>
      <c r="CI43" s="271"/>
      <c r="CJ43" s="73"/>
      <c r="CK43" s="186">
        <f t="shared" si="14"/>
        <v>0</v>
      </c>
      <c r="CL43" s="73"/>
      <c r="CM43" s="11"/>
      <c r="CN43" s="73"/>
      <c r="CO43" s="73"/>
      <c r="CP43" s="73"/>
      <c r="CR43" s="185">
        <v>43857</v>
      </c>
      <c r="CS43" s="73"/>
      <c r="CT43" s="11" t="s">
        <v>562</v>
      </c>
      <c r="CU43" s="186">
        <v>37.5</v>
      </c>
      <c r="CV43" s="39"/>
      <c r="CW43" s="186">
        <f t="shared" si="12"/>
        <v>37.5</v>
      </c>
      <c r="CX43" s="186"/>
      <c r="CY43" s="39" t="s">
        <v>1</v>
      </c>
      <c r="CZ43" s="11"/>
      <c r="DA43" s="73"/>
      <c r="DB43" s="138" t="s">
        <v>43</v>
      </c>
      <c r="DC43" s="89">
        <v>43857</v>
      </c>
      <c r="DE43" s="185"/>
      <c r="DF43" s="39"/>
      <c r="DG43" s="186"/>
      <c r="DH43" s="39"/>
      <c r="DI43" s="186">
        <f t="shared" si="7"/>
        <v>0</v>
      </c>
      <c r="DJ43" s="39"/>
      <c r="DK43" s="186"/>
      <c r="DL43" s="138"/>
      <c r="DM43" s="11"/>
      <c r="DN43" s="89"/>
      <c r="DO43" s="73"/>
      <c r="DP43" s="73"/>
    </row>
    <row r="44" spans="1:120" ht="15" customHeight="1" x14ac:dyDescent="0.35">
      <c r="E44" s="185">
        <v>43882</v>
      </c>
      <c r="F44" s="73"/>
      <c r="G44" s="138" t="s">
        <v>436</v>
      </c>
      <c r="H44" s="39">
        <v>5.45</v>
      </c>
      <c r="I44" s="39"/>
      <c r="J44" s="186">
        <f t="shared" si="16"/>
        <v>5.45</v>
      </c>
      <c r="K44" s="39"/>
      <c r="L44" s="39" t="s">
        <v>2</v>
      </c>
      <c r="M44" s="11"/>
      <c r="N44" s="73"/>
      <c r="O44" s="39" t="s">
        <v>43</v>
      </c>
      <c r="P44" s="89">
        <v>43882</v>
      </c>
      <c r="Q44" s="15"/>
      <c r="R44" s="185"/>
      <c r="S44" s="11"/>
      <c r="T44" s="186"/>
      <c r="U44" s="11"/>
      <c r="V44" s="186">
        <f t="shared" si="15"/>
        <v>0</v>
      </c>
      <c r="W44" s="186"/>
      <c r="X44" s="186"/>
      <c r="Y44" s="11"/>
      <c r="Z44" s="11"/>
      <c r="AA44" s="11"/>
      <c r="AB44" s="39"/>
      <c r="AC44" s="11"/>
      <c r="AE44" s="185"/>
      <c r="AF44" s="11"/>
      <c r="AG44" s="186"/>
      <c r="AH44" s="11"/>
      <c r="AI44" s="186">
        <f t="shared" si="9"/>
        <v>0</v>
      </c>
      <c r="AJ44" s="11"/>
      <c r="AK44" s="11"/>
      <c r="AL44" s="11"/>
      <c r="AM44" s="11"/>
      <c r="AN44" s="11"/>
      <c r="AO44" s="39"/>
      <c r="AP44" s="11"/>
      <c r="AR44" s="185"/>
      <c r="AS44" s="11"/>
      <c r="AT44" s="186"/>
      <c r="AU44" s="11"/>
      <c r="AV44" s="186">
        <f t="shared" si="8"/>
        <v>0</v>
      </c>
      <c r="AW44" s="186"/>
      <c r="AX44" s="186"/>
      <c r="AY44" s="11"/>
      <c r="AZ44" s="11"/>
      <c r="BA44" s="11"/>
      <c r="BB44" s="39"/>
      <c r="BC44" s="11"/>
      <c r="BE44" s="185"/>
      <c r="BF44" s="11"/>
      <c r="BG44" s="73"/>
      <c r="BH44" s="11"/>
      <c r="BI44" s="11"/>
      <c r="BJ44" s="11"/>
      <c r="BK44" s="186">
        <f t="shared" si="13"/>
        <v>0</v>
      </c>
      <c r="BL44" s="11"/>
      <c r="BM44" s="11"/>
      <c r="BN44" s="11"/>
      <c r="BO44" s="39"/>
      <c r="BP44" s="11"/>
      <c r="BR44" s="185"/>
      <c r="BS44" s="39"/>
      <c r="BT44" s="186"/>
      <c r="BU44" s="39"/>
      <c r="BV44" s="186">
        <f t="shared" si="10"/>
        <v>0</v>
      </c>
      <c r="BW44" s="39"/>
      <c r="BX44" s="39"/>
      <c r="BY44" s="39"/>
      <c r="BZ44" s="11"/>
      <c r="CA44" s="39"/>
      <c r="CB44" s="39"/>
      <c r="CC44" s="39"/>
      <c r="CE44" s="73"/>
      <c r="CF44" s="73"/>
      <c r="CG44" s="73"/>
      <c r="CH44" s="73"/>
      <c r="CI44" s="271"/>
      <c r="CJ44" s="73"/>
      <c r="CK44" s="186">
        <f t="shared" si="14"/>
        <v>0</v>
      </c>
      <c r="CL44" s="73"/>
      <c r="CM44" s="11"/>
      <c r="CN44" s="73"/>
      <c r="CO44" s="73"/>
      <c r="CP44" s="73"/>
      <c r="CR44" s="185">
        <v>43854</v>
      </c>
      <c r="CS44" s="73"/>
      <c r="CT44" s="11" t="s">
        <v>563</v>
      </c>
      <c r="CU44" s="186">
        <v>35.75</v>
      </c>
      <c r="CV44" s="39">
        <v>0.75</v>
      </c>
      <c r="CW44" s="186">
        <f t="shared" si="12"/>
        <v>36.5</v>
      </c>
      <c r="CX44" s="186"/>
      <c r="CY44" s="39" t="s">
        <v>1</v>
      </c>
      <c r="CZ44" s="11"/>
      <c r="DA44" s="73"/>
      <c r="DB44" s="138" t="s">
        <v>43</v>
      </c>
      <c r="DC44" s="89">
        <v>43854</v>
      </c>
      <c r="DE44" s="185"/>
      <c r="DF44" s="39"/>
      <c r="DG44" s="186"/>
      <c r="DH44" s="39"/>
      <c r="DI44" s="186">
        <f t="shared" si="7"/>
        <v>0</v>
      </c>
      <c r="DJ44" s="39"/>
      <c r="DK44" s="186"/>
      <c r="DL44" s="138"/>
      <c r="DM44" s="11"/>
      <c r="DN44" s="89"/>
      <c r="DO44" s="73"/>
      <c r="DP44" s="73"/>
    </row>
    <row r="45" spans="1:120" ht="15" customHeight="1" x14ac:dyDescent="0.35">
      <c r="E45" s="185">
        <v>43882</v>
      </c>
      <c r="F45" s="73"/>
      <c r="G45" s="138" t="s">
        <v>437</v>
      </c>
      <c r="H45" s="186">
        <v>13.46</v>
      </c>
      <c r="I45" s="186">
        <v>1.1399999999999999</v>
      </c>
      <c r="J45" s="186">
        <f t="shared" si="16"/>
        <v>14.600000000000001</v>
      </c>
      <c r="K45" s="186"/>
      <c r="L45" s="138" t="s">
        <v>2</v>
      </c>
      <c r="M45" s="11"/>
      <c r="N45" s="73"/>
      <c r="O45" s="138" t="s">
        <v>77</v>
      </c>
      <c r="P45" s="185">
        <v>43882</v>
      </c>
      <c r="Q45" s="15"/>
      <c r="R45" s="185"/>
      <c r="S45" s="11"/>
      <c r="T45" s="186"/>
      <c r="U45" s="11"/>
      <c r="V45" s="186">
        <f t="shared" si="15"/>
        <v>0</v>
      </c>
      <c r="W45" s="186"/>
      <c r="X45" s="186"/>
      <c r="Y45" s="11"/>
      <c r="Z45" s="11"/>
      <c r="AA45" s="11"/>
      <c r="AB45" s="39"/>
      <c r="AC45" s="11"/>
      <c r="AE45" s="185"/>
      <c r="AF45" s="11"/>
      <c r="AG45" s="186"/>
      <c r="AH45" s="11"/>
      <c r="AI45" s="186">
        <f t="shared" si="9"/>
        <v>0</v>
      </c>
      <c r="AJ45" s="11"/>
      <c r="AK45" s="11"/>
      <c r="AL45" s="11"/>
      <c r="AM45" s="11"/>
      <c r="AN45" s="11"/>
      <c r="AO45" s="39"/>
      <c r="AP45" s="11"/>
      <c r="AR45" s="185"/>
      <c r="AS45" s="11"/>
      <c r="AT45" s="186"/>
      <c r="AU45" s="11"/>
      <c r="AV45" s="186">
        <f t="shared" si="8"/>
        <v>0</v>
      </c>
      <c r="AW45" s="186"/>
      <c r="AX45" s="186"/>
      <c r="AY45" s="11"/>
      <c r="AZ45" s="11"/>
      <c r="BA45" s="11"/>
      <c r="BB45" s="39"/>
      <c r="BC45" s="11"/>
      <c r="BE45" s="185"/>
      <c r="BF45" s="11"/>
      <c r="BG45" s="73"/>
      <c r="BH45" s="11"/>
      <c r="BI45" s="11"/>
      <c r="BJ45" s="11"/>
      <c r="BK45" s="186">
        <f t="shared" si="13"/>
        <v>0</v>
      </c>
      <c r="BL45" s="11"/>
      <c r="BM45" s="11"/>
      <c r="BN45" s="11"/>
      <c r="BO45" s="39"/>
      <c r="BP45" s="11"/>
      <c r="BR45" s="185"/>
      <c r="BS45" s="39"/>
      <c r="BT45" s="186"/>
      <c r="BU45" s="39"/>
      <c r="BV45" s="186">
        <f t="shared" si="10"/>
        <v>0</v>
      </c>
      <c r="BW45" s="39"/>
      <c r="BX45" s="39"/>
      <c r="BY45" s="39"/>
      <c r="BZ45" s="11"/>
      <c r="CA45" s="39"/>
      <c r="CB45" s="39"/>
      <c r="CC45" s="39"/>
      <c r="CE45" s="73"/>
      <c r="CF45" s="73"/>
      <c r="CG45" s="73"/>
      <c r="CH45" s="73"/>
      <c r="CI45" s="271"/>
      <c r="CJ45" s="73"/>
      <c r="CK45" s="186">
        <f t="shared" si="14"/>
        <v>0</v>
      </c>
      <c r="CL45" s="73"/>
      <c r="CM45" s="11"/>
      <c r="CN45" s="73"/>
      <c r="CO45" s="73"/>
      <c r="CP45" s="73"/>
      <c r="CR45" s="185">
        <v>43847</v>
      </c>
      <c r="CS45" s="73"/>
      <c r="CT45" s="11" t="s">
        <v>564</v>
      </c>
      <c r="CU45" s="186">
        <v>22.53</v>
      </c>
      <c r="CV45" s="39">
        <v>0.47</v>
      </c>
      <c r="CW45" s="186">
        <f t="shared" si="12"/>
        <v>23</v>
      </c>
      <c r="CX45" s="186"/>
      <c r="CY45" s="39" t="s">
        <v>1</v>
      </c>
      <c r="CZ45" s="11"/>
      <c r="DA45" s="73"/>
      <c r="DB45" s="138" t="s">
        <v>43</v>
      </c>
      <c r="DC45" s="89">
        <v>43847</v>
      </c>
      <c r="DE45" s="185"/>
      <c r="DF45" s="39"/>
      <c r="DG45" s="186"/>
      <c r="DH45" s="39"/>
      <c r="DI45" s="186">
        <f t="shared" si="7"/>
        <v>0</v>
      </c>
      <c r="DJ45" s="39"/>
      <c r="DK45" s="186"/>
      <c r="DL45" s="138"/>
      <c r="DM45" s="11"/>
      <c r="DN45" s="89"/>
      <c r="DO45" s="73"/>
      <c r="DP45" s="73"/>
    </row>
    <row r="46" spans="1:120" ht="15" customHeight="1" x14ac:dyDescent="0.35">
      <c r="E46" s="185">
        <v>43874</v>
      </c>
      <c r="F46" s="73"/>
      <c r="G46" s="138" t="s">
        <v>438</v>
      </c>
      <c r="H46" s="186">
        <v>9.5</v>
      </c>
      <c r="I46" s="186"/>
      <c r="J46" s="186">
        <f t="shared" si="16"/>
        <v>9.5</v>
      </c>
      <c r="K46" s="186"/>
      <c r="L46" s="138" t="s">
        <v>2</v>
      </c>
      <c r="M46" s="11"/>
      <c r="N46" s="73"/>
      <c r="O46" s="138" t="s">
        <v>77</v>
      </c>
      <c r="P46" s="185">
        <v>43874</v>
      </c>
      <c r="Q46" s="15"/>
      <c r="R46" s="185"/>
      <c r="S46" s="11"/>
      <c r="T46" s="186"/>
      <c r="U46" s="11"/>
      <c r="V46" s="186">
        <f t="shared" si="15"/>
        <v>0</v>
      </c>
      <c r="W46" s="186"/>
      <c r="X46" s="186"/>
      <c r="Y46" s="11"/>
      <c r="Z46" s="11"/>
      <c r="AA46" s="11"/>
      <c r="AB46" s="39"/>
      <c r="AC46" s="11"/>
      <c r="AE46" s="185"/>
      <c r="AF46" s="11"/>
      <c r="AG46" s="186"/>
      <c r="AH46" s="11"/>
      <c r="AI46" s="186">
        <f t="shared" si="9"/>
        <v>0</v>
      </c>
      <c r="AJ46" s="11"/>
      <c r="AK46" s="11"/>
      <c r="AL46" s="11"/>
      <c r="AM46" s="11"/>
      <c r="AN46" s="11"/>
      <c r="AO46" s="39"/>
      <c r="AP46" s="11"/>
      <c r="AR46" s="185"/>
      <c r="AS46" s="11"/>
      <c r="AT46" s="186"/>
      <c r="AU46" s="11"/>
      <c r="AV46" s="186">
        <f t="shared" si="8"/>
        <v>0</v>
      </c>
      <c r="AW46" s="186"/>
      <c r="AX46" s="186"/>
      <c r="AY46" s="11"/>
      <c r="AZ46" s="11"/>
      <c r="BA46" s="11"/>
      <c r="BB46" s="39"/>
      <c r="BC46" s="11"/>
      <c r="BE46" s="185"/>
      <c r="BF46" s="11"/>
      <c r="BG46" s="73"/>
      <c r="BH46" s="11"/>
      <c r="BI46" s="11"/>
      <c r="BJ46" s="11"/>
      <c r="BK46" s="186">
        <f t="shared" si="13"/>
        <v>0</v>
      </c>
      <c r="BL46" s="11"/>
      <c r="BM46" s="11"/>
      <c r="BN46" s="11"/>
      <c r="BO46" s="39"/>
      <c r="BP46" s="11"/>
      <c r="BR46" s="185"/>
      <c r="BS46" s="39"/>
      <c r="BT46" s="186"/>
      <c r="BU46" s="39"/>
      <c r="BV46" s="186">
        <f t="shared" si="10"/>
        <v>0</v>
      </c>
      <c r="BW46" s="39"/>
      <c r="BX46" s="39"/>
      <c r="BY46" s="39"/>
      <c r="BZ46" s="11"/>
      <c r="CA46" s="39"/>
      <c r="CB46" s="39"/>
      <c r="CC46" s="39"/>
      <c r="CE46" s="73"/>
      <c r="CF46" s="73"/>
      <c r="CG46" s="73"/>
      <c r="CH46" s="73"/>
      <c r="CI46" s="271"/>
      <c r="CJ46" s="73"/>
      <c r="CK46" s="186">
        <f t="shared" si="14"/>
        <v>0</v>
      </c>
      <c r="CL46" s="73"/>
      <c r="CM46" s="11"/>
      <c r="CN46" s="73"/>
      <c r="CO46" s="73"/>
      <c r="CP46" s="73"/>
      <c r="CR46" s="185">
        <v>43844</v>
      </c>
      <c r="CS46" s="73"/>
      <c r="CT46" s="11" t="s">
        <v>565</v>
      </c>
      <c r="CU46" s="186">
        <v>8.6999999999999993</v>
      </c>
      <c r="CV46" s="39"/>
      <c r="CW46" s="186">
        <f t="shared" si="12"/>
        <v>8.6999999999999993</v>
      </c>
      <c r="CX46" s="186"/>
      <c r="CY46" s="39" t="s">
        <v>1</v>
      </c>
      <c r="CZ46" s="11"/>
      <c r="DA46" s="73"/>
      <c r="DB46" s="138" t="s">
        <v>43</v>
      </c>
      <c r="DC46" s="89">
        <v>43844</v>
      </c>
      <c r="DE46" s="185"/>
      <c r="DF46" s="39"/>
      <c r="DG46" s="186"/>
      <c r="DH46" s="39"/>
      <c r="DI46" s="186">
        <f t="shared" si="7"/>
        <v>0</v>
      </c>
      <c r="DJ46" s="39"/>
      <c r="DK46" s="186"/>
      <c r="DL46" s="138"/>
      <c r="DM46" s="11"/>
      <c r="DN46" s="89"/>
      <c r="DO46" s="73"/>
      <c r="DP46" s="73"/>
    </row>
    <row r="47" spans="1:120" ht="15" customHeight="1" x14ac:dyDescent="0.35">
      <c r="E47" s="185">
        <v>43872</v>
      </c>
      <c r="F47" s="73"/>
      <c r="G47" s="138" t="s">
        <v>439</v>
      </c>
      <c r="H47" s="39">
        <v>6.65</v>
      </c>
      <c r="I47" s="39"/>
      <c r="J47" s="186">
        <f t="shared" si="16"/>
        <v>6.65</v>
      </c>
      <c r="K47" s="39"/>
      <c r="L47" s="39" t="s">
        <v>2</v>
      </c>
      <c r="M47" s="11"/>
      <c r="N47" s="73"/>
      <c r="O47" s="39" t="s">
        <v>52</v>
      </c>
      <c r="P47" s="89">
        <v>43872</v>
      </c>
      <c r="Q47" s="15"/>
      <c r="R47" s="185"/>
      <c r="S47" s="11"/>
      <c r="T47" s="186"/>
      <c r="U47" s="11"/>
      <c r="V47" s="186">
        <f t="shared" si="15"/>
        <v>0</v>
      </c>
      <c r="W47" s="186"/>
      <c r="X47" s="186"/>
      <c r="Y47" s="11"/>
      <c r="Z47" s="11"/>
      <c r="AA47" s="11"/>
      <c r="AB47" s="39"/>
      <c r="AC47" s="11"/>
      <c r="AE47" s="185"/>
      <c r="AF47" s="11"/>
      <c r="AG47" s="186"/>
      <c r="AH47" s="11"/>
      <c r="AI47" s="186">
        <f t="shared" si="9"/>
        <v>0</v>
      </c>
      <c r="AJ47" s="11"/>
      <c r="AK47" s="11"/>
      <c r="AL47" s="11"/>
      <c r="AM47" s="11"/>
      <c r="AN47" s="11"/>
      <c r="AO47" s="39"/>
      <c r="AP47" s="11"/>
      <c r="AR47" s="185"/>
      <c r="AS47" s="11"/>
      <c r="AT47" s="186"/>
      <c r="AU47" s="11"/>
      <c r="AV47" s="186">
        <f t="shared" si="8"/>
        <v>0</v>
      </c>
      <c r="AW47" s="186"/>
      <c r="AX47" s="186"/>
      <c r="AY47" s="11"/>
      <c r="AZ47" s="11"/>
      <c r="BA47" s="11"/>
      <c r="BB47" s="39"/>
      <c r="BC47" s="11"/>
      <c r="BE47" s="185"/>
      <c r="BF47" s="11"/>
      <c r="BG47" s="73"/>
      <c r="BH47" s="11"/>
      <c r="BI47" s="11"/>
      <c r="BJ47" s="11"/>
      <c r="BK47" s="186">
        <f t="shared" si="13"/>
        <v>0</v>
      </c>
      <c r="BL47" s="11"/>
      <c r="BM47" s="11"/>
      <c r="BN47" s="11"/>
      <c r="BO47" s="39"/>
      <c r="BP47" s="11"/>
      <c r="BR47" s="185"/>
      <c r="BS47" s="39"/>
      <c r="BT47" s="186"/>
      <c r="BU47" s="39"/>
      <c r="BV47" s="186">
        <f t="shared" si="10"/>
        <v>0</v>
      </c>
      <c r="BW47" s="39"/>
      <c r="BX47" s="39"/>
      <c r="BY47" s="39"/>
      <c r="BZ47" s="11"/>
      <c r="CA47" s="39"/>
      <c r="CB47" s="39"/>
      <c r="CC47" s="39"/>
      <c r="CE47" s="73"/>
      <c r="CF47" s="73"/>
      <c r="CG47" s="73"/>
      <c r="CH47" s="73"/>
      <c r="CI47" s="271"/>
      <c r="CJ47" s="73"/>
      <c r="CK47" s="186">
        <f t="shared" si="14"/>
        <v>0</v>
      </c>
      <c r="CL47" s="73"/>
      <c r="CM47" s="11"/>
      <c r="CN47" s="73"/>
      <c r="CO47" s="73"/>
      <c r="CP47" s="73"/>
      <c r="CR47" s="185">
        <v>43836</v>
      </c>
      <c r="CS47" s="73"/>
      <c r="CT47" s="11" t="s">
        <v>566</v>
      </c>
      <c r="CU47" s="186">
        <v>13.8</v>
      </c>
      <c r="CV47" s="39"/>
      <c r="CW47" s="186">
        <f t="shared" si="12"/>
        <v>13.8</v>
      </c>
      <c r="CX47" s="186"/>
      <c r="CY47" s="39" t="s">
        <v>1</v>
      </c>
      <c r="CZ47" s="11"/>
      <c r="DA47" s="73"/>
      <c r="DB47" s="138" t="s">
        <v>43</v>
      </c>
      <c r="DC47" s="89">
        <v>43836</v>
      </c>
      <c r="DE47" s="185"/>
      <c r="DF47" s="39"/>
      <c r="DG47" s="186"/>
      <c r="DH47" s="39"/>
      <c r="DI47" s="186">
        <f t="shared" si="7"/>
        <v>0</v>
      </c>
      <c r="DJ47" s="39"/>
      <c r="DK47" s="186"/>
      <c r="DL47" s="138"/>
      <c r="DM47" s="11"/>
      <c r="DN47" s="89"/>
      <c r="DO47" s="73"/>
      <c r="DP47" s="73"/>
    </row>
    <row r="48" spans="1:120" ht="15" customHeight="1" x14ac:dyDescent="0.35">
      <c r="E48" s="185">
        <v>43859</v>
      </c>
      <c r="F48" s="73"/>
      <c r="G48" s="138" t="s">
        <v>440</v>
      </c>
      <c r="H48" s="39">
        <v>5.45</v>
      </c>
      <c r="I48" s="39"/>
      <c r="J48" s="186">
        <f t="shared" si="16"/>
        <v>5.45</v>
      </c>
      <c r="K48" s="39"/>
      <c r="L48" s="39" t="s">
        <v>1</v>
      </c>
      <c r="M48" s="11"/>
      <c r="N48" s="73"/>
      <c r="O48" s="39" t="s">
        <v>43</v>
      </c>
      <c r="P48" s="89">
        <v>43859</v>
      </c>
      <c r="Q48" s="15"/>
      <c r="R48" s="185"/>
      <c r="S48" s="11"/>
      <c r="T48" s="186"/>
      <c r="U48" s="11"/>
      <c r="V48" s="186">
        <f t="shared" si="15"/>
        <v>0</v>
      </c>
      <c r="W48" s="186"/>
      <c r="X48" s="186"/>
      <c r="Y48" s="11"/>
      <c r="Z48" s="11"/>
      <c r="AA48" s="11"/>
      <c r="AB48" s="39"/>
      <c r="AC48" s="11"/>
      <c r="AE48" s="185"/>
      <c r="AF48" s="11"/>
      <c r="AG48" s="186"/>
      <c r="AH48" s="11"/>
      <c r="AI48" s="186">
        <f t="shared" si="9"/>
        <v>0</v>
      </c>
      <c r="AJ48" s="11"/>
      <c r="AK48" s="11"/>
      <c r="AL48" s="11"/>
      <c r="AM48" s="11"/>
      <c r="AN48" s="11"/>
      <c r="AO48" s="39"/>
      <c r="AP48" s="11"/>
      <c r="AR48" s="185"/>
      <c r="AS48" s="11"/>
      <c r="AT48" s="186"/>
      <c r="AU48" s="11"/>
      <c r="AV48" s="186">
        <f t="shared" si="8"/>
        <v>0</v>
      </c>
      <c r="AW48" s="186"/>
      <c r="AX48" s="186"/>
      <c r="AY48" s="11"/>
      <c r="AZ48" s="11"/>
      <c r="BA48" s="11"/>
      <c r="BB48" s="39"/>
      <c r="BC48" s="11"/>
      <c r="BE48" s="185"/>
      <c r="BF48" s="11"/>
      <c r="BG48" s="73"/>
      <c r="BH48" s="11"/>
      <c r="BI48" s="11"/>
      <c r="BJ48" s="11"/>
      <c r="BK48" s="186">
        <f t="shared" si="13"/>
        <v>0</v>
      </c>
      <c r="BL48" s="11"/>
      <c r="BM48" s="11"/>
      <c r="BN48" s="11"/>
      <c r="BO48" s="39"/>
      <c r="BP48" s="11"/>
      <c r="BR48" s="185"/>
      <c r="BS48" s="39"/>
      <c r="BT48" s="186"/>
      <c r="BU48" s="39"/>
      <c r="BV48" s="186">
        <f t="shared" si="10"/>
        <v>0</v>
      </c>
      <c r="BW48" s="39"/>
      <c r="BX48" s="39"/>
      <c r="BY48" s="39"/>
      <c r="BZ48" s="11"/>
      <c r="CA48" s="39"/>
      <c r="CB48" s="39"/>
      <c r="CC48" s="39"/>
      <c r="CE48" s="201"/>
      <c r="CF48" s="201"/>
      <c r="CG48" s="201"/>
      <c r="CH48" s="201"/>
      <c r="CI48" s="274"/>
      <c r="CJ48" s="201"/>
      <c r="CK48" s="186">
        <f t="shared" si="14"/>
        <v>0</v>
      </c>
      <c r="CL48" s="201"/>
      <c r="CM48" s="11"/>
      <c r="CN48" s="201"/>
      <c r="CO48" s="201"/>
      <c r="CP48" s="201"/>
      <c r="CR48" s="185">
        <v>43840</v>
      </c>
      <c r="CS48" s="73"/>
      <c r="CT48" s="11" t="s">
        <v>567</v>
      </c>
      <c r="CU48" s="186">
        <v>6.4</v>
      </c>
      <c r="CV48" s="11"/>
      <c r="CW48" s="186">
        <f t="shared" si="12"/>
        <v>6.4</v>
      </c>
      <c r="CX48" s="186"/>
      <c r="CY48" s="11" t="s">
        <v>1</v>
      </c>
      <c r="CZ48" s="11"/>
      <c r="DA48" s="73"/>
      <c r="DB48" s="39" t="s">
        <v>77</v>
      </c>
      <c r="DC48" s="69">
        <v>43840</v>
      </c>
      <c r="DE48" s="185"/>
      <c r="DF48" s="39"/>
      <c r="DG48" s="186"/>
      <c r="DH48" s="39"/>
      <c r="DI48" s="186">
        <f t="shared" si="7"/>
        <v>0</v>
      </c>
      <c r="DJ48" s="39"/>
      <c r="DK48" s="186"/>
      <c r="DL48" s="138"/>
      <c r="DM48" s="11"/>
      <c r="DN48" s="89"/>
      <c r="DO48" s="73"/>
      <c r="DP48" s="73"/>
    </row>
    <row r="49" spans="5:120" ht="15" customHeight="1" x14ac:dyDescent="0.35">
      <c r="E49" s="185">
        <v>43858</v>
      </c>
      <c r="F49" s="73"/>
      <c r="G49" s="138" t="s">
        <v>441</v>
      </c>
      <c r="H49" s="39">
        <v>49.99</v>
      </c>
      <c r="I49" s="39"/>
      <c r="J49" s="186">
        <f t="shared" si="16"/>
        <v>49.99</v>
      </c>
      <c r="K49" s="39"/>
      <c r="L49" s="39" t="s">
        <v>1</v>
      </c>
      <c r="M49" s="11"/>
      <c r="N49" s="73"/>
      <c r="O49" s="39" t="s">
        <v>43</v>
      </c>
      <c r="P49" s="89">
        <v>43858</v>
      </c>
      <c r="Q49" s="15"/>
      <c r="R49" s="185"/>
      <c r="S49" s="11"/>
      <c r="T49" s="186"/>
      <c r="U49" s="11"/>
      <c r="V49" s="186">
        <f t="shared" si="15"/>
        <v>0</v>
      </c>
      <c r="W49" s="186"/>
      <c r="X49" s="186"/>
      <c r="Y49" s="11"/>
      <c r="Z49" s="11"/>
      <c r="AA49" s="11"/>
      <c r="AB49" s="39"/>
      <c r="AC49" s="11"/>
      <c r="AE49" s="185"/>
      <c r="AF49" s="11"/>
      <c r="AG49" s="186"/>
      <c r="AH49" s="11"/>
      <c r="AI49" s="186">
        <f t="shared" si="9"/>
        <v>0</v>
      </c>
      <c r="AJ49" s="11"/>
      <c r="AK49" s="11"/>
      <c r="AL49" s="11"/>
      <c r="AM49" s="11"/>
      <c r="AN49" s="11"/>
      <c r="AO49" s="39"/>
      <c r="AP49" s="11"/>
      <c r="AR49" s="185"/>
      <c r="AS49" s="11"/>
      <c r="AT49" s="186"/>
      <c r="AU49" s="11"/>
      <c r="AV49" s="186">
        <f t="shared" si="8"/>
        <v>0</v>
      </c>
      <c r="AW49" s="186"/>
      <c r="AX49" s="186"/>
      <c r="AY49" s="11"/>
      <c r="AZ49" s="11"/>
      <c r="BA49" s="11"/>
      <c r="BB49" s="39"/>
      <c r="BC49" s="11"/>
      <c r="BE49" s="185"/>
      <c r="BF49" s="11"/>
      <c r="BG49" s="73"/>
      <c r="BH49" s="11"/>
      <c r="BI49" s="11"/>
      <c r="BJ49" s="11"/>
      <c r="BK49" s="186">
        <f t="shared" si="13"/>
        <v>0</v>
      </c>
      <c r="BL49" s="11"/>
      <c r="BM49" s="11"/>
      <c r="BN49" s="11"/>
      <c r="BO49" s="39"/>
      <c r="BP49" s="11"/>
      <c r="BR49" s="185"/>
      <c r="BS49" s="39"/>
      <c r="BT49" s="186"/>
      <c r="BU49" s="39"/>
      <c r="BV49" s="186">
        <f t="shared" si="10"/>
        <v>0</v>
      </c>
      <c r="BW49" s="39"/>
      <c r="BX49" s="39"/>
      <c r="BY49" s="39"/>
      <c r="BZ49" s="11"/>
      <c r="CA49" s="39"/>
      <c r="CB49" s="39"/>
      <c r="CC49" s="39"/>
      <c r="CE49" s="185"/>
      <c r="CF49" s="185"/>
      <c r="CG49" s="185"/>
      <c r="CH49" s="11"/>
      <c r="CI49" s="186"/>
      <c r="CJ49" s="11"/>
      <c r="CK49" s="186">
        <f t="shared" si="14"/>
        <v>0</v>
      </c>
      <c r="CL49" s="11"/>
      <c r="CM49" s="11"/>
      <c r="CN49" s="11"/>
      <c r="CO49" s="39"/>
      <c r="CP49" s="11"/>
      <c r="CR49" s="185"/>
      <c r="CS49" s="11"/>
      <c r="CT49" s="186"/>
      <c r="CU49" s="11"/>
      <c r="CV49" s="186">
        <f t="shared" ref="CV49:CV80" si="17">CT49+CU49</f>
        <v>0</v>
      </c>
      <c r="CW49" s="186"/>
      <c r="CX49" s="186"/>
      <c r="CY49" s="11"/>
      <c r="CZ49" s="11"/>
      <c r="DA49" s="11"/>
      <c r="DB49" s="39"/>
      <c r="DC49" s="11"/>
      <c r="DE49" s="185"/>
      <c r="DF49" s="39"/>
      <c r="DG49" s="186"/>
      <c r="DH49" s="39"/>
      <c r="DI49" s="186">
        <f t="shared" si="7"/>
        <v>0</v>
      </c>
      <c r="DJ49" s="39"/>
      <c r="DK49" s="186"/>
      <c r="DL49" s="138"/>
      <c r="DM49" s="11"/>
      <c r="DN49" s="89"/>
      <c r="DO49" s="73"/>
      <c r="DP49" s="73"/>
    </row>
    <row r="50" spans="5:120" ht="15" customHeight="1" x14ac:dyDescent="0.35">
      <c r="E50" s="185">
        <v>43854</v>
      </c>
      <c r="F50" s="73"/>
      <c r="G50" s="138" t="s">
        <v>442</v>
      </c>
      <c r="H50" s="39">
        <v>13</v>
      </c>
      <c r="I50" s="39">
        <v>1.1100000000000001</v>
      </c>
      <c r="J50" s="186">
        <f t="shared" si="16"/>
        <v>14.11</v>
      </c>
      <c r="K50" s="39"/>
      <c r="L50" s="39" t="s">
        <v>1</v>
      </c>
      <c r="M50" s="11"/>
      <c r="N50" s="73"/>
      <c r="O50" s="39" t="s">
        <v>53</v>
      </c>
      <c r="P50" s="89">
        <v>43854</v>
      </c>
      <c r="Q50" s="15"/>
      <c r="R50" s="185"/>
      <c r="S50" s="11"/>
      <c r="T50" s="186"/>
      <c r="U50" s="11"/>
      <c r="V50" s="186">
        <f t="shared" si="15"/>
        <v>0</v>
      </c>
      <c r="W50" s="186"/>
      <c r="X50" s="186"/>
      <c r="Y50" s="11"/>
      <c r="Z50" s="11"/>
      <c r="AA50" s="11"/>
      <c r="AB50" s="39"/>
      <c r="AC50" s="11"/>
      <c r="AE50" s="185"/>
      <c r="AF50" s="11"/>
      <c r="AG50" s="186"/>
      <c r="AH50" s="11"/>
      <c r="AI50" s="186">
        <f t="shared" si="9"/>
        <v>0</v>
      </c>
      <c r="AJ50" s="11"/>
      <c r="AK50" s="11"/>
      <c r="AL50" s="11"/>
      <c r="AM50" s="11"/>
      <c r="AN50" s="11"/>
      <c r="AO50" s="39"/>
      <c r="AP50" s="11"/>
      <c r="AR50" s="185"/>
      <c r="AS50" s="11"/>
      <c r="AT50" s="186"/>
      <c r="AU50" s="11"/>
      <c r="AV50" s="186">
        <f t="shared" si="8"/>
        <v>0</v>
      </c>
      <c r="AW50" s="186"/>
      <c r="AX50" s="186"/>
      <c r="AY50" s="11"/>
      <c r="AZ50" s="11"/>
      <c r="BA50" s="11"/>
      <c r="BB50" s="39"/>
      <c r="BC50" s="11"/>
      <c r="BE50" s="185"/>
      <c r="BF50" s="11"/>
      <c r="BG50" s="73"/>
      <c r="BH50" s="11"/>
      <c r="BI50" s="11"/>
      <c r="BJ50" s="11"/>
      <c r="BK50" s="186">
        <f t="shared" si="13"/>
        <v>0</v>
      </c>
      <c r="BL50" s="11"/>
      <c r="BM50" s="11"/>
      <c r="BN50" s="11"/>
      <c r="BO50" s="39"/>
      <c r="BP50" s="11"/>
      <c r="BR50" s="185"/>
      <c r="BS50" s="39"/>
      <c r="BT50" s="186"/>
      <c r="BU50" s="39"/>
      <c r="BV50" s="186">
        <f t="shared" si="10"/>
        <v>0</v>
      </c>
      <c r="BW50" s="39"/>
      <c r="BX50" s="39"/>
      <c r="BY50" s="39"/>
      <c r="BZ50" s="11"/>
      <c r="CA50" s="39"/>
      <c r="CB50" s="39"/>
      <c r="CC50" s="39"/>
      <c r="CE50" s="185"/>
      <c r="CF50" s="185"/>
      <c r="CG50" s="185"/>
      <c r="CH50" s="11"/>
      <c r="CI50" s="186"/>
      <c r="CJ50" s="11"/>
      <c r="CK50" s="186">
        <f t="shared" si="14"/>
        <v>0</v>
      </c>
      <c r="CL50" s="11"/>
      <c r="CM50" s="11"/>
      <c r="CN50" s="11"/>
      <c r="CO50" s="39"/>
      <c r="CP50" s="11"/>
      <c r="CR50" s="185"/>
      <c r="CS50" s="11"/>
      <c r="CT50" s="186"/>
      <c r="CU50" s="11"/>
      <c r="CV50" s="186">
        <f t="shared" si="17"/>
        <v>0</v>
      </c>
      <c r="CW50" s="186"/>
      <c r="CX50" s="186"/>
      <c r="CY50" s="11"/>
      <c r="CZ50" s="11"/>
      <c r="DA50" s="11"/>
      <c r="DB50" s="39"/>
      <c r="DC50" s="11"/>
      <c r="DE50" s="185"/>
      <c r="DF50" s="39"/>
      <c r="DG50" s="186"/>
      <c r="DH50" s="39"/>
      <c r="DI50" s="186">
        <f t="shared" si="7"/>
        <v>0</v>
      </c>
      <c r="DJ50" s="39"/>
      <c r="DK50" s="186"/>
      <c r="DL50" s="138"/>
      <c r="DM50" s="11"/>
      <c r="DN50" s="89"/>
      <c r="DO50" s="73"/>
      <c r="DP50" s="73"/>
    </row>
    <row r="51" spans="5:120" ht="15" customHeight="1" x14ac:dyDescent="0.35">
      <c r="E51" s="185">
        <v>43846</v>
      </c>
      <c r="F51" s="73"/>
      <c r="G51" s="138" t="s">
        <v>443</v>
      </c>
      <c r="H51" s="39">
        <v>54.84</v>
      </c>
      <c r="I51" s="39">
        <v>3.91</v>
      </c>
      <c r="J51" s="186">
        <f t="shared" si="16"/>
        <v>58.75</v>
      </c>
      <c r="K51" s="39"/>
      <c r="L51" s="39" t="s">
        <v>1</v>
      </c>
      <c r="M51" s="11"/>
      <c r="N51" s="73"/>
      <c r="O51" s="39" t="s">
        <v>43</v>
      </c>
      <c r="P51" s="89">
        <v>43846</v>
      </c>
      <c r="Q51" s="15"/>
      <c r="R51" s="185"/>
      <c r="S51" s="11"/>
      <c r="T51" s="186"/>
      <c r="U51" s="11"/>
      <c r="V51" s="186">
        <f t="shared" si="15"/>
        <v>0</v>
      </c>
      <c r="W51" s="186"/>
      <c r="X51" s="186"/>
      <c r="Y51" s="11"/>
      <c r="Z51" s="11"/>
      <c r="AA51" s="11"/>
      <c r="AB51" s="39"/>
      <c r="AC51" s="11"/>
      <c r="AE51" s="185"/>
      <c r="AF51" s="11"/>
      <c r="AG51" s="186"/>
      <c r="AH51" s="11"/>
      <c r="AI51" s="186">
        <f t="shared" si="9"/>
        <v>0</v>
      </c>
      <c r="AJ51" s="11"/>
      <c r="AK51" s="11"/>
      <c r="AL51" s="11"/>
      <c r="AM51" s="11"/>
      <c r="AN51" s="11"/>
      <c r="AO51" s="39"/>
      <c r="AP51" s="11"/>
      <c r="AR51" s="185"/>
      <c r="AS51" s="11"/>
      <c r="AT51" s="186"/>
      <c r="AU51" s="11"/>
      <c r="AV51" s="186">
        <f t="shared" si="8"/>
        <v>0</v>
      </c>
      <c r="AW51" s="186"/>
      <c r="AX51" s="186"/>
      <c r="AY51" s="11"/>
      <c r="AZ51" s="11"/>
      <c r="BA51" s="11"/>
      <c r="BB51" s="39"/>
      <c r="BC51" s="11"/>
      <c r="BE51" s="185"/>
      <c r="BF51" s="11"/>
      <c r="BG51" s="73"/>
      <c r="BH51" s="11"/>
      <c r="BI51" s="11"/>
      <c r="BJ51" s="11"/>
      <c r="BK51" s="186">
        <f t="shared" si="13"/>
        <v>0</v>
      </c>
      <c r="BL51" s="11"/>
      <c r="BM51" s="11"/>
      <c r="BN51" s="11"/>
      <c r="BO51" s="39"/>
      <c r="BP51" s="11"/>
      <c r="BR51" s="185"/>
      <c r="BS51" s="39"/>
      <c r="BT51" s="186"/>
      <c r="BU51" s="39"/>
      <c r="BV51" s="186">
        <f t="shared" si="10"/>
        <v>0</v>
      </c>
      <c r="BW51" s="39"/>
      <c r="BX51" s="39"/>
      <c r="BY51" s="39"/>
      <c r="BZ51" s="11"/>
      <c r="CA51" s="39"/>
      <c r="CB51" s="39"/>
      <c r="CC51" s="39"/>
      <c r="CE51" s="185"/>
      <c r="CF51" s="185"/>
      <c r="CG51" s="185"/>
      <c r="CH51" s="11"/>
      <c r="CI51" s="186"/>
      <c r="CJ51" s="11"/>
      <c r="CK51" s="186">
        <f t="shared" si="14"/>
        <v>0</v>
      </c>
      <c r="CL51" s="11"/>
      <c r="CM51" s="11"/>
      <c r="CN51" s="11"/>
      <c r="CO51" s="39"/>
      <c r="CP51" s="11"/>
      <c r="CR51" s="185"/>
      <c r="CS51" s="11"/>
      <c r="CT51" s="186"/>
      <c r="CU51" s="11"/>
      <c r="CV51" s="186">
        <f t="shared" si="17"/>
        <v>0</v>
      </c>
      <c r="CW51" s="186"/>
      <c r="CX51" s="186"/>
      <c r="CY51" s="11"/>
      <c r="CZ51" s="11"/>
      <c r="DA51" s="11"/>
      <c r="DB51" s="39"/>
      <c r="DC51" s="11"/>
      <c r="DE51" s="185"/>
      <c r="DF51" s="39"/>
      <c r="DG51" s="186"/>
      <c r="DH51" s="39"/>
      <c r="DI51" s="186">
        <f t="shared" si="7"/>
        <v>0</v>
      </c>
      <c r="DJ51" s="39"/>
      <c r="DK51" s="186"/>
      <c r="DL51" s="138"/>
      <c r="DM51" s="11"/>
      <c r="DN51" s="89"/>
      <c r="DO51" s="73"/>
      <c r="DP51" s="73"/>
    </row>
    <row r="52" spans="5:120" ht="15" customHeight="1" x14ac:dyDescent="0.35">
      <c r="E52" s="185">
        <v>43839</v>
      </c>
      <c r="F52" s="73"/>
      <c r="G52" s="138" t="s">
        <v>444</v>
      </c>
      <c r="H52" s="39">
        <v>2.35</v>
      </c>
      <c r="I52" s="39">
        <v>0.2</v>
      </c>
      <c r="J52" s="186">
        <f t="shared" si="16"/>
        <v>2.5500000000000003</v>
      </c>
      <c r="K52" s="39"/>
      <c r="L52" s="39" t="s">
        <v>1</v>
      </c>
      <c r="M52" s="11"/>
      <c r="N52" s="73"/>
      <c r="O52" s="39" t="s">
        <v>43</v>
      </c>
      <c r="P52" s="89">
        <v>43839</v>
      </c>
      <c r="Q52" s="15"/>
      <c r="R52" s="185"/>
      <c r="S52" s="11"/>
      <c r="T52" s="186"/>
      <c r="U52" s="11"/>
      <c r="V52" s="186">
        <f t="shared" si="15"/>
        <v>0</v>
      </c>
      <c r="W52" s="186"/>
      <c r="X52" s="186"/>
      <c r="Y52" s="11"/>
      <c r="Z52" s="11"/>
      <c r="AA52" s="11"/>
      <c r="AB52" s="39"/>
      <c r="AC52" s="11"/>
      <c r="AE52" s="185"/>
      <c r="AF52" s="11"/>
      <c r="AG52" s="186"/>
      <c r="AH52" s="11"/>
      <c r="AI52" s="186">
        <f t="shared" si="9"/>
        <v>0</v>
      </c>
      <c r="AJ52" s="11"/>
      <c r="AK52" s="11"/>
      <c r="AL52" s="11"/>
      <c r="AM52" s="11"/>
      <c r="AN52" s="11"/>
      <c r="AO52" s="39"/>
      <c r="AP52" s="11"/>
      <c r="AR52" s="185"/>
      <c r="AS52" s="11"/>
      <c r="AT52" s="186"/>
      <c r="AU52" s="11"/>
      <c r="AV52" s="186">
        <f t="shared" si="8"/>
        <v>0</v>
      </c>
      <c r="AW52" s="186"/>
      <c r="AX52" s="186"/>
      <c r="AY52" s="11"/>
      <c r="AZ52" s="11"/>
      <c r="BA52" s="11"/>
      <c r="BB52" s="39"/>
      <c r="BC52" s="11"/>
      <c r="BE52" s="185"/>
      <c r="BF52" s="11"/>
      <c r="BG52" s="73"/>
      <c r="BH52" s="11"/>
      <c r="BI52" s="11"/>
      <c r="BJ52" s="11"/>
      <c r="BK52" s="186">
        <f t="shared" si="13"/>
        <v>0</v>
      </c>
      <c r="BL52" s="11"/>
      <c r="BM52" s="11"/>
      <c r="BN52" s="11"/>
      <c r="BO52" s="39"/>
      <c r="BP52" s="11"/>
      <c r="BR52" s="185"/>
      <c r="BS52" s="39"/>
      <c r="BT52" s="186"/>
      <c r="BU52" s="39"/>
      <c r="BV52" s="186">
        <f t="shared" si="10"/>
        <v>0</v>
      </c>
      <c r="BW52" s="39"/>
      <c r="BX52" s="39"/>
      <c r="BY52" s="39"/>
      <c r="BZ52" s="11"/>
      <c r="CA52" s="39"/>
      <c r="CB52" s="39"/>
      <c r="CC52" s="39"/>
      <c r="CE52" s="185"/>
      <c r="CF52" s="185"/>
      <c r="CG52" s="185"/>
      <c r="CH52" s="11"/>
      <c r="CI52" s="186"/>
      <c r="CJ52" s="11"/>
      <c r="CK52" s="186">
        <f t="shared" si="14"/>
        <v>0</v>
      </c>
      <c r="CL52" s="11"/>
      <c r="CM52" s="11"/>
      <c r="CN52" s="11"/>
      <c r="CO52" s="39"/>
      <c r="CP52" s="11"/>
      <c r="CR52" s="185"/>
      <c r="CS52" s="11"/>
      <c r="CT52" s="186"/>
      <c r="CU52" s="11"/>
      <c r="CV52" s="186">
        <f t="shared" si="17"/>
        <v>0</v>
      </c>
      <c r="CW52" s="186"/>
      <c r="CX52" s="186"/>
      <c r="CY52" s="11"/>
      <c r="CZ52" s="11"/>
      <c r="DA52" s="11"/>
      <c r="DB52" s="39"/>
      <c r="DC52" s="11"/>
      <c r="DE52" s="185"/>
      <c r="DF52" s="39"/>
      <c r="DG52" s="186"/>
      <c r="DH52" s="39"/>
      <c r="DI52" s="186">
        <f t="shared" si="7"/>
        <v>0</v>
      </c>
      <c r="DJ52" s="39"/>
      <c r="DK52" s="186"/>
      <c r="DL52" s="138"/>
      <c r="DM52" s="11"/>
      <c r="DN52" s="89"/>
      <c r="DO52" s="73"/>
      <c r="DP52" s="73"/>
    </row>
    <row r="53" spans="5:120" ht="15" customHeight="1" x14ac:dyDescent="0.35">
      <c r="E53" s="185">
        <v>43832</v>
      </c>
      <c r="F53" s="73"/>
      <c r="G53" s="138" t="s">
        <v>445</v>
      </c>
      <c r="H53" s="39">
        <v>835</v>
      </c>
      <c r="I53" s="39">
        <v>70.98</v>
      </c>
      <c r="J53" s="186">
        <f t="shared" si="16"/>
        <v>905.98</v>
      </c>
      <c r="K53" s="39"/>
      <c r="L53" s="39" t="s">
        <v>1</v>
      </c>
      <c r="M53" s="135"/>
      <c r="N53" s="73"/>
      <c r="O53" s="39" t="s">
        <v>68</v>
      </c>
      <c r="P53" s="89" t="s">
        <v>87</v>
      </c>
      <c r="Q53" s="15"/>
      <c r="R53" s="185"/>
      <c r="S53" s="11"/>
      <c r="T53" s="186"/>
      <c r="U53" s="11"/>
      <c r="V53" s="186">
        <f t="shared" si="15"/>
        <v>0</v>
      </c>
      <c r="W53" s="186"/>
      <c r="X53" s="186"/>
      <c r="Y53" s="11"/>
      <c r="Z53" s="135"/>
      <c r="AA53" s="11"/>
      <c r="AB53" s="39"/>
      <c r="AC53" s="11"/>
      <c r="AE53" s="185"/>
      <c r="AF53" s="11"/>
      <c r="AG53" s="186"/>
      <c r="AH53" s="11"/>
      <c r="AI53" s="186">
        <f t="shared" si="9"/>
        <v>0</v>
      </c>
      <c r="AJ53" s="11"/>
      <c r="AK53" s="11"/>
      <c r="AL53" s="11"/>
      <c r="AM53" s="135"/>
      <c r="AN53" s="11"/>
      <c r="AO53" s="39"/>
      <c r="AP53" s="11"/>
      <c r="AR53" s="185"/>
      <c r="AS53" s="11"/>
      <c r="AT53" s="186"/>
      <c r="AU53" s="11"/>
      <c r="AV53" s="186">
        <f t="shared" si="8"/>
        <v>0</v>
      </c>
      <c r="AW53" s="186"/>
      <c r="AX53" s="186"/>
      <c r="AY53" s="11"/>
      <c r="AZ53" s="135"/>
      <c r="BA53" s="11"/>
      <c r="BB53" s="39"/>
      <c r="BC53" s="11"/>
      <c r="BE53" s="185"/>
      <c r="BF53" s="11"/>
      <c r="BG53" s="73"/>
      <c r="BH53" s="11"/>
      <c r="BI53" s="11"/>
      <c r="BJ53" s="11"/>
      <c r="BK53" s="186">
        <f t="shared" si="13"/>
        <v>0</v>
      </c>
      <c r="BL53" s="11"/>
      <c r="BM53" s="135"/>
      <c r="BN53" s="11"/>
      <c r="BO53" s="39"/>
      <c r="BP53" s="11"/>
      <c r="BR53" s="185"/>
      <c r="BS53" s="39"/>
      <c r="BT53" s="186"/>
      <c r="BU53" s="39"/>
      <c r="BV53" s="186">
        <f t="shared" si="10"/>
        <v>0</v>
      </c>
      <c r="BW53" s="39"/>
      <c r="BX53" s="39"/>
      <c r="BY53" s="39"/>
      <c r="BZ53" s="135"/>
      <c r="CA53" s="39"/>
      <c r="CB53" s="39"/>
      <c r="CC53" s="39"/>
      <c r="CE53" s="185"/>
      <c r="CF53" s="185"/>
      <c r="CG53" s="185"/>
      <c r="CH53" s="11"/>
      <c r="CI53" s="186"/>
      <c r="CJ53" s="11"/>
      <c r="CK53" s="186">
        <f t="shared" si="14"/>
        <v>0</v>
      </c>
      <c r="CL53" s="11"/>
      <c r="CM53" s="135"/>
      <c r="CN53" s="11"/>
      <c r="CO53" s="39"/>
      <c r="CP53" s="11"/>
      <c r="CR53" s="185"/>
      <c r="CS53" s="11"/>
      <c r="CT53" s="186"/>
      <c r="CU53" s="11"/>
      <c r="CV53" s="186">
        <f t="shared" si="17"/>
        <v>0</v>
      </c>
      <c r="CW53" s="186"/>
      <c r="CX53" s="186"/>
      <c r="CY53" s="11"/>
      <c r="CZ53" s="135"/>
      <c r="DA53" s="11"/>
      <c r="DB53" s="39"/>
      <c r="DC53" s="11"/>
      <c r="DE53" s="185"/>
      <c r="DF53" s="39"/>
      <c r="DG53" s="186"/>
      <c r="DH53" s="39"/>
      <c r="DI53" s="186">
        <f t="shared" si="7"/>
        <v>0</v>
      </c>
      <c r="DJ53" s="39"/>
      <c r="DK53" s="186"/>
      <c r="DL53" s="138"/>
      <c r="DM53" s="135"/>
      <c r="DN53" s="89"/>
      <c r="DO53" s="73"/>
      <c r="DP53" s="73"/>
    </row>
    <row r="54" spans="5:120" ht="15" customHeight="1" x14ac:dyDescent="0.35">
      <c r="E54" s="185">
        <v>44057</v>
      </c>
      <c r="F54" s="73"/>
      <c r="G54" s="138" t="s">
        <v>446</v>
      </c>
      <c r="H54" s="186">
        <v>3.64</v>
      </c>
      <c r="I54" s="186">
        <v>0.31</v>
      </c>
      <c r="J54" s="186">
        <f t="shared" si="16"/>
        <v>3.95</v>
      </c>
      <c r="K54" s="186"/>
      <c r="L54" s="138" t="s">
        <v>8</v>
      </c>
      <c r="M54" s="135"/>
      <c r="N54" s="73"/>
      <c r="O54" s="138"/>
      <c r="P54" s="185"/>
      <c r="Q54" s="15"/>
      <c r="R54" s="185"/>
      <c r="S54" s="11"/>
      <c r="T54" s="186"/>
      <c r="U54" s="11"/>
      <c r="V54" s="186">
        <f t="shared" si="15"/>
        <v>0</v>
      </c>
      <c r="W54" s="186"/>
      <c r="X54" s="186"/>
      <c r="Y54" s="11"/>
      <c r="Z54" s="135"/>
      <c r="AA54" s="11"/>
      <c r="AB54" s="39"/>
      <c r="AC54" s="11"/>
      <c r="AE54" s="185"/>
      <c r="AF54" s="11"/>
      <c r="AG54" s="186"/>
      <c r="AH54" s="11"/>
      <c r="AI54" s="186">
        <f t="shared" si="9"/>
        <v>0</v>
      </c>
      <c r="AJ54" s="11"/>
      <c r="AK54" s="11"/>
      <c r="AL54" s="11"/>
      <c r="AM54" s="135"/>
      <c r="AN54" s="11"/>
      <c r="AO54" s="39"/>
      <c r="AP54" s="11"/>
      <c r="AR54" s="185"/>
      <c r="AS54" s="11"/>
      <c r="AT54" s="186"/>
      <c r="AU54" s="11"/>
      <c r="AV54" s="186">
        <f t="shared" si="8"/>
        <v>0</v>
      </c>
      <c r="AW54" s="186"/>
      <c r="AX54" s="186"/>
      <c r="AY54" s="11"/>
      <c r="AZ54" s="135"/>
      <c r="BA54" s="11"/>
      <c r="BB54" s="39"/>
      <c r="BC54" s="11"/>
      <c r="BE54" s="185"/>
      <c r="BF54" s="11"/>
      <c r="BG54" s="73"/>
      <c r="BH54" s="11"/>
      <c r="BI54" s="11"/>
      <c r="BJ54" s="11"/>
      <c r="BK54" s="186">
        <f t="shared" si="13"/>
        <v>0</v>
      </c>
      <c r="BL54" s="11"/>
      <c r="BM54" s="135"/>
      <c r="BN54" s="11"/>
      <c r="BO54" s="39"/>
      <c r="BP54" s="11"/>
      <c r="BR54" s="185"/>
      <c r="BS54" s="39"/>
      <c r="BT54" s="186"/>
      <c r="BU54" s="39"/>
      <c r="BV54" s="186">
        <f t="shared" si="10"/>
        <v>0</v>
      </c>
      <c r="BW54" s="39"/>
      <c r="BX54" s="39"/>
      <c r="BY54" s="39"/>
      <c r="BZ54" s="135"/>
      <c r="CA54" s="39"/>
      <c r="CB54" s="39"/>
      <c r="CC54" s="39"/>
      <c r="CE54" s="185"/>
      <c r="CF54" s="185"/>
      <c r="CG54" s="185"/>
      <c r="CH54" s="11"/>
      <c r="CI54" s="186"/>
      <c r="CJ54" s="11"/>
      <c r="CK54" s="186">
        <f t="shared" si="14"/>
        <v>0</v>
      </c>
      <c r="CL54" s="11"/>
      <c r="CM54" s="135"/>
      <c r="CN54" s="11"/>
      <c r="CO54" s="39"/>
      <c r="CP54" s="11"/>
      <c r="CR54" s="185"/>
      <c r="CS54" s="11"/>
      <c r="CT54" s="186"/>
      <c r="CU54" s="11"/>
      <c r="CV54" s="186">
        <f t="shared" si="17"/>
        <v>0</v>
      </c>
      <c r="CW54" s="186"/>
      <c r="CX54" s="186"/>
      <c r="CY54" s="11"/>
      <c r="CZ54" s="135"/>
      <c r="DA54" s="11"/>
      <c r="DB54" s="39"/>
      <c r="DC54" s="11"/>
      <c r="DE54" s="185"/>
      <c r="DF54" s="39"/>
      <c r="DG54" s="186"/>
      <c r="DH54" s="39"/>
      <c r="DI54" s="186">
        <f t="shared" si="7"/>
        <v>0</v>
      </c>
      <c r="DJ54" s="39"/>
      <c r="DK54" s="186"/>
      <c r="DL54" s="138"/>
      <c r="DM54" s="135"/>
      <c r="DN54" s="89"/>
      <c r="DO54" s="73"/>
      <c r="DP54" s="73"/>
    </row>
    <row r="55" spans="5:120" ht="15" customHeight="1" x14ac:dyDescent="0.35">
      <c r="E55" s="270">
        <v>44104</v>
      </c>
      <c r="F55" s="73"/>
      <c r="G55" s="138" t="s">
        <v>447</v>
      </c>
      <c r="H55" s="73">
        <v>1320</v>
      </c>
      <c r="I55" s="73">
        <v>112.2</v>
      </c>
      <c r="J55" s="186">
        <f t="shared" si="16"/>
        <v>1432.2</v>
      </c>
      <c r="K55" s="73"/>
      <c r="L55" s="73" t="s">
        <v>9</v>
      </c>
      <c r="M55" s="135"/>
      <c r="N55" s="73"/>
      <c r="O55" s="73" t="s">
        <v>43</v>
      </c>
      <c r="P55" s="270">
        <v>44104</v>
      </c>
      <c r="Q55" s="15"/>
      <c r="R55" s="185"/>
      <c r="S55" s="11"/>
      <c r="T55" s="186"/>
      <c r="U55" s="11"/>
      <c r="V55" s="186">
        <f t="shared" si="15"/>
        <v>0</v>
      </c>
      <c r="W55" s="186"/>
      <c r="X55" s="186"/>
      <c r="Y55" s="11"/>
      <c r="Z55" s="135"/>
      <c r="AA55" s="11"/>
      <c r="AB55" s="39"/>
      <c r="AC55" s="11"/>
      <c r="AE55" s="185"/>
      <c r="AF55" s="11"/>
      <c r="AG55" s="186"/>
      <c r="AH55" s="11"/>
      <c r="AI55" s="186">
        <f t="shared" si="9"/>
        <v>0</v>
      </c>
      <c r="AJ55" s="11"/>
      <c r="AK55" s="11"/>
      <c r="AL55" s="11"/>
      <c r="AM55" s="135"/>
      <c r="AN55" s="11"/>
      <c r="AO55" s="39"/>
      <c r="AP55" s="11"/>
      <c r="AR55" s="185"/>
      <c r="AS55" s="11"/>
      <c r="AT55" s="186"/>
      <c r="AU55" s="11"/>
      <c r="AV55" s="186">
        <f t="shared" si="8"/>
        <v>0</v>
      </c>
      <c r="AW55" s="186"/>
      <c r="AX55" s="186"/>
      <c r="AY55" s="11"/>
      <c r="AZ55" s="135"/>
      <c r="BA55" s="11"/>
      <c r="BB55" s="39"/>
      <c r="BC55" s="11"/>
      <c r="BE55" s="185"/>
      <c r="BF55" s="11"/>
      <c r="BG55" s="73"/>
      <c r="BH55" s="11"/>
      <c r="BI55" s="11"/>
      <c r="BJ55" s="11"/>
      <c r="BK55" s="186">
        <f t="shared" si="13"/>
        <v>0</v>
      </c>
      <c r="BL55" s="11"/>
      <c r="BM55" s="135"/>
      <c r="BN55" s="11"/>
      <c r="BO55" s="39"/>
      <c r="BP55" s="11"/>
      <c r="BR55" s="185"/>
      <c r="BS55" s="39"/>
      <c r="BT55" s="186"/>
      <c r="BU55" s="39"/>
      <c r="BV55" s="186">
        <f t="shared" si="10"/>
        <v>0</v>
      </c>
      <c r="BW55" s="39"/>
      <c r="BX55" s="39"/>
      <c r="BY55" s="39"/>
      <c r="BZ55" s="135"/>
      <c r="CA55" s="39"/>
      <c r="CB55" s="39"/>
      <c r="CC55" s="39"/>
      <c r="CE55" s="185"/>
      <c r="CF55" s="185"/>
      <c r="CG55" s="185"/>
      <c r="CH55" s="11"/>
      <c r="CI55" s="186"/>
      <c r="CJ55" s="11"/>
      <c r="CK55" s="186">
        <f t="shared" si="14"/>
        <v>0</v>
      </c>
      <c r="CL55" s="11"/>
      <c r="CM55" s="135"/>
      <c r="CN55" s="11"/>
      <c r="CO55" s="39"/>
      <c r="CP55" s="11"/>
      <c r="CR55" s="185"/>
      <c r="CS55" s="11"/>
      <c r="CT55" s="186"/>
      <c r="CU55" s="11"/>
      <c r="CV55" s="186">
        <f t="shared" si="17"/>
        <v>0</v>
      </c>
      <c r="CW55" s="186"/>
      <c r="CX55" s="186"/>
      <c r="CY55" s="11"/>
      <c r="CZ55" s="135"/>
      <c r="DA55" s="11"/>
      <c r="DB55" s="39"/>
      <c r="DC55" s="11"/>
      <c r="DE55" s="185"/>
      <c r="DF55" s="39"/>
      <c r="DG55" s="186"/>
      <c r="DH55" s="39"/>
      <c r="DI55" s="186">
        <f t="shared" si="7"/>
        <v>0</v>
      </c>
      <c r="DJ55" s="39"/>
      <c r="DK55" s="186"/>
      <c r="DL55" s="138"/>
      <c r="DM55" s="135"/>
      <c r="DN55" s="89"/>
      <c r="DO55" s="73"/>
      <c r="DP55" s="73"/>
    </row>
    <row r="56" spans="5:120" ht="15" customHeight="1" x14ac:dyDescent="0.35">
      <c r="E56" s="270">
        <v>44105</v>
      </c>
      <c r="F56" s="73"/>
      <c r="G56" s="138" t="s">
        <v>448</v>
      </c>
      <c r="H56" s="73">
        <v>4778.7</v>
      </c>
      <c r="I56" s="73">
        <v>72.680000000000007</v>
      </c>
      <c r="J56" s="186">
        <f t="shared" si="16"/>
        <v>4851.38</v>
      </c>
      <c r="K56" s="73"/>
      <c r="L56" s="73" t="s">
        <v>10</v>
      </c>
      <c r="M56" s="135"/>
      <c r="N56" s="73"/>
      <c r="O56" s="73" t="s">
        <v>78</v>
      </c>
      <c r="P56" s="270">
        <v>44111</v>
      </c>
      <c r="Q56" s="15"/>
      <c r="R56" s="185"/>
      <c r="S56" s="11"/>
      <c r="T56" s="186"/>
      <c r="U56" s="11"/>
      <c r="V56" s="186">
        <f t="shared" ref="V56:V80" si="18">T56+U56</f>
        <v>0</v>
      </c>
      <c r="W56" s="186"/>
      <c r="X56" s="186"/>
      <c r="Y56" s="11"/>
      <c r="Z56" s="135"/>
      <c r="AA56" s="11"/>
      <c r="AB56" s="39"/>
      <c r="AC56" s="11"/>
      <c r="AE56" s="185"/>
      <c r="AF56" s="11"/>
      <c r="AG56" s="186"/>
      <c r="AH56" s="11"/>
      <c r="AI56" s="186">
        <f t="shared" si="9"/>
        <v>0</v>
      </c>
      <c r="AJ56" s="11"/>
      <c r="AK56" s="11"/>
      <c r="AL56" s="11"/>
      <c r="AM56" s="135"/>
      <c r="AN56" s="11"/>
      <c r="AO56" s="39"/>
      <c r="AP56" s="11"/>
      <c r="AR56" s="185"/>
      <c r="AS56" s="11"/>
      <c r="AT56" s="186"/>
      <c r="AU56" s="11"/>
      <c r="AV56" s="186">
        <f t="shared" si="8"/>
        <v>0</v>
      </c>
      <c r="AW56" s="186"/>
      <c r="AX56" s="186"/>
      <c r="AY56" s="11"/>
      <c r="AZ56" s="135"/>
      <c r="BA56" s="11"/>
      <c r="BB56" s="39"/>
      <c r="BC56" s="11"/>
      <c r="BE56" s="185"/>
      <c r="BF56" s="11"/>
      <c r="BG56" s="73"/>
      <c r="BH56" s="11"/>
      <c r="BI56" s="11"/>
      <c r="BJ56" s="11"/>
      <c r="BK56" s="186">
        <f t="shared" si="13"/>
        <v>0</v>
      </c>
      <c r="BL56" s="11"/>
      <c r="BM56" s="135"/>
      <c r="BN56" s="11"/>
      <c r="BO56" s="39"/>
      <c r="BP56" s="11"/>
      <c r="BR56" s="185"/>
      <c r="BS56" s="39"/>
      <c r="BT56" s="186"/>
      <c r="BU56" s="39"/>
      <c r="BV56" s="186">
        <f t="shared" si="10"/>
        <v>0</v>
      </c>
      <c r="BW56" s="39"/>
      <c r="BX56" s="39"/>
      <c r="BY56" s="39"/>
      <c r="BZ56" s="135"/>
      <c r="CA56" s="39"/>
      <c r="CB56" s="39"/>
      <c r="CC56" s="39"/>
      <c r="CE56" s="185"/>
      <c r="CF56" s="185"/>
      <c r="CG56" s="185"/>
      <c r="CH56" s="11"/>
      <c r="CI56" s="186"/>
      <c r="CJ56" s="11"/>
      <c r="CK56" s="186">
        <f t="shared" si="14"/>
        <v>0</v>
      </c>
      <c r="CL56" s="11"/>
      <c r="CM56" s="135"/>
      <c r="CN56" s="11"/>
      <c r="CO56" s="39"/>
      <c r="CP56" s="11"/>
      <c r="CR56" s="185"/>
      <c r="CS56" s="11"/>
      <c r="CT56" s="186"/>
      <c r="CU56" s="11"/>
      <c r="CV56" s="186">
        <f t="shared" si="17"/>
        <v>0</v>
      </c>
      <c r="CW56" s="186"/>
      <c r="CX56" s="186"/>
      <c r="CY56" s="11"/>
      <c r="CZ56" s="135"/>
      <c r="DA56" s="11"/>
      <c r="DB56" s="39"/>
      <c r="DC56" s="11"/>
      <c r="DE56" s="185"/>
      <c r="DF56" s="39"/>
      <c r="DG56" s="186"/>
      <c r="DH56" s="39"/>
      <c r="DI56" s="186">
        <f t="shared" si="7"/>
        <v>0</v>
      </c>
      <c r="DJ56" s="39"/>
      <c r="DK56" s="186"/>
      <c r="DL56" s="138"/>
      <c r="DM56" s="135"/>
      <c r="DN56" s="89"/>
      <c r="DO56" s="73"/>
      <c r="DP56" s="73"/>
    </row>
    <row r="57" spans="5:120" ht="15" customHeight="1" x14ac:dyDescent="0.35">
      <c r="E57" s="73"/>
      <c r="F57" s="73"/>
      <c r="G57" s="73"/>
      <c r="H57" s="73"/>
      <c r="I57" s="186">
        <f t="shared" ref="I57:I68" si="19">G57+H57</f>
        <v>0</v>
      </c>
      <c r="J57" s="73"/>
      <c r="K57" s="73"/>
      <c r="L57" s="73"/>
      <c r="M57" s="135"/>
      <c r="N57" s="73"/>
      <c r="O57" s="73"/>
      <c r="P57" s="73"/>
      <c r="Q57" s="15"/>
      <c r="R57" s="185"/>
      <c r="S57" s="11"/>
      <c r="T57" s="186"/>
      <c r="U57" s="11"/>
      <c r="V57" s="186">
        <f t="shared" si="18"/>
        <v>0</v>
      </c>
      <c r="W57" s="186"/>
      <c r="X57" s="186"/>
      <c r="Y57" s="11"/>
      <c r="Z57" s="135"/>
      <c r="AA57" s="11"/>
      <c r="AB57" s="39"/>
      <c r="AC57" s="11"/>
      <c r="AE57" s="185"/>
      <c r="AF57" s="11"/>
      <c r="AG57" s="186"/>
      <c r="AH57" s="11"/>
      <c r="AI57" s="186">
        <f t="shared" si="9"/>
        <v>0</v>
      </c>
      <c r="AJ57" s="11"/>
      <c r="AK57" s="11"/>
      <c r="AL57" s="11"/>
      <c r="AM57" s="135"/>
      <c r="AN57" s="11"/>
      <c r="AO57" s="39"/>
      <c r="AP57" s="11"/>
      <c r="AR57" s="185"/>
      <c r="AS57" s="11"/>
      <c r="AT57" s="186"/>
      <c r="AU57" s="11"/>
      <c r="AV57" s="186">
        <f t="shared" si="8"/>
        <v>0</v>
      </c>
      <c r="AW57" s="186"/>
      <c r="AX57" s="186"/>
      <c r="AY57" s="11"/>
      <c r="AZ57" s="135"/>
      <c r="BA57" s="11"/>
      <c r="BB57" s="39"/>
      <c r="BC57" s="11"/>
      <c r="BE57" s="185"/>
      <c r="BF57" s="11"/>
      <c r="BG57" s="73"/>
      <c r="BH57" s="11"/>
      <c r="BI57" s="11"/>
      <c r="BJ57" s="11"/>
      <c r="BK57" s="186">
        <f t="shared" si="13"/>
        <v>0</v>
      </c>
      <c r="BL57" s="11"/>
      <c r="BM57" s="135"/>
      <c r="BN57" s="11"/>
      <c r="BO57" s="39"/>
      <c r="BP57" s="11"/>
      <c r="BR57" s="185"/>
      <c r="BS57" s="39"/>
      <c r="BT57" s="186"/>
      <c r="BU57" s="39"/>
      <c r="BV57" s="186">
        <f t="shared" si="10"/>
        <v>0</v>
      </c>
      <c r="BW57" s="39"/>
      <c r="BX57" s="39"/>
      <c r="BY57" s="39"/>
      <c r="BZ57" s="135"/>
      <c r="CA57" s="39"/>
      <c r="CB57" s="39"/>
      <c r="CC57" s="39"/>
      <c r="CE57" s="185"/>
      <c r="CF57" s="185"/>
      <c r="CG57" s="185"/>
      <c r="CH57" s="11"/>
      <c r="CI57" s="186"/>
      <c r="CJ57" s="11"/>
      <c r="CK57" s="186">
        <f t="shared" si="14"/>
        <v>0</v>
      </c>
      <c r="CL57" s="11"/>
      <c r="CM57" s="135"/>
      <c r="CN57" s="11"/>
      <c r="CO57" s="39"/>
      <c r="CP57" s="11"/>
      <c r="CR57" s="185"/>
      <c r="CS57" s="11"/>
      <c r="CT57" s="186"/>
      <c r="CU57" s="11"/>
      <c r="CV57" s="186">
        <f t="shared" si="17"/>
        <v>0</v>
      </c>
      <c r="CW57" s="186"/>
      <c r="CX57" s="186"/>
      <c r="CY57" s="11"/>
      <c r="CZ57" s="135"/>
      <c r="DA57" s="11"/>
      <c r="DB57" s="39"/>
      <c r="DC57" s="11"/>
      <c r="DE57" s="185"/>
      <c r="DF57" s="39"/>
      <c r="DG57" s="186"/>
      <c r="DH57" s="39"/>
      <c r="DI57" s="186">
        <f t="shared" si="7"/>
        <v>0</v>
      </c>
      <c r="DJ57" s="39"/>
      <c r="DK57" s="186"/>
      <c r="DL57" s="138"/>
      <c r="DM57" s="135"/>
      <c r="DN57" s="89"/>
      <c r="DO57" s="73"/>
      <c r="DP57" s="73"/>
    </row>
    <row r="58" spans="5:120" ht="15" customHeight="1" x14ac:dyDescent="0.35">
      <c r="E58" s="73"/>
      <c r="F58" s="73"/>
      <c r="G58" s="73"/>
      <c r="H58" s="73"/>
      <c r="I58" s="186">
        <f t="shared" si="19"/>
        <v>0</v>
      </c>
      <c r="J58" s="73"/>
      <c r="K58" s="73"/>
      <c r="L58" s="73"/>
      <c r="M58" s="135"/>
      <c r="N58" s="73"/>
      <c r="O58" s="73"/>
      <c r="P58" s="73"/>
      <c r="Q58" s="15"/>
      <c r="R58" s="185"/>
      <c r="S58" s="11"/>
      <c r="T58" s="186"/>
      <c r="U58" s="11"/>
      <c r="V58" s="186">
        <f t="shared" si="18"/>
        <v>0</v>
      </c>
      <c r="W58" s="186"/>
      <c r="X58" s="186"/>
      <c r="Y58" s="11"/>
      <c r="Z58" s="135"/>
      <c r="AA58" s="11"/>
      <c r="AB58" s="39"/>
      <c r="AC58" s="11"/>
      <c r="AE58" s="185"/>
      <c r="AF58" s="11"/>
      <c r="AG58" s="186"/>
      <c r="AH58" s="11"/>
      <c r="AI58" s="186">
        <f t="shared" si="9"/>
        <v>0</v>
      </c>
      <c r="AJ58" s="11"/>
      <c r="AK58" s="11"/>
      <c r="AL58" s="11"/>
      <c r="AM58" s="135"/>
      <c r="AN58" s="11"/>
      <c r="AO58" s="39"/>
      <c r="AP58" s="11"/>
      <c r="AR58" s="185"/>
      <c r="AS58" s="11"/>
      <c r="AT58" s="186"/>
      <c r="AU58" s="11"/>
      <c r="AV58" s="186">
        <f t="shared" si="8"/>
        <v>0</v>
      </c>
      <c r="AW58" s="186"/>
      <c r="AX58" s="186"/>
      <c r="AY58" s="11"/>
      <c r="AZ58" s="135"/>
      <c r="BA58" s="11"/>
      <c r="BB58" s="39"/>
      <c r="BC58" s="11"/>
      <c r="BE58" s="185"/>
      <c r="BF58" s="11"/>
      <c r="BG58" s="73"/>
      <c r="BH58" s="11"/>
      <c r="BI58" s="11"/>
      <c r="BJ58" s="11"/>
      <c r="BK58" s="186">
        <f t="shared" si="13"/>
        <v>0</v>
      </c>
      <c r="BL58" s="11"/>
      <c r="BM58" s="135"/>
      <c r="BN58" s="11"/>
      <c r="BO58" s="39"/>
      <c r="BP58" s="11"/>
      <c r="BR58" s="185"/>
      <c r="BS58" s="39"/>
      <c r="BT58" s="186"/>
      <c r="BU58" s="39"/>
      <c r="BV58" s="186">
        <f t="shared" si="10"/>
        <v>0</v>
      </c>
      <c r="BW58" s="39"/>
      <c r="BX58" s="39"/>
      <c r="BY58" s="39"/>
      <c r="BZ58" s="135"/>
      <c r="CA58" s="39"/>
      <c r="CB58" s="39"/>
      <c r="CC58" s="39"/>
      <c r="CE58" s="185"/>
      <c r="CF58" s="185"/>
      <c r="CG58" s="185"/>
      <c r="CH58" s="11"/>
      <c r="CI58" s="186"/>
      <c r="CJ58" s="11"/>
      <c r="CK58" s="186">
        <f t="shared" si="14"/>
        <v>0</v>
      </c>
      <c r="CL58" s="11"/>
      <c r="CM58" s="135"/>
      <c r="CN58" s="11"/>
      <c r="CO58" s="39"/>
      <c r="CP58" s="11"/>
      <c r="CR58" s="185"/>
      <c r="CS58" s="11"/>
      <c r="CT58" s="186"/>
      <c r="CU58" s="11"/>
      <c r="CV58" s="186">
        <f t="shared" si="17"/>
        <v>0</v>
      </c>
      <c r="CW58" s="186"/>
      <c r="CX58" s="186"/>
      <c r="CY58" s="11"/>
      <c r="CZ58" s="135"/>
      <c r="DA58" s="11"/>
      <c r="DB58" s="39"/>
      <c r="DC58" s="11"/>
      <c r="DE58" s="185"/>
      <c r="DF58" s="39"/>
      <c r="DG58" s="186"/>
      <c r="DH58" s="39"/>
      <c r="DI58" s="186">
        <f t="shared" si="7"/>
        <v>0</v>
      </c>
      <c r="DJ58" s="39"/>
      <c r="DK58" s="186"/>
      <c r="DL58" s="138"/>
      <c r="DM58" s="135"/>
      <c r="DN58" s="89"/>
      <c r="DO58" s="73"/>
      <c r="DP58" s="73"/>
    </row>
    <row r="59" spans="5:120" ht="15" customHeight="1" x14ac:dyDescent="0.35">
      <c r="E59" s="73"/>
      <c r="F59" s="73"/>
      <c r="G59" s="73"/>
      <c r="H59" s="73"/>
      <c r="I59" s="186">
        <f t="shared" si="19"/>
        <v>0</v>
      </c>
      <c r="J59" s="73"/>
      <c r="K59" s="73"/>
      <c r="L59" s="73"/>
      <c r="M59" s="135"/>
      <c r="N59" s="73"/>
      <c r="O59" s="73"/>
      <c r="P59" s="73"/>
      <c r="Q59" s="15"/>
      <c r="R59" s="185"/>
      <c r="S59" s="11"/>
      <c r="T59" s="186"/>
      <c r="U59" s="11"/>
      <c r="V59" s="186">
        <f t="shared" si="18"/>
        <v>0</v>
      </c>
      <c r="W59" s="186"/>
      <c r="X59" s="186"/>
      <c r="Y59" s="11"/>
      <c r="Z59" s="135"/>
      <c r="AA59" s="11"/>
      <c r="AB59" s="39"/>
      <c r="AC59" s="11"/>
      <c r="AE59" s="185"/>
      <c r="AF59" s="11"/>
      <c r="AG59" s="186"/>
      <c r="AH59" s="11"/>
      <c r="AI59" s="186">
        <f t="shared" si="9"/>
        <v>0</v>
      </c>
      <c r="AJ59" s="11"/>
      <c r="AK59" s="11"/>
      <c r="AL59" s="11"/>
      <c r="AM59" s="135"/>
      <c r="AN59" s="11"/>
      <c r="AO59" s="39"/>
      <c r="AP59" s="11"/>
      <c r="AR59" s="185"/>
      <c r="AS59" s="11"/>
      <c r="AT59" s="186"/>
      <c r="AU59" s="11"/>
      <c r="AV59" s="186">
        <f t="shared" si="8"/>
        <v>0</v>
      </c>
      <c r="AW59" s="186"/>
      <c r="AX59" s="186"/>
      <c r="AY59" s="11"/>
      <c r="AZ59" s="135"/>
      <c r="BA59" s="11"/>
      <c r="BB59" s="39"/>
      <c r="BC59" s="11"/>
      <c r="BE59" s="185"/>
      <c r="BF59" s="11"/>
      <c r="BG59" s="73"/>
      <c r="BH59" s="11"/>
      <c r="BI59" s="11"/>
      <c r="BJ59" s="11"/>
      <c r="BK59" s="186">
        <f t="shared" si="13"/>
        <v>0</v>
      </c>
      <c r="BL59" s="11"/>
      <c r="BM59" s="135"/>
      <c r="BN59" s="11"/>
      <c r="BO59" s="39"/>
      <c r="BP59" s="11"/>
      <c r="BR59" s="185"/>
      <c r="BS59" s="39"/>
      <c r="BT59" s="186"/>
      <c r="BU59" s="39"/>
      <c r="BV59" s="186">
        <f t="shared" si="10"/>
        <v>0</v>
      </c>
      <c r="BW59" s="39"/>
      <c r="BX59" s="39"/>
      <c r="BY59" s="39"/>
      <c r="BZ59" s="135"/>
      <c r="CA59" s="39"/>
      <c r="CB59" s="39"/>
      <c r="CC59" s="39"/>
      <c r="CE59" s="185"/>
      <c r="CF59" s="185"/>
      <c r="CG59" s="185"/>
      <c r="CH59" s="11"/>
      <c r="CI59" s="186"/>
      <c r="CJ59" s="11"/>
      <c r="CK59" s="186">
        <f t="shared" si="14"/>
        <v>0</v>
      </c>
      <c r="CL59" s="11"/>
      <c r="CM59" s="135"/>
      <c r="CN59" s="11"/>
      <c r="CO59" s="39"/>
      <c r="CP59" s="11"/>
      <c r="CR59" s="185"/>
      <c r="CS59" s="11"/>
      <c r="CT59" s="186"/>
      <c r="CU59" s="11"/>
      <c r="CV59" s="186">
        <f t="shared" si="17"/>
        <v>0</v>
      </c>
      <c r="CW59" s="186"/>
      <c r="CX59" s="186"/>
      <c r="CY59" s="11"/>
      <c r="CZ59" s="135"/>
      <c r="DA59" s="11"/>
      <c r="DB59" s="39"/>
      <c r="DC59" s="11"/>
      <c r="DE59" s="185"/>
      <c r="DF59" s="39"/>
      <c r="DG59" s="186"/>
      <c r="DH59" s="39"/>
      <c r="DI59" s="186">
        <f t="shared" si="7"/>
        <v>0</v>
      </c>
      <c r="DJ59" s="39"/>
      <c r="DK59" s="186"/>
      <c r="DL59" s="138"/>
      <c r="DM59" s="135"/>
      <c r="DN59" s="89"/>
      <c r="DO59" s="73"/>
      <c r="DP59" s="73"/>
    </row>
    <row r="60" spans="5:120" ht="15" customHeight="1" x14ac:dyDescent="0.35">
      <c r="E60" s="73"/>
      <c r="F60" s="73"/>
      <c r="G60" s="73"/>
      <c r="H60" s="73"/>
      <c r="I60" s="186">
        <f t="shared" si="19"/>
        <v>0</v>
      </c>
      <c r="J60" s="73"/>
      <c r="K60" s="73"/>
      <c r="L60" s="73"/>
      <c r="M60" s="135"/>
      <c r="N60" s="73"/>
      <c r="O60" s="73"/>
      <c r="P60" s="73"/>
      <c r="Q60" s="15"/>
      <c r="R60" s="185"/>
      <c r="S60" s="11"/>
      <c r="T60" s="186"/>
      <c r="U60" s="11"/>
      <c r="V60" s="186">
        <f t="shared" si="18"/>
        <v>0</v>
      </c>
      <c r="W60" s="186"/>
      <c r="X60" s="186"/>
      <c r="Y60" s="11"/>
      <c r="Z60" s="135"/>
      <c r="AA60" s="11"/>
      <c r="AB60" s="39"/>
      <c r="AC60" s="11"/>
      <c r="AE60" s="185"/>
      <c r="AF60" s="11"/>
      <c r="AG60" s="186"/>
      <c r="AH60" s="11"/>
      <c r="AI60" s="186">
        <f t="shared" si="9"/>
        <v>0</v>
      </c>
      <c r="AJ60" s="11"/>
      <c r="AK60" s="11"/>
      <c r="AL60" s="11"/>
      <c r="AM60" s="135"/>
      <c r="AN60" s="11"/>
      <c r="AO60" s="39"/>
      <c r="AP60" s="11"/>
      <c r="AR60" s="185"/>
      <c r="AS60" s="11"/>
      <c r="AT60" s="186"/>
      <c r="AU60" s="11"/>
      <c r="AV60" s="186">
        <f t="shared" si="8"/>
        <v>0</v>
      </c>
      <c r="AW60" s="186"/>
      <c r="AX60" s="186"/>
      <c r="AY60" s="11"/>
      <c r="AZ60" s="135"/>
      <c r="BA60" s="11"/>
      <c r="BB60" s="39"/>
      <c r="BC60" s="11"/>
      <c r="BE60" s="185"/>
      <c r="BF60" s="11"/>
      <c r="BG60" s="73"/>
      <c r="BH60" s="11"/>
      <c r="BI60" s="11"/>
      <c r="BJ60" s="11"/>
      <c r="BK60" s="186">
        <f t="shared" si="13"/>
        <v>0</v>
      </c>
      <c r="BL60" s="11"/>
      <c r="BM60" s="135"/>
      <c r="BN60" s="11"/>
      <c r="BO60" s="39"/>
      <c r="BP60" s="11"/>
      <c r="BR60" s="185"/>
      <c r="BS60" s="39"/>
      <c r="BT60" s="186"/>
      <c r="BU60" s="39"/>
      <c r="BV60" s="186">
        <f t="shared" si="10"/>
        <v>0</v>
      </c>
      <c r="BW60" s="39"/>
      <c r="BX60" s="39"/>
      <c r="BY60" s="39"/>
      <c r="BZ60" s="135"/>
      <c r="CA60" s="39"/>
      <c r="CB60" s="39"/>
      <c r="CC60" s="39"/>
      <c r="CE60" s="185"/>
      <c r="CF60" s="185"/>
      <c r="CG60" s="185"/>
      <c r="CH60" s="11"/>
      <c r="CI60" s="186"/>
      <c r="CJ60" s="11"/>
      <c r="CK60" s="186">
        <f t="shared" si="14"/>
        <v>0</v>
      </c>
      <c r="CL60" s="11"/>
      <c r="CM60" s="135"/>
      <c r="CN60" s="11"/>
      <c r="CO60" s="39"/>
      <c r="CP60" s="11"/>
      <c r="CR60" s="185"/>
      <c r="CS60" s="11"/>
      <c r="CT60" s="186"/>
      <c r="CU60" s="11"/>
      <c r="CV60" s="186">
        <f t="shared" si="17"/>
        <v>0</v>
      </c>
      <c r="CW60" s="186"/>
      <c r="CX60" s="186"/>
      <c r="CY60" s="11"/>
      <c r="CZ60" s="135"/>
      <c r="DA60" s="11"/>
      <c r="DB60" s="39"/>
      <c r="DC60" s="11"/>
      <c r="DE60" s="185"/>
      <c r="DF60" s="39"/>
      <c r="DG60" s="186"/>
      <c r="DH60" s="39"/>
      <c r="DI60" s="186">
        <f t="shared" si="7"/>
        <v>0</v>
      </c>
      <c r="DJ60" s="39"/>
      <c r="DK60" s="186"/>
      <c r="DL60" s="138"/>
      <c r="DM60" s="135"/>
      <c r="DN60" s="89"/>
      <c r="DO60" s="73"/>
      <c r="DP60" s="73"/>
    </row>
    <row r="61" spans="5:120" ht="15" customHeight="1" x14ac:dyDescent="0.35">
      <c r="E61" s="73"/>
      <c r="F61" s="73"/>
      <c r="G61" s="73"/>
      <c r="H61" s="73"/>
      <c r="I61" s="186">
        <f t="shared" si="19"/>
        <v>0</v>
      </c>
      <c r="J61" s="73"/>
      <c r="K61" s="73"/>
      <c r="L61" s="73"/>
      <c r="M61" s="135"/>
      <c r="N61" s="73"/>
      <c r="O61" s="73"/>
      <c r="P61" s="73"/>
      <c r="Q61" s="15"/>
      <c r="R61" s="185"/>
      <c r="S61" s="11"/>
      <c r="T61" s="186"/>
      <c r="U61" s="11"/>
      <c r="V61" s="186">
        <f t="shared" si="18"/>
        <v>0</v>
      </c>
      <c r="W61" s="186"/>
      <c r="X61" s="186"/>
      <c r="Y61" s="11"/>
      <c r="Z61" s="135"/>
      <c r="AA61" s="11"/>
      <c r="AB61" s="39"/>
      <c r="AC61" s="11"/>
      <c r="AE61" s="185"/>
      <c r="AF61" s="11"/>
      <c r="AG61" s="186"/>
      <c r="AH61" s="11"/>
      <c r="AI61" s="186">
        <f t="shared" si="9"/>
        <v>0</v>
      </c>
      <c r="AJ61" s="11"/>
      <c r="AK61" s="11"/>
      <c r="AL61" s="11"/>
      <c r="AM61" s="135"/>
      <c r="AN61" s="11"/>
      <c r="AO61" s="39"/>
      <c r="AP61" s="11"/>
      <c r="AR61" s="185"/>
      <c r="AS61" s="11"/>
      <c r="AT61" s="186"/>
      <c r="AU61" s="11"/>
      <c r="AV61" s="186">
        <f t="shared" si="8"/>
        <v>0</v>
      </c>
      <c r="AW61" s="186"/>
      <c r="AX61" s="186"/>
      <c r="AY61" s="11"/>
      <c r="AZ61" s="135"/>
      <c r="BA61" s="11"/>
      <c r="BB61" s="39"/>
      <c r="BC61" s="11"/>
      <c r="BE61" s="185"/>
      <c r="BF61" s="11"/>
      <c r="BG61" s="73"/>
      <c r="BH61" s="11"/>
      <c r="BI61" s="11"/>
      <c r="BJ61" s="11"/>
      <c r="BK61" s="186">
        <f t="shared" si="13"/>
        <v>0</v>
      </c>
      <c r="BL61" s="11"/>
      <c r="BM61" s="135"/>
      <c r="BN61" s="11"/>
      <c r="BO61" s="39"/>
      <c r="BP61" s="11"/>
      <c r="BR61" s="185"/>
      <c r="BS61" s="39"/>
      <c r="BT61" s="186"/>
      <c r="BU61" s="39"/>
      <c r="BV61" s="186">
        <f t="shared" si="10"/>
        <v>0</v>
      </c>
      <c r="BW61" s="39"/>
      <c r="BX61" s="39"/>
      <c r="BY61" s="39"/>
      <c r="BZ61" s="135"/>
      <c r="CA61" s="39"/>
      <c r="CB61" s="39"/>
      <c r="CC61" s="39"/>
      <c r="CE61" s="185"/>
      <c r="CF61" s="185"/>
      <c r="CG61" s="185"/>
      <c r="CH61" s="11"/>
      <c r="CI61" s="186"/>
      <c r="CJ61" s="11"/>
      <c r="CK61" s="186">
        <f t="shared" si="14"/>
        <v>0</v>
      </c>
      <c r="CL61" s="11"/>
      <c r="CM61" s="135"/>
      <c r="CN61" s="11"/>
      <c r="CO61" s="39"/>
      <c r="CP61" s="11"/>
      <c r="CR61" s="185"/>
      <c r="CS61" s="11"/>
      <c r="CT61" s="186"/>
      <c r="CU61" s="11"/>
      <c r="CV61" s="186">
        <f t="shared" si="17"/>
        <v>0</v>
      </c>
      <c r="CW61" s="186"/>
      <c r="CX61" s="186"/>
      <c r="CY61" s="11"/>
      <c r="CZ61" s="135"/>
      <c r="DA61" s="11"/>
      <c r="DB61" s="39"/>
      <c r="DC61" s="11"/>
      <c r="DE61" s="185"/>
      <c r="DF61" s="39"/>
      <c r="DG61" s="186"/>
      <c r="DH61" s="39"/>
      <c r="DI61" s="186">
        <f t="shared" si="7"/>
        <v>0</v>
      </c>
      <c r="DJ61" s="39"/>
      <c r="DK61" s="186"/>
      <c r="DL61" s="138"/>
      <c r="DM61" s="135"/>
      <c r="DN61" s="89"/>
      <c r="DO61" s="73"/>
      <c r="DP61" s="73"/>
    </row>
    <row r="62" spans="5:120" ht="15" customHeight="1" x14ac:dyDescent="0.35">
      <c r="E62" s="73"/>
      <c r="F62" s="73"/>
      <c r="G62" s="73"/>
      <c r="H62" s="73"/>
      <c r="I62" s="186">
        <f t="shared" si="19"/>
        <v>0</v>
      </c>
      <c r="J62" s="73"/>
      <c r="K62" s="73"/>
      <c r="L62" s="73"/>
      <c r="M62" s="135"/>
      <c r="N62" s="73"/>
      <c r="O62" s="73"/>
      <c r="P62" s="73"/>
      <c r="Q62" s="15"/>
      <c r="R62" s="185"/>
      <c r="S62" s="11"/>
      <c r="T62" s="186"/>
      <c r="U62" s="11"/>
      <c r="V62" s="186">
        <f t="shared" si="18"/>
        <v>0</v>
      </c>
      <c r="W62" s="186"/>
      <c r="X62" s="186"/>
      <c r="Y62" s="11"/>
      <c r="Z62" s="135"/>
      <c r="AA62" s="11"/>
      <c r="AB62" s="39"/>
      <c r="AC62" s="11"/>
      <c r="AE62" s="185"/>
      <c r="AF62" s="11"/>
      <c r="AG62" s="186"/>
      <c r="AH62" s="11"/>
      <c r="AI62" s="186">
        <f t="shared" si="9"/>
        <v>0</v>
      </c>
      <c r="AJ62" s="11"/>
      <c r="AK62" s="11"/>
      <c r="AL62" s="11"/>
      <c r="AM62" s="135"/>
      <c r="AN62" s="11"/>
      <c r="AO62" s="39"/>
      <c r="AP62" s="11"/>
      <c r="AR62" s="185"/>
      <c r="AS62" s="11"/>
      <c r="AT62" s="186"/>
      <c r="AU62" s="11"/>
      <c r="AV62" s="186">
        <f t="shared" si="8"/>
        <v>0</v>
      </c>
      <c r="AW62" s="186"/>
      <c r="AX62" s="186"/>
      <c r="AY62" s="11"/>
      <c r="AZ62" s="135"/>
      <c r="BA62" s="11"/>
      <c r="BB62" s="39"/>
      <c r="BC62" s="11"/>
      <c r="BE62" s="185"/>
      <c r="BF62" s="11"/>
      <c r="BG62" s="73"/>
      <c r="BH62" s="11"/>
      <c r="BI62" s="11"/>
      <c r="BJ62" s="11"/>
      <c r="BK62" s="186">
        <f t="shared" si="13"/>
        <v>0</v>
      </c>
      <c r="BL62" s="11"/>
      <c r="BM62" s="135"/>
      <c r="BN62" s="11"/>
      <c r="BO62" s="39"/>
      <c r="BP62" s="11"/>
      <c r="BR62" s="185"/>
      <c r="BS62" s="39"/>
      <c r="BT62" s="186"/>
      <c r="BU62" s="39"/>
      <c r="BV62" s="186">
        <f t="shared" si="10"/>
        <v>0</v>
      </c>
      <c r="BW62" s="39"/>
      <c r="BX62" s="39"/>
      <c r="BY62" s="39"/>
      <c r="BZ62" s="135"/>
      <c r="CA62" s="39"/>
      <c r="CB62" s="39"/>
      <c r="CC62" s="39"/>
      <c r="CE62" s="185"/>
      <c r="CF62" s="185"/>
      <c r="CG62" s="185"/>
      <c r="CH62" s="11"/>
      <c r="CI62" s="186"/>
      <c r="CJ62" s="11"/>
      <c r="CK62" s="186">
        <f t="shared" si="14"/>
        <v>0</v>
      </c>
      <c r="CL62" s="11"/>
      <c r="CM62" s="135"/>
      <c r="CN62" s="11"/>
      <c r="CO62" s="39"/>
      <c r="CP62" s="11"/>
      <c r="CR62" s="185"/>
      <c r="CS62" s="11"/>
      <c r="CT62" s="186"/>
      <c r="CU62" s="11"/>
      <c r="CV62" s="186">
        <f t="shared" si="17"/>
        <v>0</v>
      </c>
      <c r="CW62" s="186"/>
      <c r="CX62" s="186"/>
      <c r="CY62" s="11"/>
      <c r="CZ62" s="135"/>
      <c r="DA62" s="11"/>
      <c r="DB62" s="39"/>
      <c r="DC62" s="11"/>
      <c r="DE62" s="185"/>
      <c r="DF62" s="39"/>
      <c r="DG62" s="186"/>
      <c r="DH62" s="39"/>
      <c r="DI62" s="186">
        <f t="shared" si="7"/>
        <v>0</v>
      </c>
      <c r="DJ62" s="39"/>
      <c r="DK62" s="186"/>
      <c r="DL62" s="138"/>
      <c r="DM62" s="135"/>
      <c r="DN62" s="89"/>
      <c r="DO62" s="73"/>
      <c r="DP62" s="73"/>
    </row>
    <row r="63" spans="5:120" ht="19.5" customHeight="1" x14ac:dyDescent="0.35">
      <c r="E63" s="73"/>
      <c r="F63" s="73"/>
      <c r="G63" s="73"/>
      <c r="H63" s="73"/>
      <c r="I63" s="186">
        <f t="shared" si="19"/>
        <v>0</v>
      </c>
      <c r="J63" s="73"/>
      <c r="K63" s="73"/>
      <c r="L63" s="73"/>
      <c r="M63" s="135"/>
      <c r="N63" s="73"/>
      <c r="O63" s="73"/>
      <c r="P63" s="73"/>
      <c r="Q63" s="15"/>
      <c r="R63" s="185"/>
      <c r="S63" s="11"/>
      <c r="T63" s="186"/>
      <c r="U63" s="11"/>
      <c r="V63" s="186">
        <f t="shared" si="18"/>
        <v>0</v>
      </c>
      <c r="W63" s="186"/>
      <c r="X63" s="186"/>
      <c r="Y63" s="11"/>
      <c r="Z63" s="135"/>
      <c r="AA63" s="11"/>
      <c r="AB63" s="39"/>
      <c r="AC63" s="11"/>
      <c r="AE63" s="185"/>
      <c r="AF63" s="11"/>
      <c r="AG63" s="186"/>
      <c r="AH63" s="11"/>
      <c r="AI63" s="186">
        <f t="shared" si="9"/>
        <v>0</v>
      </c>
      <c r="AJ63" s="11"/>
      <c r="AK63" s="11"/>
      <c r="AL63" s="11"/>
      <c r="AM63" s="135"/>
      <c r="AN63" s="11"/>
      <c r="AO63" s="39"/>
      <c r="AP63" s="11"/>
      <c r="AR63" s="185"/>
      <c r="AS63" s="11"/>
      <c r="AT63" s="186"/>
      <c r="AU63" s="11"/>
      <c r="AV63" s="186">
        <f t="shared" si="8"/>
        <v>0</v>
      </c>
      <c r="AW63" s="186"/>
      <c r="AX63" s="186"/>
      <c r="AY63" s="11"/>
      <c r="AZ63" s="135"/>
      <c r="BA63" s="11"/>
      <c r="BB63" s="39"/>
      <c r="BC63" s="11"/>
      <c r="BE63" s="185"/>
      <c r="BF63" s="11"/>
      <c r="BG63" s="73"/>
      <c r="BH63" s="11"/>
      <c r="BI63" s="11"/>
      <c r="BJ63" s="11"/>
      <c r="BK63" s="186">
        <f t="shared" si="13"/>
        <v>0</v>
      </c>
      <c r="BL63" s="11"/>
      <c r="BM63" s="135"/>
      <c r="BN63" s="11"/>
      <c r="BO63" s="39"/>
      <c r="BP63" s="11"/>
      <c r="BR63" s="185"/>
      <c r="BS63" s="39"/>
      <c r="BT63" s="186"/>
      <c r="BU63" s="39"/>
      <c r="BV63" s="186">
        <f t="shared" si="10"/>
        <v>0</v>
      </c>
      <c r="BW63" s="39"/>
      <c r="BX63" s="39"/>
      <c r="BY63" s="39"/>
      <c r="BZ63" s="135"/>
      <c r="CA63" s="39"/>
      <c r="CB63" s="39"/>
      <c r="CC63" s="39"/>
      <c r="CE63" s="185"/>
      <c r="CF63" s="185"/>
      <c r="CG63" s="185"/>
      <c r="CH63" s="11"/>
      <c r="CI63" s="186"/>
      <c r="CJ63" s="11"/>
      <c r="CK63" s="186">
        <f t="shared" si="14"/>
        <v>0</v>
      </c>
      <c r="CL63" s="11"/>
      <c r="CM63" s="135"/>
      <c r="CN63" s="11"/>
      <c r="CO63" s="39"/>
      <c r="CP63" s="11"/>
      <c r="CR63" s="185"/>
      <c r="CS63" s="11"/>
      <c r="CT63" s="186"/>
      <c r="CU63" s="11"/>
      <c r="CV63" s="186">
        <f t="shared" si="17"/>
        <v>0</v>
      </c>
      <c r="CW63" s="186"/>
      <c r="CX63" s="186"/>
      <c r="CY63" s="11"/>
      <c r="CZ63" s="135"/>
      <c r="DA63" s="11"/>
      <c r="DB63" s="39"/>
      <c r="DC63" s="11"/>
      <c r="DE63" s="185"/>
      <c r="DF63" s="39"/>
      <c r="DG63" s="186"/>
      <c r="DH63" s="39"/>
      <c r="DI63" s="186">
        <f t="shared" si="7"/>
        <v>0</v>
      </c>
      <c r="DJ63" s="39"/>
      <c r="DK63" s="186"/>
      <c r="DL63" s="138"/>
      <c r="DM63" s="135"/>
      <c r="DN63" s="89"/>
      <c r="DO63" s="73"/>
      <c r="DP63" s="73"/>
    </row>
    <row r="64" spans="5:120" ht="16.5" customHeight="1" x14ac:dyDescent="0.35">
      <c r="E64" s="73"/>
      <c r="F64" s="73"/>
      <c r="G64" s="73"/>
      <c r="H64" s="73"/>
      <c r="I64" s="186">
        <f t="shared" si="19"/>
        <v>0</v>
      </c>
      <c r="J64" s="73"/>
      <c r="K64" s="73"/>
      <c r="L64" s="73"/>
      <c r="M64" s="135"/>
      <c r="N64" s="73"/>
      <c r="O64" s="73"/>
      <c r="P64" s="73"/>
      <c r="Q64" s="15"/>
      <c r="R64" s="185"/>
      <c r="S64" s="11"/>
      <c r="T64" s="186"/>
      <c r="U64" s="11"/>
      <c r="V64" s="186">
        <f t="shared" si="18"/>
        <v>0</v>
      </c>
      <c r="W64" s="186"/>
      <c r="X64" s="186"/>
      <c r="Y64" s="11"/>
      <c r="Z64" s="135"/>
      <c r="AA64" s="11"/>
      <c r="AB64" s="39"/>
      <c r="AC64" s="11"/>
      <c r="AE64" s="185"/>
      <c r="AF64" s="11"/>
      <c r="AG64" s="186"/>
      <c r="AH64" s="11"/>
      <c r="AI64" s="186">
        <f t="shared" si="9"/>
        <v>0</v>
      </c>
      <c r="AJ64" s="11"/>
      <c r="AK64" s="11"/>
      <c r="AL64" s="11"/>
      <c r="AM64" s="135"/>
      <c r="AN64" s="11"/>
      <c r="AO64" s="39"/>
      <c r="AP64" s="11"/>
      <c r="AR64" s="185"/>
      <c r="AS64" s="11"/>
      <c r="AT64" s="186"/>
      <c r="AU64" s="11"/>
      <c r="AV64" s="186">
        <f t="shared" si="8"/>
        <v>0</v>
      </c>
      <c r="AW64" s="186"/>
      <c r="AX64" s="186"/>
      <c r="AY64" s="11"/>
      <c r="AZ64" s="135"/>
      <c r="BA64" s="11"/>
      <c r="BB64" s="39"/>
      <c r="BC64" s="11"/>
      <c r="BE64" s="185"/>
      <c r="BF64" s="11"/>
      <c r="BG64" s="73"/>
      <c r="BH64" s="11"/>
      <c r="BI64" s="11"/>
      <c r="BJ64" s="11"/>
      <c r="BK64" s="186">
        <f t="shared" si="13"/>
        <v>0</v>
      </c>
      <c r="BL64" s="11"/>
      <c r="BM64" s="135"/>
      <c r="BN64" s="11"/>
      <c r="BO64" s="39"/>
      <c r="BP64" s="11"/>
      <c r="BR64" s="185"/>
      <c r="BS64" s="39"/>
      <c r="BT64" s="186"/>
      <c r="BU64" s="39"/>
      <c r="BV64" s="186">
        <f t="shared" si="10"/>
        <v>0</v>
      </c>
      <c r="BW64" s="39"/>
      <c r="BX64" s="39"/>
      <c r="BY64" s="39"/>
      <c r="BZ64" s="135"/>
      <c r="CA64" s="39"/>
      <c r="CB64" s="39"/>
      <c r="CC64" s="39"/>
      <c r="CE64" s="185"/>
      <c r="CF64" s="185"/>
      <c r="CG64" s="185"/>
      <c r="CH64" s="11"/>
      <c r="CI64" s="186"/>
      <c r="CJ64" s="11"/>
      <c r="CK64" s="186">
        <f t="shared" si="14"/>
        <v>0</v>
      </c>
      <c r="CL64" s="11"/>
      <c r="CM64" s="135"/>
      <c r="CN64" s="11"/>
      <c r="CO64" s="39"/>
      <c r="CP64" s="11"/>
      <c r="CR64" s="185"/>
      <c r="CS64" s="11"/>
      <c r="CT64" s="186"/>
      <c r="CU64" s="11"/>
      <c r="CV64" s="186">
        <f t="shared" si="17"/>
        <v>0</v>
      </c>
      <c r="CW64" s="186"/>
      <c r="CX64" s="186"/>
      <c r="CY64" s="11"/>
      <c r="CZ64" s="135"/>
      <c r="DA64" s="11"/>
      <c r="DB64" s="39"/>
      <c r="DC64" s="11"/>
      <c r="DE64" s="185"/>
      <c r="DF64" s="39"/>
      <c r="DG64" s="186"/>
      <c r="DH64" s="39"/>
      <c r="DI64" s="186">
        <f t="shared" si="7"/>
        <v>0</v>
      </c>
      <c r="DJ64" s="39"/>
      <c r="DK64" s="186"/>
      <c r="DL64" s="138"/>
      <c r="DM64" s="135"/>
      <c r="DN64" s="89"/>
      <c r="DO64" s="73"/>
      <c r="DP64" s="73"/>
    </row>
    <row r="65" spans="5:120" ht="15.75" customHeight="1" x14ac:dyDescent="0.35">
      <c r="E65" s="73"/>
      <c r="F65" s="73"/>
      <c r="G65" s="73"/>
      <c r="H65" s="73"/>
      <c r="I65" s="186">
        <f t="shared" si="19"/>
        <v>0</v>
      </c>
      <c r="J65" s="73"/>
      <c r="K65" s="73"/>
      <c r="L65" s="73"/>
      <c r="M65" s="135"/>
      <c r="N65" s="73"/>
      <c r="O65" s="73"/>
      <c r="P65" s="73"/>
      <c r="Q65" s="15"/>
      <c r="R65" s="185"/>
      <c r="S65" s="11"/>
      <c r="T65" s="186"/>
      <c r="U65" s="11"/>
      <c r="V65" s="186">
        <f t="shared" si="18"/>
        <v>0</v>
      </c>
      <c r="W65" s="186"/>
      <c r="X65" s="186"/>
      <c r="Y65" s="11"/>
      <c r="Z65" s="135"/>
      <c r="AA65" s="11"/>
      <c r="AB65" s="39"/>
      <c r="AC65" s="11"/>
      <c r="AE65" s="185"/>
      <c r="AF65" s="11"/>
      <c r="AG65" s="186"/>
      <c r="AH65" s="11"/>
      <c r="AI65" s="186">
        <f t="shared" si="9"/>
        <v>0</v>
      </c>
      <c r="AJ65" s="11"/>
      <c r="AK65" s="11"/>
      <c r="AL65" s="11"/>
      <c r="AM65" s="135"/>
      <c r="AN65" s="11"/>
      <c r="AO65" s="39"/>
      <c r="AP65" s="11"/>
      <c r="AR65" s="185"/>
      <c r="AS65" s="11"/>
      <c r="AT65" s="186"/>
      <c r="AU65" s="11"/>
      <c r="AV65" s="186">
        <f t="shared" si="8"/>
        <v>0</v>
      </c>
      <c r="AW65" s="186"/>
      <c r="AX65" s="186"/>
      <c r="AY65" s="11"/>
      <c r="AZ65" s="135"/>
      <c r="BA65" s="11"/>
      <c r="BB65" s="39"/>
      <c r="BC65" s="11"/>
      <c r="BE65" s="185"/>
      <c r="BF65" s="11"/>
      <c r="BG65" s="73"/>
      <c r="BH65" s="11"/>
      <c r="BI65" s="11"/>
      <c r="BJ65" s="11"/>
      <c r="BK65" s="186">
        <f t="shared" si="13"/>
        <v>0</v>
      </c>
      <c r="BL65" s="11"/>
      <c r="BM65" s="135"/>
      <c r="BN65" s="11"/>
      <c r="BO65" s="39"/>
      <c r="BP65" s="11"/>
      <c r="BR65" s="185"/>
      <c r="BS65" s="39"/>
      <c r="BT65" s="186"/>
      <c r="BU65" s="39"/>
      <c r="BV65" s="186">
        <f t="shared" si="10"/>
        <v>0</v>
      </c>
      <c r="BW65" s="39"/>
      <c r="BX65" s="39"/>
      <c r="BY65" s="39"/>
      <c r="BZ65" s="135"/>
      <c r="CA65" s="39"/>
      <c r="CB65" s="39"/>
      <c r="CC65" s="39"/>
      <c r="CE65" s="185"/>
      <c r="CF65" s="185"/>
      <c r="CG65" s="185"/>
      <c r="CH65" s="11"/>
      <c r="CI65" s="186"/>
      <c r="CJ65" s="11"/>
      <c r="CK65" s="186">
        <f t="shared" si="14"/>
        <v>0</v>
      </c>
      <c r="CL65" s="11"/>
      <c r="CM65" s="135"/>
      <c r="CN65" s="11"/>
      <c r="CO65" s="39"/>
      <c r="CP65" s="11"/>
      <c r="CR65" s="185"/>
      <c r="CS65" s="11"/>
      <c r="CT65" s="186"/>
      <c r="CU65" s="11"/>
      <c r="CV65" s="186">
        <f t="shared" si="17"/>
        <v>0</v>
      </c>
      <c r="CW65" s="186"/>
      <c r="CX65" s="186"/>
      <c r="CY65" s="11"/>
      <c r="CZ65" s="135"/>
      <c r="DA65" s="11"/>
      <c r="DB65" s="39"/>
      <c r="DC65" s="11"/>
      <c r="DE65" s="185"/>
      <c r="DF65" s="39"/>
      <c r="DG65" s="186"/>
      <c r="DH65" s="39"/>
      <c r="DI65" s="186">
        <f t="shared" si="7"/>
        <v>0</v>
      </c>
      <c r="DJ65" s="39"/>
      <c r="DK65" s="186"/>
      <c r="DL65" s="138"/>
      <c r="DM65" s="135"/>
      <c r="DN65" s="89"/>
      <c r="DO65" s="73"/>
      <c r="DP65" s="73"/>
    </row>
    <row r="66" spans="5:120" x14ac:dyDescent="0.35">
      <c r="E66" s="73"/>
      <c r="F66" s="73"/>
      <c r="G66" s="73"/>
      <c r="H66" s="73"/>
      <c r="I66" s="186">
        <f t="shared" si="19"/>
        <v>0</v>
      </c>
      <c r="J66" s="73"/>
      <c r="K66" s="73"/>
      <c r="L66" s="73"/>
      <c r="M66" s="135"/>
      <c r="N66" s="73"/>
      <c r="O66" s="73"/>
      <c r="P66" s="73"/>
      <c r="Q66" s="15"/>
      <c r="R66" s="185"/>
      <c r="S66" s="11"/>
      <c r="T66" s="186"/>
      <c r="U66" s="11"/>
      <c r="V66" s="186">
        <f t="shared" si="18"/>
        <v>0</v>
      </c>
      <c r="W66" s="186"/>
      <c r="X66" s="186"/>
      <c r="Y66" s="11"/>
      <c r="Z66" s="135"/>
      <c r="AA66" s="11"/>
      <c r="AB66" s="39"/>
      <c r="AC66" s="11"/>
      <c r="AE66" s="185"/>
      <c r="AF66" s="11"/>
      <c r="AG66" s="186"/>
      <c r="AH66" s="11"/>
      <c r="AI66" s="186">
        <f t="shared" si="9"/>
        <v>0</v>
      </c>
      <c r="AJ66" s="11"/>
      <c r="AK66" s="11"/>
      <c r="AL66" s="11"/>
      <c r="AM66" s="135"/>
      <c r="AN66" s="11"/>
      <c r="AO66" s="39"/>
      <c r="AP66" s="11"/>
      <c r="AR66" s="185"/>
      <c r="AS66" s="11"/>
      <c r="AT66" s="186"/>
      <c r="AU66" s="11"/>
      <c r="AV66" s="186">
        <f t="shared" si="8"/>
        <v>0</v>
      </c>
      <c r="AW66" s="186"/>
      <c r="AX66" s="186"/>
      <c r="AY66" s="11"/>
      <c r="AZ66" s="135"/>
      <c r="BA66" s="11"/>
      <c r="BB66" s="39"/>
      <c r="BC66" s="11"/>
      <c r="BE66" s="185"/>
      <c r="BF66" s="11"/>
      <c r="BG66" s="73"/>
      <c r="BH66" s="11"/>
      <c r="BI66" s="11"/>
      <c r="BJ66" s="11"/>
      <c r="BK66" s="186">
        <f t="shared" si="13"/>
        <v>0</v>
      </c>
      <c r="BL66" s="11"/>
      <c r="BM66" s="135"/>
      <c r="BN66" s="11"/>
      <c r="BO66" s="39"/>
      <c r="BP66" s="11"/>
      <c r="BR66" s="185"/>
      <c r="BS66" s="39"/>
      <c r="BT66" s="186"/>
      <c r="BU66" s="39"/>
      <c r="BV66" s="186">
        <f t="shared" si="10"/>
        <v>0</v>
      </c>
      <c r="BW66" s="39"/>
      <c r="BX66" s="39"/>
      <c r="BY66" s="39"/>
      <c r="BZ66" s="135"/>
      <c r="CA66" s="39"/>
      <c r="CB66" s="39"/>
      <c r="CC66" s="39"/>
      <c r="CE66" s="185"/>
      <c r="CF66" s="185"/>
      <c r="CG66" s="185"/>
      <c r="CH66" s="11"/>
      <c r="CI66" s="186"/>
      <c r="CJ66" s="11"/>
      <c r="CK66" s="186">
        <f t="shared" si="14"/>
        <v>0</v>
      </c>
      <c r="CL66" s="11"/>
      <c r="CM66" s="135"/>
      <c r="CN66" s="11"/>
      <c r="CO66" s="39"/>
      <c r="CP66" s="11"/>
      <c r="CR66" s="185"/>
      <c r="CS66" s="11"/>
      <c r="CT66" s="186"/>
      <c r="CU66" s="11"/>
      <c r="CV66" s="186">
        <f t="shared" si="17"/>
        <v>0</v>
      </c>
      <c r="CW66" s="186"/>
      <c r="CX66" s="186"/>
      <c r="CY66" s="11"/>
      <c r="CZ66" s="135"/>
      <c r="DA66" s="11"/>
      <c r="DB66" s="39"/>
      <c r="DC66" s="11"/>
      <c r="DE66" s="185"/>
      <c r="DF66" s="39"/>
      <c r="DG66" s="186"/>
      <c r="DH66" s="39"/>
      <c r="DI66" s="186">
        <f t="shared" si="7"/>
        <v>0</v>
      </c>
      <c r="DJ66" s="39"/>
      <c r="DK66" s="186"/>
      <c r="DL66" s="138"/>
      <c r="DM66" s="135"/>
      <c r="DN66" s="89"/>
      <c r="DO66" s="73"/>
      <c r="DP66" s="73"/>
    </row>
    <row r="67" spans="5:120" x14ac:dyDescent="0.35">
      <c r="E67" s="73"/>
      <c r="F67" s="73"/>
      <c r="G67" s="73"/>
      <c r="H67" s="73"/>
      <c r="I67" s="186">
        <f t="shared" si="19"/>
        <v>0</v>
      </c>
      <c r="J67" s="73"/>
      <c r="K67" s="73"/>
      <c r="L67" s="73"/>
      <c r="M67" s="135"/>
      <c r="N67" s="73"/>
      <c r="O67" s="73"/>
      <c r="P67" s="73"/>
      <c r="Q67" s="15"/>
      <c r="R67" s="185"/>
      <c r="S67" s="11"/>
      <c r="T67" s="186"/>
      <c r="U67" s="11"/>
      <c r="V67" s="186">
        <f t="shared" si="18"/>
        <v>0</v>
      </c>
      <c r="W67" s="186"/>
      <c r="X67" s="186"/>
      <c r="Y67" s="11"/>
      <c r="Z67" s="135"/>
      <c r="AA67" s="11"/>
      <c r="AB67" s="39"/>
      <c r="AC67" s="11"/>
      <c r="AE67" s="185"/>
      <c r="AF67" s="11"/>
      <c r="AG67" s="186"/>
      <c r="AH67" s="11"/>
      <c r="AI67" s="186">
        <f t="shared" si="9"/>
        <v>0</v>
      </c>
      <c r="AJ67" s="11"/>
      <c r="AK67" s="11"/>
      <c r="AL67" s="11"/>
      <c r="AM67" s="135"/>
      <c r="AN67" s="11"/>
      <c r="AO67" s="39"/>
      <c r="AP67" s="11"/>
      <c r="AR67" s="185"/>
      <c r="AS67" s="11"/>
      <c r="AT67" s="186"/>
      <c r="AU67" s="11"/>
      <c r="AV67" s="186">
        <f t="shared" si="8"/>
        <v>0</v>
      </c>
      <c r="AW67" s="186"/>
      <c r="AX67" s="186"/>
      <c r="AY67" s="11"/>
      <c r="AZ67" s="135"/>
      <c r="BA67" s="11"/>
      <c r="BB67" s="39"/>
      <c r="BC67" s="11"/>
      <c r="BE67" s="185"/>
      <c r="BF67" s="11"/>
      <c r="BG67" s="73"/>
      <c r="BH67" s="11"/>
      <c r="BI67" s="11"/>
      <c r="BJ67" s="11"/>
      <c r="BK67" s="186">
        <f t="shared" si="13"/>
        <v>0</v>
      </c>
      <c r="BL67" s="11"/>
      <c r="BM67" s="135"/>
      <c r="BN67" s="11"/>
      <c r="BO67" s="39"/>
      <c r="BP67" s="11"/>
      <c r="BR67" s="185"/>
      <c r="BS67" s="39"/>
      <c r="BT67" s="186"/>
      <c r="BU67" s="39"/>
      <c r="BV67" s="186">
        <f t="shared" si="10"/>
        <v>0</v>
      </c>
      <c r="BW67" s="39"/>
      <c r="BX67" s="39"/>
      <c r="BY67" s="39"/>
      <c r="BZ67" s="135"/>
      <c r="CA67" s="39"/>
      <c r="CB67" s="39"/>
      <c r="CC67" s="39"/>
      <c r="CE67" s="185"/>
      <c r="CF67" s="185"/>
      <c r="CG67" s="185"/>
      <c r="CH67" s="11"/>
      <c r="CI67" s="186"/>
      <c r="CJ67" s="11"/>
      <c r="CK67" s="186">
        <f t="shared" si="14"/>
        <v>0</v>
      </c>
      <c r="CL67" s="11"/>
      <c r="CM67" s="135"/>
      <c r="CN67" s="11"/>
      <c r="CO67" s="39"/>
      <c r="CP67" s="11"/>
      <c r="CR67" s="185"/>
      <c r="CS67" s="11"/>
      <c r="CT67" s="186"/>
      <c r="CU67" s="11"/>
      <c r="CV67" s="186">
        <f t="shared" si="17"/>
        <v>0</v>
      </c>
      <c r="CW67" s="186"/>
      <c r="CX67" s="186"/>
      <c r="CY67" s="11"/>
      <c r="CZ67" s="135"/>
      <c r="DA67" s="11"/>
      <c r="DB67" s="39"/>
      <c r="DC67" s="11"/>
      <c r="DE67" s="185"/>
      <c r="DF67" s="39"/>
      <c r="DG67" s="186"/>
      <c r="DH67" s="39"/>
      <c r="DI67" s="186">
        <f t="shared" si="7"/>
        <v>0</v>
      </c>
      <c r="DJ67" s="39"/>
      <c r="DK67" s="186"/>
      <c r="DL67" s="138"/>
      <c r="DM67" s="135"/>
      <c r="DN67" s="89"/>
      <c r="DO67" s="73"/>
      <c r="DP67" s="73"/>
    </row>
    <row r="68" spans="5:120" x14ac:dyDescent="0.35">
      <c r="E68" s="73"/>
      <c r="F68" s="73"/>
      <c r="G68" s="73"/>
      <c r="H68" s="73"/>
      <c r="I68" s="186">
        <f t="shared" si="19"/>
        <v>0</v>
      </c>
      <c r="J68" s="73"/>
      <c r="K68" s="73"/>
      <c r="L68" s="73"/>
      <c r="M68" s="135"/>
      <c r="N68" s="73"/>
      <c r="O68" s="73"/>
      <c r="P68" s="73"/>
      <c r="Q68" s="15"/>
      <c r="R68" s="185"/>
      <c r="S68" s="11"/>
      <c r="T68" s="186"/>
      <c r="U68" s="11"/>
      <c r="V68" s="186">
        <f t="shared" si="18"/>
        <v>0</v>
      </c>
      <c r="W68" s="186"/>
      <c r="X68" s="186"/>
      <c r="Y68" s="11"/>
      <c r="Z68" s="135"/>
      <c r="AA68" s="11"/>
      <c r="AB68" s="39"/>
      <c r="AC68" s="11"/>
      <c r="AE68" s="185"/>
      <c r="AF68" s="11"/>
      <c r="AG68" s="186"/>
      <c r="AH68" s="11"/>
      <c r="AI68" s="186">
        <f t="shared" ref="AI68:AI80" si="20">AG68+AH68</f>
        <v>0</v>
      </c>
      <c r="AJ68" s="11"/>
      <c r="AK68" s="11"/>
      <c r="AL68" s="11"/>
      <c r="AM68" s="135"/>
      <c r="AN68" s="11"/>
      <c r="AO68" s="39"/>
      <c r="AP68" s="11"/>
      <c r="AR68" s="185"/>
      <c r="AS68" s="11"/>
      <c r="AT68" s="186"/>
      <c r="AU68" s="11"/>
      <c r="AV68" s="186">
        <f t="shared" ref="AV68:AV77" si="21">AT68+AU68</f>
        <v>0</v>
      </c>
      <c r="AW68" s="186"/>
      <c r="AX68" s="186"/>
      <c r="AY68" s="11"/>
      <c r="AZ68" s="135"/>
      <c r="BA68" s="11"/>
      <c r="BB68" s="39"/>
      <c r="BC68" s="11"/>
      <c r="BE68" s="185"/>
      <c r="BF68" s="11"/>
      <c r="BG68" s="73"/>
      <c r="BH68" s="11"/>
      <c r="BI68" s="11"/>
      <c r="BJ68" s="11"/>
      <c r="BK68" s="186">
        <f t="shared" ref="BK68:BK77" si="22">BG68+BH68</f>
        <v>0</v>
      </c>
      <c r="BL68" s="11"/>
      <c r="BM68" s="135"/>
      <c r="BN68" s="11"/>
      <c r="BO68" s="39"/>
      <c r="BP68" s="11"/>
      <c r="BR68" s="185"/>
      <c r="BS68" s="39"/>
      <c r="BT68" s="186"/>
      <c r="BU68" s="39"/>
      <c r="BV68" s="186">
        <f t="shared" ref="BV68:BV80" si="23">BT68+BU68</f>
        <v>0</v>
      </c>
      <c r="BW68" s="39"/>
      <c r="BX68" s="39"/>
      <c r="BY68" s="39"/>
      <c r="BZ68" s="135"/>
      <c r="CA68" s="39"/>
      <c r="CB68" s="39"/>
      <c r="CC68" s="39"/>
      <c r="CE68" s="185"/>
      <c r="CF68" s="185"/>
      <c r="CG68" s="185"/>
      <c r="CH68" s="11"/>
      <c r="CI68" s="186"/>
      <c r="CJ68" s="11"/>
      <c r="CK68" s="186">
        <f t="shared" ref="CK68:CK80" si="24">CI68+CJ68</f>
        <v>0</v>
      </c>
      <c r="CL68" s="11"/>
      <c r="CM68" s="135"/>
      <c r="CN68" s="11"/>
      <c r="CO68" s="39"/>
      <c r="CP68" s="11"/>
      <c r="CR68" s="185"/>
      <c r="CS68" s="11"/>
      <c r="CT68" s="186"/>
      <c r="CU68" s="11"/>
      <c r="CV68" s="186">
        <f t="shared" si="17"/>
        <v>0</v>
      </c>
      <c r="CW68" s="186"/>
      <c r="CX68" s="186"/>
      <c r="CY68" s="11"/>
      <c r="CZ68" s="135"/>
      <c r="DA68" s="11"/>
      <c r="DB68" s="39"/>
      <c r="DC68" s="11"/>
      <c r="DE68" s="185"/>
      <c r="DF68" s="39"/>
      <c r="DG68" s="186"/>
      <c r="DH68" s="39"/>
      <c r="DI68" s="186">
        <f t="shared" si="7"/>
        <v>0</v>
      </c>
      <c r="DJ68" s="39"/>
      <c r="DK68" s="186"/>
      <c r="DL68" s="138"/>
      <c r="DM68" s="135"/>
      <c r="DN68" s="89"/>
      <c r="DO68" s="73"/>
      <c r="DP68" s="73"/>
    </row>
    <row r="69" spans="5:120" x14ac:dyDescent="0.35">
      <c r="E69" s="185"/>
      <c r="F69" s="11"/>
      <c r="G69" s="11"/>
      <c r="H69" s="11"/>
      <c r="I69" s="186">
        <f t="shared" ref="I69:I79" si="25">G69+H69</f>
        <v>0</v>
      </c>
      <c r="J69" s="11"/>
      <c r="K69" s="11"/>
      <c r="L69" s="11"/>
      <c r="M69" s="135"/>
      <c r="N69" s="11"/>
      <c r="O69" s="39"/>
      <c r="P69" s="69"/>
      <c r="Q69" s="15"/>
      <c r="R69" s="185"/>
      <c r="S69" s="11"/>
      <c r="T69" s="186"/>
      <c r="U69" s="11"/>
      <c r="V69" s="186">
        <f t="shared" si="18"/>
        <v>0</v>
      </c>
      <c r="W69" s="186"/>
      <c r="X69" s="186"/>
      <c r="Y69" s="11"/>
      <c r="Z69" s="135"/>
      <c r="AA69" s="11"/>
      <c r="AB69" s="39"/>
      <c r="AC69" s="11"/>
      <c r="AE69" s="185"/>
      <c r="AF69" s="11"/>
      <c r="AG69" s="186"/>
      <c r="AH69" s="11"/>
      <c r="AI69" s="186">
        <f t="shared" si="20"/>
        <v>0</v>
      </c>
      <c r="AJ69" s="11"/>
      <c r="AK69" s="11"/>
      <c r="AL69" s="11"/>
      <c r="AM69" s="135"/>
      <c r="AN69" s="11"/>
      <c r="AO69" s="39"/>
      <c r="AP69" s="11"/>
      <c r="AR69" s="185"/>
      <c r="AS69" s="11"/>
      <c r="AT69" s="186"/>
      <c r="AU69" s="11"/>
      <c r="AV69" s="186">
        <f t="shared" si="21"/>
        <v>0</v>
      </c>
      <c r="AW69" s="186"/>
      <c r="AX69" s="186"/>
      <c r="AY69" s="11"/>
      <c r="AZ69" s="135"/>
      <c r="BA69" s="11"/>
      <c r="BB69" s="39"/>
      <c r="BC69" s="11"/>
      <c r="BE69" s="185"/>
      <c r="BF69" s="11"/>
      <c r="BG69" s="73"/>
      <c r="BH69" s="11"/>
      <c r="BI69" s="11"/>
      <c r="BJ69" s="11"/>
      <c r="BK69" s="186">
        <f t="shared" si="22"/>
        <v>0</v>
      </c>
      <c r="BL69" s="11"/>
      <c r="BM69" s="135"/>
      <c r="BN69" s="11"/>
      <c r="BO69" s="39"/>
      <c r="BP69" s="11"/>
      <c r="BR69" s="185"/>
      <c r="BS69" s="39"/>
      <c r="BT69" s="186"/>
      <c r="BU69" s="39"/>
      <c r="BV69" s="186">
        <f t="shared" si="23"/>
        <v>0</v>
      </c>
      <c r="BW69" s="39"/>
      <c r="BX69" s="39"/>
      <c r="BY69" s="39"/>
      <c r="BZ69" s="135"/>
      <c r="CA69" s="39"/>
      <c r="CB69" s="39"/>
      <c r="CC69" s="39"/>
      <c r="CE69" s="185"/>
      <c r="CF69" s="185"/>
      <c r="CG69" s="185"/>
      <c r="CH69" s="11"/>
      <c r="CI69" s="186"/>
      <c r="CJ69" s="11"/>
      <c r="CK69" s="186">
        <f t="shared" si="24"/>
        <v>0</v>
      </c>
      <c r="CL69" s="11"/>
      <c r="CM69" s="135"/>
      <c r="CN69" s="11"/>
      <c r="CO69" s="39"/>
      <c r="CP69" s="11"/>
      <c r="CR69" s="185"/>
      <c r="CS69" s="11"/>
      <c r="CT69" s="186"/>
      <c r="CU69" s="11"/>
      <c r="CV69" s="186">
        <f t="shared" si="17"/>
        <v>0</v>
      </c>
      <c r="CW69" s="186"/>
      <c r="CX69" s="186"/>
      <c r="CY69" s="11"/>
      <c r="CZ69" s="135"/>
      <c r="DA69" s="11"/>
      <c r="DB69" s="39"/>
      <c r="DC69" s="11"/>
      <c r="DE69" s="185"/>
      <c r="DF69" s="39"/>
      <c r="DG69" s="186"/>
      <c r="DH69" s="39"/>
      <c r="DI69" s="186">
        <f t="shared" si="7"/>
        <v>0</v>
      </c>
      <c r="DJ69" s="39"/>
      <c r="DK69" s="186"/>
      <c r="DL69" s="138"/>
      <c r="DM69" s="135"/>
      <c r="DN69" s="89"/>
      <c r="DO69" s="73"/>
      <c r="DP69" s="73"/>
    </row>
    <row r="70" spans="5:120" x14ac:dyDescent="0.35">
      <c r="E70" s="185"/>
      <c r="F70" s="11"/>
      <c r="G70" s="11"/>
      <c r="H70" s="11"/>
      <c r="I70" s="186">
        <f t="shared" si="25"/>
        <v>0</v>
      </c>
      <c r="J70" s="11"/>
      <c r="K70" s="11"/>
      <c r="L70" s="11"/>
      <c r="M70" s="135"/>
      <c r="N70" s="11"/>
      <c r="O70" s="39"/>
      <c r="P70" s="69"/>
      <c r="Q70" s="15"/>
      <c r="R70" s="185"/>
      <c r="S70" s="11"/>
      <c r="T70" s="186"/>
      <c r="U70" s="11"/>
      <c r="V70" s="186">
        <f t="shared" si="18"/>
        <v>0</v>
      </c>
      <c r="W70" s="186"/>
      <c r="X70" s="186"/>
      <c r="Y70" s="11"/>
      <c r="Z70" s="135"/>
      <c r="AA70" s="11"/>
      <c r="AB70" s="39"/>
      <c r="AC70" s="11"/>
      <c r="AE70" s="185"/>
      <c r="AF70" s="11"/>
      <c r="AG70" s="186"/>
      <c r="AH70" s="11"/>
      <c r="AI70" s="186">
        <f t="shared" si="20"/>
        <v>0</v>
      </c>
      <c r="AJ70" s="11"/>
      <c r="AK70" s="11"/>
      <c r="AL70" s="11"/>
      <c r="AM70" s="135"/>
      <c r="AN70" s="11"/>
      <c r="AO70" s="39"/>
      <c r="AP70" s="11"/>
      <c r="AR70" s="185"/>
      <c r="AS70" s="11"/>
      <c r="AT70" s="186"/>
      <c r="AU70" s="11"/>
      <c r="AV70" s="186">
        <f t="shared" si="21"/>
        <v>0</v>
      </c>
      <c r="AW70" s="186"/>
      <c r="AX70" s="186"/>
      <c r="AY70" s="11"/>
      <c r="AZ70" s="135"/>
      <c r="BA70" s="11"/>
      <c r="BB70" s="39"/>
      <c r="BC70" s="11"/>
      <c r="BE70" s="185"/>
      <c r="BF70" s="11"/>
      <c r="BG70" s="73"/>
      <c r="BH70" s="11"/>
      <c r="BI70" s="11"/>
      <c r="BJ70" s="11"/>
      <c r="BK70" s="186">
        <f t="shared" si="22"/>
        <v>0</v>
      </c>
      <c r="BL70" s="11"/>
      <c r="BM70" s="135"/>
      <c r="BN70" s="11"/>
      <c r="BO70" s="39"/>
      <c r="BP70" s="11"/>
      <c r="BR70" s="185"/>
      <c r="BS70" s="39"/>
      <c r="BT70" s="186"/>
      <c r="BU70" s="39"/>
      <c r="BV70" s="186">
        <f t="shared" si="23"/>
        <v>0</v>
      </c>
      <c r="BW70" s="39"/>
      <c r="BX70" s="39"/>
      <c r="BY70" s="39"/>
      <c r="BZ70" s="135"/>
      <c r="CA70" s="39"/>
      <c r="CB70" s="39"/>
      <c r="CC70" s="39"/>
      <c r="CE70" s="185"/>
      <c r="CF70" s="185"/>
      <c r="CG70" s="185"/>
      <c r="CH70" s="11"/>
      <c r="CI70" s="186"/>
      <c r="CJ70" s="11"/>
      <c r="CK70" s="186">
        <f t="shared" si="24"/>
        <v>0</v>
      </c>
      <c r="CL70" s="11"/>
      <c r="CM70" s="135"/>
      <c r="CN70" s="11"/>
      <c r="CO70" s="39"/>
      <c r="CP70" s="11"/>
      <c r="CR70" s="185"/>
      <c r="CS70" s="11"/>
      <c r="CT70" s="186"/>
      <c r="CU70" s="11"/>
      <c r="CV70" s="186">
        <f t="shared" si="17"/>
        <v>0</v>
      </c>
      <c r="CW70" s="186"/>
      <c r="CX70" s="186"/>
      <c r="CY70" s="11"/>
      <c r="CZ70" s="135"/>
      <c r="DA70" s="11"/>
      <c r="DB70" s="39"/>
      <c r="DC70" s="11"/>
      <c r="DE70" s="185"/>
      <c r="DF70" s="39"/>
      <c r="DG70" s="186"/>
      <c r="DH70" s="39"/>
      <c r="DI70" s="186">
        <f t="shared" si="7"/>
        <v>0</v>
      </c>
      <c r="DJ70" s="39"/>
      <c r="DK70" s="138"/>
      <c r="DL70" s="138"/>
      <c r="DM70" s="135"/>
      <c r="DN70" s="89"/>
      <c r="DO70" s="73"/>
      <c r="DP70" s="73"/>
    </row>
    <row r="71" spans="5:120" x14ac:dyDescent="0.35">
      <c r="E71" s="185"/>
      <c r="F71" s="11"/>
      <c r="G71" s="11"/>
      <c r="H71" s="11"/>
      <c r="I71" s="186">
        <f t="shared" si="25"/>
        <v>0</v>
      </c>
      <c r="J71" s="11"/>
      <c r="K71" s="11"/>
      <c r="L71" s="11"/>
      <c r="M71" s="135"/>
      <c r="N71" s="11"/>
      <c r="O71" s="39"/>
      <c r="P71" s="69"/>
      <c r="Q71" s="15"/>
      <c r="R71" s="185"/>
      <c r="S71" s="11"/>
      <c r="T71" s="186"/>
      <c r="U71" s="11"/>
      <c r="V71" s="186">
        <f t="shared" si="18"/>
        <v>0</v>
      </c>
      <c r="W71" s="186"/>
      <c r="X71" s="186"/>
      <c r="Y71" s="11"/>
      <c r="Z71" s="135"/>
      <c r="AA71" s="11"/>
      <c r="AB71" s="39"/>
      <c r="AC71" s="11"/>
      <c r="AE71" s="185"/>
      <c r="AF71" s="11"/>
      <c r="AG71" s="186"/>
      <c r="AH71" s="11"/>
      <c r="AI71" s="186">
        <f t="shared" si="20"/>
        <v>0</v>
      </c>
      <c r="AJ71" s="11"/>
      <c r="AK71" s="11"/>
      <c r="AL71" s="11"/>
      <c r="AM71" s="135"/>
      <c r="AN71" s="11"/>
      <c r="AO71" s="39"/>
      <c r="AP71" s="11"/>
      <c r="AR71" s="185"/>
      <c r="AS71" s="11"/>
      <c r="AT71" s="186"/>
      <c r="AU71" s="11"/>
      <c r="AV71" s="186">
        <f t="shared" si="21"/>
        <v>0</v>
      </c>
      <c r="AW71" s="186"/>
      <c r="AX71" s="186"/>
      <c r="AY71" s="11"/>
      <c r="AZ71" s="135"/>
      <c r="BA71" s="11"/>
      <c r="BB71" s="39"/>
      <c r="BC71" s="11"/>
      <c r="BE71" s="185"/>
      <c r="BF71" s="11"/>
      <c r="BG71" s="73"/>
      <c r="BH71" s="11"/>
      <c r="BI71" s="11"/>
      <c r="BJ71" s="11"/>
      <c r="BK71" s="186">
        <f t="shared" si="22"/>
        <v>0</v>
      </c>
      <c r="BL71" s="11"/>
      <c r="BM71" s="135"/>
      <c r="BN71" s="11"/>
      <c r="BO71" s="39"/>
      <c r="BP71" s="11"/>
      <c r="BR71" s="185"/>
      <c r="BS71" s="39"/>
      <c r="BT71" s="186"/>
      <c r="BU71" s="39"/>
      <c r="BV71" s="186">
        <f t="shared" si="23"/>
        <v>0</v>
      </c>
      <c r="BW71" s="39"/>
      <c r="BX71" s="39"/>
      <c r="BY71" s="39"/>
      <c r="BZ71" s="135"/>
      <c r="CA71" s="39"/>
      <c r="CB71" s="39"/>
      <c r="CC71" s="39"/>
      <c r="CE71" s="185"/>
      <c r="CF71" s="185"/>
      <c r="CG71" s="185"/>
      <c r="CH71" s="11"/>
      <c r="CI71" s="186"/>
      <c r="CJ71" s="11"/>
      <c r="CK71" s="186">
        <f t="shared" si="24"/>
        <v>0</v>
      </c>
      <c r="CL71" s="11"/>
      <c r="CM71" s="135"/>
      <c r="CN71" s="11"/>
      <c r="CO71" s="39"/>
      <c r="CP71" s="11"/>
      <c r="CR71" s="185"/>
      <c r="CS71" s="11"/>
      <c r="CT71" s="186"/>
      <c r="CU71" s="11"/>
      <c r="CV71" s="186">
        <f t="shared" si="17"/>
        <v>0</v>
      </c>
      <c r="CW71" s="186"/>
      <c r="CX71" s="186"/>
      <c r="CY71" s="11"/>
      <c r="CZ71" s="135"/>
      <c r="DA71" s="11"/>
      <c r="DB71" s="39"/>
      <c r="DC71" s="11"/>
      <c r="DE71" s="185"/>
      <c r="DF71" s="39"/>
      <c r="DG71" s="186"/>
      <c r="DH71" s="39"/>
      <c r="DI71" s="186">
        <f t="shared" si="7"/>
        <v>0</v>
      </c>
      <c r="DJ71" s="39"/>
      <c r="DK71" s="186"/>
      <c r="DL71" s="138"/>
      <c r="DM71" s="135"/>
      <c r="DN71" s="89"/>
      <c r="DO71" s="73"/>
      <c r="DP71" s="73"/>
    </row>
    <row r="72" spans="5:120" x14ac:dyDescent="0.35">
      <c r="E72" s="185"/>
      <c r="F72" s="11"/>
      <c r="G72" s="11"/>
      <c r="H72" s="11"/>
      <c r="I72" s="186">
        <f t="shared" si="25"/>
        <v>0</v>
      </c>
      <c r="J72" s="11"/>
      <c r="K72" s="11"/>
      <c r="L72" s="11"/>
      <c r="M72" s="135"/>
      <c r="N72" s="11"/>
      <c r="O72" s="39"/>
      <c r="P72" s="69"/>
      <c r="Q72" s="15"/>
      <c r="R72" s="185"/>
      <c r="S72" s="11"/>
      <c r="T72" s="186"/>
      <c r="U72" s="11"/>
      <c r="V72" s="186">
        <f t="shared" si="18"/>
        <v>0</v>
      </c>
      <c r="W72" s="186"/>
      <c r="X72" s="186"/>
      <c r="Y72" s="11"/>
      <c r="Z72" s="135"/>
      <c r="AA72" s="11"/>
      <c r="AB72" s="39"/>
      <c r="AC72" s="11"/>
      <c r="AE72" s="185"/>
      <c r="AF72" s="11"/>
      <c r="AG72" s="186"/>
      <c r="AH72" s="11"/>
      <c r="AI72" s="186">
        <f t="shared" si="20"/>
        <v>0</v>
      </c>
      <c r="AJ72" s="11"/>
      <c r="AK72" s="11"/>
      <c r="AL72" s="11"/>
      <c r="AM72" s="135"/>
      <c r="AN72" s="11"/>
      <c r="AO72" s="39"/>
      <c r="AP72" s="11"/>
      <c r="AR72" s="185"/>
      <c r="AS72" s="11"/>
      <c r="AT72" s="186"/>
      <c r="AU72" s="11"/>
      <c r="AV72" s="186">
        <f t="shared" si="21"/>
        <v>0</v>
      </c>
      <c r="AW72" s="186"/>
      <c r="AX72" s="186"/>
      <c r="AY72" s="11"/>
      <c r="AZ72" s="135"/>
      <c r="BA72" s="11"/>
      <c r="BB72" s="39"/>
      <c r="BC72" s="11"/>
      <c r="BE72" s="185"/>
      <c r="BF72" s="11"/>
      <c r="BG72" s="73"/>
      <c r="BH72" s="11"/>
      <c r="BI72" s="11"/>
      <c r="BJ72" s="11"/>
      <c r="BK72" s="186">
        <f t="shared" si="22"/>
        <v>0</v>
      </c>
      <c r="BL72" s="11"/>
      <c r="BM72" s="135"/>
      <c r="BN72" s="11"/>
      <c r="BO72" s="39"/>
      <c r="BP72" s="11"/>
      <c r="BR72" s="185"/>
      <c r="BS72" s="39"/>
      <c r="BT72" s="186"/>
      <c r="BU72" s="39"/>
      <c r="BV72" s="186">
        <f t="shared" si="23"/>
        <v>0</v>
      </c>
      <c r="BW72" s="39"/>
      <c r="BX72" s="39"/>
      <c r="BY72" s="39"/>
      <c r="BZ72" s="135"/>
      <c r="CA72" s="39"/>
      <c r="CB72" s="39"/>
      <c r="CC72" s="39"/>
      <c r="CE72" s="185"/>
      <c r="CF72" s="185"/>
      <c r="CG72" s="185"/>
      <c r="CH72" s="11"/>
      <c r="CI72" s="186"/>
      <c r="CJ72" s="11"/>
      <c r="CK72" s="186">
        <f t="shared" si="24"/>
        <v>0</v>
      </c>
      <c r="CL72" s="11"/>
      <c r="CM72" s="135"/>
      <c r="CN72" s="11"/>
      <c r="CO72" s="39"/>
      <c r="CP72" s="11"/>
      <c r="CR72" s="185"/>
      <c r="CS72" s="11"/>
      <c r="CT72" s="186"/>
      <c r="CU72" s="11"/>
      <c r="CV72" s="186">
        <f t="shared" si="17"/>
        <v>0</v>
      </c>
      <c r="CW72" s="186"/>
      <c r="CX72" s="186"/>
      <c r="CY72" s="11"/>
      <c r="CZ72" s="135"/>
      <c r="DA72" s="11"/>
      <c r="DB72" s="39"/>
      <c r="DC72" s="11"/>
      <c r="DE72" s="185"/>
      <c r="DF72" s="39"/>
      <c r="DG72" s="186"/>
      <c r="DH72" s="39"/>
      <c r="DI72" s="186">
        <f t="shared" si="7"/>
        <v>0</v>
      </c>
      <c r="DJ72" s="39"/>
      <c r="DK72" s="138"/>
      <c r="DL72" s="138"/>
      <c r="DM72" s="135"/>
      <c r="DN72" s="89"/>
      <c r="DO72" s="73"/>
      <c r="DP72" s="73"/>
    </row>
    <row r="73" spans="5:120" x14ac:dyDescent="0.35">
      <c r="E73" s="185"/>
      <c r="F73" s="11"/>
      <c r="G73" s="11"/>
      <c r="H73" s="11"/>
      <c r="I73" s="186">
        <f t="shared" si="25"/>
        <v>0</v>
      </c>
      <c r="J73" s="11"/>
      <c r="K73" s="11"/>
      <c r="L73" s="11"/>
      <c r="M73" s="135"/>
      <c r="N73" s="11"/>
      <c r="O73" s="39"/>
      <c r="P73" s="69"/>
      <c r="Q73" s="15"/>
      <c r="R73" s="185"/>
      <c r="S73" s="11"/>
      <c r="T73" s="186"/>
      <c r="U73" s="11"/>
      <c r="V73" s="186">
        <f t="shared" si="18"/>
        <v>0</v>
      </c>
      <c r="W73" s="186"/>
      <c r="X73" s="186"/>
      <c r="Y73" s="11"/>
      <c r="Z73" s="135"/>
      <c r="AA73" s="11"/>
      <c r="AB73" s="39"/>
      <c r="AC73" s="11"/>
      <c r="AE73" s="185"/>
      <c r="AF73" s="11"/>
      <c r="AG73" s="186"/>
      <c r="AH73" s="11"/>
      <c r="AI73" s="186">
        <f t="shared" si="20"/>
        <v>0</v>
      </c>
      <c r="AJ73" s="11"/>
      <c r="AK73" s="11"/>
      <c r="AL73" s="11"/>
      <c r="AM73" s="135"/>
      <c r="AN73" s="11"/>
      <c r="AO73" s="39"/>
      <c r="AP73" s="11"/>
      <c r="AR73" s="185"/>
      <c r="AS73" s="11"/>
      <c r="AT73" s="186"/>
      <c r="AU73" s="11"/>
      <c r="AV73" s="186">
        <f t="shared" si="21"/>
        <v>0</v>
      </c>
      <c r="AW73" s="186"/>
      <c r="AX73" s="186"/>
      <c r="AY73" s="11"/>
      <c r="AZ73" s="135"/>
      <c r="BA73" s="11"/>
      <c r="BB73" s="39"/>
      <c r="BC73" s="11"/>
      <c r="BE73" s="185"/>
      <c r="BF73" s="11"/>
      <c r="BG73" s="73"/>
      <c r="BH73" s="11"/>
      <c r="BI73" s="11"/>
      <c r="BJ73" s="11"/>
      <c r="BK73" s="186">
        <f t="shared" si="22"/>
        <v>0</v>
      </c>
      <c r="BL73" s="11"/>
      <c r="BM73" s="135"/>
      <c r="BN73" s="11"/>
      <c r="BO73" s="39"/>
      <c r="BP73" s="11"/>
      <c r="BR73" s="185"/>
      <c r="BS73" s="39"/>
      <c r="BT73" s="186"/>
      <c r="BU73" s="39"/>
      <c r="BV73" s="186">
        <f t="shared" si="23"/>
        <v>0</v>
      </c>
      <c r="BW73" s="39"/>
      <c r="BX73" s="39"/>
      <c r="BY73" s="39"/>
      <c r="BZ73" s="135"/>
      <c r="CA73" s="39"/>
      <c r="CB73" s="39"/>
      <c r="CC73" s="39"/>
      <c r="CE73" s="185"/>
      <c r="CF73" s="185"/>
      <c r="CG73" s="185"/>
      <c r="CH73" s="11"/>
      <c r="CI73" s="186"/>
      <c r="CJ73" s="11"/>
      <c r="CK73" s="186">
        <f t="shared" si="24"/>
        <v>0</v>
      </c>
      <c r="CL73" s="11"/>
      <c r="CM73" s="135"/>
      <c r="CN73" s="11"/>
      <c r="CO73" s="39"/>
      <c r="CP73" s="11"/>
      <c r="CR73" s="185"/>
      <c r="CS73" s="11"/>
      <c r="CT73" s="186"/>
      <c r="CU73" s="11"/>
      <c r="CV73" s="186">
        <f t="shared" si="17"/>
        <v>0</v>
      </c>
      <c r="CW73" s="186"/>
      <c r="CX73" s="186"/>
      <c r="CY73" s="11"/>
      <c r="CZ73" s="135"/>
      <c r="DA73" s="11"/>
      <c r="DB73" s="39"/>
      <c r="DC73" s="11"/>
      <c r="DE73" s="185"/>
      <c r="DF73" s="138"/>
      <c r="DG73" s="186"/>
      <c r="DH73" s="186"/>
      <c r="DI73" s="186">
        <f t="shared" si="7"/>
        <v>0</v>
      </c>
      <c r="DJ73" s="186"/>
      <c r="DK73" s="138"/>
      <c r="DL73" s="138"/>
      <c r="DM73" s="135"/>
      <c r="DN73" s="185"/>
      <c r="DO73" s="73"/>
      <c r="DP73" s="73"/>
    </row>
    <row r="74" spans="5:120" x14ac:dyDescent="0.35">
      <c r="E74" s="185"/>
      <c r="F74" s="11"/>
      <c r="G74" s="11"/>
      <c r="H74" s="11"/>
      <c r="I74" s="186">
        <f t="shared" si="25"/>
        <v>0</v>
      </c>
      <c r="J74" s="11"/>
      <c r="K74" s="11"/>
      <c r="L74" s="11"/>
      <c r="M74" s="135"/>
      <c r="N74" s="11"/>
      <c r="O74" s="39"/>
      <c r="P74" s="69"/>
      <c r="Q74" s="15"/>
      <c r="R74" s="185"/>
      <c r="S74" s="11"/>
      <c r="T74" s="186"/>
      <c r="U74" s="11"/>
      <c r="V74" s="186">
        <f t="shared" si="18"/>
        <v>0</v>
      </c>
      <c r="W74" s="186"/>
      <c r="X74" s="186"/>
      <c r="Y74" s="11"/>
      <c r="Z74" s="135"/>
      <c r="AA74" s="11"/>
      <c r="AB74" s="39"/>
      <c r="AC74" s="11"/>
      <c r="AE74" s="185"/>
      <c r="AF74" s="11"/>
      <c r="AG74" s="186"/>
      <c r="AH74" s="11"/>
      <c r="AI74" s="186">
        <f t="shared" si="20"/>
        <v>0</v>
      </c>
      <c r="AJ74" s="11"/>
      <c r="AK74" s="11"/>
      <c r="AL74" s="11"/>
      <c r="AM74" s="135"/>
      <c r="AN74" s="11"/>
      <c r="AO74" s="39"/>
      <c r="AP74" s="11"/>
      <c r="AR74" s="185"/>
      <c r="AS74" s="11"/>
      <c r="AT74" s="186"/>
      <c r="AU74" s="11"/>
      <c r="AV74" s="186">
        <f t="shared" si="21"/>
        <v>0</v>
      </c>
      <c r="AW74" s="186"/>
      <c r="AX74" s="186"/>
      <c r="AY74" s="11"/>
      <c r="AZ74" s="135"/>
      <c r="BA74" s="11"/>
      <c r="BB74" s="39"/>
      <c r="BC74" s="11"/>
      <c r="BE74" s="185"/>
      <c r="BF74" s="11"/>
      <c r="BG74" s="73"/>
      <c r="BH74" s="11"/>
      <c r="BI74" s="11"/>
      <c r="BJ74" s="11"/>
      <c r="BK74" s="186">
        <f t="shared" si="22"/>
        <v>0</v>
      </c>
      <c r="BL74" s="11"/>
      <c r="BM74" s="135"/>
      <c r="BN74" s="11"/>
      <c r="BO74" s="39"/>
      <c r="BP74" s="11"/>
      <c r="BR74" s="185"/>
      <c r="BS74" s="39"/>
      <c r="BT74" s="186"/>
      <c r="BU74" s="39"/>
      <c r="BV74" s="186">
        <f t="shared" si="23"/>
        <v>0</v>
      </c>
      <c r="BW74" s="39"/>
      <c r="BX74" s="39"/>
      <c r="BY74" s="39"/>
      <c r="BZ74" s="135"/>
      <c r="CA74" s="39"/>
      <c r="CB74" s="39"/>
      <c r="CC74" s="39"/>
      <c r="CE74" s="185"/>
      <c r="CF74" s="185"/>
      <c r="CG74" s="185"/>
      <c r="CH74" s="11"/>
      <c r="CI74" s="186"/>
      <c r="CJ74" s="11"/>
      <c r="CK74" s="186">
        <f t="shared" si="24"/>
        <v>0</v>
      </c>
      <c r="CL74" s="11"/>
      <c r="CM74" s="135"/>
      <c r="CN74" s="11"/>
      <c r="CO74" s="39"/>
      <c r="CP74" s="11"/>
      <c r="CR74" s="185"/>
      <c r="CS74" s="11"/>
      <c r="CT74" s="186"/>
      <c r="CU74" s="11"/>
      <c r="CV74" s="186">
        <f t="shared" si="17"/>
        <v>0</v>
      </c>
      <c r="CW74" s="186"/>
      <c r="CX74" s="186"/>
      <c r="CY74" s="11"/>
      <c r="CZ74" s="135"/>
      <c r="DA74" s="11"/>
      <c r="DB74" s="39"/>
      <c r="DC74" s="11"/>
      <c r="DE74" s="185"/>
      <c r="DF74" s="138"/>
      <c r="DG74" s="186"/>
      <c r="DH74" s="186"/>
      <c r="DI74" s="186">
        <f t="shared" si="7"/>
        <v>0</v>
      </c>
      <c r="DJ74" s="186"/>
      <c r="DK74" s="186"/>
      <c r="DL74" s="138"/>
      <c r="DM74" s="135"/>
      <c r="DN74" s="185"/>
      <c r="DO74" s="73"/>
      <c r="DP74" s="73"/>
    </row>
    <row r="75" spans="5:120" x14ac:dyDescent="0.35">
      <c r="E75" s="185"/>
      <c r="F75" s="11"/>
      <c r="G75" s="11"/>
      <c r="H75" s="11"/>
      <c r="I75" s="186">
        <f t="shared" si="25"/>
        <v>0</v>
      </c>
      <c r="J75" s="11"/>
      <c r="K75" s="11"/>
      <c r="L75" s="11"/>
      <c r="M75" s="135"/>
      <c r="N75" s="11"/>
      <c r="O75" s="39"/>
      <c r="P75" s="69"/>
      <c r="Q75" s="15"/>
      <c r="R75" s="185"/>
      <c r="S75" s="11"/>
      <c r="T75" s="186"/>
      <c r="U75" s="11"/>
      <c r="V75" s="186">
        <f t="shared" si="18"/>
        <v>0</v>
      </c>
      <c r="W75" s="186"/>
      <c r="X75" s="186"/>
      <c r="Y75" s="11"/>
      <c r="Z75" s="135"/>
      <c r="AA75" s="11"/>
      <c r="AB75" s="39"/>
      <c r="AC75" s="11"/>
      <c r="AE75" s="185"/>
      <c r="AF75" s="11"/>
      <c r="AG75" s="186"/>
      <c r="AH75" s="11"/>
      <c r="AI75" s="186">
        <f t="shared" si="20"/>
        <v>0</v>
      </c>
      <c r="AJ75" s="11"/>
      <c r="AK75" s="11"/>
      <c r="AL75" s="11"/>
      <c r="AM75" s="135"/>
      <c r="AN75" s="11"/>
      <c r="AO75" s="39"/>
      <c r="AP75" s="11"/>
      <c r="AR75" s="185"/>
      <c r="AS75" s="11"/>
      <c r="AT75" s="186"/>
      <c r="AU75" s="11"/>
      <c r="AV75" s="186">
        <f t="shared" si="21"/>
        <v>0</v>
      </c>
      <c r="AW75" s="186"/>
      <c r="AX75" s="186"/>
      <c r="AY75" s="11"/>
      <c r="AZ75" s="135"/>
      <c r="BA75" s="11"/>
      <c r="BB75" s="39"/>
      <c r="BC75" s="11"/>
      <c r="BE75" s="185"/>
      <c r="BF75" s="11"/>
      <c r="BG75" s="73"/>
      <c r="BH75" s="11"/>
      <c r="BI75" s="11"/>
      <c r="BJ75" s="11"/>
      <c r="BK75" s="186">
        <f t="shared" si="22"/>
        <v>0</v>
      </c>
      <c r="BL75" s="11"/>
      <c r="BM75" s="135"/>
      <c r="BN75" s="11"/>
      <c r="BO75" s="39"/>
      <c r="BP75" s="11"/>
      <c r="BR75" s="185"/>
      <c r="BS75" s="39"/>
      <c r="BT75" s="186"/>
      <c r="BU75" s="39"/>
      <c r="BV75" s="186">
        <f t="shared" si="23"/>
        <v>0</v>
      </c>
      <c r="BW75" s="39"/>
      <c r="BX75" s="39"/>
      <c r="BY75" s="39"/>
      <c r="BZ75" s="135"/>
      <c r="CA75" s="39"/>
      <c r="CB75" s="39"/>
      <c r="CC75" s="39"/>
      <c r="CE75" s="185"/>
      <c r="CF75" s="185"/>
      <c r="CG75" s="185"/>
      <c r="CH75" s="11"/>
      <c r="CI75" s="186"/>
      <c r="CJ75" s="11"/>
      <c r="CK75" s="186">
        <f t="shared" si="24"/>
        <v>0</v>
      </c>
      <c r="CL75" s="11"/>
      <c r="CM75" s="135"/>
      <c r="CN75" s="11"/>
      <c r="CO75" s="39"/>
      <c r="CP75" s="11"/>
      <c r="CR75" s="185"/>
      <c r="CS75" s="11"/>
      <c r="CT75" s="186"/>
      <c r="CU75" s="11"/>
      <c r="CV75" s="186">
        <f t="shared" si="17"/>
        <v>0</v>
      </c>
      <c r="CW75" s="186"/>
      <c r="CX75" s="186"/>
      <c r="CY75" s="11"/>
      <c r="CZ75" s="135"/>
      <c r="DA75" s="11"/>
      <c r="DB75" s="39"/>
      <c r="DC75" s="11"/>
      <c r="DE75" s="185"/>
      <c r="DF75" s="138"/>
      <c r="DG75" s="186"/>
      <c r="DH75" s="40"/>
      <c r="DI75" s="186">
        <f t="shared" si="7"/>
        <v>0</v>
      </c>
      <c r="DJ75" s="40"/>
      <c r="DK75" s="138"/>
      <c r="DL75" s="138"/>
      <c r="DM75" s="135"/>
      <c r="DN75" s="185"/>
      <c r="DO75" s="73"/>
      <c r="DP75" s="73"/>
    </row>
    <row r="76" spans="5:120" x14ac:dyDescent="0.35">
      <c r="E76" s="185"/>
      <c r="F76" s="11"/>
      <c r="G76" s="11"/>
      <c r="H76" s="11"/>
      <c r="I76" s="186">
        <f t="shared" si="25"/>
        <v>0</v>
      </c>
      <c r="J76" s="11"/>
      <c r="K76" s="11"/>
      <c r="L76" s="11"/>
      <c r="M76" s="135"/>
      <c r="N76" s="11"/>
      <c r="O76" s="39"/>
      <c r="P76" s="69"/>
      <c r="Q76" s="15"/>
      <c r="R76" s="185"/>
      <c r="S76" s="11"/>
      <c r="T76" s="186"/>
      <c r="U76" s="11"/>
      <c r="V76" s="186">
        <f t="shared" si="18"/>
        <v>0</v>
      </c>
      <c r="W76" s="186"/>
      <c r="X76" s="186"/>
      <c r="Y76" s="11"/>
      <c r="Z76" s="135"/>
      <c r="AA76" s="11"/>
      <c r="AB76" s="39"/>
      <c r="AC76" s="11"/>
      <c r="AE76" s="185"/>
      <c r="AF76" s="11"/>
      <c r="AG76" s="186"/>
      <c r="AH76" s="11"/>
      <c r="AI76" s="186">
        <f t="shared" si="20"/>
        <v>0</v>
      </c>
      <c r="AJ76" s="11"/>
      <c r="AK76" s="11"/>
      <c r="AL76" s="11"/>
      <c r="AM76" s="135"/>
      <c r="AN76" s="11"/>
      <c r="AO76" s="39"/>
      <c r="AP76" s="11"/>
      <c r="AR76" s="185"/>
      <c r="AS76" s="11"/>
      <c r="AT76" s="186"/>
      <c r="AU76" s="11"/>
      <c r="AV76" s="186">
        <f t="shared" si="21"/>
        <v>0</v>
      </c>
      <c r="AW76" s="186"/>
      <c r="AX76" s="186"/>
      <c r="AY76" s="11"/>
      <c r="AZ76" s="135"/>
      <c r="BA76" s="11"/>
      <c r="BB76" s="39"/>
      <c r="BC76" s="11"/>
      <c r="BE76" s="185"/>
      <c r="BF76" s="11"/>
      <c r="BG76" s="73"/>
      <c r="BH76" s="11"/>
      <c r="BI76" s="11"/>
      <c r="BJ76" s="11"/>
      <c r="BK76" s="186">
        <f t="shared" si="22"/>
        <v>0</v>
      </c>
      <c r="BL76" s="11"/>
      <c r="BM76" s="135"/>
      <c r="BN76" s="11"/>
      <c r="BO76" s="39"/>
      <c r="BP76" s="11"/>
      <c r="BR76" s="185"/>
      <c r="BS76" s="39"/>
      <c r="BT76" s="186"/>
      <c r="BU76" s="39"/>
      <c r="BV76" s="186">
        <f t="shared" si="23"/>
        <v>0</v>
      </c>
      <c r="BW76" s="39"/>
      <c r="BX76" s="39"/>
      <c r="BY76" s="39"/>
      <c r="BZ76" s="135"/>
      <c r="CA76" s="39"/>
      <c r="CB76" s="39"/>
      <c r="CC76" s="39"/>
      <c r="CE76" s="185"/>
      <c r="CF76" s="185"/>
      <c r="CG76" s="185"/>
      <c r="CH76" s="11"/>
      <c r="CI76" s="186"/>
      <c r="CJ76" s="11"/>
      <c r="CK76" s="186">
        <f t="shared" si="24"/>
        <v>0</v>
      </c>
      <c r="CL76" s="11"/>
      <c r="CM76" s="135"/>
      <c r="CN76" s="11"/>
      <c r="CO76" s="39"/>
      <c r="CP76" s="11"/>
      <c r="CR76" s="185"/>
      <c r="CS76" s="11"/>
      <c r="CT76" s="186"/>
      <c r="CU76" s="11"/>
      <c r="CV76" s="186">
        <f t="shared" si="17"/>
        <v>0</v>
      </c>
      <c r="CW76" s="186"/>
      <c r="CX76" s="186"/>
      <c r="CY76" s="11"/>
      <c r="CZ76" s="135"/>
      <c r="DA76" s="11"/>
      <c r="DB76" s="39"/>
      <c r="DC76" s="11"/>
      <c r="DE76" s="185"/>
      <c r="DF76" s="138"/>
      <c r="DG76" s="186"/>
      <c r="DH76" s="186"/>
      <c r="DI76" s="186">
        <f t="shared" si="7"/>
        <v>0</v>
      </c>
      <c r="DJ76" s="186"/>
      <c r="DK76" s="138"/>
      <c r="DL76" s="138"/>
      <c r="DM76" s="135"/>
      <c r="DN76" s="185"/>
      <c r="DO76" s="73"/>
      <c r="DP76" s="73"/>
    </row>
    <row r="77" spans="5:120" x14ac:dyDescent="0.35">
      <c r="E77" s="185"/>
      <c r="F77" s="11"/>
      <c r="G77" s="11"/>
      <c r="H77" s="11"/>
      <c r="I77" s="186">
        <f t="shared" si="25"/>
        <v>0</v>
      </c>
      <c r="J77" s="11"/>
      <c r="K77" s="11"/>
      <c r="L77" s="11"/>
      <c r="M77" s="135"/>
      <c r="N77" s="11"/>
      <c r="O77" s="39"/>
      <c r="P77" s="11"/>
      <c r="Q77" s="15"/>
      <c r="R77" s="185"/>
      <c r="S77" s="11"/>
      <c r="T77" s="186"/>
      <c r="U77" s="11"/>
      <c r="V77" s="186">
        <f t="shared" si="18"/>
        <v>0</v>
      </c>
      <c r="W77" s="186"/>
      <c r="X77" s="186"/>
      <c r="Y77" s="11"/>
      <c r="Z77" s="135"/>
      <c r="AA77" s="11"/>
      <c r="AB77" s="39"/>
      <c r="AC77" s="11"/>
      <c r="AE77" s="185"/>
      <c r="AF77" s="11"/>
      <c r="AG77" s="186"/>
      <c r="AH77" s="11"/>
      <c r="AI77" s="186">
        <f t="shared" si="20"/>
        <v>0</v>
      </c>
      <c r="AJ77" s="11"/>
      <c r="AK77" s="11"/>
      <c r="AL77" s="11"/>
      <c r="AM77" s="135"/>
      <c r="AN77" s="11"/>
      <c r="AO77" s="39"/>
      <c r="AP77" s="11"/>
      <c r="AR77" s="185"/>
      <c r="AS77" s="11"/>
      <c r="AT77" s="186"/>
      <c r="AU77" s="11"/>
      <c r="AV77" s="186">
        <f t="shared" si="21"/>
        <v>0</v>
      </c>
      <c r="AW77" s="186"/>
      <c r="AX77" s="186"/>
      <c r="AY77" s="11"/>
      <c r="AZ77" s="135"/>
      <c r="BA77" s="11"/>
      <c r="BB77" s="39"/>
      <c r="BC77" s="11"/>
      <c r="BE77" s="185"/>
      <c r="BF77" s="11"/>
      <c r="BG77" s="73"/>
      <c r="BH77" s="11"/>
      <c r="BI77" s="11"/>
      <c r="BJ77" s="11"/>
      <c r="BK77" s="186">
        <f t="shared" si="22"/>
        <v>0</v>
      </c>
      <c r="BL77" s="11"/>
      <c r="BM77" s="135"/>
      <c r="BN77" s="11"/>
      <c r="BO77" s="39"/>
      <c r="BP77" s="11"/>
      <c r="BR77" s="185"/>
      <c r="BS77" s="39"/>
      <c r="BT77" s="186"/>
      <c r="BU77" s="39"/>
      <c r="BV77" s="186">
        <f t="shared" si="23"/>
        <v>0</v>
      </c>
      <c r="BW77" s="39"/>
      <c r="BX77" s="39"/>
      <c r="BY77" s="39"/>
      <c r="BZ77" s="135"/>
      <c r="CA77" s="39"/>
      <c r="CB77" s="39"/>
      <c r="CC77" s="39"/>
      <c r="CE77" s="185"/>
      <c r="CF77" s="185"/>
      <c r="CG77" s="185"/>
      <c r="CH77" s="11"/>
      <c r="CI77" s="186"/>
      <c r="CJ77" s="11"/>
      <c r="CK77" s="186">
        <f t="shared" si="24"/>
        <v>0</v>
      </c>
      <c r="CL77" s="11"/>
      <c r="CM77" s="135"/>
      <c r="CN77" s="11"/>
      <c r="CO77" s="39"/>
      <c r="CP77" s="11"/>
      <c r="CR77" s="185"/>
      <c r="CS77" s="11"/>
      <c r="CT77" s="186"/>
      <c r="CU77" s="11"/>
      <c r="CV77" s="186">
        <f t="shared" si="17"/>
        <v>0</v>
      </c>
      <c r="CW77" s="186"/>
      <c r="CX77" s="186"/>
      <c r="CY77" s="11"/>
      <c r="CZ77" s="135"/>
      <c r="DA77" s="11"/>
      <c r="DB77" s="39"/>
      <c r="DC77" s="11"/>
      <c r="DE77" s="185"/>
      <c r="DF77" s="39"/>
      <c r="DG77" s="186"/>
      <c r="DH77" s="39"/>
      <c r="DI77" s="186">
        <f t="shared" si="7"/>
        <v>0</v>
      </c>
      <c r="DJ77" s="39"/>
      <c r="DK77" s="39"/>
      <c r="DL77" s="138"/>
      <c r="DM77" s="135"/>
      <c r="DN77" s="89"/>
      <c r="DO77" s="73"/>
      <c r="DP77" s="73"/>
    </row>
    <row r="78" spans="5:120" x14ac:dyDescent="0.35">
      <c r="E78" s="138"/>
      <c r="F78" s="11"/>
      <c r="G78" s="11"/>
      <c r="H78" s="11"/>
      <c r="I78" s="186">
        <f t="shared" si="25"/>
        <v>0</v>
      </c>
      <c r="J78" s="11"/>
      <c r="K78" s="11"/>
      <c r="L78" s="11"/>
      <c r="M78" s="135"/>
      <c r="N78" s="11"/>
      <c r="O78" s="39"/>
      <c r="P78" s="11"/>
      <c r="Q78" s="15"/>
      <c r="R78" s="185"/>
      <c r="S78" s="11"/>
      <c r="T78" s="186"/>
      <c r="U78" s="11"/>
      <c r="V78" s="186">
        <f t="shared" si="18"/>
        <v>0</v>
      </c>
      <c r="W78" s="186"/>
      <c r="X78" s="186"/>
      <c r="Y78" s="11"/>
      <c r="Z78" s="135"/>
      <c r="AA78" s="11"/>
      <c r="AB78" s="39"/>
      <c r="AC78" s="11"/>
      <c r="AE78" s="185"/>
      <c r="AF78" s="11"/>
      <c r="AG78" s="186"/>
      <c r="AH78" s="11"/>
      <c r="AI78" s="186">
        <f t="shared" si="20"/>
        <v>0</v>
      </c>
      <c r="AJ78" s="11"/>
      <c r="AK78" s="11"/>
      <c r="AL78" s="11"/>
      <c r="AM78" s="135"/>
      <c r="AN78" s="11"/>
      <c r="AO78" s="39"/>
      <c r="AP78" s="11"/>
      <c r="AR78" s="185"/>
      <c r="AS78" s="11"/>
      <c r="AT78" s="186"/>
      <c r="AU78" s="11"/>
      <c r="AV78" s="186">
        <f t="shared" ref="AV78:AV80" si="26">AT78+AU78</f>
        <v>0</v>
      </c>
      <c r="AW78" s="186"/>
      <c r="AX78" s="186"/>
      <c r="AY78" s="11"/>
      <c r="AZ78" s="135"/>
      <c r="BA78" s="11"/>
      <c r="BB78" s="39"/>
      <c r="BC78" s="11"/>
      <c r="BE78" s="185"/>
      <c r="BF78" s="11"/>
      <c r="BG78" s="73"/>
      <c r="BH78" s="11"/>
      <c r="BI78" s="11"/>
      <c r="BJ78" s="11"/>
      <c r="BK78" s="186">
        <f t="shared" ref="BK78:BK80" si="27">BG78+BH78</f>
        <v>0</v>
      </c>
      <c r="BL78" s="11"/>
      <c r="BM78" s="135"/>
      <c r="BN78" s="11"/>
      <c r="BO78" s="39"/>
      <c r="BP78" s="11"/>
      <c r="BR78" s="185"/>
      <c r="BS78" s="39"/>
      <c r="BT78" s="186"/>
      <c r="BU78" s="39"/>
      <c r="BV78" s="186">
        <f t="shared" si="23"/>
        <v>0</v>
      </c>
      <c r="BW78" s="39"/>
      <c r="BX78" s="39"/>
      <c r="BY78" s="39"/>
      <c r="BZ78" s="135"/>
      <c r="CA78" s="39"/>
      <c r="CB78" s="39"/>
      <c r="CC78" s="39"/>
      <c r="CE78" s="185"/>
      <c r="CF78" s="185"/>
      <c r="CG78" s="185"/>
      <c r="CH78" s="11"/>
      <c r="CI78" s="186"/>
      <c r="CJ78" s="11"/>
      <c r="CK78" s="186">
        <f t="shared" si="24"/>
        <v>0</v>
      </c>
      <c r="CL78" s="11"/>
      <c r="CM78" s="135"/>
      <c r="CN78" s="11"/>
      <c r="CO78" s="39"/>
      <c r="CP78" s="11"/>
      <c r="CR78" s="185"/>
      <c r="CS78" s="11"/>
      <c r="CT78" s="186"/>
      <c r="CU78" s="11"/>
      <c r="CV78" s="186">
        <f t="shared" si="17"/>
        <v>0</v>
      </c>
      <c r="CW78" s="186"/>
      <c r="CX78" s="186"/>
      <c r="CY78" s="11"/>
      <c r="CZ78" s="135"/>
      <c r="DA78" s="11"/>
      <c r="DB78" s="39"/>
      <c r="DC78" s="11"/>
      <c r="DE78" s="185"/>
      <c r="DF78" s="39"/>
      <c r="DG78" s="186"/>
      <c r="DH78" s="39"/>
      <c r="DI78" s="186">
        <f t="shared" si="7"/>
        <v>0</v>
      </c>
      <c r="DJ78" s="39"/>
      <c r="DK78" s="39"/>
      <c r="DL78" s="138"/>
      <c r="DM78" s="135"/>
      <c r="DN78" s="89"/>
      <c r="DO78" s="73"/>
      <c r="DP78" s="73"/>
    </row>
    <row r="79" spans="5:120" x14ac:dyDescent="0.35">
      <c r="E79" s="73"/>
      <c r="F79" s="10"/>
      <c r="G79" s="189"/>
      <c r="H79" s="189"/>
      <c r="I79" s="186">
        <f t="shared" si="25"/>
        <v>0</v>
      </c>
      <c r="J79" s="189"/>
      <c r="K79" s="189"/>
      <c r="L79" s="189"/>
      <c r="M79" s="135"/>
      <c r="N79" s="11"/>
      <c r="O79" s="39"/>
      <c r="P79" s="11"/>
      <c r="Q79" s="15"/>
      <c r="R79" s="138"/>
      <c r="S79" s="11"/>
      <c r="T79" s="186"/>
      <c r="U79" s="11"/>
      <c r="V79" s="186">
        <f t="shared" si="18"/>
        <v>0</v>
      </c>
      <c r="W79" s="186"/>
      <c r="X79" s="186"/>
      <c r="Y79" s="11"/>
      <c r="Z79" s="135"/>
      <c r="AA79" s="11"/>
      <c r="AB79" s="39"/>
      <c r="AC79" s="42"/>
      <c r="AE79" s="138"/>
      <c r="AF79" s="11"/>
      <c r="AG79" s="186"/>
      <c r="AH79" s="11"/>
      <c r="AI79" s="186">
        <f t="shared" si="20"/>
        <v>0</v>
      </c>
      <c r="AJ79" s="11"/>
      <c r="AK79" s="11"/>
      <c r="AL79" s="11"/>
      <c r="AM79" s="135"/>
      <c r="AN79" s="11"/>
      <c r="AO79" s="39"/>
      <c r="AP79" s="11"/>
      <c r="AR79" s="138"/>
      <c r="AS79" s="11"/>
      <c r="AT79" s="186"/>
      <c r="AU79" s="11"/>
      <c r="AV79" s="186">
        <f t="shared" si="26"/>
        <v>0</v>
      </c>
      <c r="AW79" s="186"/>
      <c r="AX79" s="186"/>
      <c r="AY79" s="11"/>
      <c r="AZ79" s="135"/>
      <c r="BA79" s="11"/>
      <c r="BB79" s="39"/>
      <c r="BC79" s="11"/>
      <c r="BE79" s="138"/>
      <c r="BF79" s="11"/>
      <c r="BG79" s="73"/>
      <c r="BH79" s="11"/>
      <c r="BI79" s="11"/>
      <c r="BJ79" s="11"/>
      <c r="BK79" s="186">
        <f t="shared" si="27"/>
        <v>0</v>
      </c>
      <c r="BL79" s="11"/>
      <c r="BM79" s="135"/>
      <c r="BN79" s="11"/>
      <c r="BO79" s="39"/>
      <c r="BP79" s="11"/>
      <c r="BR79" s="138"/>
      <c r="BS79" s="39"/>
      <c r="BT79" s="186"/>
      <c r="BU79" s="39"/>
      <c r="BV79" s="186">
        <f t="shared" si="23"/>
        <v>0</v>
      </c>
      <c r="BW79" s="39"/>
      <c r="BX79" s="39"/>
      <c r="BY79" s="39"/>
      <c r="BZ79" s="135"/>
      <c r="CA79" s="39"/>
      <c r="CB79" s="39"/>
      <c r="CC79" s="39"/>
      <c r="CE79" s="138"/>
      <c r="CF79" s="138"/>
      <c r="CG79" s="138"/>
      <c r="CH79" s="11"/>
      <c r="CI79" s="186"/>
      <c r="CJ79" s="11"/>
      <c r="CK79" s="186">
        <f t="shared" si="24"/>
        <v>0</v>
      </c>
      <c r="CL79" s="11"/>
      <c r="CM79" s="135"/>
      <c r="CN79" s="11"/>
      <c r="CO79" s="39"/>
      <c r="CP79" s="11"/>
      <c r="CR79" s="138"/>
      <c r="CS79" s="11"/>
      <c r="CT79" s="186"/>
      <c r="CU79" s="11"/>
      <c r="CV79" s="186">
        <f t="shared" si="17"/>
        <v>0</v>
      </c>
      <c r="CW79" s="186"/>
      <c r="CX79" s="186"/>
      <c r="CY79" s="11"/>
      <c r="CZ79" s="135"/>
      <c r="DA79" s="11"/>
      <c r="DB79" s="39"/>
      <c r="DC79" s="11"/>
      <c r="DE79" s="185"/>
      <c r="DF79" s="39"/>
      <c r="DG79" s="186"/>
      <c r="DH79" s="39"/>
      <c r="DI79" s="186">
        <f t="shared" si="7"/>
        <v>0</v>
      </c>
      <c r="DJ79" s="39"/>
      <c r="DK79" s="39"/>
      <c r="DL79" s="138"/>
      <c r="DM79" s="135"/>
      <c r="DN79" s="89"/>
      <c r="DO79" s="73"/>
      <c r="DP79" s="73"/>
    </row>
    <row r="80" spans="5:120" ht="19" thickBot="1" x14ac:dyDescent="0.5">
      <c r="E80" s="303"/>
      <c r="F80" s="304"/>
      <c r="G80" s="305">
        <f>SUBTOTAL(9,G5:G79)</f>
        <v>0</v>
      </c>
      <c r="H80" s="305">
        <f>SUBTOTAL(9,H5:H79)</f>
        <v>12723.919999999998</v>
      </c>
      <c r="I80" s="305">
        <f>SUBTOTAL(9,I5:I79)</f>
        <v>532.01</v>
      </c>
      <c r="J80" s="305">
        <f>SUM(J57:J78)</f>
        <v>0</v>
      </c>
      <c r="K80" s="305"/>
      <c r="L80" s="305"/>
      <c r="M80" s="135"/>
      <c r="N80" s="305"/>
      <c r="O80" s="305"/>
      <c r="P80" s="305"/>
      <c r="Q80" s="15"/>
      <c r="R80" s="163"/>
      <c r="S80" s="10"/>
      <c r="T80" s="203"/>
      <c r="U80" s="189"/>
      <c r="V80" s="186">
        <f t="shared" si="18"/>
        <v>0</v>
      </c>
      <c r="W80" s="203"/>
      <c r="X80" s="203"/>
      <c r="Y80" s="189"/>
      <c r="Z80" s="135"/>
      <c r="AA80" s="11"/>
      <c r="AB80" s="39"/>
      <c r="AC80" s="42"/>
      <c r="AD80" s="205"/>
      <c r="AE80" s="299"/>
      <c r="AF80" s="189"/>
      <c r="AG80" s="203"/>
      <c r="AH80" s="189"/>
      <c r="AI80" s="203">
        <f t="shared" si="20"/>
        <v>0</v>
      </c>
      <c r="AJ80" s="189"/>
      <c r="AK80" s="189"/>
      <c r="AL80" s="189"/>
      <c r="AM80" s="135"/>
      <c r="AN80" s="300"/>
      <c r="AO80" s="301"/>
      <c r="AP80" s="302"/>
      <c r="AR80" s="163"/>
      <c r="AS80" s="10"/>
      <c r="AT80" s="203"/>
      <c r="AU80" s="189"/>
      <c r="AV80" s="203">
        <f t="shared" si="26"/>
        <v>0</v>
      </c>
      <c r="AW80" s="203"/>
      <c r="AX80" s="203"/>
      <c r="AY80" s="189"/>
      <c r="AZ80" s="135"/>
      <c r="BA80" s="11"/>
      <c r="BB80" s="39"/>
      <c r="BC80" s="11"/>
      <c r="BE80" s="163"/>
      <c r="BF80" s="10"/>
      <c r="BG80" s="73"/>
      <c r="BH80" s="189"/>
      <c r="BI80" s="189"/>
      <c r="BJ80" s="189"/>
      <c r="BK80" s="203">
        <f t="shared" si="27"/>
        <v>0</v>
      </c>
      <c r="BL80" s="189"/>
      <c r="BM80" s="135"/>
      <c r="BN80" s="11"/>
      <c r="BO80" s="39"/>
      <c r="BP80" s="11"/>
      <c r="BR80" s="163"/>
      <c r="BS80" s="202"/>
      <c r="BT80" s="203"/>
      <c r="BU80" s="204"/>
      <c r="BV80" s="186">
        <f t="shared" si="23"/>
        <v>0</v>
      </c>
      <c r="BW80" s="204"/>
      <c r="BX80" s="204"/>
      <c r="BY80" s="204"/>
      <c r="BZ80" s="135"/>
      <c r="CA80" s="39"/>
      <c r="CB80" s="39"/>
      <c r="CC80" s="39"/>
      <c r="CE80" s="163"/>
      <c r="CF80" s="163"/>
      <c r="CG80" s="163"/>
      <c r="CH80" s="10"/>
      <c r="CI80" s="203"/>
      <c r="CJ80" s="189"/>
      <c r="CK80" s="203">
        <f t="shared" si="24"/>
        <v>0</v>
      </c>
      <c r="CL80" s="189"/>
      <c r="CM80" s="135"/>
      <c r="CN80" s="11"/>
      <c r="CO80" s="39"/>
      <c r="CP80" s="11"/>
      <c r="CR80" s="163"/>
      <c r="CS80" s="165"/>
      <c r="CT80" s="203"/>
      <c r="CU80" s="206"/>
      <c r="CV80" s="186">
        <f t="shared" si="17"/>
        <v>0</v>
      </c>
      <c r="CW80" s="203"/>
      <c r="CX80" s="203"/>
      <c r="CY80" s="206"/>
      <c r="CZ80" s="135"/>
      <c r="DA80" s="11"/>
      <c r="DB80" s="39"/>
      <c r="DC80" s="11"/>
      <c r="DE80" s="185"/>
      <c r="DF80" s="39"/>
      <c r="DG80" s="186"/>
      <c r="DH80" s="39"/>
      <c r="DI80" s="186">
        <f t="shared" si="7"/>
        <v>0</v>
      </c>
      <c r="DJ80" s="39"/>
      <c r="DK80" s="39"/>
      <c r="DL80" s="138"/>
      <c r="DM80" s="135"/>
      <c r="DN80" s="89"/>
      <c r="DO80" s="73"/>
      <c r="DP80" s="73"/>
    </row>
    <row r="81" spans="8:120" ht="15" thickTop="1" x14ac:dyDescent="0.35">
      <c r="H81" s="52"/>
      <c r="M81" s="135"/>
      <c r="Q81" s="16"/>
      <c r="R81" s="303"/>
      <c r="S81" s="304"/>
      <c r="T81" s="305">
        <f>SUBTOTAL(9,T5:T80)</f>
        <v>0</v>
      </c>
      <c r="U81" s="305">
        <f>SUBTOTAL(9,U5:U80)</f>
        <v>1560.6199999999997</v>
      </c>
      <c r="V81" s="305">
        <f>SUBTOTAL(9,V5:V80)</f>
        <v>68.959999999999994</v>
      </c>
      <c r="W81" s="305"/>
      <c r="X81" s="305"/>
      <c r="Y81" s="305">
        <f>SUBTOTAL(9,Y5:Y80)</f>
        <v>0</v>
      </c>
      <c r="Z81" s="135"/>
      <c r="AA81" s="305"/>
      <c r="AB81" s="305"/>
      <c r="AC81" s="305"/>
      <c r="AD81" s="27"/>
      <c r="AE81" s="303"/>
      <c r="AF81" s="304"/>
      <c r="AG81" s="305">
        <f>SUBTOTAL(9,AG5:AG80)</f>
        <v>0</v>
      </c>
      <c r="AH81" s="305">
        <f>SUBTOTAL(9,AH5:AH80)</f>
        <v>3282.62</v>
      </c>
      <c r="AI81" s="305">
        <f>SUBTOTAL(9,AI5:AI80)</f>
        <v>26.04</v>
      </c>
      <c r="AJ81" s="305">
        <f>SUBTOTAL(9,AJ5:AJ80)</f>
        <v>3308.66</v>
      </c>
      <c r="AK81" s="305"/>
      <c r="AL81" s="305"/>
      <c r="AM81" s="135"/>
      <c r="AN81" s="305"/>
      <c r="AO81" s="305"/>
      <c r="AP81" s="305"/>
      <c r="AR81" s="303"/>
      <c r="AS81" s="304"/>
      <c r="AT81" s="305">
        <f>SUBTOTAL(9,AT5:AT80)</f>
        <v>0</v>
      </c>
      <c r="AU81" s="305">
        <f>SUBTOTAL(9,AU5:AU80)</f>
        <v>453.47</v>
      </c>
      <c r="AV81" s="305">
        <f>SUBTOTAL(9,AV5:AV80)</f>
        <v>38.549999999999997</v>
      </c>
      <c r="AW81" s="305"/>
      <c r="AX81" s="305"/>
      <c r="AY81" s="305">
        <f>SUBTOTAL(9,AY5:AY80)</f>
        <v>0</v>
      </c>
      <c r="AZ81" s="135"/>
      <c r="BA81" s="305"/>
      <c r="BB81" s="305"/>
      <c r="BC81" s="305"/>
      <c r="BE81" s="303"/>
      <c r="BF81" s="304"/>
      <c r="BG81" s="305">
        <f>SUBTOTAL(9,BG5:BG80)</f>
        <v>0</v>
      </c>
      <c r="BH81" s="305">
        <f>SUBTOTAL(9,BH5:BH80)</f>
        <v>0</v>
      </c>
      <c r="BI81" s="305"/>
      <c r="BJ81" s="305"/>
      <c r="BK81" s="305">
        <f>SUBTOTAL(9,BK5:BK80)</f>
        <v>2957.16</v>
      </c>
      <c r="BL81" s="305">
        <f>SUBTOTAL(9,BL5:BL80)</f>
        <v>0</v>
      </c>
      <c r="BM81" s="135"/>
      <c r="BN81" s="305"/>
      <c r="BO81" s="305"/>
      <c r="BP81" s="305"/>
      <c r="BR81" s="303"/>
      <c r="BS81" s="304"/>
      <c r="BT81" s="305">
        <f>SUBTOTAL(9,BT5:BT80)</f>
        <v>0</v>
      </c>
      <c r="BU81" s="305">
        <f>SUBTOTAL(9,BU5:BU80)</f>
        <v>371.28000000000003</v>
      </c>
      <c r="BV81" s="305">
        <f>SUBTOTAL(9,BV5:BV80)</f>
        <v>30.51</v>
      </c>
      <c r="BW81" s="305">
        <f>SUBTOTAL(9,BW5:BW80)</f>
        <v>401.79</v>
      </c>
      <c r="BX81" s="305"/>
      <c r="BY81" s="305"/>
      <c r="BZ81" s="135"/>
      <c r="CA81" s="305"/>
      <c r="CB81" s="305"/>
      <c r="CC81" s="305"/>
      <c r="CE81" s="303"/>
      <c r="CF81" s="304"/>
      <c r="CG81" s="305"/>
      <c r="CH81" s="305"/>
      <c r="CI81" s="305">
        <f>SUBTOTAL(9,CI48:CI80)</f>
        <v>0</v>
      </c>
      <c r="CJ81" s="305">
        <f>SUBTOTAL(9,CJ48:CJ80)</f>
        <v>0</v>
      </c>
      <c r="CK81" s="305">
        <f>SUBTOTAL(9,CK48:CK80)</f>
        <v>0</v>
      </c>
      <c r="CL81" s="305">
        <f>SUBTOTAL(9,CL48:CL80)</f>
        <v>0</v>
      </c>
      <c r="CM81" s="135"/>
      <c r="CN81" s="305"/>
      <c r="CO81" s="305"/>
      <c r="CP81" s="305"/>
      <c r="CR81" s="303"/>
      <c r="CS81" s="304"/>
      <c r="CT81" s="305">
        <f t="shared" ref="CT81:CV81" si="28">SUBTOTAL(9,CT5:CT80)</f>
        <v>0</v>
      </c>
      <c r="CU81" s="305">
        <f t="shared" si="28"/>
        <v>821.43999999999994</v>
      </c>
      <c r="CV81" s="305">
        <f t="shared" si="28"/>
        <v>6.37</v>
      </c>
      <c r="CW81" s="305"/>
      <c r="CX81" s="305"/>
      <c r="CY81" s="305">
        <f>SUBTOTAL(9,CY5:CY80)</f>
        <v>0</v>
      </c>
      <c r="CZ81" s="135"/>
      <c r="DA81" s="305"/>
      <c r="DB81" s="305"/>
      <c r="DC81" s="305"/>
      <c r="DE81" s="303"/>
      <c r="DF81" s="304"/>
      <c r="DG81" s="305"/>
      <c r="DH81" s="305">
        <f>SUBTOTAL(9,DH5:DH80)</f>
        <v>3510.1</v>
      </c>
      <c r="DI81" s="305">
        <f>SUBTOTAL(9,DI5:DI80)</f>
        <v>27.06</v>
      </c>
      <c r="DJ81" s="305">
        <f>SUBTOTAL(9,DJ5:DJ80)</f>
        <v>3310.16</v>
      </c>
      <c r="DK81" s="305">
        <f>SUBTOTAL(9,DK5:DK80)</f>
        <v>0</v>
      </c>
      <c r="DL81" s="305"/>
      <c r="DM81" s="135"/>
      <c r="DN81" s="305"/>
      <c r="DO81" s="305"/>
      <c r="DP81" s="305"/>
    </row>
    <row r="82" spans="8:120" x14ac:dyDescent="0.35">
      <c r="M82" s="135"/>
      <c r="Z82" s="135"/>
      <c r="AM82" s="135"/>
      <c r="AZ82" s="135"/>
      <c r="BM82" s="135"/>
      <c r="BZ82" s="135"/>
      <c r="CM82" s="135"/>
      <c r="CZ82" s="135"/>
      <c r="DM82" s="135"/>
    </row>
    <row r="83" spans="8:120" x14ac:dyDescent="0.35">
      <c r="M83" s="135"/>
      <c r="Z83" s="135"/>
      <c r="AM83" s="135"/>
      <c r="AZ83" s="135"/>
      <c r="BM83" s="135"/>
      <c r="BZ83" s="135"/>
      <c r="CM83" s="135"/>
      <c r="CZ83" s="135"/>
      <c r="DM83" s="135"/>
    </row>
    <row r="84" spans="8:120" x14ac:dyDescent="0.35">
      <c r="M84" s="135"/>
      <c r="Z84" s="135"/>
      <c r="AM84" s="135"/>
      <c r="AZ84" s="135"/>
      <c r="BM84" s="135"/>
      <c r="BZ84" s="135"/>
      <c r="CM84" s="135"/>
      <c r="CZ84" s="135"/>
      <c r="DM84" s="135"/>
    </row>
    <row r="85" spans="8:120" x14ac:dyDescent="0.35">
      <c r="M85" s="135"/>
      <c r="Z85" s="135"/>
      <c r="AM85" s="135"/>
      <c r="AZ85" s="135"/>
      <c r="BM85" s="135"/>
      <c r="BZ85" s="135"/>
      <c r="CM85" s="135"/>
      <c r="CZ85" s="135"/>
      <c r="DM85" s="135"/>
    </row>
    <row r="86" spans="8:120" x14ac:dyDescent="0.35">
      <c r="M86" s="135"/>
      <c r="Z86" s="135"/>
      <c r="AM86" s="135"/>
      <c r="AZ86" s="135"/>
      <c r="BM86" s="135"/>
      <c r="BZ86" s="135"/>
      <c r="CM86" s="135"/>
      <c r="CZ86" s="135"/>
      <c r="DM86" s="135"/>
    </row>
    <row r="87" spans="8:120" x14ac:dyDescent="0.35">
      <c r="M87" s="135"/>
      <c r="Z87" s="135"/>
      <c r="AM87" s="135"/>
      <c r="AZ87" s="135"/>
      <c r="BM87" s="135"/>
      <c r="BZ87" s="135"/>
      <c r="CM87" s="135"/>
      <c r="CZ87" s="135"/>
      <c r="DM87" s="135"/>
    </row>
    <row r="88" spans="8:120" x14ac:dyDescent="0.35">
      <c r="M88" s="135"/>
      <c r="Z88" s="135"/>
      <c r="AM88" s="135"/>
      <c r="AZ88" s="135"/>
      <c r="BM88" s="135"/>
      <c r="BZ88" s="135"/>
      <c r="CM88" s="135"/>
      <c r="CZ88" s="135"/>
      <c r="DM88" s="135"/>
    </row>
    <row r="89" spans="8:120" x14ac:dyDescent="0.35">
      <c r="M89" s="135"/>
      <c r="Z89" s="135"/>
      <c r="AM89" s="135"/>
      <c r="AZ89" s="135"/>
      <c r="BM89" s="135"/>
      <c r="BZ89" s="135"/>
      <c r="CM89" s="135"/>
      <c r="CZ89" s="135"/>
      <c r="DM89" s="135"/>
    </row>
    <row r="90" spans="8:120" x14ac:dyDescent="0.35">
      <c r="M90" s="135"/>
      <c r="Z90" s="135"/>
      <c r="AM90" s="135"/>
      <c r="AZ90" s="135"/>
      <c r="BM90" s="135"/>
      <c r="BZ90" s="135"/>
      <c r="CM90" s="135"/>
      <c r="CZ90" s="135"/>
      <c r="DM90" s="135"/>
    </row>
    <row r="91" spans="8:120" x14ac:dyDescent="0.35">
      <c r="M91" s="135"/>
      <c r="Z91" s="135"/>
      <c r="AM91" s="135"/>
      <c r="AZ91" s="135"/>
      <c r="BM91" s="135"/>
      <c r="BZ91" s="135"/>
      <c r="CM91" s="135"/>
      <c r="CZ91" s="135"/>
      <c r="DM91" s="135"/>
    </row>
    <row r="92" spans="8:120" x14ac:dyDescent="0.35">
      <c r="M92" s="135"/>
      <c r="Z92" s="135"/>
      <c r="AM92" s="135"/>
      <c r="AZ92" s="135"/>
      <c r="BM92" s="135"/>
      <c r="BZ92" s="135"/>
      <c r="CM92" s="135"/>
      <c r="CZ92" s="135"/>
      <c r="DM92" s="135"/>
    </row>
    <row r="93" spans="8:120" x14ac:dyDescent="0.35">
      <c r="M93" s="135"/>
      <c r="Z93" s="135"/>
      <c r="AM93" s="135"/>
      <c r="AZ93" s="135"/>
      <c r="BM93" s="135"/>
      <c r="BZ93" s="135"/>
      <c r="CM93" s="135"/>
      <c r="CZ93" s="135"/>
      <c r="DM93" s="135"/>
    </row>
    <row r="94" spans="8:120" x14ac:dyDescent="0.35">
      <c r="M94" s="135"/>
      <c r="Z94" s="135"/>
      <c r="AM94" s="135"/>
      <c r="AZ94" s="135"/>
      <c r="BM94" s="135"/>
      <c r="BZ94" s="135"/>
      <c r="CM94" s="135"/>
      <c r="CZ94" s="135"/>
      <c r="DM94" s="135"/>
    </row>
    <row r="95" spans="8:120" x14ac:dyDescent="0.35">
      <c r="M95" s="135"/>
      <c r="Z95" s="135"/>
      <c r="AM95" s="135"/>
      <c r="AZ95" s="135"/>
      <c r="BM95" s="135"/>
      <c r="BZ95" s="135"/>
      <c r="CM95" s="135"/>
      <c r="CZ95" s="135"/>
      <c r="DM95" s="135"/>
    </row>
    <row r="96" spans="8:120" x14ac:dyDescent="0.35">
      <c r="M96" s="135"/>
      <c r="Z96" s="135"/>
      <c r="AM96" s="135"/>
      <c r="AZ96" s="135"/>
      <c r="BM96" s="135"/>
      <c r="BZ96" s="135"/>
      <c r="CM96" s="135"/>
      <c r="CZ96" s="135"/>
      <c r="DM96" s="135"/>
    </row>
    <row r="97" spans="13:117" x14ac:dyDescent="0.35">
      <c r="M97" s="135"/>
      <c r="Z97" s="135"/>
      <c r="AM97" s="135"/>
      <c r="AZ97" s="135"/>
      <c r="BM97" s="135"/>
      <c r="BZ97" s="135"/>
      <c r="CM97" s="135"/>
      <c r="CZ97" s="135"/>
      <c r="DM97" s="135"/>
    </row>
    <row r="98" spans="13:117" x14ac:dyDescent="0.35">
      <c r="M98" s="135"/>
      <c r="Z98" s="135"/>
      <c r="AM98" s="135"/>
      <c r="AZ98" s="135"/>
      <c r="BM98" s="135"/>
      <c r="BZ98" s="135"/>
      <c r="CM98" s="135"/>
      <c r="CZ98" s="135"/>
      <c r="DM98" s="135"/>
    </row>
    <row r="99" spans="13:117" x14ac:dyDescent="0.35">
      <c r="M99" s="135"/>
      <c r="Z99" s="135"/>
      <c r="AM99" s="135"/>
      <c r="AZ99" s="135"/>
      <c r="BM99" s="135"/>
      <c r="BZ99" s="135"/>
      <c r="CM99" s="135"/>
      <c r="CZ99" s="135"/>
      <c r="DM99" s="135"/>
    </row>
    <row r="100" spans="13:117" x14ac:dyDescent="0.35">
      <c r="M100" s="135"/>
      <c r="Z100" s="135"/>
      <c r="AM100" s="135"/>
      <c r="AZ100" s="135"/>
      <c r="BM100" s="135"/>
      <c r="BZ100" s="135"/>
      <c r="CM100" s="135"/>
      <c r="CZ100" s="135"/>
      <c r="DM100" s="135"/>
    </row>
    <row r="101" spans="13:117" x14ac:dyDescent="0.35">
      <c r="M101" s="135"/>
      <c r="Z101" s="135"/>
      <c r="AM101" s="135"/>
      <c r="AZ101" s="135"/>
      <c r="BM101" s="135"/>
      <c r="BZ101" s="135"/>
      <c r="CM101" s="135"/>
      <c r="CZ101" s="135"/>
      <c r="DM101" s="135"/>
    </row>
    <row r="102" spans="13:117" x14ac:dyDescent="0.35">
      <c r="M102" s="135"/>
      <c r="Z102" s="135"/>
      <c r="AM102" s="135"/>
      <c r="AZ102" s="135"/>
      <c r="BM102" s="135"/>
      <c r="BZ102" s="135"/>
      <c r="CM102" s="135"/>
      <c r="CZ102" s="135"/>
      <c r="DM102" s="135"/>
    </row>
    <row r="103" spans="13:117" x14ac:dyDescent="0.35">
      <c r="M103" s="135"/>
      <c r="Z103" s="135"/>
      <c r="AM103" s="135"/>
      <c r="AZ103" s="135"/>
      <c r="BM103" s="135"/>
      <c r="BZ103" s="135"/>
      <c r="CM103" s="135"/>
      <c r="CZ103" s="135"/>
      <c r="DM103" s="135"/>
    </row>
    <row r="104" spans="13:117" x14ac:dyDescent="0.35">
      <c r="M104" s="135"/>
      <c r="Z104" s="135"/>
      <c r="AM104" s="135"/>
      <c r="AZ104" s="135"/>
      <c r="BM104" s="135"/>
      <c r="BZ104" s="135"/>
      <c r="CM104" s="135"/>
      <c r="CZ104" s="135"/>
      <c r="DM104" s="135"/>
    </row>
    <row r="105" spans="13:117" x14ac:dyDescent="0.35">
      <c r="M105" s="135"/>
      <c r="Z105" s="135"/>
      <c r="AM105" s="135"/>
      <c r="AZ105" s="135"/>
      <c r="BM105" s="135"/>
      <c r="BZ105" s="135"/>
      <c r="CM105" s="135"/>
      <c r="CZ105" s="135"/>
      <c r="DM105" s="135"/>
    </row>
    <row r="106" spans="13:117" x14ac:dyDescent="0.35">
      <c r="M106" s="135"/>
      <c r="Z106" s="135"/>
      <c r="AM106" s="135"/>
      <c r="AZ106" s="135"/>
      <c r="BM106" s="135"/>
      <c r="BZ106" s="135"/>
      <c r="CM106" s="135"/>
      <c r="CZ106" s="135"/>
      <c r="DM106" s="135"/>
    </row>
    <row r="107" spans="13:117" x14ac:dyDescent="0.35">
      <c r="M107" s="135"/>
      <c r="Z107" s="135"/>
      <c r="AM107" s="135"/>
      <c r="AZ107" s="135"/>
      <c r="BM107" s="135"/>
      <c r="BZ107" s="135"/>
      <c r="CM107" s="135"/>
      <c r="CZ107" s="135"/>
      <c r="DM107" s="135"/>
    </row>
    <row r="108" spans="13:117" x14ac:dyDescent="0.35">
      <c r="M108" s="135"/>
      <c r="Z108" s="135"/>
      <c r="AM108" s="135"/>
      <c r="AZ108" s="135"/>
      <c r="BM108" s="135"/>
      <c r="BZ108" s="135"/>
      <c r="CM108" s="135"/>
      <c r="CZ108" s="135"/>
      <c r="DM108" s="135"/>
    </row>
    <row r="109" spans="13:117" x14ac:dyDescent="0.35">
      <c r="M109" s="135"/>
      <c r="Z109" s="135"/>
      <c r="AM109" s="135"/>
      <c r="AZ109" s="135"/>
      <c r="BM109" s="135"/>
      <c r="BZ109" s="135"/>
      <c r="CM109" s="135"/>
      <c r="CZ109" s="135"/>
      <c r="DM109" s="135"/>
    </row>
    <row r="110" spans="13:117" x14ac:dyDescent="0.35">
      <c r="M110" s="135"/>
      <c r="Z110" s="135"/>
      <c r="AM110" s="135"/>
      <c r="AZ110" s="135"/>
      <c r="BM110" s="135"/>
      <c r="BZ110" s="135"/>
      <c r="CM110" s="135"/>
      <c r="CZ110" s="135"/>
      <c r="DM110" s="135"/>
    </row>
    <row r="111" spans="13:117" x14ac:dyDescent="0.35">
      <c r="M111" s="135"/>
      <c r="Z111" s="135"/>
      <c r="AM111" s="135"/>
      <c r="AZ111" s="135"/>
      <c r="BM111" s="135"/>
      <c r="BZ111" s="135"/>
      <c r="CM111" s="135"/>
      <c r="CZ111" s="135"/>
      <c r="DM111" s="135"/>
    </row>
    <row r="112" spans="13:117" x14ac:dyDescent="0.35">
      <c r="M112" s="135"/>
      <c r="Z112" s="135"/>
      <c r="AM112" s="135"/>
      <c r="AZ112" s="135"/>
      <c r="BM112" s="135"/>
      <c r="BZ112" s="135"/>
      <c r="CM112" s="135"/>
      <c r="CZ112" s="135"/>
      <c r="DM112" s="135"/>
    </row>
    <row r="113" spans="13:117" x14ac:dyDescent="0.35">
      <c r="M113" s="135"/>
      <c r="Z113" s="135"/>
      <c r="AM113" s="135"/>
      <c r="AZ113" s="135"/>
      <c r="BM113" s="135"/>
      <c r="BZ113" s="135"/>
      <c r="CM113" s="135"/>
      <c r="CZ113" s="135"/>
      <c r="DM113" s="135"/>
    </row>
    <row r="114" spans="13:117" x14ac:dyDescent="0.35">
      <c r="M114" s="135"/>
      <c r="Z114" s="135"/>
      <c r="AM114" s="135"/>
      <c r="AZ114" s="135"/>
      <c r="BM114" s="135"/>
      <c r="BZ114" s="135"/>
      <c r="CM114" s="135"/>
      <c r="CZ114" s="135"/>
      <c r="DM114" s="135"/>
    </row>
    <row r="115" spans="13:117" x14ac:dyDescent="0.35">
      <c r="M115" s="135"/>
      <c r="Z115" s="135"/>
      <c r="AM115" s="135"/>
      <c r="AZ115" s="135"/>
      <c r="BM115" s="135"/>
      <c r="BZ115" s="135"/>
      <c r="CM115" s="135"/>
      <c r="CZ115" s="135"/>
      <c r="DM115" s="135"/>
    </row>
    <row r="116" spans="13:117" x14ac:dyDescent="0.35">
      <c r="M116" s="135"/>
      <c r="Z116" s="135"/>
      <c r="AM116" s="135"/>
      <c r="AZ116" s="135"/>
      <c r="BM116" s="135"/>
      <c r="BZ116" s="135"/>
      <c r="CM116" s="135"/>
      <c r="CZ116" s="135"/>
      <c r="DM116" s="135"/>
    </row>
    <row r="117" spans="13:117" x14ac:dyDescent="0.35">
      <c r="M117" s="135"/>
      <c r="Z117" s="135"/>
      <c r="AM117" s="135"/>
      <c r="AZ117" s="135"/>
      <c r="BM117" s="135"/>
      <c r="BZ117" s="135"/>
      <c r="CM117" s="135"/>
      <c r="CZ117" s="135"/>
      <c r="DM117" s="135"/>
    </row>
    <row r="118" spans="13:117" x14ac:dyDescent="0.35">
      <c r="M118" s="135"/>
      <c r="Z118" s="135"/>
      <c r="AM118" s="135"/>
      <c r="AZ118" s="135"/>
      <c r="BM118" s="135"/>
      <c r="BZ118" s="135"/>
      <c r="CM118" s="135"/>
      <c r="CZ118" s="135"/>
      <c r="DM118" s="135"/>
    </row>
    <row r="119" spans="13:117" x14ac:dyDescent="0.35">
      <c r="M119" s="135"/>
      <c r="Z119" s="135"/>
      <c r="AM119" s="135"/>
      <c r="AZ119" s="135"/>
      <c r="BM119" s="135"/>
      <c r="BZ119" s="135"/>
      <c r="CM119" s="135"/>
      <c r="CZ119" s="135"/>
      <c r="DM119" s="135"/>
    </row>
    <row r="120" spans="13:117" x14ac:dyDescent="0.35">
      <c r="M120" s="135"/>
      <c r="Z120" s="135"/>
      <c r="AM120" s="135"/>
      <c r="AZ120" s="135"/>
      <c r="BM120" s="135"/>
      <c r="BZ120" s="135"/>
      <c r="CM120" s="135"/>
      <c r="CZ120" s="135"/>
      <c r="DM120" s="135"/>
    </row>
    <row r="121" spans="13:117" x14ac:dyDescent="0.35">
      <c r="M121" s="135"/>
      <c r="Z121" s="135"/>
      <c r="AM121" s="135"/>
      <c r="AZ121" s="135"/>
      <c r="BM121" s="135"/>
      <c r="BZ121" s="135"/>
      <c r="CM121" s="135"/>
      <c r="CZ121" s="135"/>
      <c r="DM121" s="135"/>
    </row>
    <row r="122" spans="13:117" x14ac:dyDescent="0.35">
      <c r="M122" s="135"/>
      <c r="Z122" s="135"/>
      <c r="AM122" s="135"/>
      <c r="AZ122" s="135"/>
      <c r="BM122" s="135"/>
      <c r="BZ122" s="135"/>
      <c r="CM122" s="135"/>
      <c r="CZ122" s="135"/>
      <c r="DM122" s="135"/>
    </row>
    <row r="123" spans="13:117" x14ac:dyDescent="0.35">
      <c r="M123" s="135"/>
      <c r="Z123" s="135"/>
      <c r="AM123" s="135"/>
      <c r="AZ123" s="135"/>
      <c r="BM123" s="135"/>
      <c r="BZ123" s="135"/>
      <c r="CM123" s="135"/>
      <c r="CZ123" s="135"/>
      <c r="DM123" s="135"/>
    </row>
    <row r="124" spans="13:117" x14ac:dyDescent="0.35">
      <c r="M124" s="135"/>
      <c r="Z124" s="135"/>
      <c r="AM124" s="135"/>
      <c r="AZ124" s="135"/>
      <c r="BM124" s="135"/>
      <c r="BZ124" s="135"/>
      <c r="CM124" s="135"/>
      <c r="CZ124" s="135"/>
      <c r="DM124" s="135"/>
    </row>
    <row r="125" spans="13:117" x14ac:dyDescent="0.35">
      <c r="M125" s="135"/>
      <c r="Z125" s="135"/>
      <c r="AM125" s="135"/>
      <c r="AZ125" s="135"/>
      <c r="BM125" s="135"/>
      <c r="BZ125" s="135"/>
      <c r="CM125" s="135"/>
      <c r="CZ125" s="135"/>
      <c r="DM125" s="135"/>
    </row>
    <row r="126" spans="13:117" x14ac:dyDescent="0.35">
      <c r="M126" s="135"/>
      <c r="Z126" s="135"/>
      <c r="AM126" s="135"/>
      <c r="AZ126" s="135"/>
      <c r="BM126" s="135"/>
      <c r="BZ126" s="135"/>
      <c r="CM126" s="135"/>
      <c r="CZ126" s="135"/>
      <c r="DM126" s="135"/>
    </row>
    <row r="127" spans="13:117" x14ac:dyDescent="0.35">
      <c r="M127" s="135"/>
      <c r="Z127" s="135"/>
      <c r="AM127" s="135"/>
      <c r="AZ127" s="135"/>
      <c r="BM127" s="135"/>
      <c r="BZ127" s="135"/>
      <c r="CM127" s="135"/>
      <c r="CZ127" s="135"/>
      <c r="DM127" s="135"/>
    </row>
    <row r="128" spans="13:117" x14ac:dyDescent="0.35">
      <c r="M128" s="135"/>
      <c r="Z128" s="135"/>
      <c r="AM128" s="135"/>
      <c r="AZ128" s="135"/>
      <c r="BM128" s="135"/>
      <c r="BZ128" s="135"/>
      <c r="CM128" s="135"/>
      <c r="CZ128" s="135"/>
      <c r="DM128" s="135"/>
    </row>
    <row r="129" spans="13:117" x14ac:dyDescent="0.35">
      <c r="M129" s="135"/>
      <c r="Z129" s="135"/>
      <c r="AM129" s="135"/>
      <c r="AZ129" s="135"/>
      <c r="BM129" s="135"/>
      <c r="BZ129" s="135"/>
      <c r="CM129" s="135"/>
      <c r="CZ129" s="135"/>
      <c r="DM129" s="135"/>
    </row>
    <row r="130" spans="13:117" x14ac:dyDescent="0.35">
      <c r="M130" s="135"/>
      <c r="Z130" s="135"/>
      <c r="AM130" s="135"/>
      <c r="AZ130" s="135"/>
      <c r="BM130" s="135"/>
      <c r="BZ130" s="135"/>
      <c r="CM130" s="135"/>
      <c r="CZ130" s="135"/>
      <c r="DM130" s="135"/>
    </row>
    <row r="131" spans="13:117" x14ac:dyDescent="0.35">
      <c r="M131" s="135"/>
      <c r="Z131" s="135"/>
      <c r="AM131" s="135"/>
      <c r="AZ131" s="135"/>
      <c r="BM131" s="135"/>
      <c r="BZ131" s="135"/>
      <c r="CM131" s="135"/>
      <c r="CZ131" s="135"/>
      <c r="DM131" s="135"/>
    </row>
    <row r="132" spans="13:117" x14ac:dyDescent="0.35">
      <c r="M132" s="135"/>
      <c r="Z132" s="135"/>
      <c r="AM132" s="135"/>
      <c r="AZ132" s="135"/>
      <c r="BM132" s="135"/>
      <c r="BZ132" s="135"/>
      <c r="CM132" s="135"/>
      <c r="CZ132" s="135"/>
      <c r="DM132" s="135"/>
    </row>
    <row r="133" spans="13:117" x14ac:dyDescent="0.35">
      <c r="M133" s="135"/>
      <c r="Z133" s="135"/>
      <c r="AM133" s="135"/>
      <c r="AZ133" s="135"/>
      <c r="BM133" s="135"/>
      <c r="BZ133" s="135"/>
      <c r="CM133" s="135"/>
      <c r="CZ133" s="135"/>
      <c r="DM133" s="135"/>
    </row>
    <row r="134" spans="13:117" x14ac:dyDescent="0.35">
      <c r="M134" s="135"/>
      <c r="Z134" s="135"/>
      <c r="AM134" s="135"/>
      <c r="AZ134" s="135"/>
      <c r="BM134" s="135"/>
      <c r="BZ134" s="135"/>
      <c r="CM134" s="135"/>
      <c r="CZ134" s="135"/>
      <c r="DM134" s="135"/>
    </row>
    <row r="135" spans="13:117" x14ac:dyDescent="0.35">
      <c r="M135" s="135"/>
      <c r="Z135" s="135"/>
      <c r="AM135" s="135"/>
      <c r="AZ135" s="135"/>
      <c r="BM135" s="135"/>
      <c r="BZ135" s="135"/>
      <c r="CM135" s="135"/>
      <c r="CZ135" s="135"/>
      <c r="DM135" s="135"/>
    </row>
    <row r="136" spans="13:117" x14ac:dyDescent="0.35">
      <c r="M136" s="135"/>
      <c r="Z136" s="135"/>
      <c r="AM136" s="135"/>
      <c r="AZ136" s="135"/>
      <c r="BM136" s="135"/>
      <c r="BZ136" s="135"/>
      <c r="CM136" s="135"/>
      <c r="CZ136" s="135"/>
      <c r="DM136" s="135"/>
    </row>
    <row r="137" spans="13:117" x14ac:dyDescent="0.35">
      <c r="M137" s="135"/>
      <c r="Z137" s="135"/>
      <c r="AM137" s="135"/>
      <c r="AZ137" s="135"/>
      <c r="BM137" s="135"/>
      <c r="BZ137" s="135"/>
      <c r="CM137" s="135"/>
      <c r="CZ137" s="135"/>
      <c r="DM137" s="135"/>
    </row>
    <row r="138" spans="13:117" x14ac:dyDescent="0.35">
      <c r="M138" s="135"/>
      <c r="Z138" s="135"/>
      <c r="AM138" s="135"/>
      <c r="AZ138" s="135"/>
      <c r="BM138" s="135"/>
      <c r="BZ138" s="135"/>
      <c r="CM138" s="135"/>
      <c r="CZ138" s="135"/>
      <c r="DM138" s="135"/>
    </row>
    <row r="139" spans="13:117" x14ac:dyDescent="0.35">
      <c r="M139" s="135"/>
      <c r="Z139" s="135"/>
      <c r="AM139" s="135"/>
      <c r="AZ139" s="135"/>
      <c r="BM139" s="135"/>
      <c r="BZ139" s="135"/>
      <c r="CM139" s="135"/>
      <c r="CZ139" s="135"/>
      <c r="DM139" s="135"/>
    </row>
    <row r="140" spans="13:117" x14ac:dyDescent="0.35">
      <c r="M140" s="135"/>
      <c r="Z140" s="135"/>
      <c r="AM140" s="135"/>
      <c r="AZ140" s="135"/>
      <c r="BM140" s="135"/>
      <c r="BZ140" s="135"/>
      <c r="CM140" s="135"/>
      <c r="CZ140" s="135"/>
      <c r="DM140" s="135"/>
    </row>
    <row r="141" spans="13:117" x14ac:dyDescent="0.35">
      <c r="M141" s="135"/>
      <c r="Z141" s="135"/>
      <c r="AM141" s="135"/>
      <c r="AZ141" s="135"/>
      <c r="BM141" s="135"/>
      <c r="BZ141" s="135"/>
      <c r="CM141" s="135"/>
      <c r="CZ141" s="135"/>
      <c r="DM141" s="135"/>
    </row>
    <row r="142" spans="13:117" x14ac:dyDescent="0.35">
      <c r="M142" s="135"/>
      <c r="Z142" s="135"/>
      <c r="AM142" s="135"/>
      <c r="AZ142" s="135"/>
      <c r="BM142" s="135"/>
      <c r="BZ142" s="135"/>
      <c r="CM142" s="135"/>
      <c r="CZ142" s="135"/>
      <c r="DM142" s="135"/>
    </row>
    <row r="143" spans="13:117" x14ac:dyDescent="0.35">
      <c r="M143" s="135"/>
      <c r="Z143" s="135"/>
      <c r="AM143" s="135"/>
      <c r="AZ143" s="135"/>
      <c r="BM143" s="135"/>
      <c r="BZ143" s="135"/>
      <c r="CM143" s="135"/>
      <c r="CZ143" s="135"/>
      <c r="DM143" s="135"/>
    </row>
    <row r="144" spans="13:117" x14ac:dyDescent="0.35">
      <c r="M144" s="135"/>
      <c r="Z144" s="135"/>
      <c r="AM144" s="135"/>
      <c r="AZ144" s="135"/>
      <c r="BM144" s="135"/>
      <c r="BZ144" s="135"/>
      <c r="CM144" s="135"/>
      <c r="CZ144" s="135"/>
      <c r="DM144" s="135"/>
    </row>
    <row r="145" spans="13:117" x14ac:dyDescent="0.35">
      <c r="M145" s="135"/>
      <c r="Z145" s="135"/>
      <c r="AM145" s="135"/>
      <c r="AZ145" s="135"/>
      <c r="BM145" s="135"/>
      <c r="BZ145" s="135"/>
      <c r="CM145" s="135"/>
      <c r="CZ145" s="135"/>
      <c r="DM145" s="135"/>
    </row>
    <row r="146" spans="13:117" x14ac:dyDescent="0.35">
      <c r="M146" s="135"/>
      <c r="Z146" s="135"/>
      <c r="AM146" s="135"/>
      <c r="AZ146" s="135"/>
      <c r="BM146" s="135"/>
      <c r="BZ146" s="135"/>
      <c r="CM146" s="135"/>
      <c r="CZ146" s="135"/>
      <c r="DM146" s="135"/>
    </row>
    <row r="147" spans="13:117" x14ac:dyDescent="0.35">
      <c r="M147" s="135"/>
      <c r="Z147" s="135"/>
      <c r="AM147" s="135"/>
      <c r="AZ147" s="135"/>
      <c r="BM147" s="135"/>
      <c r="BZ147" s="135"/>
      <c r="CM147" s="135"/>
      <c r="CZ147" s="135"/>
      <c r="DM147" s="135"/>
    </row>
    <row r="148" spans="13:117" x14ac:dyDescent="0.35">
      <c r="M148" s="135"/>
      <c r="Z148" s="135"/>
      <c r="AM148" s="135"/>
      <c r="AZ148" s="135"/>
      <c r="BM148" s="135"/>
      <c r="BZ148" s="135"/>
      <c r="CM148" s="135"/>
      <c r="CZ148" s="135"/>
      <c r="DM148" s="135"/>
    </row>
    <row r="149" spans="13:117" x14ac:dyDescent="0.35">
      <c r="M149" s="135"/>
      <c r="Z149" s="135"/>
      <c r="AM149" s="135"/>
      <c r="AZ149" s="135"/>
      <c r="BM149" s="135"/>
      <c r="BZ149" s="135"/>
      <c r="CM149" s="135"/>
      <c r="CZ149" s="135"/>
      <c r="DM149" s="135"/>
    </row>
    <row r="150" spans="13:117" x14ac:dyDescent="0.35">
      <c r="M150" s="135"/>
      <c r="Z150" s="135"/>
      <c r="AM150" s="135"/>
      <c r="AZ150" s="135"/>
      <c r="BM150" s="135"/>
      <c r="BZ150" s="135"/>
      <c r="CM150" s="135"/>
      <c r="CZ150" s="135"/>
      <c r="DM150" s="135"/>
    </row>
    <row r="151" spans="13:117" x14ac:dyDescent="0.35">
      <c r="M151" s="135"/>
      <c r="Z151" s="135"/>
      <c r="AM151" s="135"/>
      <c r="AZ151" s="135"/>
      <c r="BM151" s="135"/>
      <c r="BZ151" s="135"/>
      <c r="CM151" s="135"/>
      <c r="CZ151" s="135"/>
      <c r="DM151" s="135"/>
    </row>
    <row r="152" spans="13:117" x14ac:dyDescent="0.35">
      <c r="M152" s="135"/>
      <c r="Z152" s="135"/>
      <c r="AM152" s="135"/>
      <c r="AZ152" s="135"/>
      <c r="BM152" s="135"/>
      <c r="BZ152" s="135"/>
      <c r="CM152" s="135"/>
      <c r="CZ152" s="135"/>
      <c r="DM152" s="135"/>
    </row>
    <row r="153" spans="13:117" x14ac:dyDescent="0.35">
      <c r="M153" s="135"/>
      <c r="Z153" s="135"/>
      <c r="AM153" s="135"/>
      <c r="AZ153" s="135"/>
      <c r="BM153" s="135"/>
      <c r="BZ153" s="135"/>
      <c r="CM153" s="135"/>
      <c r="CZ153" s="135"/>
      <c r="DM153" s="135"/>
    </row>
    <row r="154" spans="13:117" x14ac:dyDescent="0.35">
      <c r="M154" s="135"/>
      <c r="Z154" s="135"/>
      <c r="AM154" s="135"/>
      <c r="AZ154" s="135"/>
      <c r="BM154" s="135"/>
      <c r="BZ154" s="135"/>
      <c r="CM154" s="135"/>
      <c r="CZ154" s="135"/>
      <c r="DM154" s="135"/>
    </row>
    <row r="155" spans="13:117" x14ac:dyDescent="0.35">
      <c r="M155" s="135"/>
      <c r="Z155" s="135"/>
      <c r="AM155" s="135"/>
      <c r="AZ155" s="135"/>
      <c r="BM155" s="135"/>
      <c r="BZ155" s="135"/>
      <c r="CM155" s="135"/>
      <c r="CZ155" s="135"/>
      <c r="DM155" s="135"/>
    </row>
    <row r="156" spans="13:117" x14ac:dyDescent="0.35">
      <c r="M156" s="135"/>
      <c r="Z156" s="135"/>
      <c r="AM156" s="135"/>
      <c r="AZ156" s="135"/>
      <c r="BM156" s="135"/>
      <c r="BZ156" s="135"/>
      <c r="CM156" s="135"/>
      <c r="CZ156" s="135"/>
      <c r="DM156" s="135"/>
    </row>
    <row r="157" spans="13:117" x14ac:dyDescent="0.35">
      <c r="M157" s="135"/>
      <c r="Z157" s="135"/>
      <c r="AM157" s="135"/>
      <c r="AZ157" s="135"/>
      <c r="BM157" s="135"/>
      <c r="BZ157" s="135"/>
      <c r="CM157" s="135"/>
      <c r="CZ157" s="135"/>
      <c r="DM157" s="135"/>
    </row>
    <row r="158" spans="13:117" x14ac:dyDescent="0.35">
      <c r="M158" s="135"/>
      <c r="Z158" s="135"/>
      <c r="AM158" s="135"/>
      <c r="AZ158" s="135"/>
      <c r="BM158" s="135"/>
      <c r="BZ158" s="135"/>
      <c r="CM158" s="135"/>
      <c r="CZ158" s="135"/>
      <c r="DM158" s="135"/>
    </row>
    <row r="159" spans="13:117" x14ac:dyDescent="0.35">
      <c r="M159" s="135"/>
      <c r="Z159" s="135"/>
      <c r="AM159" s="135"/>
      <c r="AZ159" s="135"/>
      <c r="BM159" s="135"/>
      <c r="BZ159" s="135"/>
      <c r="CM159" s="135"/>
      <c r="CZ159" s="135"/>
      <c r="DM159" s="135"/>
    </row>
    <row r="160" spans="13:117" x14ac:dyDescent="0.35">
      <c r="M160" s="135"/>
      <c r="Z160" s="135"/>
      <c r="AM160" s="135"/>
      <c r="AZ160" s="135"/>
      <c r="BM160" s="135"/>
      <c r="BZ160" s="135"/>
      <c r="CM160" s="135"/>
      <c r="CZ160" s="135"/>
      <c r="DM160" s="135"/>
    </row>
    <row r="161" spans="13:117" x14ac:dyDescent="0.35">
      <c r="M161" s="135"/>
      <c r="Z161" s="135"/>
      <c r="AM161" s="135"/>
      <c r="AZ161" s="135"/>
      <c r="BM161" s="135"/>
      <c r="BZ161" s="135"/>
      <c r="CM161" s="135"/>
      <c r="CZ161" s="135"/>
      <c r="DM161" s="135"/>
    </row>
    <row r="162" spans="13:117" x14ac:dyDescent="0.35">
      <c r="M162" s="135"/>
      <c r="Z162" s="135"/>
      <c r="AM162" s="135"/>
      <c r="AZ162" s="135"/>
      <c r="BM162" s="135"/>
      <c r="BZ162" s="135"/>
      <c r="CM162" s="135"/>
      <c r="CZ162" s="135"/>
      <c r="DM162" s="135"/>
    </row>
    <row r="163" spans="13:117" x14ac:dyDescent="0.35">
      <c r="M163" s="135"/>
      <c r="Z163" s="135"/>
      <c r="AM163" s="135"/>
      <c r="AZ163" s="135"/>
      <c r="BM163" s="135"/>
      <c r="BZ163" s="135"/>
      <c r="CM163" s="135"/>
      <c r="CZ163" s="135"/>
      <c r="DM163" s="135"/>
    </row>
    <row r="164" spans="13:117" x14ac:dyDescent="0.35">
      <c r="M164" s="135"/>
      <c r="Z164" s="135"/>
      <c r="AM164" s="135"/>
      <c r="AZ164" s="135"/>
      <c r="BM164" s="135"/>
      <c r="BZ164" s="135"/>
      <c r="CM164" s="135"/>
      <c r="CZ164" s="135"/>
      <c r="DM164" s="135"/>
    </row>
    <row r="165" spans="13:117" x14ac:dyDescent="0.35">
      <c r="M165" s="135"/>
      <c r="Z165" s="135"/>
      <c r="AM165" s="135"/>
      <c r="AZ165" s="135"/>
      <c r="BM165" s="135"/>
      <c r="BZ165" s="135"/>
      <c r="CM165" s="135"/>
      <c r="CZ165" s="135"/>
      <c r="DM165" s="135"/>
    </row>
    <row r="166" spans="13:117" x14ac:dyDescent="0.35">
      <c r="M166" s="135"/>
      <c r="Z166" s="135"/>
      <c r="AM166" s="135"/>
      <c r="AZ166" s="135"/>
      <c r="BM166" s="135"/>
      <c r="BZ166" s="135"/>
      <c r="CM166" s="135"/>
      <c r="CZ166" s="135"/>
      <c r="DM166" s="135"/>
    </row>
    <row r="167" spans="13:117" x14ac:dyDescent="0.35">
      <c r="M167" s="135"/>
      <c r="Z167" s="135"/>
      <c r="AM167" s="135"/>
      <c r="AZ167" s="135"/>
      <c r="BM167" s="135"/>
      <c r="BZ167" s="135"/>
      <c r="CM167" s="135"/>
      <c r="CZ167" s="135"/>
      <c r="DM167" s="135"/>
    </row>
    <row r="168" spans="13:117" x14ac:dyDescent="0.35">
      <c r="M168" s="135"/>
      <c r="Z168" s="135"/>
      <c r="AM168" s="135"/>
      <c r="AZ168" s="135"/>
      <c r="BM168" s="135"/>
      <c r="BZ168" s="135"/>
      <c r="CM168" s="135"/>
      <c r="CZ168" s="135"/>
      <c r="DM168" s="135"/>
    </row>
    <row r="169" spans="13:117" x14ac:dyDescent="0.35">
      <c r="M169" s="135"/>
      <c r="Z169" s="135"/>
      <c r="AM169" s="135"/>
      <c r="AZ169" s="135"/>
      <c r="BM169" s="135"/>
      <c r="BZ169" s="135"/>
      <c r="CM169" s="135"/>
      <c r="CZ169" s="135"/>
      <c r="DM169" s="135"/>
    </row>
    <row r="170" spans="13:117" x14ac:dyDescent="0.35">
      <c r="M170" s="135"/>
      <c r="Z170" s="135"/>
      <c r="AM170" s="135"/>
      <c r="AZ170" s="135"/>
      <c r="BM170" s="135"/>
      <c r="BZ170" s="135"/>
      <c r="CM170" s="135"/>
      <c r="CZ170" s="135"/>
      <c r="DM170" s="135"/>
    </row>
    <row r="171" spans="13:117" x14ac:dyDescent="0.35">
      <c r="M171" s="135"/>
      <c r="Z171" s="135"/>
      <c r="AM171" s="135"/>
      <c r="AZ171" s="135"/>
      <c r="BM171" s="135"/>
      <c r="BZ171" s="135"/>
      <c r="CM171" s="135"/>
      <c r="CZ171" s="135"/>
      <c r="DM171" s="135"/>
    </row>
    <row r="172" spans="13:117" x14ac:dyDescent="0.35">
      <c r="M172" s="135"/>
      <c r="Z172" s="135"/>
      <c r="AM172" s="135"/>
      <c r="AZ172" s="135"/>
      <c r="BM172" s="135"/>
      <c r="BZ172" s="135"/>
      <c r="CM172" s="135"/>
      <c r="CZ172" s="135"/>
      <c r="DM172" s="135"/>
    </row>
    <row r="173" spans="13:117" x14ac:dyDescent="0.35">
      <c r="M173" s="135"/>
      <c r="Z173" s="135"/>
      <c r="AM173" s="135"/>
      <c r="AZ173" s="135"/>
      <c r="BM173" s="135"/>
      <c r="BZ173" s="135"/>
      <c r="CM173" s="135"/>
      <c r="CZ173" s="135"/>
      <c r="DM173" s="135"/>
    </row>
    <row r="174" spans="13:117" x14ac:dyDescent="0.35">
      <c r="M174" s="135"/>
      <c r="Z174" s="135"/>
      <c r="AM174" s="135"/>
      <c r="AZ174" s="135"/>
      <c r="BM174" s="135"/>
      <c r="BZ174" s="135"/>
      <c r="CM174" s="135"/>
      <c r="CZ174" s="135"/>
      <c r="DM174" s="135"/>
    </row>
    <row r="175" spans="13:117" x14ac:dyDescent="0.35">
      <c r="M175" s="316"/>
      <c r="Z175" s="316"/>
      <c r="AM175" s="316"/>
      <c r="AZ175" s="316"/>
      <c r="BM175" s="316"/>
      <c r="BZ175" s="316"/>
      <c r="CM175" s="316"/>
      <c r="CZ175" s="316"/>
      <c r="DM175" s="316"/>
    </row>
    <row r="176" spans="13:117" x14ac:dyDescent="0.35">
      <c r="M176" s="318"/>
      <c r="Z176" s="318"/>
      <c r="AM176" s="318"/>
      <c r="AZ176" s="318"/>
      <c r="BM176" s="318"/>
      <c r="BZ176" s="318"/>
      <c r="CM176" s="318"/>
      <c r="CZ176" s="318"/>
      <c r="DM176" s="318"/>
    </row>
  </sheetData>
  <autoFilter ref="BE4:BP80" xr:uid="{00000000-0009-0000-0000-000004000000}"/>
  <sortState xmlns:xlrd2="http://schemas.microsoft.com/office/spreadsheetml/2017/richdata2" ref="R5:AA5">
    <sortCondition ref="R4"/>
  </sortState>
  <mergeCells count="17">
    <mergeCell ref="B18:B20"/>
    <mergeCell ref="B10:B12"/>
    <mergeCell ref="A5:B5"/>
    <mergeCell ref="AR3:BC3"/>
    <mergeCell ref="BE3:BP3"/>
    <mergeCell ref="A4:B4"/>
    <mergeCell ref="A3:B3"/>
    <mergeCell ref="E3:P3"/>
    <mergeCell ref="R3:AC3"/>
    <mergeCell ref="AE3:AP3"/>
    <mergeCell ref="B6:B8"/>
    <mergeCell ref="A16:B16"/>
    <mergeCell ref="B13:B14"/>
    <mergeCell ref="BR3:CC3"/>
    <mergeCell ref="CE3:CP3"/>
    <mergeCell ref="CR3:DC3"/>
    <mergeCell ref="DE3:DP3"/>
  </mergeCells>
  <phoneticPr fontId="38" type="noConversion"/>
  <conditionalFormatting sqref="AE11:AL80 AO5:AP9 AG5:AL10 AE5:AE10 AN10:AP80">
    <cfRule type="expression" dxfId="221" priority="21">
      <formula>$AO5=""</formula>
    </cfRule>
  </conditionalFormatting>
  <conditionalFormatting sqref="BB5:BC10 AR10:AY80 AR5:AR9 AT5:AY9 BA11:BC80">
    <cfRule type="expression" dxfId="220" priority="20">
      <formula>$BB5=""</formula>
    </cfRule>
  </conditionalFormatting>
  <conditionalFormatting sqref="BR13:BY80 CB5:CC12 BR5:BR12 BT5:BY12 CA13:CC80">
    <cfRule type="expression" dxfId="219" priority="18">
      <formula>$CB5=""</formula>
    </cfRule>
  </conditionalFormatting>
  <conditionalFormatting sqref="CE21:CL80 CO5:CP20 CL5:CL20 CE5:CJ20 CN21:CP80">
    <cfRule type="expression" dxfId="218" priority="17">
      <formula>$CO5=""</formula>
    </cfRule>
  </conditionalFormatting>
  <conditionalFormatting sqref="CR49:CY80 DB5:DC48 CR5:CR48 CT5:CY48 DA49:DC80">
    <cfRule type="expression" dxfId="217" priority="16">
      <formula>$DB5=""</formula>
    </cfRule>
  </conditionalFormatting>
  <conditionalFormatting sqref="BE21:BF80 BO5:BP20 BE5:BE20 BH5:BL80 BN21:BP80">
    <cfRule type="expression" dxfId="216" priority="14">
      <formula>$BO5=""</formula>
    </cfRule>
  </conditionalFormatting>
  <conditionalFormatting sqref="R33:Y80 R31:X32 AB5:AC31 R5:R30 T5:X30 AA32:AC80">
    <cfRule type="expression" dxfId="215" priority="13">
      <formula>$AB5=""</formula>
    </cfRule>
  </conditionalFormatting>
  <conditionalFormatting sqref="E57:L79 O5:P56 E5:E56 G5:L56 N57:P79">
    <cfRule type="expression" dxfId="214" priority="11">
      <formula>$O5=""</formula>
    </cfRule>
  </conditionalFormatting>
  <conditionalFormatting sqref="DE7:DL80 DN7:DN80">
    <cfRule type="expression" dxfId="213" priority="10">
      <formula>$DL7=""</formula>
    </cfRule>
  </conditionalFormatting>
  <conditionalFormatting sqref="Y5:Y31">
    <cfRule type="expression" dxfId="212" priority="1144">
      <formula>$AB5=""</formula>
    </cfRule>
  </conditionalFormatting>
  <conditionalFormatting sqref="DO5:DP6 DL5:DL6 DE5:DE6 DG5:DJ6">
    <cfRule type="expression" dxfId="211" priority="1146">
      <formula>$DO5=""</formula>
    </cfRule>
  </conditionalFormatting>
  <conditionalFormatting sqref="DM5:DM175">
    <cfRule type="expression" dxfId="210" priority="9">
      <formula>$P5=""</formula>
    </cfRule>
  </conditionalFormatting>
  <conditionalFormatting sqref="CZ5:CZ175">
    <cfRule type="expression" dxfId="209" priority="8">
      <formula>$P5=""</formula>
    </cfRule>
  </conditionalFormatting>
  <conditionalFormatting sqref="CM5:CM175">
    <cfRule type="expression" dxfId="208" priority="7">
      <formula>$P5=""</formula>
    </cfRule>
  </conditionalFormatting>
  <conditionalFormatting sqref="BZ5:BZ175">
    <cfRule type="expression" dxfId="207" priority="6">
      <formula>$P5=""</formula>
    </cfRule>
  </conditionalFormatting>
  <conditionalFormatting sqref="BM5:BM175">
    <cfRule type="expression" dxfId="206" priority="5">
      <formula>$P5=""</formula>
    </cfRule>
  </conditionalFormatting>
  <conditionalFormatting sqref="AZ5:AZ175">
    <cfRule type="expression" dxfId="205" priority="4">
      <formula>$P5=""</formula>
    </cfRule>
  </conditionalFormatting>
  <conditionalFormatting sqref="AM5:AM175">
    <cfRule type="expression" dxfId="204" priority="3">
      <formula>$P5=""</formula>
    </cfRule>
  </conditionalFormatting>
  <conditionalFormatting sqref="Z5:Z175">
    <cfRule type="expression" dxfId="203" priority="2">
      <formula>$P5=""</formula>
    </cfRule>
  </conditionalFormatting>
  <conditionalFormatting sqref="M5:M175">
    <cfRule type="expression" dxfId="202" priority="1">
      <formula>$P5=""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7">
    <pageSetUpPr fitToPage="1"/>
  </sheetPr>
  <dimension ref="A1:O122"/>
  <sheetViews>
    <sheetView tabSelected="1" zoomScale="90" zoomScaleNormal="90" workbookViewId="0">
      <selection activeCell="G46" sqref="G46"/>
    </sheetView>
  </sheetViews>
  <sheetFormatPr baseColWidth="10" defaultRowHeight="14.5" x14ac:dyDescent="0.35"/>
  <cols>
    <col min="1" max="1" width="16.81640625" customWidth="1"/>
    <col min="2" max="2" width="18.7265625" customWidth="1"/>
    <col min="3" max="3" width="13.1796875" customWidth="1"/>
    <col min="4" max="4" width="17" bestFit="1" customWidth="1"/>
    <col min="5" max="5" width="15.6328125" customWidth="1"/>
    <col min="6" max="6" width="20.26953125" bestFit="1" customWidth="1"/>
    <col min="7" max="7" width="12.08984375" bestFit="1" customWidth="1"/>
    <col min="8" max="8" width="13" customWidth="1"/>
    <col min="9" max="9" width="13.54296875" customWidth="1"/>
    <col min="10" max="10" width="21.7265625" customWidth="1"/>
    <col min="11" max="11" width="15.90625" bestFit="1" customWidth="1"/>
    <col min="12" max="12" width="14.26953125" bestFit="1" customWidth="1"/>
    <col min="13" max="13" width="27.7265625" customWidth="1"/>
    <col min="14" max="14" width="14.7265625" customWidth="1"/>
    <col min="16" max="16" width="13.81640625" bestFit="1" customWidth="1"/>
  </cols>
  <sheetData>
    <row r="1" spans="1:15" ht="27.65" customHeight="1" x14ac:dyDescent="0.35">
      <c r="A1" s="480" t="s">
        <v>99</v>
      </c>
      <c r="B1" s="480"/>
      <c r="C1" s="480"/>
      <c r="D1" s="480"/>
    </row>
    <row r="2" spans="1:15" ht="24" customHeight="1" x14ac:dyDescent="0.35">
      <c r="A2" s="481" t="s">
        <v>107</v>
      </c>
      <c r="B2" s="481"/>
      <c r="C2" s="481"/>
      <c r="D2" s="481"/>
      <c r="H2" s="483" t="s">
        <v>144</v>
      </c>
      <c r="I2" s="483"/>
      <c r="J2" s="270">
        <f ca="1">NOW()</f>
        <v>44131.96870046296</v>
      </c>
    </row>
    <row r="3" spans="1:15" ht="23.25" customHeight="1" x14ac:dyDescent="0.35">
      <c r="H3" s="482" t="s">
        <v>150</v>
      </c>
      <c r="I3" s="482"/>
      <c r="J3" s="438">
        <f ca="1">SUM(OFFSET($G$5,1,,COUNTA($G:$G)-1))</f>
        <v>48277.82999999998</v>
      </c>
    </row>
    <row r="5" spans="1:15" ht="39" x14ac:dyDescent="0.35">
      <c r="B5" s="296" t="s">
        <v>172</v>
      </c>
      <c r="C5" s="296" t="s">
        <v>173</v>
      </c>
      <c r="D5" s="71" t="s">
        <v>174</v>
      </c>
      <c r="E5" s="71" t="s">
        <v>34</v>
      </c>
      <c r="F5" s="71" t="s">
        <v>170</v>
      </c>
      <c r="G5" s="71" t="s">
        <v>171</v>
      </c>
      <c r="H5" s="71" t="s">
        <v>100</v>
      </c>
      <c r="I5" s="71" t="s">
        <v>36</v>
      </c>
      <c r="J5" s="71" t="s">
        <v>613</v>
      </c>
      <c r="K5" s="71" t="s">
        <v>169</v>
      </c>
      <c r="L5" s="71" t="s">
        <v>42</v>
      </c>
      <c r="M5" s="71" t="s">
        <v>45</v>
      </c>
      <c r="N5" s="285" t="s">
        <v>108</v>
      </c>
      <c r="O5" s="285" t="s">
        <v>109</v>
      </c>
    </row>
    <row r="6" spans="1:15" x14ac:dyDescent="0.35">
      <c r="B6" s="185">
        <v>43850</v>
      </c>
      <c r="C6" s="185"/>
      <c r="D6" s="163" t="s">
        <v>177</v>
      </c>
      <c r="E6" s="39">
        <v>152.71</v>
      </c>
      <c r="F6" s="39"/>
      <c r="G6" s="192">
        <f t="shared" ref="G6:G69" si="0">E6+F6</f>
        <v>152.71</v>
      </c>
      <c r="H6" s="39"/>
      <c r="I6" s="39" t="s">
        <v>1</v>
      </c>
      <c r="J6" s="39"/>
      <c r="K6" s="39"/>
      <c r="L6" s="39"/>
      <c r="M6" s="89">
        <v>44022</v>
      </c>
      <c r="N6" t="s">
        <v>626</v>
      </c>
      <c r="O6" t="s">
        <v>38</v>
      </c>
    </row>
    <row r="7" spans="1:15" x14ac:dyDescent="0.35">
      <c r="B7" s="185">
        <v>43858</v>
      </c>
      <c r="C7" s="185"/>
      <c r="D7" s="163" t="s">
        <v>178</v>
      </c>
      <c r="E7" s="39">
        <v>76.39</v>
      </c>
      <c r="F7" s="39"/>
      <c r="G7" s="192">
        <f t="shared" si="0"/>
        <v>76.39</v>
      </c>
      <c r="H7" s="39"/>
      <c r="I7" s="39" t="s">
        <v>1</v>
      </c>
      <c r="J7" s="39"/>
      <c r="K7" s="39"/>
      <c r="L7" s="39"/>
      <c r="M7" s="89">
        <v>44022</v>
      </c>
      <c r="N7" t="s">
        <v>626</v>
      </c>
      <c r="O7" t="s">
        <v>38</v>
      </c>
    </row>
    <row r="8" spans="1:15" x14ac:dyDescent="0.35">
      <c r="B8" s="185">
        <v>43861</v>
      </c>
      <c r="C8" s="185"/>
      <c r="D8" s="163" t="s">
        <v>179</v>
      </c>
      <c r="E8" s="39">
        <v>1319.8</v>
      </c>
      <c r="F8" s="39"/>
      <c r="G8" s="186">
        <f t="shared" si="0"/>
        <v>1319.8</v>
      </c>
      <c r="H8" s="39"/>
      <c r="I8" s="39" t="s">
        <v>1</v>
      </c>
      <c r="J8" s="39"/>
      <c r="K8" s="39"/>
      <c r="L8" s="39"/>
      <c r="M8" s="89">
        <v>43861</v>
      </c>
      <c r="N8" t="s">
        <v>626</v>
      </c>
      <c r="O8" t="s">
        <v>38</v>
      </c>
    </row>
    <row r="9" spans="1:15" x14ac:dyDescent="0.35">
      <c r="B9" s="134">
        <v>43861</v>
      </c>
      <c r="C9" s="134"/>
      <c r="D9" s="163" t="s">
        <v>180</v>
      </c>
      <c r="E9" s="40">
        <v>145.21</v>
      </c>
      <c r="F9" s="114">
        <v>12.34</v>
      </c>
      <c r="G9" s="40">
        <f t="shared" si="0"/>
        <v>157.55000000000001</v>
      </c>
      <c r="H9" s="114"/>
      <c r="I9" s="114" t="s">
        <v>1</v>
      </c>
      <c r="J9" s="114"/>
      <c r="K9" s="114"/>
      <c r="L9" s="114"/>
      <c r="M9" s="177">
        <v>44039</v>
      </c>
      <c r="N9" t="s">
        <v>626</v>
      </c>
      <c r="O9" t="s">
        <v>38</v>
      </c>
    </row>
    <row r="10" spans="1:15" x14ac:dyDescent="0.35">
      <c r="B10" s="185">
        <v>43865</v>
      </c>
      <c r="C10" s="185"/>
      <c r="D10" s="163" t="s">
        <v>181</v>
      </c>
      <c r="E10" s="186">
        <v>46.05</v>
      </c>
      <c r="F10" s="186">
        <v>3.91</v>
      </c>
      <c r="G10" s="186">
        <f t="shared" si="0"/>
        <v>49.959999999999994</v>
      </c>
      <c r="H10" s="186"/>
      <c r="I10" s="138" t="s">
        <v>2</v>
      </c>
      <c r="J10" s="138"/>
      <c r="K10" s="138"/>
      <c r="L10" s="138"/>
      <c r="M10" s="185">
        <v>43865</v>
      </c>
      <c r="N10" t="s">
        <v>626</v>
      </c>
      <c r="O10" t="s">
        <v>38</v>
      </c>
    </row>
    <row r="11" spans="1:15" x14ac:dyDescent="0.35">
      <c r="B11" s="185">
        <v>43865</v>
      </c>
      <c r="C11" s="185"/>
      <c r="D11" s="163" t="s">
        <v>182</v>
      </c>
      <c r="E11" s="39">
        <v>89.89</v>
      </c>
      <c r="F11" s="39"/>
      <c r="G11" s="186">
        <f t="shared" si="0"/>
        <v>89.89</v>
      </c>
      <c r="H11" s="39"/>
      <c r="I11" s="138" t="s">
        <v>2</v>
      </c>
      <c r="J11" s="138"/>
      <c r="K11" s="138"/>
      <c r="L11" s="39"/>
      <c r="M11" s="89">
        <v>43865</v>
      </c>
      <c r="N11" t="s">
        <v>626</v>
      </c>
      <c r="O11" t="s">
        <v>38</v>
      </c>
    </row>
    <row r="12" spans="1:15" x14ac:dyDescent="0.35">
      <c r="B12" s="161">
        <v>43878</v>
      </c>
      <c r="C12" s="161"/>
      <c r="D12" s="163" t="s">
        <v>183</v>
      </c>
      <c r="E12" s="167">
        <v>-289.44</v>
      </c>
      <c r="F12" s="167"/>
      <c r="G12" s="162">
        <f t="shared" si="0"/>
        <v>-289.44</v>
      </c>
      <c r="H12" s="167"/>
      <c r="I12" s="95" t="s">
        <v>2</v>
      </c>
      <c r="J12" s="95"/>
      <c r="K12" s="95"/>
      <c r="L12" s="167"/>
      <c r="M12" s="195">
        <v>44022</v>
      </c>
      <c r="N12" t="s">
        <v>626</v>
      </c>
      <c r="O12" t="s">
        <v>38</v>
      </c>
    </row>
    <row r="13" spans="1:15" x14ac:dyDescent="0.35">
      <c r="B13" s="185">
        <v>43889</v>
      </c>
      <c r="C13" s="185"/>
      <c r="D13" s="163" t="s">
        <v>184</v>
      </c>
      <c r="E13" s="39">
        <v>325.27</v>
      </c>
      <c r="F13" s="39"/>
      <c r="G13" s="191">
        <f t="shared" si="0"/>
        <v>325.27</v>
      </c>
      <c r="H13" s="39"/>
      <c r="I13" s="138" t="s">
        <v>2</v>
      </c>
      <c r="J13" s="138"/>
      <c r="K13" s="138"/>
      <c r="L13" s="39"/>
      <c r="M13" s="89">
        <v>44022</v>
      </c>
      <c r="N13" t="s">
        <v>626</v>
      </c>
      <c r="O13" t="s">
        <v>38</v>
      </c>
    </row>
    <row r="14" spans="1:15" x14ac:dyDescent="0.35">
      <c r="B14" s="185">
        <v>43902</v>
      </c>
      <c r="C14" s="185"/>
      <c r="D14" s="163" t="s">
        <v>185</v>
      </c>
      <c r="E14" s="186">
        <v>20.05</v>
      </c>
      <c r="F14" s="186">
        <v>1.7</v>
      </c>
      <c r="G14" s="186">
        <f t="shared" si="0"/>
        <v>21.75</v>
      </c>
      <c r="H14" s="186"/>
      <c r="I14" s="138" t="s">
        <v>3</v>
      </c>
      <c r="J14" s="138"/>
      <c r="K14" s="138"/>
      <c r="L14" s="138"/>
      <c r="M14" s="185">
        <v>43902</v>
      </c>
      <c r="N14" t="s">
        <v>626</v>
      </c>
      <c r="O14" t="s">
        <v>38</v>
      </c>
    </row>
    <row r="15" spans="1:15" x14ac:dyDescent="0.35">
      <c r="B15" s="185">
        <v>43902</v>
      </c>
      <c r="C15" s="185"/>
      <c r="D15" s="163" t="s">
        <v>186</v>
      </c>
      <c r="E15" s="39">
        <v>646.65</v>
      </c>
      <c r="F15" s="39"/>
      <c r="G15" s="186">
        <f t="shared" si="0"/>
        <v>646.65</v>
      </c>
      <c r="H15" s="39"/>
      <c r="I15" s="39" t="s">
        <v>3</v>
      </c>
      <c r="J15" s="39"/>
      <c r="K15" s="39"/>
      <c r="L15" s="39"/>
      <c r="M15" s="89">
        <v>43907</v>
      </c>
      <c r="N15" t="s">
        <v>626</v>
      </c>
      <c r="O15" t="s">
        <v>38</v>
      </c>
    </row>
    <row r="16" spans="1:15" x14ac:dyDescent="0.35">
      <c r="B16" s="18">
        <v>43956</v>
      </c>
      <c r="C16" s="18"/>
      <c r="D16" s="163" t="s">
        <v>186</v>
      </c>
      <c r="E16" s="17">
        <v>201.22</v>
      </c>
      <c r="F16" s="17">
        <v>17.100000000000001</v>
      </c>
      <c r="G16" s="17">
        <f t="shared" si="0"/>
        <v>218.32</v>
      </c>
      <c r="H16" s="17"/>
      <c r="I16" s="19" t="s">
        <v>13</v>
      </c>
      <c r="J16" s="19"/>
      <c r="K16" s="19"/>
      <c r="L16" s="19"/>
      <c r="M16" s="18">
        <v>43956</v>
      </c>
      <c r="N16" t="s">
        <v>626</v>
      </c>
      <c r="O16" t="s">
        <v>38</v>
      </c>
    </row>
    <row r="17" spans="2:15" x14ac:dyDescent="0.35">
      <c r="B17" s="185">
        <v>43962</v>
      </c>
      <c r="C17" s="185"/>
      <c r="D17" s="163" t="s">
        <v>186</v>
      </c>
      <c r="E17" s="186">
        <v>24.78</v>
      </c>
      <c r="F17" s="186"/>
      <c r="G17" s="186">
        <f t="shared" si="0"/>
        <v>24.78</v>
      </c>
      <c r="H17" s="186"/>
      <c r="I17" s="138" t="s">
        <v>13</v>
      </c>
      <c r="J17" s="138"/>
      <c r="K17" s="138"/>
      <c r="L17" s="138"/>
      <c r="M17" s="185">
        <v>43962</v>
      </c>
      <c r="N17" t="s">
        <v>626</v>
      </c>
      <c r="O17" t="s">
        <v>38</v>
      </c>
    </row>
    <row r="18" spans="2:15" x14ac:dyDescent="0.35">
      <c r="B18" s="185">
        <v>43965</v>
      </c>
      <c r="C18" s="185"/>
      <c r="D18" s="163" t="s">
        <v>186</v>
      </c>
      <c r="E18" s="186">
        <v>179.78</v>
      </c>
      <c r="F18" s="186"/>
      <c r="G18" s="186">
        <f t="shared" si="0"/>
        <v>179.78</v>
      </c>
      <c r="H18" s="186"/>
      <c r="I18" s="138" t="s">
        <v>13</v>
      </c>
      <c r="J18" s="138"/>
      <c r="K18" s="138"/>
      <c r="L18" s="138"/>
      <c r="M18" s="185">
        <v>43965</v>
      </c>
      <c r="N18" t="s">
        <v>626</v>
      </c>
      <c r="O18" t="s">
        <v>38</v>
      </c>
    </row>
    <row r="19" spans="2:15" x14ac:dyDescent="0.35">
      <c r="B19" s="185">
        <v>43980</v>
      </c>
      <c r="C19" s="185"/>
      <c r="D19" s="163" t="s">
        <v>186</v>
      </c>
      <c r="E19" s="40">
        <v>0</v>
      </c>
      <c r="F19" s="40"/>
      <c r="G19" s="190">
        <f t="shared" si="0"/>
        <v>0</v>
      </c>
      <c r="H19" s="39"/>
      <c r="I19" s="138" t="s">
        <v>13</v>
      </c>
      <c r="J19" s="138"/>
      <c r="K19" s="138"/>
      <c r="L19" s="39"/>
      <c r="M19" s="89">
        <v>44085</v>
      </c>
      <c r="N19" t="s">
        <v>626</v>
      </c>
      <c r="O19" t="s">
        <v>38</v>
      </c>
    </row>
    <row r="20" spans="2:15" x14ac:dyDescent="0.35">
      <c r="B20" s="185">
        <v>43980</v>
      </c>
      <c r="C20" s="185"/>
      <c r="D20" s="163" t="s">
        <v>186</v>
      </c>
      <c r="E20" s="40">
        <v>67.319999999999993</v>
      </c>
      <c r="F20" s="40"/>
      <c r="G20" s="190">
        <f t="shared" si="0"/>
        <v>67.319999999999993</v>
      </c>
      <c r="H20" s="39"/>
      <c r="I20" s="138" t="s">
        <v>13</v>
      </c>
      <c r="J20" s="138"/>
      <c r="K20" s="138"/>
      <c r="L20" s="39"/>
      <c r="M20" s="89">
        <v>44085</v>
      </c>
      <c r="N20" t="s">
        <v>626</v>
      </c>
      <c r="O20" t="s">
        <v>38</v>
      </c>
    </row>
    <row r="21" spans="2:15" x14ac:dyDescent="0.35">
      <c r="B21" s="18">
        <v>43981</v>
      </c>
      <c r="C21" s="18"/>
      <c r="D21" s="163" t="s">
        <v>186</v>
      </c>
      <c r="E21" s="17">
        <v>531.15</v>
      </c>
      <c r="F21" s="17"/>
      <c r="G21" s="17">
        <f t="shared" si="0"/>
        <v>531.15</v>
      </c>
      <c r="H21" s="17"/>
      <c r="I21" s="17" t="s">
        <v>13</v>
      </c>
      <c r="J21" s="17"/>
      <c r="K21" s="17"/>
      <c r="L21" s="17"/>
      <c r="M21" s="18">
        <v>44039</v>
      </c>
      <c r="N21" t="s">
        <v>626</v>
      </c>
      <c r="O21" t="s">
        <v>38</v>
      </c>
    </row>
    <row r="22" spans="2:15" x14ac:dyDescent="0.35">
      <c r="B22" s="185">
        <v>43991</v>
      </c>
      <c r="C22" s="185"/>
      <c r="D22" s="163" t="s">
        <v>186</v>
      </c>
      <c r="E22" s="40">
        <v>2807.25</v>
      </c>
      <c r="F22" s="40"/>
      <c r="G22" s="186">
        <f t="shared" si="0"/>
        <v>2807.25</v>
      </c>
      <c r="H22" s="39"/>
      <c r="I22" s="138" t="s">
        <v>6</v>
      </c>
      <c r="J22" s="138"/>
      <c r="K22" s="138"/>
      <c r="L22" s="39"/>
      <c r="M22" s="89">
        <v>43988</v>
      </c>
      <c r="N22" t="s">
        <v>626</v>
      </c>
      <c r="O22" t="s">
        <v>38</v>
      </c>
    </row>
    <row r="23" spans="2:15" x14ac:dyDescent="0.35">
      <c r="B23" s="185">
        <v>43998</v>
      </c>
      <c r="C23" s="185"/>
      <c r="D23" s="163" t="s">
        <v>186</v>
      </c>
      <c r="E23" s="40">
        <v>728.55</v>
      </c>
      <c r="F23" s="40"/>
      <c r="G23" s="186">
        <f t="shared" si="0"/>
        <v>728.55</v>
      </c>
      <c r="H23" s="39"/>
      <c r="I23" s="138" t="s">
        <v>6</v>
      </c>
      <c r="J23" s="138"/>
      <c r="K23" s="138"/>
      <c r="L23" s="39"/>
      <c r="M23" s="89">
        <v>44039</v>
      </c>
      <c r="N23" t="s">
        <v>626</v>
      </c>
      <c r="O23" t="s">
        <v>38</v>
      </c>
    </row>
    <row r="24" spans="2:15" x14ac:dyDescent="0.35">
      <c r="B24" s="134">
        <v>43998</v>
      </c>
      <c r="C24" s="134"/>
      <c r="D24" s="163" t="s">
        <v>187</v>
      </c>
      <c r="E24" s="115">
        <v>364.27</v>
      </c>
      <c r="F24" s="115"/>
      <c r="G24" s="40">
        <f t="shared" si="0"/>
        <v>364.27</v>
      </c>
      <c r="H24" s="115"/>
      <c r="I24" s="114" t="s">
        <v>6</v>
      </c>
      <c r="J24" s="114"/>
      <c r="K24" s="114"/>
      <c r="L24" s="114"/>
      <c r="M24" s="177">
        <v>44039</v>
      </c>
      <c r="N24" t="s">
        <v>626</v>
      </c>
      <c r="O24" t="s">
        <v>38</v>
      </c>
    </row>
    <row r="25" spans="2:15" x14ac:dyDescent="0.35">
      <c r="B25" s="134">
        <v>43998</v>
      </c>
      <c r="C25" s="134"/>
      <c r="D25" s="163" t="s">
        <v>188</v>
      </c>
      <c r="E25" s="136">
        <v>153.81</v>
      </c>
      <c r="F25" s="136">
        <v>13.07</v>
      </c>
      <c r="G25" s="40">
        <f t="shared" si="0"/>
        <v>166.88</v>
      </c>
      <c r="H25" s="136"/>
      <c r="I25" s="135" t="s">
        <v>6</v>
      </c>
      <c r="J25" s="135"/>
      <c r="K25" s="135"/>
      <c r="L25" s="114"/>
      <c r="M25" s="177">
        <v>44039</v>
      </c>
      <c r="N25" t="s">
        <v>626</v>
      </c>
      <c r="O25" t="s">
        <v>38</v>
      </c>
    </row>
    <row r="26" spans="2:15" x14ac:dyDescent="0.35">
      <c r="B26" s="185">
        <v>43998</v>
      </c>
      <c r="C26" s="185"/>
      <c r="D26" s="163" t="s">
        <v>189</v>
      </c>
      <c r="E26" s="40">
        <v>46.05</v>
      </c>
      <c r="F26" s="114">
        <v>3.91</v>
      </c>
      <c r="G26" s="186">
        <f t="shared" si="0"/>
        <v>49.959999999999994</v>
      </c>
      <c r="H26" s="39"/>
      <c r="I26" s="39" t="s">
        <v>6</v>
      </c>
      <c r="J26" s="39"/>
      <c r="K26" s="39"/>
      <c r="L26" s="39"/>
      <c r="M26" s="89">
        <v>43998</v>
      </c>
      <c r="N26" t="s">
        <v>626</v>
      </c>
      <c r="O26" t="s">
        <v>38</v>
      </c>
    </row>
    <row r="27" spans="2:15" x14ac:dyDescent="0.35">
      <c r="B27" s="134">
        <v>43998</v>
      </c>
      <c r="C27" s="134"/>
      <c r="D27" s="163" t="s">
        <v>190</v>
      </c>
      <c r="E27" s="136">
        <v>47.1</v>
      </c>
      <c r="F27" s="136"/>
      <c r="G27" s="40">
        <f t="shared" si="0"/>
        <v>47.1</v>
      </c>
      <c r="H27" s="136"/>
      <c r="I27" s="135" t="s">
        <v>6</v>
      </c>
      <c r="J27" s="135"/>
      <c r="K27" s="135"/>
      <c r="L27" s="114"/>
      <c r="M27" s="137">
        <v>43998</v>
      </c>
      <c r="N27" t="s">
        <v>626</v>
      </c>
      <c r="O27" t="s">
        <v>38</v>
      </c>
    </row>
    <row r="28" spans="2:15" x14ac:dyDescent="0.35">
      <c r="B28" s="18">
        <v>44000</v>
      </c>
      <c r="C28" s="18"/>
      <c r="D28" s="163" t="s">
        <v>191</v>
      </c>
      <c r="E28" s="39">
        <v>1285.44</v>
      </c>
      <c r="F28" s="39"/>
      <c r="G28" s="254">
        <f t="shared" si="0"/>
        <v>1285.44</v>
      </c>
      <c r="H28" s="39"/>
      <c r="I28" s="39" t="s">
        <v>6</v>
      </c>
      <c r="J28" s="39"/>
      <c r="K28" s="39"/>
      <c r="L28" s="39"/>
      <c r="M28" s="89">
        <v>44110</v>
      </c>
      <c r="N28" t="s">
        <v>626</v>
      </c>
      <c r="O28" t="s">
        <v>38</v>
      </c>
    </row>
    <row r="29" spans="2:15" x14ac:dyDescent="0.35">
      <c r="B29" s="134">
        <v>44020</v>
      </c>
      <c r="C29" s="134"/>
      <c r="D29" s="163" t="s">
        <v>192</v>
      </c>
      <c r="E29" s="40">
        <v>1044.5999999999999</v>
      </c>
      <c r="F29" s="115"/>
      <c r="G29" s="40">
        <f t="shared" si="0"/>
        <v>1044.5999999999999</v>
      </c>
      <c r="H29" s="115"/>
      <c r="I29" s="114" t="s">
        <v>7</v>
      </c>
      <c r="J29" s="114"/>
      <c r="K29" s="114"/>
      <c r="L29" s="114"/>
      <c r="M29" s="177">
        <v>44025</v>
      </c>
      <c r="N29" t="s">
        <v>626</v>
      </c>
      <c r="O29" t="s">
        <v>38</v>
      </c>
    </row>
    <row r="30" spans="2:15" x14ac:dyDescent="0.35">
      <c r="B30" s="134">
        <v>44039</v>
      </c>
      <c r="C30" s="134"/>
      <c r="D30" s="163" t="s">
        <v>193</v>
      </c>
      <c r="E30" s="115">
        <v>474.59</v>
      </c>
      <c r="F30" s="115"/>
      <c r="G30" s="40">
        <f t="shared" si="0"/>
        <v>474.59</v>
      </c>
      <c r="H30" s="115"/>
      <c r="I30" s="114" t="s">
        <v>7</v>
      </c>
      <c r="J30" s="114"/>
      <c r="K30" s="114"/>
      <c r="L30" s="114"/>
      <c r="M30" s="114"/>
      <c r="N30" t="s">
        <v>626</v>
      </c>
      <c r="O30" t="s">
        <v>38</v>
      </c>
    </row>
    <row r="31" spans="2:15" x14ac:dyDescent="0.35">
      <c r="B31" s="134">
        <v>44041</v>
      </c>
      <c r="C31" s="134"/>
      <c r="D31" s="163" t="s">
        <v>194</v>
      </c>
      <c r="E31" s="136">
        <v>179.78</v>
      </c>
      <c r="F31" s="136"/>
      <c r="G31" s="40">
        <f t="shared" si="0"/>
        <v>179.78</v>
      </c>
      <c r="H31" s="136"/>
      <c r="I31" s="135" t="s">
        <v>7</v>
      </c>
      <c r="J31" s="135"/>
      <c r="K31" s="135"/>
      <c r="L31" s="114"/>
      <c r="M31" s="137">
        <v>44041</v>
      </c>
      <c r="N31" t="s">
        <v>626</v>
      </c>
      <c r="O31" t="s">
        <v>38</v>
      </c>
    </row>
    <row r="32" spans="2:15" x14ac:dyDescent="0.35">
      <c r="B32" s="134">
        <v>44043</v>
      </c>
      <c r="C32" s="134"/>
      <c r="D32" s="163" t="s">
        <v>195</v>
      </c>
      <c r="E32" s="136">
        <v>108.43</v>
      </c>
      <c r="F32" s="136"/>
      <c r="G32" s="194">
        <f t="shared" si="0"/>
        <v>108.43</v>
      </c>
      <c r="H32" s="136"/>
      <c r="I32" s="135" t="s">
        <v>7</v>
      </c>
      <c r="J32" s="135"/>
      <c r="K32" s="135"/>
      <c r="L32" s="114"/>
      <c r="M32" s="137">
        <v>44110</v>
      </c>
      <c r="N32" t="s">
        <v>626</v>
      </c>
      <c r="O32" t="s">
        <v>38</v>
      </c>
    </row>
    <row r="33" spans="2:15" x14ac:dyDescent="0.35">
      <c r="B33" s="134">
        <v>44047</v>
      </c>
      <c r="C33" s="134"/>
      <c r="D33" s="163" t="s">
        <v>196</v>
      </c>
      <c r="E33" s="136">
        <v>115.06</v>
      </c>
      <c r="F33" s="136"/>
      <c r="G33" s="40">
        <f t="shared" si="0"/>
        <v>115.06</v>
      </c>
      <c r="H33" s="136"/>
      <c r="I33" s="135" t="s">
        <v>8</v>
      </c>
      <c r="J33" s="135"/>
      <c r="K33" s="135"/>
      <c r="L33" s="114"/>
      <c r="M33" s="137">
        <v>44047</v>
      </c>
      <c r="N33" t="s">
        <v>626</v>
      </c>
      <c r="O33" t="s">
        <v>38</v>
      </c>
    </row>
    <row r="34" spans="2:15" x14ac:dyDescent="0.35">
      <c r="B34" s="134">
        <v>44054</v>
      </c>
      <c r="C34" s="134"/>
      <c r="D34" s="163" t="s">
        <v>197</v>
      </c>
      <c r="E34" s="136">
        <v>1515.45</v>
      </c>
      <c r="F34" s="136"/>
      <c r="G34" s="40">
        <f t="shared" si="0"/>
        <v>1515.45</v>
      </c>
      <c r="H34" s="136"/>
      <c r="I34" s="135" t="s">
        <v>8</v>
      </c>
      <c r="J34" s="135"/>
      <c r="K34" s="135"/>
      <c r="L34" s="114"/>
      <c r="M34" s="137">
        <v>44055</v>
      </c>
      <c r="N34" t="s">
        <v>626</v>
      </c>
      <c r="O34" t="s">
        <v>38</v>
      </c>
    </row>
    <row r="35" spans="2:15" x14ac:dyDescent="0.35">
      <c r="B35" s="134">
        <v>44064</v>
      </c>
      <c r="C35" s="134"/>
      <c r="D35" s="163" t="s">
        <v>198</v>
      </c>
      <c r="E35" s="136">
        <v>383.18</v>
      </c>
      <c r="F35" s="136"/>
      <c r="G35" s="294">
        <f t="shared" si="0"/>
        <v>383.18</v>
      </c>
      <c r="H35" s="136"/>
      <c r="I35" s="135" t="s">
        <v>8</v>
      </c>
      <c r="J35" s="135"/>
      <c r="K35" s="135"/>
      <c r="L35" s="114"/>
      <c r="M35" s="135"/>
      <c r="N35" t="s">
        <v>626</v>
      </c>
      <c r="O35" t="s">
        <v>38</v>
      </c>
    </row>
    <row r="36" spans="2:15" x14ac:dyDescent="0.35">
      <c r="B36" s="134">
        <v>44073</v>
      </c>
      <c r="C36" s="134"/>
      <c r="D36" s="163" t="s">
        <v>199</v>
      </c>
      <c r="E36" s="136">
        <v>28.71</v>
      </c>
      <c r="F36" s="136"/>
      <c r="G36" s="294">
        <f t="shared" si="0"/>
        <v>28.71</v>
      </c>
      <c r="H36" s="136"/>
      <c r="I36" s="135" t="s">
        <v>8</v>
      </c>
      <c r="J36" s="135"/>
      <c r="K36" s="135"/>
      <c r="L36" s="114"/>
      <c r="M36" s="135"/>
      <c r="N36" t="s">
        <v>626</v>
      </c>
      <c r="O36" t="s">
        <v>38</v>
      </c>
    </row>
    <row r="37" spans="2:15" x14ac:dyDescent="0.35">
      <c r="B37" s="134">
        <v>44074</v>
      </c>
      <c r="C37" s="134"/>
      <c r="D37" s="163" t="s">
        <v>200</v>
      </c>
      <c r="E37" s="136">
        <v>237.15</v>
      </c>
      <c r="F37" s="136"/>
      <c r="G37" s="40">
        <f t="shared" si="0"/>
        <v>237.15</v>
      </c>
      <c r="H37" s="136"/>
      <c r="I37" s="135" t="s">
        <v>8</v>
      </c>
      <c r="J37" s="135"/>
      <c r="K37" s="135"/>
      <c r="L37" s="114"/>
      <c r="M37" s="135"/>
      <c r="N37" t="s">
        <v>626</v>
      </c>
      <c r="O37" t="s">
        <v>38</v>
      </c>
    </row>
    <row r="38" spans="2:15" x14ac:dyDescent="0.35">
      <c r="B38" s="134">
        <v>44077</v>
      </c>
      <c r="C38" s="134"/>
      <c r="D38" s="163" t="s">
        <v>201</v>
      </c>
      <c r="E38" s="136">
        <v>21.7</v>
      </c>
      <c r="F38" s="136">
        <v>1.84</v>
      </c>
      <c r="G38" s="40">
        <f t="shared" si="0"/>
        <v>23.54</v>
      </c>
      <c r="H38" s="136"/>
      <c r="I38" s="135" t="s">
        <v>9</v>
      </c>
      <c r="J38" s="135"/>
      <c r="K38" s="135"/>
      <c r="L38" s="114"/>
      <c r="M38" s="137">
        <v>44077</v>
      </c>
      <c r="N38" t="s">
        <v>626</v>
      </c>
      <c r="O38" t="s">
        <v>38</v>
      </c>
    </row>
    <row r="39" spans="2:15" x14ac:dyDescent="0.35">
      <c r="B39" s="134">
        <v>44076</v>
      </c>
      <c r="C39" s="134"/>
      <c r="D39" s="163" t="s">
        <v>202</v>
      </c>
      <c r="E39" s="136">
        <v>157.93</v>
      </c>
      <c r="F39" s="136"/>
      <c r="G39" s="40">
        <f t="shared" si="0"/>
        <v>157.93</v>
      </c>
      <c r="H39" s="136"/>
      <c r="I39" s="135" t="s">
        <v>9</v>
      </c>
      <c r="J39" s="135"/>
      <c r="K39" s="135"/>
      <c r="L39" s="114"/>
      <c r="M39" s="135"/>
      <c r="N39" t="s">
        <v>626</v>
      </c>
      <c r="O39" t="s">
        <v>38</v>
      </c>
    </row>
    <row r="40" spans="2:15" x14ac:dyDescent="0.35">
      <c r="B40" s="134">
        <v>44085</v>
      </c>
      <c r="C40" s="134"/>
      <c r="D40" s="163" t="s">
        <v>203</v>
      </c>
      <c r="E40" s="136">
        <v>1725</v>
      </c>
      <c r="F40" s="136"/>
      <c r="G40" s="40">
        <f t="shared" si="0"/>
        <v>1725</v>
      </c>
      <c r="H40" s="136"/>
      <c r="I40" s="135" t="s">
        <v>9</v>
      </c>
      <c r="J40" s="135"/>
      <c r="K40" s="135"/>
      <c r="L40" s="114"/>
      <c r="M40" s="137">
        <v>44092</v>
      </c>
      <c r="N40" t="s">
        <v>626</v>
      </c>
      <c r="O40" t="s">
        <v>38</v>
      </c>
    </row>
    <row r="41" spans="2:15" x14ac:dyDescent="0.35">
      <c r="B41" s="134">
        <v>44093</v>
      </c>
      <c r="C41" s="134"/>
      <c r="D41" s="163" t="s">
        <v>204</v>
      </c>
      <c r="E41" s="136">
        <v>659.28</v>
      </c>
      <c r="F41" s="136">
        <v>1.45</v>
      </c>
      <c r="G41" s="40">
        <f t="shared" si="0"/>
        <v>660.73</v>
      </c>
      <c r="H41" s="136"/>
      <c r="I41" s="135" t="s">
        <v>9</v>
      </c>
      <c r="J41" s="135"/>
      <c r="K41" s="135"/>
      <c r="L41" s="114"/>
      <c r="M41" s="137">
        <v>44093</v>
      </c>
      <c r="N41" t="s">
        <v>626</v>
      </c>
      <c r="O41" t="s">
        <v>38</v>
      </c>
    </row>
    <row r="42" spans="2:15" x14ac:dyDescent="0.35">
      <c r="B42" s="18">
        <v>44097</v>
      </c>
      <c r="C42" s="18"/>
      <c r="D42" s="163" t="s">
        <v>205</v>
      </c>
      <c r="E42" s="36">
        <v>90.22</v>
      </c>
      <c r="F42" s="36"/>
      <c r="G42" s="40">
        <f t="shared" si="0"/>
        <v>90.22</v>
      </c>
      <c r="H42" s="36"/>
      <c r="I42" s="11" t="s">
        <v>9</v>
      </c>
      <c r="J42" s="11"/>
      <c r="K42" s="11"/>
      <c r="L42" s="39"/>
      <c r="M42" s="69">
        <v>44097</v>
      </c>
      <c r="N42" t="s">
        <v>626</v>
      </c>
      <c r="O42" t="s">
        <v>38</v>
      </c>
    </row>
    <row r="43" spans="2:15" x14ac:dyDescent="0.35">
      <c r="B43" s="18">
        <v>44096</v>
      </c>
      <c r="C43" s="18"/>
      <c r="D43" s="163" t="s">
        <v>206</v>
      </c>
      <c r="E43" s="36">
        <v>22.19</v>
      </c>
      <c r="F43" s="36">
        <v>1.89</v>
      </c>
      <c r="G43" s="40">
        <f t="shared" si="0"/>
        <v>24.080000000000002</v>
      </c>
      <c r="H43" s="36"/>
      <c r="I43" s="11" t="s">
        <v>9</v>
      </c>
      <c r="J43" s="11"/>
      <c r="K43" s="11"/>
      <c r="L43" s="39"/>
      <c r="M43" s="69">
        <v>44096</v>
      </c>
      <c r="N43" t="s">
        <v>626</v>
      </c>
      <c r="O43" t="s">
        <v>38</v>
      </c>
    </row>
    <row r="44" spans="2:15" x14ac:dyDescent="0.35">
      <c r="B44" s="18">
        <v>44096</v>
      </c>
      <c r="C44" s="18"/>
      <c r="D44" s="163" t="s">
        <v>207</v>
      </c>
      <c r="E44" s="36">
        <v>94.56</v>
      </c>
      <c r="F44" s="36"/>
      <c r="G44" s="40">
        <f t="shared" si="0"/>
        <v>94.56</v>
      </c>
      <c r="H44" s="36"/>
      <c r="I44" s="11" t="s">
        <v>9</v>
      </c>
      <c r="J44" s="11"/>
      <c r="K44" s="11"/>
      <c r="L44" s="39"/>
      <c r="M44" s="11"/>
      <c r="N44" t="s">
        <v>626</v>
      </c>
      <c r="O44" t="s">
        <v>38</v>
      </c>
    </row>
    <row r="45" spans="2:15" x14ac:dyDescent="0.35">
      <c r="B45" s="18">
        <v>44111</v>
      </c>
      <c r="C45" s="18"/>
      <c r="D45" s="163" t="s">
        <v>208</v>
      </c>
      <c r="E45" s="36">
        <v>51.01</v>
      </c>
      <c r="F45" s="36">
        <v>1.7</v>
      </c>
      <c r="G45" s="40">
        <f t="shared" si="0"/>
        <v>52.71</v>
      </c>
      <c r="H45" s="36"/>
      <c r="I45" s="11" t="s">
        <v>10</v>
      </c>
      <c r="J45" s="11"/>
      <c r="K45" s="11"/>
      <c r="L45" s="39"/>
      <c r="M45" s="11"/>
      <c r="N45" t="s">
        <v>626</v>
      </c>
      <c r="O45" t="s">
        <v>38</v>
      </c>
    </row>
    <row r="46" spans="2:15" x14ac:dyDescent="0.35">
      <c r="B46" s="306">
        <v>44111</v>
      </c>
      <c r="C46" s="306"/>
      <c r="D46" s="163" t="s">
        <v>209</v>
      </c>
      <c r="E46" s="36">
        <v>339.95</v>
      </c>
      <c r="F46" s="20"/>
      <c r="G46" s="40">
        <f t="shared" si="0"/>
        <v>339.95</v>
      </c>
      <c r="H46" s="36"/>
      <c r="I46" s="11" t="s">
        <v>10</v>
      </c>
      <c r="J46" s="11"/>
      <c r="K46" s="11"/>
      <c r="L46" s="39"/>
      <c r="M46" s="11"/>
      <c r="N46" t="s">
        <v>626</v>
      </c>
      <c r="O46" t="s">
        <v>38</v>
      </c>
    </row>
    <row r="47" spans="2:15" x14ac:dyDescent="0.35">
      <c r="B47" s="158">
        <v>43963</v>
      </c>
      <c r="C47" s="73"/>
      <c r="D47" s="138" t="s">
        <v>239</v>
      </c>
      <c r="E47" s="160">
        <v>425.06</v>
      </c>
      <c r="F47" s="160"/>
      <c r="G47" s="160">
        <f t="shared" si="0"/>
        <v>425.06</v>
      </c>
      <c r="H47" s="160"/>
      <c r="I47" s="159" t="s">
        <v>13</v>
      </c>
      <c r="J47" s="135"/>
      <c r="K47" s="73"/>
      <c r="L47" s="159"/>
      <c r="M47" s="332" t="s">
        <v>141</v>
      </c>
      <c r="N47" t="s">
        <v>626</v>
      </c>
      <c r="O47" t="s">
        <v>41</v>
      </c>
    </row>
    <row r="48" spans="2:15" x14ac:dyDescent="0.35">
      <c r="B48" s="185">
        <v>43998</v>
      </c>
      <c r="C48" s="20"/>
      <c r="D48" s="138" t="s">
        <v>253</v>
      </c>
      <c r="E48" s="186">
        <v>814.85</v>
      </c>
      <c r="F48" s="39">
        <v>31.39</v>
      </c>
      <c r="G48" s="186">
        <f t="shared" si="0"/>
        <v>846.24</v>
      </c>
      <c r="H48" s="39"/>
      <c r="I48" s="39" t="s">
        <v>6</v>
      </c>
      <c r="J48" s="11"/>
      <c r="K48" s="20"/>
      <c r="L48" s="39"/>
      <c r="M48" s="89"/>
      <c r="N48" t="s">
        <v>626</v>
      </c>
      <c r="O48" t="s">
        <v>41</v>
      </c>
    </row>
    <row r="49" spans="2:15" x14ac:dyDescent="0.35">
      <c r="B49" s="18">
        <v>44015</v>
      </c>
      <c r="C49" s="73"/>
      <c r="D49" s="138" t="s">
        <v>260</v>
      </c>
      <c r="E49" s="17">
        <v>275.8</v>
      </c>
      <c r="F49" s="17"/>
      <c r="G49" s="278">
        <f t="shared" si="0"/>
        <v>275.8</v>
      </c>
      <c r="H49" s="39"/>
      <c r="I49" s="19" t="s">
        <v>7</v>
      </c>
      <c r="J49" s="135"/>
      <c r="K49" s="73"/>
      <c r="L49" s="39"/>
      <c r="M49" s="89"/>
      <c r="N49" t="s">
        <v>626</v>
      </c>
      <c r="O49" t="s">
        <v>41</v>
      </c>
    </row>
    <row r="50" spans="2:15" x14ac:dyDescent="0.35">
      <c r="B50" s="279">
        <v>44029</v>
      </c>
      <c r="C50" s="73"/>
      <c r="D50" s="138" t="s">
        <v>268</v>
      </c>
      <c r="E50" s="280">
        <v>761.11</v>
      </c>
      <c r="F50" s="260"/>
      <c r="G50" s="281">
        <f t="shared" si="0"/>
        <v>761.11</v>
      </c>
      <c r="H50" s="260"/>
      <c r="I50" s="19" t="s">
        <v>7</v>
      </c>
      <c r="J50" s="135"/>
      <c r="K50" s="73"/>
      <c r="L50" s="260"/>
      <c r="M50" s="279"/>
      <c r="N50" t="s">
        <v>626</v>
      </c>
      <c r="O50" t="s">
        <v>41</v>
      </c>
    </row>
    <row r="51" spans="2:15" x14ac:dyDescent="0.35">
      <c r="B51" s="46">
        <v>44042</v>
      </c>
      <c r="C51" s="73"/>
      <c r="D51" s="138" t="s">
        <v>271</v>
      </c>
      <c r="E51" s="248">
        <v>592.92999999999995</v>
      </c>
      <c r="F51" s="163"/>
      <c r="G51" s="281">
        <f t="shared" si="0"/>
        <v>592.92999999999995</v>
      </c>
      <c r="H51" s="163"/>
      <c r="I51" s="19" t="s">
        <v>7</v>
      </c>
      <c r="J51" s="135"/>
      <c r="K51" s="73"/>
      <c r="L51" s="163"/>
      <c r="M51" s="46"/>
      <c r="N51" t="s">
        <v>626</v>
      </c>
      <c r="O51" t="s">
        <v>41</v>
      </c>
    </row>
    <row r="52" spans="2:15" x14ac:dyDescent="0.35">
      <c r="B52" s="46">
        <v>44043</v>
      </c>
      <c r="C52" s="73"/>
      <c r="D52" s="138" t="s">
        <v>276</v>
      </c>
      <c r="E52" s="248">
        <v>393.66</v>
      </c>
      <c r="F52" s="163"/>
      <c r="G52" s="281">
        <f t="shared" si="0"/>
        <v>393.66</v>
      </c>
      <c r="H52" s="260"/>
      <c r="I52" s="19" t="s">
        <v>7</v>
      </c>
      <c r="J52" s="135"/>
      <c r="K52" s="73"/>
      <c r="L52" s="163"/>
      <c r="M52" s="46"/>
      <c r="N52" t="s">
        <v>626</v>
      </c>
      <c r="O52" t="s">
        <v>41</v>
      </c>
    </row>
    <row r="53" spans="2:15" x14ac:dyDescent="0.35">
      <c r="B53" s="252">
        <v>44046</v>
      </c>
      <c r="C53" s="73"/>
      <c r="D53" s="138" t="s">
        <v>277</v>
      </c>
      <c r="E53" s="253">
        <v>-86</v>
      </c>
      <c r="F53" s="116"/>
      <c r="G53" s="253">
        <f t="shared" si="0"/>
        <v>-86</v>
      </c>
      <c r="H53" s="116"/>
      <c r="I53" s="116" t="s">
        <v>8</v>
      </c>
      <c r="J53" s="135"/>
      <c r="K53" s="73"/>
      <c r="L53" s="116"/>
      <c r="M53" s="252"/>
      <c r="N53" t="s">
        <v>626</v>
      </c>
      <c r="O53" t="s">
        <v>41</v>
      </c>
    </row>
    <row r="54" spans="2:15" x14ac:dyDescent="0.35">
      <c r="B54" s="46">
        <v>44046</v>
      </c>
      <c r="C54" s="73"/>
      <c r="D54" s="138" t="s">
        <v>278</v>
      </c>
      <c r="E54" s="248">
        <v>287.66000000000003</v>
      </c>
      <c r="F54" s="163"/>
      <c r="G54" s="291">
        <f t="shared" si="0"/>
        <v>287.66000000000003</v>
      </c>
      <c r="H54" s="163"/>
      <c r="I54" s="163" t="s">
        <v>8</v>
      </c>
      <c r="J54" s="135"/>
      <c r="K54" s="73"/>
      <c r="L54" s="163"/>
      <c r="M54" s="46"/>
      <c r="N54" t="s">
        <v>626</v>
      </c>
      <c r="O54" t="s">
        <v>41</v>
      </c>
    </row>
    <row r="55" spans="2:15" x14ac:dyDescent="0.35">
      <c r="B55" s="252">
        <v>44046</v>
      </c>
      <c r="C55" s="73"/>
      <c r="D55" s="138" t="s">
        <v>279</v>
      </c>
      <c r="E55" s="253">
        <v>-153.66</v>
      </c>
      <c r="F55" s="116"/>
      <c r="G55" s="253">
        <f t="shared" si="0"/>
        <v>-153.66</v>
      </c>
      <c r="H55" s="116"/>
      <c r="I55" s="116" t="s">
        <v>8</v>
      </c>
      <c r="J55" s="135"/>
      <c r="K55" s="73"/>
      <c r="L55" s="116"/>
      <c r="M55" s="252"/>
      <c r="N55" t="s">
        <v>626</v>
      </c>
      <c r="O55" t="s">
        <v>41</v>
      </c>
    </row>
    <row r="56" spans="2:15" x14ac:dyDescent="0.35">
      <c r="B56" s="46">
        <v>44051</v>
      </c>
      <c r="C56" s="73"/>
      <c r="D56" s="138" t="s">
        <v>280</v>
      </c>
      <c r="E56" s="248">
        <v>14.97</v>
      </c>
      <c r="F56" s="163">
        <v>1.27</v>
      </c>
      <c r="G56" s="248">
        <f t="shared" si="0"/>
        <v>16.240000000000002</v>
      </c>
      <c r="H56" s="163"/>
      <c r="I56" s="163" t="s">
        <v>8</v>
      </c>
      <c r="J56" s="135"/>
      <c r="K56" s="73"/>
      <c r="L56" s="163"/>
      <c r="M56" s="46"/>
      <c r="N56" t="s">
        <v>626</v>
      </c>
      <c r="O56" t="s">
        <v>41</v>
      </c>
    </row>
    <row r="57" spans="2:15" x14ac:dyDescent="0.35">
      <c r="B57" s="46">
        <v>44053</v>
      </c>
      <c r="C57" s="73"/>
      <c r="D57" s="138" t="s">
        <v>281</v>
      </c>
      <c r="E57" s="248">
        <v>95.2</v>
      </c>
      <c r="F57" s="163"/>
      <c r="G57" s="291">
        <f t="shared" si="0"/>
        <v>95.2</v>
      </c>
      <c r="H57" s="163"/>
      <c r="I57" s="163" t="s">
        <v>8</v>
      </c>
      <c r="J57" s="135"/>
      <c r="K57" s="73"/>
      <c r="L57" s="163"/>
      <c r="M57" s="46"/>
      <c r="N57" t="s">
        <v>626</v>
      </c>
      <c r="O57" t="s">
        <v>41</v>
      </c>
    </row>
    <row r="58" spans="2:15" x14ac:dyDescent="0.35">
      <c r="B58" s="46">
        <v>44055</v>
      </c>
      <c r="C58" s="73"/>
      <c r="D58" s="138" t="s">
        <v>282</v>
      </c>
      <c r="E58" s="248">
        <v>385.88</v>
      </c>
      <c r="F58" s="163"/>
      <c r="G58" s="291">
        <f t="shared" si="0"/>
        <v>385.88</v>
      </c>
      <c r="H58" s="163"/>
      <c r="I58" s="163" t="s">
        <v>8</v>
      </c>
      <c r="J58" s="135"/>
      <c r="K58" s="73"/>
      <c r="L58" s="163"/>
      <c r="M58" s="46"/>
      <c r="N58" t="s">
        <v>626</v>
      </c>
      <c r="O58" t="s">
        <v>41</v>
      </c>
    </row>
    <row r="59" spans="2:15" x14ac:dyDescent="0.35">
      <c r="B59" s="46">
        <v>44055</v>
      </c>
      <c r="C59" s="73"/>
      <c r="D59" s="138" t="s">
        <v>283</v>
      </c>
      <c r="E59" s="248">
        <v>259</v>
      </c>
      <c r="F59" s="163"/>
      <c r="G59" s="248">
        <f t="shared" si="0"/>
        <v>259</v>
      </c>
      <c r="H59" s="163"/>
      <c r="I59" s="163" t="s">
        <v>8</v>
      </c>
      <c r="J59" s="135"/>
      <c r="K59" s="73"/>
      <c r="L59" s="163"/>
      <c r="M59" s="46"/>
      <c r="N59" t="s">
        <v>626</v>
      </c>
      <c r="O59" t="s">
        <v>41</v>
      </c>
    </row>
    <row r="60" spans="2:15" x14ac:dyDescent="0.35">
      <c r="B60" s="46">
        <v>44062</v>
      </c>
      <c r="C60" s="73"/>
      <c r="D60" s="138" t="s">
        <v>285</v>
      </c>
      <c r="E60" s="248">
        <v>696.4</v>
      </c>
      <c r="F60" s="163"/>
      <c r="G60" s="248">
        <f t="shared" si="0"/>
        <v>696.4</v>
      </c>
      <c r="H60" s="163"/>
      <c r="I60" s="163" t="s">
        <v>8</v>
      </c>
      <c r="J60" s="135"/>
      <c r="K60" s="73"/>
      <c r="L60" s="163"/>
      <c r="M60" s="46"/>
      <c r="N60" t="s">
        <v>626</v>
      </c>
      <c r="O60" t="s">
        <v>41</v>
      </c>
    </row>
    <row r="61" spans="2:15" x14ac:dyDescent="0.35">
      <c r="B61" s="46">
        <v>44069</v>
      </c>
      <c r="C61" s="73"/>
      <c r="D61" s="138" t="s">
        <v>286</v>
      </c>
      <c r="E61" s="248">
        <v>87.79</v>
      </c>
      <c r="F61" s="163">
        <v>1.61</v>
      </c>
      <c r="G61" s="248">
        <f t="shared" si="0"/>
        <v>89.4</v>
      </c>
      <c r="H61" s="163"/>
      <c r="I61" s="163" t="s">
        <v>8</v>
      </c>
      <c r="J61" s="135"/>
      <c r="K61" s="73"/>
      <c r="L61" s="163"/>
      <c r="M61" s="46"/>
      <c r="N61" t="s">
        <v>626</v>
      </c>
      <c r="O61" t="s">
        <v>41</v>
      </c>
    </row>
    <row r="62" spans="2:15" x14ac:dyDescent="0.35">
      <c r="B62" s="46">
        <v>44074</v>
      </c>
      <c r="C62" s="73"/>
      <c r="D62" s="138" t="s">
        <v>287</v>
      </c>
      <c r="E62" s="248">
        <v>457</v>
      </c>
      <c r="F62" s="163">
        <v>38.85</v>
      </c>
      <c r="G62" s="248">
        <f t="shared" si="0"/>
        <v>495.85</v>
      </c>
      <c r="H62" s="163"/>
      <c r="I62" s="163" t="s">
        <v>8</v>
      </c>
      <c r="J62" s="135"/>
      <c r="K62" s="73"/>
      <c r="L62" s="163"/>
      <c r="M62" s="46"/>
      <c r="N62" t="s">
        <v>626</v>
      </c>
      <c r="O62" t="s">
        <v>41</v>
      </c>
    </row>
    <row r="63" spans="2:15" x14ac:dyDescent="0.35">
      <c r="B63" s="46">
        <v>44076</v>
      </c>
      <c r="C63" s="73"/>
      <c r="D63" s="138" t="s">
        <v>288</v>
      </c>
      <c r="E63" s="248">
        <v>20.190000000000001</v>
      </c>
      <c r="F63" s="163">
        <v>1.72</v>
      </c>
      <c r="G63" s="248">
        <f t="shared" si="0"/>
        <v>21.91</v>
      </c>
      <c r="H63" s="163"/>
      <c r="I63" s="163" t="s">
        <v>9</v>
      </c>
      <c r="J63" s="135"/>
      <c r="K63" s="73"/>
      <c r="L63" s="163"/>
      <c r="M63" s="46"/>
      <c r="N63" t="s">
        <v>626</v>
      </c>
      <c r="O63" t="s">
        <v>41</v>
      </c>
    </row>
    <row r="64" spans="2:15" x14ac:dyDescent="0.35">
      <c r="B64" s="46">
        <v>44077</v>
      </c>
      <c r="C64" s="73"/>
      <c r="D64" s="138" t="s">
        <v>289</v>
      </c>
      <c r="E64" s="248">
        <v>176.19</v>
      </c>
      <c r="F64" s="163"/>
      <c r="G64" s="248">
        <f t="shared" si="0"/>
        <v>176.19</v>
      </c>
      <c r="H64" s="163"/>
      <c r="I64" s="163" t="s">
        <v>9</v>
      </c>
      <c r="J64" s="135"/>
      <c r="K64" s="73"/>
      <c r="L64" s="163"/>
      <c r="M64" s="46"/>
      <c r="N64" t="s">
        <v>626</v>
      </c>
      <c r="O64" t="s">
        <v>41</v>
      </c>
    </row>
    <row r="65" spans="2:15" x14ac:dyDescent="0.35">
      <c r="B65" s="46">
        <v>44077</v>
      </c>
      <c r="C65" s="73"/>
      <c r="D65" s="138" t="s">
        <v>290</v>
      </c>
      <c r="E65" s="248">
        <v>691.88</v>
      </c>
      <c r="F65" s="163">
        <v>3.19</v>
      </c>
      <c r="G65" s="248">
        <f t="shared" si="0"/>
        <v>695.07</v>
      </c>
      <c r="H65" s="163"/>
      <c r="I65" s="163" t="s">
        <v>9</v>
      </c>
      <c r="J65" s="135"/>
      <c r="K65" s="73"/>
      <c r="L65" s="163"/>
      <c r="M65" s="46"/>
      <c r="N65" t="s">
        <v>626</v>
      </c>
      <c r="O65" t="s">
        <v>41</v>
      </c>
    </row>
    <row r="66" spans="2:15" x14ac:dyDescent="0.35">
      <c r="B66" s="46">
        <v>44077</v>
      </c>
      <c r="C66" s="73"/>
      <c r="D66" s="138" t="s">
        <v>291</v>
      </c>
      <c r="E66" s="248">
        <v>33</v>
      </c>
      <c r="F66" s="163"/>
      <c r="G66" s="248">
        <f t="shared" si="0"/>
        <v>33</v>
      </c>
      <c r="H66" s="163"/>
      <c r="I66" s="163" t="s">
        <v>9</v>
      </c>
      <c r="J66" s="135"/>
      <c r="K66" s="73"/>
      <c r="L66" s="163"/>
      <c r="M66" s="46"/>
      <c r="N66" t="s">
        <v>626</v>
      </c>
      <c r="O66" t="s">
        <v>41</v>
      </c>
    </row>
    <row r="67" spans="2:15" x14ac:dyDescent="0.35">
      <c r="B67" s="46">
        <v>44082</v>
      </c>
      <c r="C67" s="73"/>
      <c r="D67" s="138" t="s">
        <v>292</v>
      </c>
      <c r="E67" s="248">
        <v>251.74</v>
      </c>
      <c r="F67" s="163"/>
      <c r="G67" s="248">
        <f t="shared" si="0"/>
        <v>251.74</v>
      </c>
      <c r="H67" s="163"/>
      <c r="I67" s="163" t="s">
        <v>9</v>
      </c>
      <c r="J67" s="135"/>
      <c r="K67" s="73"/>
      <c r="L67" s="163"/>
      <c r="M67" s="46"/>
      <c r="N67" t="s">
        <v>626</v>
      </c>
      <c r="O67" t="s">
        <v>41</v>
      </c>
    </row>
    <row r="68" spans="2:15" x14ac:dyDescent="0.35">
      <c r="B68" s="46">
        <v>44085</v>
      </c>
      <c r="C68" s="73"/>
      <c r="D68" s="138" t="s">
        <v>293</v>
      </c>
      <c r="E68" s="248">
        <v>3.26</v>
      </c>
      <c r="F68" s="163"/>
      <c r="G68" s="248">
        <f t="shared" si="0"/>
        <v>3.26</v>
      </c>
      <c r="H68" s="163"/>
      <c r="I68" s="163" t="s">
        <v>9</v>
      </c>
      <c r="J68" s="135"/>
      <c r="K68" s="73"/>
      <c r="L68" s="163"/>
      <c r="M68" s="46"/>
      <c r="N68" t="s">
        <v>626</v>
      </c>
      <c r="O68" t="s">
        <v>41</v>
      </c>
    </row>
    <row r="69" spans="2:15" x14ac:dyDescent="0.35">
      <c r="B69" s="46">
        <v>44089</v>
      </c>
      <c r="C69" s="73"/>
      <c r="D69" s="138" t="s">
        <v>295</v>
      </c>
      <c r="E69" s="248">
        <v>677.53</v>
      </c>
      <c r="F69" s="163"/>
      <c r="G69" s="248">
        <f t="shared" si="0"/>
        <v>677.53</v>
      </c>
      <c r="H69" s="163"/>
      <c r="I69" s="163" t="s">
        <v>9</v>
      </c>
      <c r="J69" s="135"/>
      <c r="K69" s="73"/>
      <c r="L69" s="163"/>
      <c r="M69" s="46"/>
      <c r="N69" t="s">
        <v>626</v>
      </c>
      <c r="O69" t="s">
        <v>41</v>
      </c>
    </row>
    <row r="70" spans="2:15" x14ac:dyDescent="0.35">
      <c r="B70" s="46">
        <v>44089</v>
      </c>
      <c r="C70" s="73"/>
      <c r="D70" s="138" t="s">
        <v>296</v>
      </c>
      <c r="E70" s="248">
        <v>3.72</v>
      </c>
      <c r="F70" s="163">
        <v>0.32</v>
      </c>
      <c r="G70" s="248">
        <f t="shared" ref="G70:G111" si="1">E70+F70</f>
        <v>4.04</v>
      </c>
      <c r="H70" s="163"/>
      <c r="I70" s="163" t="s">
        <v>9</v>
      </c>
      <c r="J70" s="135"/>
      <c r="K70" s="73"/>
      <c r="L70" s="163"/>
      <c r="M70" s="46"/>
      <c r="N70" t="s">
        <v>626</v>
      </c>
      <c r="O70" t="s">
        <v>41</v>
      </c>
    </row>
    <row r="71" spans="2:15" x14ac:dyDescent="0.35">
      <c r="B71" s="134">
        <v>44092</v>
      </c>
      <c r="C71" s="73"/>
      <c r="D71" s="138" t="s">
        <v>297</v>
      </c>
      <c r="E71" s="136">
        <v>340</v>
      </c>
      <c r="F71" s="163"/>
      <c r="G71" s="248">
        <f t="shared" si="1"/>
        <v>340</v>
      </c>
      <c r="H71" s="163"/>
      <c r="I71" s="163" t="s">
        <v>9</v>
      </c>
      <c r="J71" s="135"/>
      <c r="K71" s="73"/>
      <c r="L71" s="163"/>
      <c r="M71" s="46"/>
      <c r="N71" t="s">
        <v>626</v>
      </c>
      <c r="O71" t="s">
        <v>41</v>
      </c>
    </row>
    <row r="72" spans="2:15" x14ac:dyDescent="0.35">
      <c r="B72" s="46">
        <v>44091</v>
      </c>
      <c r="C72" s="73"/>
      <c r="D72" s="138" t="s">
        <v>298</v>
      </c>
      <c r="E72" s="248">
        <v>5.0599999999999996</v>
      </c>
      <c r="F72" s="163"/>
      <c r="G72" s="248">
        <f t="shared" si="1"/>
        <v>5.0599999999999996</v>
      </c>
      <c r="H72" s="163"/>
      <c r="I72" s="163" t="s">
        <v>9</v>
      </c>
      <c r="J72" s="135"/>
      <c r="K72" s="73"/>
      <c r="L72" s="163"/>
      <c r="M72" s="46"/>
      <c r="N72" t="s">
        <v>626</v>
      </c>
      <c r="O72" t="s">
        <v>41</v>
      </c>
    </row>
    <row r="73" spans="2:15" x14ac:dyDescent="0.35">
      <c r="B73" s="46">
        <v>44096</v>
      </c>
      <c r="C73" s="73"/>
      <c r="D73" s="138" t="s">
        <v>299</v>
      </c>
      <c r="E73" s="248">
        <v>104.44</v>
      </c>
      <c r="F73" s="163"/>
      <c r="G73" s="248">
        <f t="shared" si="1"/>
        <v>104.44</v>
      </c>
      <c r="H73" s="163"/>
      <c r="I73" s="163" t="s">
        <v>9</v>
      </c>
      <c r="J73" s="135"/>
      <c r="K73" s="73"/>
      <c r="L73" s="163"/>
      <c r="M73" s="46"/>
      <c r="N73" t="s">
        <v>626</v>
      </c>
      <c r="O73" t="s">
        <v>41</v>
      </c>
    </row>
    <row r="74" spans="2:15" x14ac:dyDescent="0.35">
      <c r="B74" s="46">
        <v>44096</v>
      </c>
      <c r="C74" s="73"/>
      <c r="D74" s="138" t="s">
        <v>300</v>
      </c>
      <c r="E74" s="248">
        <v>130.08000000000001</v>
      </c>
      <c r="F74" s="163"/>
      <c r="G74" s="248">
        <f t="shared" si="1"/>
        <v>130.08000000000001</v>
      </c>
      <c r="H74" s="163"/>
      <c r="I74" s="163" t="s">
        <v>9</v>
      </c>
      <c r="J74" s="135"/>
      <c r="K74" s="73"/>
      <c r="L74" s="163"/>
      <c r="M74" s="46"/>
      <c r="N74" t="s">
        <v>626</v>
      </c>
      <c r="O74" t="s">
        <v>41</v>
      </c>
    </row>
    <row r="75" spans="2:15" x14ac:dyDescent="0.35">
      <c r="B75" s="46">
        <v>44099</v>
      </c>
      <c r="C75" s="73"/>
      <c r="D75" s="138" t="s">
        <v>301</v>
      </c>
      <c r="E75" s="248">
        <v>245.08</v>
      </c>
      <c r="F75" s="163"/>
      <c r="G75" s="248">
        <f t="shared" si="1"/>
        <v>245.08</v>
      </c>
      <c r="H75" s="163"/>
      <c r="I75" s="163" t="s">
        <v>9</v>
      </c>
      <c r="J75" s="135"/>
      <c r="K75" s="73"/>
      <c r="L75" s="163"/>
      <c r="M75" s="163"/>
      <c r="N75" t="s">
        <v>626</v>
      </c>
      <c r="O75" t="s">
        <v>41</v>
      </c>
    </row>
    <row r="76" spans="2:15" x14ac:dyDescent="0.35">
      <c r="B76" s="46">
        <v>44074</v>
      </c>
      <c r="C76" s="73"/>
      <c r="D76" s="138" t="s">
        <v>302</v>
      </c>
      <c r="E76" s="248">
        <v>457</v>
      </c>
      <c r="F76" s="163">
        <v>38.85</v>
      </c>
      <c r="G76" s="248">
        <f t="shared" si="1"/>
        <v>495.85</v>
      </c>
      <c r="H76" s="163"/>
      <c r="I76" s="163" t="s">
        <v>8</v>
      </c>
      <c r="J76" s="135"/>
      <c r="K76" s="73"/>
      <c r="L76" s="163"/>
      <c r="M76" s="46"/>
      <c r="N76" t="s">
        <v>626</v>
      </c>
      <c r="O76" t="s">
        <v>41</v>
      </c>
    </row>
    <row r="77" spans="2:15" x14ac:dyDescent="0.35">
      <c r="B77" s="46">
        <v>44098</v>
      </c>
      <c r="C77" s="73"/>
      <c r="D77" s="138" t="s">
        <v>303</v>
      </c>
      <c r="E77" s="248">
        <v>494.05</v>
      </c>
      <c r="F77" s="163"/>
      <c r="G77" s="248">
        <f t="shared" si="1"/>
        <v>494.05</v>
      </c>
      <c r="H77" s="163"/>
      <c r="I77" s="163" t="s">
        <v>9</v>
      </c>
      <c r="J77" s="135"/>
      <c r="K77" s="73"/>
      <c r="L77" s="163"/>
      <c r="M77" s="163"/>
      <c r="N77" t="s">
        <v>626</v>
      </c>
      <c r="O77" t="s">
        <v>41</v>
      </c>
    </row>
    <row r="78" spans="2:15" x14ac:dyDescent="0.35">
      <c r="B78" s="46">
        <v>44102</v>
      </c>
      <c r="C78" s="73"/>
      <c r="D78" s="138" t="s">
        <v>304</v>
      </c>
      <c r="E78" s="248">
        <v>219.36</v>
      </c>
      <c r="F78" s="163">
        <v>18.649999999999999</v>
      </c>
      <c r="G78" s="248">
        <f t="shared" si="1"/>
        <v>238.01000000000002</v>
      </c>
      <c r="H78" s="163"/>
      <c r="I78" s="163" t="s">
        <v>9</v>
      </c>
      <c r="J78" s="135"/>
      <c r="K78" s="73"/>
      <c r="L78" s="163"/>
      <c r="M78" s="163"/>
      <c r="N78" t="s">
        <v>626</v>
      </c>
      <c r="O78" t="s">
        <v>41</v>
      </c>
    </row>
    <row r="79" spans="2:15" x14ac:dyDescent="0.35">
      <c r="B79" s="46">
        <v>44106</v>
      </c>
      <c r="C79" s="73"/>
      <c r="D79" s="138" t="s">
        <v>305</v>
      </c>
      <c r="E79" s="248">
        <v>165.76</v>
      </c>
      <c r="F79" s="163"/>
      <c r="G79" s="248">
        <f t="shared" si="1"/>
        <v>165.76</v>
      </c>
      <c r="H79" s="163"/>
      <c r="I79" s="163" t="s">
        <v>10</v>
      </c>
      <c r="J79" s="135"/>
      <c r="K79" s="73"/>
      <c r="L79" s="163"/>
      <c r="M79" s="163"/>
      <c r="N79" t="s">
        <v>626</v>
      </c>
      <c r="O79" t="s">
        <v>41</v>
      </c>
    </row>
    <row r="80" spans="2:15" x14ac:dyDescent="0.35">
      <c r="B80" s="46">
        <v>44105</v>
      </c>
      <c r="C80" s="73"/>
      <c r="D80" s="138" t="s">
        <v>306</v>
      </c>
      <c r="E80" s="248">
        <v>271.83999999999997</v>
      </c>
      <c r="F80" s="163"/>
      <c r="G80" s="248">
        <f t="shared" si="1"/>
        <v>271.83999999999997</v>
      </c>
      <c r="H80" s="163"/>
      <c r="I80" s="163" t="s">
        <v>10</v>
      </c>
      <c r="J80" s="135"/>
      <c r="K80" s="73"/>
      <c r="L80" s="163"/>
      <c r="M80" s="163"/>
      <c r="N80" t="s">
        <v>626</v>
      </c>
      <c r="O80" t="s">
        <v>41</v>
      </c>
    </row>
    <row r="81" spans="2:15" x14ac:dyDescent="0.35">
      <c r="B81" s="46">
        <v>44109</v>
      </c>
      <c r="C81" s="73"/>
      <c r="D81" s="138" t="s">
        <v>307</v>
      </c>
      <c r="E81" s="248">
        <v>194.2</v>
      </c>
      <c r="F81" s="163"/>
      <c r="G81" s="248">
        <f t="shared" si="1"/>
        <v>194.2</v>
      </c>
      <c r="H81" s="163"/>
      <c r="I81" s="163" t="s">
        <v>10</v>
      </c>
      <c r="J81" s="135"/>
      <c r="K81" s="73"/>
      <c r="L81" s="163"/>
      <c r="M81" s="163"/>
      <c r="N81" t="s">
        <v>626</v>
      </c>
      <c r="O81" t="s">
        <v>41</v>
      </c>
    </row>
    <row r="82" spans="2:15" x14ac:dyDescent="0.35">
      <c r="B82" s="185">
        <v>44012</v>
      </c>
      <c r="C82" s="73"/>
      <c r="D82" s="11" t="s">
        <v>332</v>
      </c>
      <c r="E82" s="11">
        <v>539.89</v>
      </c>
      <c r="F82" s="11"/>
      <c r="G82" s="186">
        <f t="shared" si="1"/>
        <v>539.89</v>
      </c>
      <c r="H82" s="11"/>
      <c r="I82" s="11" t="s">
        <v>6</v>
      </c>
      <c r="J82" s="114"/>
      <c r="K82" s="73"/>
      <c r="L82" s="39"/>
      <c r="M82" s="11"/>
      <c r="N82" t="s">
        <v>624</v>
      </c>
      <c r="O82" t="s">
        <v>47</v>
      </c>
    </row>
    <row r="83" spans="2:15" x14ac:dyDescent="0.35">
      <c r="B83" s="185">
        <v>44014</v>
      </c>
      <c r="C83" s="73"/>
      <c r="D83" s="11" t="s">
        <v>333</v>
      </c>
      <c r="E83" s="11">
        <v>147.13999999999999</v>
      </c>
      <c r="F83" s="11"/>
      <c r="G83" s="186">
        <f t="shared" si="1"/>
        <v>147.13999999999999</v>
      </c>
      <c r="H83" s="11"/>
      <c r="I83" s="11" t="s">
        <v>7</v>
      </c>
      <c r="J83" s="114"/>
      <c r="K83" s="73"/>
      <c r="L83" s="39"/>
      <c r="M83" s="11"/>
      <c r="N83" t="s">
        <v>624</v>
      </c>
      <c r="O83" t="s">
        <v>47</v>
      </c>
    </row>
    <row r="84" spans="2:15" ht="15.5" x14ac:dyDescent="0.35">
      <c r="B84" s="185">
        <v>44014</v>
      </c>
      <c r="C84" s="73"/>
      <c r="D84" s="11" t="s">
        <v>334</v>
      </c>
      <c r="E84" s="11">
        <v>65.52</v>
      </c>
      <c r="F84" s="11"/>
      <c r="G84" s="186">
        <f t="shared" si="1"/>
        <v>65.52</v>
      </c>
      <c r="H84" s="11"/>
      <c r="I84" s="11" t="s">
        <v>7</v>
      </c>
      <c r="J84" s="135"/>
      <c r="K84" s="73"/>
      <c r="L84" s="196"/>
      <c r="M84" s="69"/>
      <c r="N84" t="s">
        <v>624</v>
      </c>
      <c r="O84" t="s">
        <v>47</v>
      </c>
    </row>
    <row r="85" spans="2:15" x14ac:dyDescent="0.35">
      <c r="B85" s="185">
        <v>44021</v>
      </c>
      <c r="C85" s="73"/>
      <c r="D85" s="11" t="s">
        <v>336</v>
      </c>
      <c r="E85" s="11">
        <v>23.19</v>
      </c>
      <c r="F85" s="11"/>
      <c r="G85" s="186">
        <f t="shared" si="1"/>
        <v>23.19</v>
      </c>
      <c r="H85" s="11"/>
      <c r="I85" s="11" t="s">
        <v>7</v>
      </c>
      <c r="J85" s="135"/>
      <c r="K85" s="73"/>
      <c r="L85" s="39"/>
      <c r="M85" s="11"/>
      <c r="N85" t="s">
        <v>624</v>
      </c>
      <c r="O85" t="s">
        <v>47</v>
      </c>
    </row>
    <row r="86" spans="2:15" x14ac:dyDescent="0.35">
      <c r="B86" s="185">
        <v>44034</v>
      </c>
      <c r="C86" s="73"/>
      <c r="D86" s="11" t="s">
        <v>337</v>
      </c>
      <c r="E86" s="11">
        <v>217.92</v>
      </c>
      <c r="F86" s="11"/>
      <c r="G86" s="17">
        <f t="shared" si="1"/>
        <v>217.92</v>
      </c>
      <c r="H86" s="11"/>
      <c r="I86" s="11" t="s">
        <v>7</v>
      </c>
      <c r="J86" s="135"/>
      <c r="K86" s="73"/>
      <c r="L86" s="39"/>
      <c r="M86" s="69"/>
      <c r="N86" t="s">
        <v>624</v>
      </c>
      <c r="O86" t="s">
        <v>47</v>
      </c>
    </row>
    <row r="87" spans="2:15" x14ac:dyDescent="0.35">
      <c r="B87" s="185">
        <v>44034</v>
      </c>
      <c r="C87" s="73"/>
      <c r="D87" s="11" t="s">
        <v>338</v>
      </c>
      <c r="E87" s="11">
        <v>205.82</v>
      </c>
      <c r="F87" s="11"/>
      <c r="G87" s="17">
        <f t="shared" si="1"/>
        <v>205.82</v>
      </c>
      <c r="H87" s="11"/>
      <c r="I87" s="11" t="s">
        <v>7</v>
      </c>
      <c r="J87" s="135"/>
      <c r="K87" s="73"/>
      <c r="L87" s="39"/>
      <c r="M87" s="69"/>
      <c r="N87" t="s">
        <v>624</v>
      </c>
      <c r="O87" t="s">
        <v>47</v>
      </c>
    </row>
    <row r="88" spans="2:15" x14ac:dyDescent="0.35">
      <c r="B88" s="185">
        <v>44039</v>
      </c>
      <c r="C88" s="73"/>
      <c r="D88" s="11" t="s">
        <v>339</v>
      </c>
      <c r="E88" s="11">
        <v>206</v>
      </c>
      <c r="F88" s="11"/>
      <c r="G88" s="17">
        <f t="shared" si="1"/>
        <v>206</v>
      </c>
      <c r="H88" s="11"/>
      <c r="I88" s="11" t="s">
        <v>7</v>
      </c>
      <c r="J88" s="135"/>
      <c r="K88" s="73"/>
      <c r="L88" s="39"/>
      <c r="M88" s="69"/>
      <c r="N88" t="s">
        <v>624</v>
      </c>
      <c r="O88" t="s">
        <v>47</v>
      </c>
    </row>
    <row r="89" spans="2:15" x14ac:dyDescent="0.35">
      <c r="B89" s="185">
        <v>44042</v>
      </c>
      <c r="C89" s="73"/>
      <c r="D89" s="11" t="s">
        <v>340</v>
      </c>
      <c r="E89" s="11">
        <v>344.64</v>
      </c>
      <c r="F89" s="11"/>
      <c r="G89" s="17">
        <f t="shared" si="1"/>
        <v>344.64</v>
      </c>
      <c r="H89" s="11"/>
      <c r="I89" s="11" t="s">
        <v>7</v>
      </c>
      <c r="J89" s="135"/>
      <c r="K89" s="73"/>
      <c r="L89" s="39"/>
      <c r="M89" s="69"/>
      <c r="N89" t="s">
        <v>624</v>
      </c>
      <c r="O89" t="s">
        <v>47</v>
      </c>
    </row>
    <row r="90" spans="2:15" x14ac:dyDescent="0.35">
      <c r="B90" s="185">
        <v>44056</v>
      </c>
      <c r="C90" s="73"/>
      <c r="D90" s="11" t="s">
        <v>341</v>
      </c>
      <c r="E90" s="11">
        <v>34.979999999999997</v>
      </c>
      <c r="F90" s="11"/>
      <c r="G90" s="17">
        <f t="shared" si="1"/>
        <v>34.979999999999997</v>
      </c>
      <c r="H90" s="11"/>
      <c r="I90" s="11" t="s">
        <v>8</v>
      </c>
      <c r="J90" s="135"/>
      <c r="K90" s="73"/>
      <c r="L90" s="39"/>
      <c r="M90" s="69"/>
      <c r="N90" t="s">
        <v>624</v>
      </c>
      <c r="O90" t="s">
        <v>47</v>
      </c>
    </row>
    <row r="91" spans="2:15" x14ac:dyDescent="0.35">
      <c r="B91" s="161">
        <v>44056</v>
      </c>
      <c r="C91" s="73"/>
      <c r="D91" s="11" t="s">
        <v>342</v>
      </c>
      <c r="E91" s="94">
        <v>-33</v>
      </c>
      <c r="F91" s="94"/>
      <c r="G91" s="162">
        <f t="shared" si="1"/>
        <v>-33</v>
      </c>
      <c r="H91" s="94"/>
      <c r="I91" s="94" t="s">
        <v>8</v>
      </c>
      <c r="J91" s="135"/>
      <c r="K91" s="73"/>
      <c r="L91" s="167"/>
      <c r="M91" s="282"/>
      <c r="N91" t="s">
        <v>624</v>
      </c>
      <c r="O91" t="s">
        <v>47</v>
      </c>
    </row>
    <row r="92" spans="2:15" x14ac:dyDescent="0.35">
      <c r="B92" s="185">
        <v>44063</v>
      </c>
      <c r="C92" s="73"/>
      <c r="D92" s="11" t="s">
        <v>343</v>
      </c>
      <c r="E92" s="11">
        <v>247.5</v>
      </c>
      <c r="F92" s="11"/>
      <c r="G92" s="17">
        <f t="shared" si="1"/>
        <v>247.5</v>
      </c>
      <c r="H92" s="11"/>
      <c r="I92" s="11" t="s">
        <v>8</v>
      </c>
      <c r="J92" s="135"/>
      <c r="K92" s="73"/>
      <c r="L92" s="39"/>
      <c r="M92" s="69"/>
      <c r="N92" t="s">
        <v>624</v>
      </c>
      <c r="O92" t="s">
        <v>47</v>
      </c>
    </row>
    <row r="93" spans="2:15" x14ac:dyDescent="0.35">
      <c r="B93" s="185">
        <v>44063</v>
      </c>
      <c r="C93" s="73"/>
      <c r="D93" s="11" t="s">
        <v>344</v>
      </c>
      <c r="E93" s="11">
        <v>141.75</v>
      </c>
      <c r="F93" s="11"/>
      <c r="G93" s="17">
        <f t="shared" si="1"/>
        <v>141.75</v>
      </c>
      <c r="H93" s="11"/>
      <c r="I93" s="11" t="s">
        <v>8</v>
      </c>
      <c r="J93" s="135"/>
      <c r="K93" s="73"/>
      <c r="L93" s="39"/>
      <c r="M93" s="69"/>
      <c r="N93" t="s">
        <v>624</v>
      </c>
      <c r="O93" t="s">
        <v>47</v>
      </c>
    </row>
    <row r="94" spans="2:15" x14ac:dyDescent="0.35">
      <c r="B94" s="185">
        <v>44074</v>
      </c>
      <c r="C94" s="73"/>
      <c r="D94" s="11" t="s">
        <v>345</v>
      </c>
      <c r="E94" s="11">
        <v>2.93</v>
      </c>
      <c r="F94" s="11"/>
      <c r="G94" s="17">
        <f t="shared" si="1"/>
        <v>2.93</v>
      </c>
      <c r="H94" s="11"/>
      <c r="I94" s="11" t="s">
        <v>8</v>
      </c>
      <c r="J94" s="11"/>
      <c r="K94" s="73"/>
      <c r="L94" s="39"/>
      <c r="M94" s="69"/>
      <c r="N94" t="s">
        <v>624</v>
      </c>
      <c r="O94" t="s">
        <v>47</v>
      </c>
    </row>
    <row r="95" spans="2:15" x14ac:dyDescent="0.35">
      <c r="B95" s="185">
        <v>44081</v>
      </c>
      <c r="C95" s="73"/>
      <c r="D95" s="11" t="s">
        <v>347</v>
      </c>
      <c r="E95" s="11">
        <v>97.3</v>
      </c>
      <c r="F95" s="11">
        <v>0.12</v>
      </c>
      <c r="G95" s="17">
        <f t="shared" si="1"/>
        <v>97.42</v>
      </c>
      <c r="H95" s="11"/>
      <c r="I95" s="11" t="s">
        <v>9</v>
      </c>
      <c r="J95" s="11"/>
      <c r="K95" s="73"/>
      <c r="L95" s="39"/>
      <c r="M95" s="69"/>
      <c r="N95" t="s">
        <v>624</v>
      </c>
      <c r="O95" t="s">
        <v>47</v>
      </c>
    </row>
    <row r="96" spans="2:15" x14ac:dyDescent="0.35">
      <c r="B96" s="185">
        <v>44042</v>
      </c>
      <c r="C96" s="73"/>
      <c r="D96" s="11" t="s">
        <v>348</v>
      </c>
      <c r="E96" s="11">
        <v>4958.32</v>
      </c>
      <c r="F96" s="11"/>
      <c r="G96" s="17">
        <f t="shared" si="1"/>
        <v>4958.32</v>
      </c>
      <c r="H96" s="11"/>
      <c r="I96" s="11" t="s">
        <v>9</v>
      </c>
      <c r="J96" s="11"/>
      <c r="K96" s="73"/>
      <c r="L96" s="39"/>
      <c r="M96" s="69"/>
      <c r="N96" t="s">
        <v>624</v>
      </c>
      <c r="O96" t="s">
        <v>47</v>
      </c>
    </row>
    <row r="97" spans="2:15" x14ac:dyDescent="0.35">
      <c r="B97" s="185">
        <v>44060</v>
      </c>
      <c r="C97" s="73"/>
      <c r="D97" s="11" t="s">
        <v>349</v>
      </c>
      <c r="E97" s="11">
        <v>1593</v>
      </c>
      <c r="F97" s="11"/>
      <c r="G97" s="17">
        <f t="shared" si="1"/>
        <v>1593</v>
      </c>
      <c r="H97" s="11"/>
      <c r="I97" s="11" t="s">
        <v>8</v>
      </c>
      <c r="J97" s="11"/>
      <c r="K97" s="73"/>
      <c r="L97" s="39"/>
      <c r="M97" s="69"/>
      <c r="N97" t="s">
        <v>624</v>
      </c>
      <c r="O97" t="s">
        <v>47</v>
      </c>
    </row>
    <row r="98" spans="2:15" x14ac:dyDescent="0.35">
      <c r="B98" s="185">
        <v>44084</v>
      </c>
      <c r="C98" s="73"/>
      <c r="D98" s="11" t="s">
        <v>350</v>
      </c>
      <c r="E98" s="11">
        <v>117.3</v>
      </c>
      <c r="F98" s="11"/>
      <c r="G98" s="17">
        <f t="shared" si="1"/>
        <v>117.3</v>
      </c>
      <c r="H98" s="11"/>
      <c r="I98" s="11" t="s">
        <v>9</v>
      </c>
      <c r="J98" s="11"/>
      <c r="K98" s="73"/>
      <c r="L98" s="39"/>
      <c r="M98" s="69"/>
      <c r="N98" t="s">
        <v>624</v>
      </c>
      <c r="O98" t="s">
        <v>47</v>
      </c>
    </row>
    <row r="99" spans="2:15" x14ac:dyDescent="0.35">
      <c r="B99" s="185">
        <v>44089</v>
      </c>
      <c r="C99" s="73"/>
      <c r="D99" s="11" t="s">
        <v>352</v>
      </c>
      <c r="E99" s="11">
        <v>170</v>
      </c>
      <c r="F99" s="11"/>
      <c r="G99" s="17">
        <f t="shared" si="1"/>
        <v>170</v>
      </c>
      <c r="H99" s="11"/>
      <c r="I99" s="11" t="s">
        <v>9</v>
      </c>
      <c r="J99" s="11"/>
      <c r="K99" s="73"/>
      <c r="L99" s="39"/>
      <c r="M99" s="69"/>
      <c r="N99" t="s">
        <v>624</v>
      </c>
      <c r="O99" t="s">
        <v>47</v>
      </c>
    </row>
    <row r="100" spans="2:15" x14ac:dyDescent="0.35">
      <c r="B100" s="185">
        <v>44090</v>
      </c>
      <c r="C100" s="73"/>
      <c r="D100" s="11" t="s">
        <v>353</v>
      </c>
      <c r="E100" s="11">
        <v>69.03</v>
      </c>
      <c r="F100" s="11"/>
      <c r="G100" s="17">
        <f t="shared" si="1"/>
        <v>69.03</v>
      </c>
      <c r="H100" s="11"/>
      <c r="I100" s="11" t="s">
        <v>9</v>
      </c>
      <c r="J100" s="11"/>
      <c r="K100" s="73"/>
      <c r="L100" s="39"/>
      <c r="M100" s="69"/>
      <c r="N100" t="s">
        <v>624</v>
      </c>
      <c r="O100" t="s">
        <v>47</v>
      </c>
    </row>
    <row r="101" spans="2:15" x14ac:dyDescent="0.35">
      <c r="B101" s="185">
        <v>44100</v>
      </c>
      <c r="C101" s="73"/>
      <c r="D101" s="11" t="s">
        <v>354</v>
      </c>
      <c r="E101" s="11">
        <v>70</v>
      </c>
      <c r="F101" s="11"/>
      <c r="G101" s="17">
        <f t="shared" si="1"/>
        <v>70</v>
      </c>
      <c r="H101" s="11"/>
      <c r="I101" s="11" t="s">
        <v>9</v>
      </c>
      <c r="J101" s="11"/>
      <c r="K101" s="73"/>
      <c r="L101" s="39"/>
      <c r="M101" s="69"/>
      <c r="N101" t="s">
        <v>624</v>
      </c>
      <c r="O101" t="s">
        <v>47</v>
      </c>
    </row>
    <row r="102" spans="2:15" x14ac:dyDescent="0.35">
      <c r="B102" s="185">
        <v>44106</v>
      </c>
      <c r="C102" s="73"/>
      <c r="D102" s="11" t="s">
        <v>355</v>
      </c>
      <c r="E102" s="11">
        <v>170.51</v>
      </c>
      <c r="F102" s="11"/>
      <c r="G102" s="17">
        <f t="shared" si="1"/>
        <v>170.51</v>
      </c>
      <c r="H102" s="11"/>
      <c r="I102" s="11" t="s">
        <v>10</v>
      </c>
      <c r="J102" s="11"/>
      <c r="K102" s="73"/>
      <c r="L102" s="39"/>
      <c r="M102" s="69"/>
      <c r="N102" t="s">
        <v>624</v>
      </c>
      <c r="O102" t="s">
        <v>47</v>
      </c>
    </row>
    <row r="103" spans="2:15" x14ac:dyDescent="0.35">
      <c r="B103" s="185">
        <v>44095</v>
      </c>
      <c r="C103" s="73"/>
      <c r="D103" s="11" t="s">
        <v>356</v>
      </c>
      <c r="E103" s="11">
        <v>210</v>
      </c>
      <c r="F103" s="11"/>
      <c r="G103" s="17">
        <f t="shared" si="1"/>
        <v>210</v>
      </c>
      <c r="H103" s="11"/>
      <c r="I103" s="11" t="s">
        <v>9</v>
      </c>
      <c r="J103" s="135"/>
      <c r="K103" s="73"/>
      <c r="L103" s="39"/>
      <c r="M103" s="69"/>
      <c r="N103" t="s">
        <v>624</v>
      </c>
      <c r="O103" t="s">
        <v>47</v>
      </c>
    </row>
    <row r="104" spans="2:15" x14ac:dyDescent="0.35">
      <c r="B104" s="161">
        <v>44106</v>
      </c>
      <c r="C104" s="73"/>
      <c r="D104" s="11" t="s">
        <v>357</v>
      </c>
      <c r="E104" s="94">
        <v>-13.8</v>
      </c>
      <c r="F104" s="94"/>
      <c r="G104" s="162">
        <f t="shared" si="1"/>
        <v>-13.8</v>
      </c>
      <c r="H104" s="94"/>
      <c r="I104" s="94" t="s">
        <v>10</v>
      </c>
      <c r="J104" s="135"/>
      <c r="K104" s="73"/>
      <c r="L104" s="167"/>
      <c r="M104" s="282"/>
      <c r="N104" t="s">
        <v>624</v>
      </c>
      <c r="O104" t="s">
        <v>47</v>
      </c>
    </row>
    <row r="105" spans="2:15" x14ac:dyDescent="0.35">
      <c r="B105" s="161">
        <v>44070</v>
      </c>
      <c r="C105" s="73"/>
      <c r="D105" s="11" t="s">
        <v>388</v>
      </c>
      <c r="E105" s="94">
        <v>-16.86</v>
      </c>
      <c r="F105" s="94"/>
      <c r="G105" s="162">
        <f t="shared" si="1"/>
        <v>-16.86</v>
      </c>
      <c r="H105" s="94"/>
      <c r="I105" s="94" t="s">
        <v>8</v>
      </c>
      <c r="J105" s="135"/>
      <c r="K105" s="167"/>
      <c r="L105" s="167"/>
      <c r="M105" s="282"/>
      <c r="N105" t="s">
        <v>160</v>
      </c>
      <c r="O105" t="s">
        <v>128</v>
      </c>
    </row>
    <row r="106" spans="2:15" x14ac:dyDescent="0.35">
      <c r="B106" s="18">
        <v>44047</v>
      </c>
      <c r="C106" s="73"/>
      <c r="D106" s="135" t="s">
        <v>571</v>
      </c>
      <c r="E106" s="17">
        <v>294.3</v>
      </c>
      <c r="F106" s="17"/>
      <c r="G106" s="17">
        <f t="shared" si="1"/>
        <v>294.3</v>
      </c>
      <c r="H106" s="73"/>
      <c r="I106" s="19" t="s">
        <v>8</v>
      </c>
      <c r="J106" s="39"/>
      <c r="K106" s="19"/>
      <c r="L106" s="39"/>
      <c r="M106" s="69"/>
      <c r="N106" t="s">
        <v>625</v>
      </c>
      <c r="O106" t="s">
        <v>72</v>
      </c>
    </row>
    <row r="107" spans="2:15" x14ac:dyDescent="0.35">
      <c r="B107" s="18">
        <v>44043</v>
      </c>
      <c r="C107" s="73"/>
      <c r="D107" s="135" t="s">
        <v>572</v>
      </c>
      <c r="E107" s="17">
        <v>1072.4000000000001</v>
      </c>
      <c r="F107" s="17"/>
      <c r="G107" s="17">
        <f t="shared" si="1"/>
        <v>1072.4000000000001</v>
      </c>
      <c r="H107" s="73"/>
      <c r="I107" s="19" t="s">
        <v>7</v>
      </c>
      <c r="J107" s="39"/>
      <c r="K107" s="19"/>
      <c r="L107" s="39"/>
      <c r="M107" s="69"/>
      <c r="N107" t="s">
        <v>625</v>
      </c>
      <c r="O107" t="s">
        <v>72</v>
      </c>
    </row>
    <row r="108" spans="2:15" x14ac:dyDescent="0.35">
      <c r="B108" s="18">
        <v>44035</v>
      </c>
      <c r="C108" s="73"/>
      <c r="D108" s="135" t="s">
        <v>573</v>
      </c>
      <c r="E108" s="36">
        <v>11139.07</v>
      </c>
      <c r="F108" s="36"/>
      <c r="G108" s="17">
        <f t="shared" si="1"/>
        <v>11139.07</v>
      </c>
      <c r="H108" s="73"/>
      <c r="I108" s="11" t="s">
        <v>7</v>
      </c>
      <c r="J108" s="39"/>
      <c r="K108" s="11"/>
      <c r="L108" s="39"/>
      <c r="M108" s="69"/>
      <c r="N108" t="s">
        <v>625</v>
      </c>
      <c r="O108" t="s">
        <v>72</v>
      </c>
    </row>
    <row r="109" spans="2:15" x14ac:dyDescent="0.35">
      <c r="B109" s="18">
        <v>44081</v>
      </c>
      <c r="C109" s="73"/>
      <c r="D109" s="135" t="s">
        <v>587</v>
      </c>
      <c r="E109" s="36">
        <v>257.16000000000003</v>
      </c>
      <c r="F109" s="36"/>
      <c r="G109" s="17">
        <f t="shared" si="1"/>
        <v>257.16000000000003</v>
      </c>
      <c r="H109" s="73"/>
      <c r="I109" s="11" t="s">
        <v>9</v>
      </c>
      <c r="J109" s="138"/>
      <c r="K109" s="11"/>
      <c r="L109" s="39"/>
      <c r="M109" s="69"/>
      <c r="N109" t="s">
        <v>625</v>
      </c>
      <c r="O109" t="s">
        <v>72</v>
      </c>
    </row>
    <row r="110" spans="2:15" x14ac:dyDescent="0.35">
      <c r="B110" s="18">
        <v>36798</v>
      </c>
      <c r="C110" s="73"/>
      <c r="D110" s="135" t="s">
        <v>589</v>
      </c>
      <c r="E110" s="36">
        <v>231.12</v>
      </c>
      <c r="F110" s="36"/>
      <c r="G110" s="17">
        <f t="shared" si="1"/>
        <v>231.12</v>
      </c>
      <c r="H110" s="73"/>
      <c r="I110" s="11" t="s">
        <v>9</v>
      </c>
      <c r="J110" s="114"/>
      <c r="K110" s="11"/>
      <c r="L110" s="39"/>
      <c r="M110" s="69"/>
      <c r="N110" t="s">
        <v>625</v>
      </c>
      <c r="O110" t="s">
        <v>72</v>
      </c>
    </row>
    <row r="111" spans="2:15" x14ac:dyDescent="0.35">
      <c r="B111" s="161">
        <v>44102</v>
      </c>
      <c r="C111" s="73"/>
      <c r="D111" s="135" t="s">
        <v>590</v>
      </c>
      <c r="E111" s="288">
        <v>-588.6</v>
      </c>
      <c r="F111" s="288"/>
      <c r="G111" s="162">
        <f t="shared" si="1"/>
        <v>-588.6</v>
      </c>
      <c r="H111" s="73"/>
      <c r="I111" s="94" t="s">
        <v>9</v>
      </c>
      <c r="J111" s="135"/>
      <c r="K111" s="94"/>
      <c r="L111" s="167"/>
      <c r="M111" s="282"/>
      <c r="N111" t="s">
        <v>625</v>
      </c>
      <c r="O111" t="s">
        <v>72</v>
      </c>
    </row>
    <row r="112" spans="2:15" x14ac:dyDescent="0.35">
      <c r="B112" s="18">
        <v>44074</v>
      </c>
      <c r="C112" s="19" t="s">
        <v>605</v>
      </c>
      <c r="D112" s="17">
        <v>989.35</v>
      </c>
      <c r="E112" s="88"/>
      <c r="F112" s="17">
        <f t="shared" ref="F112" si="2">D112+E112</f>
        <v>989.35</v>
      </c>
      <c r="G112" s="88"/>
      <c r="H112" s="88"/>
      <c r="I112" s="39" t="s">
        <v>8</v>
      </c>
      <c r="J112" s="138"/>
      <c r="L112" s="39"/>
      <c r="M112" s="89"/>
      <c r="N112" t="s">
        <v>625</v>
      </c>
      <c r="O112" t="s">
        <v>71</v>
      </c>
    </row>
    <row r="113" spans="2:15" x14ac:dyDescent="0.35">
      <c r="B113" s="185">
        <v>44057</v>
      </c>
      <c r="C113" s="73"/>
      <c r="D113" s="138" t="s">
        <v>446</v>
      </c>
      <c r="E113" s="186">
        <v>3.64</v>
      </c>
      <c r="F113" s="186">
        <v>0.31</v>
      </c>
      <c r="G113" s="186">
        <f t="shared" ref="G113" si="3">E113+F113</f>
        <v>3.95</v>
      </c>
      <c r="H113" s="186"/>
      <c r="I113" s="138" t="s">
        <v>8</v>
      </c>
      <c r="J113" s="135"/>
      <c r="K113" s="73"/>
      <c r="L113" s="138"/>
      <c r="M113" s="185"/>
      <c r="N113" t="s">
        <v>110</v>
      </c>
      <c r="O113" t="s">
        <v>51</v>
      </c>
    </row>
    <row r="114" spans="2:15" x14ac:dyDescent="0.35">
      <c r="B114" s="185">
        <v>44103</v>
      </c>
      <c r="C114" s="73"/>
      <c r="D114" s="73" t="s">
        <v>487</v>
      </c>
      <c r="E114" s="11" t="s">
        <v>64</v>
      </c>
      <c r="F114" s="186">
        <v>120</v>
      </c>
      <c r="G114" s="11">
        <v>10.199999999999999</v>
      </c>
      <c r="H114" s="186">
        <f t="shared" ref="H114:H122" si="4">F114+G114</f>
        <v>130.19999999999999</v>
      </c>
      <c r="I114" s="11" t="s">
        <v>9</v>
      </c>
      <c r="J114" s="39"/>
      <c r="K114" s="73"/>
      <c r="L114" s="39"/>
      <c r="M114" s="11"/>
      <c r="N114" t="s">
        <v>110</v>
      </c>
      <c r="O114" t="s">
        <v>61</v>
      </c>
    </row>
    <row r="115" spans="2:15" x14ac:dyDescent="0.35">
      <c r="B115" s="185">
        <v>44074</v>
      </c>
      <c r="C115" s="163"/>
      <c r="D115" s="73" t="s">
        <v>488</v>
      </c>
      <c r="E115" s="11" t="s">
        <v>64</v>
      </c>
      <c r="F115" s="186">
        <v>120</v>
      </c>
      <c r="G115" s="11">
        <v>10.199999999999999</v>
      </c>
      <c r="H115" s="186">
        <f t="shared" si="4"/>
        <v>130.19999999999999</v>
      </c>
      <c r="I115" s="11" t="s">
        <v>8</v>
      </c>
      <c r="J115" s="39"/>
      <c r="K115" s="163"/>
      <c r="L115" s="39"/>
      <c r="M115" s="11"/>
      <c r="N115" t="s">
        <v>110</v>
      </c>
      <c r="O115" t="s">
        <v>61</v>
      </c>
    </row>
    <row r="116" spans="2:15" x14ac:dyDescent="0.35">
      <c r="B116" s="185">
        <v>44042</v>
      </c>
      <c r="C116" s="73"/>
      <c r="D116" s="73" t="s">
        <v>489</v>
      </c>
      <c r="E116" s="11" t="s">
        <v>64</v>
      </c>
      <c r="F116" s="186">
        <v>270</v>
      </c>
      <c r="G116" s="11">
        <v>22.95</v>
      </c>
      <c r="H116" s="186">
        <f t="shared" si="4"/>
        <v>292.95</v>
      </c>
      <c r="I116" s="11" t="s">
        <v>7</v>
      </c>
      <c r="J116" s="114"/>
      <c r="K116" s="73"/>
      <c r="L116" s="39"/>
      <c r="M116" s="11"/>
      <c r="N116" t="s">
        <v>110</v>
      </c>
      <c r="O116" t="s">
        <v>61</v>
      </c>
    </row>
    <row r="117" spans="2:15" x14ac:dyDescent="0.35">
      <c r="B117" s="185">
        <v>44011</v>
      </c>
      <c r="C117" s="73"/>
      <c r="D117" s="73" t="s">
        <v>490</v>
      </c>
      <c r="E117" s="11" t="s">
        <v>64</v>
      </c>
      <c r="F117" s="186">
        <v>120</v>
      </c>
      <c r="G117" s="11">
        <v>10.199999999999999</v>
      </c>
      <c r="H117" s="186">
        <f t="shared" si="4"/>
        <v>130.19999999999999</v>
      </c>
      <c r="I117" s="11" t="s">
        <v>6</v>
      </c>
      <c r="J117" s="138"/>
      <c r="K117" s="73"/>
      <c r="L117" s="39"/>
      <c r="M117" s="11"/>
      <c r="N117" t="s">
        <v>110</v>
      </c>
      <c r="O117" t="s">
        <v>61</v>
      </c>
    </row>
    <row r="118" spans="2:15" x14ac:dyDescent="0.35">
      <c r="B118" s="46">
        <v>43980</v>
      </c>
      <c r="C118" s="73"/>
      <c r="D118" s="73" t="s">
        <v>491</v>
      </c>
      <c r="E118" s="138" t="s">
        <v>64</v>
      </c>
      <c r="F118" s="186">
        <v>120</v>
      </c>
      <c r="G118" s="186">
        <v>10.199999999999999</v>
      </c>
      <c r="H118" s="186">
        <f t="shared" si="4"/>
        <v>130.19999999999999</v>
      </c>
      <c r="I118" s="138" t="s">
        <v>13</v>
      </c>
      <c r="J118" s="138"/>
      <c r="K118" s="73"/>
      <c r="L118" s="272"/>
      <c r="M118" s="138"/>
      <c r="N118" t="s">
        <v>110</v>
      </c>
      <c r="O118" t="s">
        <v>61</v>
      </c>
    </row>
    <row r="119" spans="2:15" x14ac:dyDescent="0.35">
      <c r="B119" s="185">
        <v>43951</v>
      </c>
      <c r="C119" s="73"/>
      <c r="D119" s="73" t="s">
        <v>492</v>
      </c>
      <c r="E119" s="138" t="s">
        <v>64</v>
      </c>
      <c r="F119" s="186">
        <v>120</v>
      </c>
      <c r="G119" s="186">
        <v>10.199999999999999</v>
      </c>
      <c r="H119" s="186">
        <f t="shared" si="4"/>
        <v>130.19999999999999</v>
      </c>
      <c r="I119" s="138" t="s">
        <v>4</v>
      </c>
      <c r="J119" s="95"/>
      <c r="K119" s="73"/>
      <c r="L119" s="138"/>
      <c r="M119" s="295"/>
      <c r="N119" t="s">
        <v>110</v>
      </c>
      <c r="O119" t="s">
        <v>61</v>
      </c>
    </row>
    <row r="120" spans="2:15" x14ac:dyDescent="0.35">
      <c r="B120" s="185">
        <v>43921</v>
      </c>
      <c r="C120" s="73"/>
      <c r="D120" s="73" t="s">
        <v>495</v>
      </c>
      <c r="E120" s="138" t="s">
        <v>64</v>
      </c>
      <c r="F120" s="186">
        <v>120</v>
      </c>
      <c r="G120" s="186">
        <v>10.199999999999999</v>
      </c>
      <c r="H120" s="186">
        <f t="shared" si="4"/>
        <v>130.19999999999999</v>
      </c>
      <c r="I120" s="186" t="s">
        <v>3</v>
      </c>
      <c r="J120" s="39"/>
      <c r="K120" s="73"/>
      <c r="L120" s="186"/>
      <c r="M120" s="185"/>
      <c r="N120" t="s">
        <v>110</v>
      </c>
      <c r="O120" t="s">
        <v>61</v>
      </c>
    </row>
    <row r="121" spans="2:15" x14ac:dyDescent="0.35">
      <c r="B121" s="185">
        <v>43890</v>
      </c>
      <c r="C121" s="73"/>
      <c r="D121" s="73" t="s">
        <v>497</v>
      </c>
      <c r="E121" s="11" t="s">
        <v>64</v>
      </c>
      <c r="F121" s="186">
        <v>120</v>
      </c>
      <c r="G121" s="11">
        <v>10.199999999999999</v>
      </c>
      <c r="H121" s="186">
        <f t="shared" si="4"/>
        <v>130.19999999999999</v>
      </c>
      <c r="I121" s="11" t="s">
        <v>2</v>
      </c>
      <c r="J121" s="138"/>
      <c r="K121" s="73"/>
      <c r="L121" s="39"/>
      <c r="M121" s="69"/>
      <c r="N121" t="s">
        <v>110</v>
      </c>
      <c r="O121" t="s">
        <v>61</v>
      </c>
    </row>
    <row r="122" spans="2:15" x14ac:dyDescent="0.35">
      <c r="B122" s="185">
        <v>43861</v>
      </c>
      <c r="C122" s="73"/>
      <c r="D122" s="73" t="s">
        <v>499</v>
      </c>
      <c r="E122" s="11" t="s">
        <v>64</v>
      </c>
      <c r="F122" s="186">
        <v>120</v>
      </c>
      <c r="G122" s="11">
        <v>10.199999999999999</v>
      </c>
      <c r="H122" s="186">
        <f t="shared" si="4"/>
        <v>130.19999999999999</v>
      </c>
      <c r="I122" s="11" t="s">
        <v>1</v>
      </c>
      <c r="J122" s="138"/>
      <c r="K122" s="73"/>
      <c r="L122" s="39"/>
      <c r="M122" s="69"/>
      <c r="N122" t="s">
        <v>110</v>
      </c>
      <c r="O122" t="s">
        <v>61</v>
      </c>
    </row>
  </sheetData>
  <autoFilter ref="B5:N5" xr:uid="{00000000-0009-0000-0000-000006000000}">
    <sortState xmlns:xlrd2="http://schemas.microsoft.com/office/spreadsheetml/2017/richdata2" ref="B6:N65">
      <sortCondition ref="C5:C65"/>
    </sortState>
  </autoFilter>
  <mergeCells count="4">
    <mergeCell ref="A1:D1"/>
    <mergeCell ref="A2:D2"/>
    <mergeCell ref="H3:I3"/>
    <mergeCell ref="H2:I2"/>
  </mergeCells>
  <conditionalFormatting sqref="B6:M6">
    <cfRule type="expression" dxfId="192" priority="193">
      <formula>$O6=""</formula>
    </cfRule>
  </conditionalFormatting>
  <conditionalFormatting sqref="B7:M7">
    <cfRule type="expression" dxfId="191" priority="192">
      <formula>$O7=""</formula>
    </cfRule>
  </conditionalFormatting>
  <conditionalFormatting sqref="B8:M8">
    <cfRule type="expression" dxfId="190" priority="191">
      <formula>$O8=""</formula>
    </cfRule>
  </conditionalFormatting>
  <conditionalFormatting sqref="B9:M9">
    <cfRule type="expression" dxfId="189" priority="190">
      <formula>$O9=""</formula>
    </cfRule>
  </conditionalFormatting>
  <conditionalFormatting sqref="B10:M10">
    <cfRule type="expression" dxfId="188" priority="189">
      <formula>$O10=""</formula>
    </cfRule>
  </conditionalFormatting>
  <conditionalFormatting sqref="B11:M11">
    <cfRule type="expression" dxfId="187" priority="188">
      <formula>$O11=""</formula>
    </cfRule>
  </conditionalFormatting>
  <conditionalFormatting sqref="B12:M12">
    <cfRule type="expression" dxfId="186" priority="187">
      <formula>$O12=""</formula>
    </cfRule>
  </conditionalFormatting>
  <conditionalFormatting sqref="B13:M13">
    <cfRule type="expression" dxfId="185" priority="186">
      <formula>$O13=""</formula>
    </cfRule>
  </conditionalFormatting>
  <conditionalFormatting sqref="B14:M14">
    <cfRule type="expression" dxfId="184" priority="185">
      <formula>$O14=""</formula>
    </cfRule>
  </conditionalFormatting>
  <conditionalFormatting sqref="B15:M15">
    <cfRule type="expression" dxfId="183" priority="184">
      <formula>$O15=""</formula>
    </cfRule>
  </conditionalFormatting>
  <conditionalFormatting sqref="B16:M16">
    <cfRule type="expression" dxfId="182" priority="183">
      <formula>$O16=""</formula>
    </cfRule>
  </conditionalFormatting>
  <conditionalFormatting sqref="B17:M17">
    <cfRule type="expression" dxfId="181" priority="182">
      <formula>$O17=""</formula>
    </cfRule>
  </conditionalFormatting>
  <conditionalFormatting sqref="B18:M18">
    <cfRule type="expression" dxfId="180" priority="181">
      <formula>$O18=""</formula>
    </cfRule>
  </conditionalFormatting>
  <conditionalFormatting sqref="B19:M19">
    <cfRule type="expression" dxfId="179" priority="180">
      <formula>$O19=""</formula>
    </cfRule>
  </conditionalFormatting>
  <conditionalFormatting sqref="B20:M20">
    <cfRule type="expression" dxfId="178" priority="179">
      <formula>$O20=""</formula>
    </cfRule>
  </conditionalFormatting>
  <conditionalFormatting sqref="B21:M21">
    <cfRule type="expression" dxfId="177" priority="178">
      <formula>$O21=""</formula>
    </cfRule>
  </conditionalFormatting>
  <conditionalFormatting sqref="B22:M22">
    <cfRule type="expression" dxfId="176" priority="177">
      <formula>$O22=""</formula>
    </cfRule>
  </conditionalFormatting>
  <conditionalFormatting sqref="B23:M23">
    <cfRule type="expression" dxfId="175" priority="176">
      <formula>$O23=""</formula>
    </cfRule>
  </conditionalFormatting>
  <conditionalFormatting sqref="B24:M24">
    <cfRule type="expression" dxfId="174" priority="175">
      <formula>$O24=""</formula>
    </cfRule>
  </conditionalFormatting>
  <conditionalFormatting sqref="B25:M25">
    <cfRule type="expression" dxfId="173" priority="174">
      <formula>$O25=""</formula>
    </cfRule>
  </conditionalFormatting>
  <conditionalFormatting sqref="B26:M26">
    <cfRule type="expression" dxfId="172" priority="173">
      <formula>$O26=""</formula>
    </cfRule>
  </conditionalFormatting>
  <conditionalFormatting sqref="B27:M27">
    <cfRule type="expression" dxfId="171" priority="172">
      <formula>$O27=""</formula>
    </cfRule>
  </conditionalFormatting>
  <conditionalFormatting sqref="B28:M28">
    <cfRule type="expression" dxfId="170" priority="171">
      <formula>$O28=""</formula>
    </cfRule>
  </conditionalFormatting>
  <conditionalFormatting sqref="B29:M29">
    <cfRule type="expression" dxfId="169" priority="170">
      <formula>$O29=""</formula>
    </cfRule>
  </conditionalFormatting>
  <conditionalFormatting sqref="B30:M30">
    <cfRule type="expression" dxfId="168" priority="169">
      <formula>$O30=""</formula>
    </cfRule>
  </conditionalFormatting>
  <conditionalFormatting sqref="B31:M31">
    <cfRule type="expression" dxfId="167" priority="168">
      <formula>$O31=""</formula>
    </cfRule>
  </conditionalFormatting>
  <conditionalFormatting sqref="B32:M32">
    <cfRule type="expression" dxfId="166" priority="167">
      <formula>$O32=""</formula>
    </cfRule>
  </conditionalFormatting>
  <conditionalFormatting sqref="B33:M33">
    <cfRule type="expression" dxfId="165" priority="166">
      <formula>$O33=""</formula>
    </cfRule>
  </conditionalFormatting>
  <conditionalFormatting sqref="B34:M34">
    <cfRule type="expression" dxfId="164" priority="165">
      <formula>$O34=""</formula>
    </cfRule>
  </conditionalFormatting>
  <conditionalFormatting sqref="B35:M35">
    <cfRule type="expression" dxfId="163" priority="164">
      <formula>$O35=""</formula>
    </cfRule>
  </conditionalFormatting>
  <conditionalFormatting sqref="B36:M36">
    <cfRule type="expression" dxfId="162" priority="163">
      <formula>$O36=""</formula>
    </cfRule>
  </conditionalFormatting>
  <conditionalFormatting sqref="B37:M37">
    <cfRule type="expression" dxfId="161" priority="162">
      <formula>$O37=""</formula>
    </cfRule>
  </conditionalFormatting>
  <conditionalFormatting sqref="B38:M38">
    <cfRule type="expression" dxfId="160" priority="161">
      <formula>$O38=""</formula>
    </cfRule>
  </conditionalFormatting>
  <conditionalFormatting sqref="B39:M39">
    <cfRule type="expression" dxfId="159" priority="160">
      <formula>$O39=""</formula>
    </cfRule>
  </conditionalFormatting>
  <conditionalFormatting sqref="B40:M40">
    <cfRule type="expression" dxfId="158" priority="159">
      <formula>$O40=""</formula>
    </cfRule>
  </conditionalFormatting>
  <conditionalFormatting sqref="B41:M41">
    <cfRule type="expression" dxfId="157" priority="158">
      <formula>$O41=""</formula>
    </cfRule>
  </conditionalFormatting>
  <conditionalFormatting sqref="B42:M42">
    <cfRule type="expression" dxfId="156" priority="157">
      <formula>$O42=""</formula>
    </cfRule>
  </conditionalFormatting>
  <conditionalFormatting sqref="B43:M43">
    <cfRule type="expression" dxfId="155" priority="156">
      <formula>$O43=""</formula>
    </cfRule>
  </conditionalFormatting>
  <conditionalFormatting sqref="B44:M44">
    <cfRule type="expression" dxfId="154" priority="155">
      <formula>$O44=""</formula>
    </cfRule>
  </conditionalFormatting>
  <conditionalFormatting sqref="B45:M45">
    <cfRule type="expression" dxfId="153" priority="154">
      <formula>$O45=""</formula>
    </cfRule>
  </conditionalFormatting>
  <conditionalFormatting sqref="B46:M46">
    <cfRule type="expression" dxfId="152" priority="153">
      <formula>$O46=""</formula>
    </cfRule>
  </conditionalFormatting>
  <conditionalFormatting sqref="B47:I47 K47:M47">
    <cfRule type="expression" dxfId="151" priority="152">
      <formula>$AB47=""</formula>
    </cfRule>
  </conditionalFormatting>
  <conditionalFormatting sqref="J47">
    <cfRule type="expression" dxfId="150" priority="151">
      <formula>$O47=""</formula>
    </cfRule>
  </conditionalFormatting>
  <conditionalFormatting sqref="B48:I48 K48:M48">
    <cfRule type="expression" dxfId="149" priority="150">
      <formula>$AB48=""</formula>
    </cfRule>
  </conditionalFormatting>
  <conditionalFormatting sqref="J48">
    <cfRule type="expression" dxfId="148" priority="149">
      <formula>$O48=""</formula>
    </cfRule>
  </conditionalFormatting>
  <conditionalFormatting sqref="B49:I49 K49:M49">
    <cfRule type="expression" dxfId="147" priority="148">
      <formula>$AB49=""</formula>
    </cfRule>
  </conditionalFormatting>
  <conditionalFormatting sqref="J49">
    <cfRule type="expression" dxfId="146" priority="147">
      <formula>$O49=""</formula>
    </cfRule>
  </conditionalFormatting>
  <conditionalFormatting sqref="B50:I50 K50:M50">
    <cfRule type="expression" dxfId="145" priority="146">
      <formula>$AB50=""</formula>
    </cfRule>
  </conditionalFormatting>
  <conditionalFormatting sqref="J50">
    <cfRule type="expression" dxfId="144" priority="145">
      <formula>$O50=""</formula>
    </cfRule>
  </conditionalFormatting>
  <conditionalFormatting sqref="B51:I51 K51:M51">
    <cfRule type="expression" dxfId="143" priority="144">
      <formula>$AB51=""</formula>
    </cfRule>
  </conditionalFormatting>
  <conditionalFormatting sqref="J51">
    <cfRule type="expression" dxfId="142" priority="143">
      <formula>$O51=""</formula>
    </cfRule>
  </conditionalFormatting>
  <conditionalFormatting sqref="B52:I52 K52:M52">
    <cfRule type="expression" dxfId="141" priority="142">
      <formula>$AB52=""</formula>
    </cfRule>
  </conditionalFormatting>
  <conditionalFormatting sqref="J52">
    <cfRule type="expression" dxfId="140" priority="141">
      <formula>$O52=""</formula>
    </cfRule>
  </conditionalFormatting>
  <conditionalFormatting sqref="B53:I53 K53:M53">
    <cfRule type="expression" dxfId="139" priority="140">
      <formula>$AB53=""</formula>
    </cfRule>
  </conditionalFormatting>
  <conditionalFormatting sqref="J53">
    <cfRule type="expression" dxfId="138" priority="139">
      <formula>$O53=""</formula>
    </cfRule>
  </conditionalFormatting>
  <conditionalFormatting sqref="B54:I54 K54:M54">
    <cfRule type="expression" dxfId="137" priority="138">
      <formula>$AB54=""</formula>
    </cfRule>
  </conditionalFormatting>
  <conditionalFormatting sqref="J54">
    <cfRule type="expression" dxfId="136" priority="137">
      <formula>$O54=""</formula>
    </cfRule>
  </conditionalFormatting>
  <conditionalFormatting sqref="B55:I55 K55:M55">
    <cfRule type="expression" dxfId="135" priority="136">
      <formula>$AB55=""</formula>
    </cfRule>
  </conditionalFormatting>
  <conditionalFormatting sqref="J55">
    <cfRule type="expression" dxfId="134" priority="135">
      <formula>$O55=""</formula>
    </cfRule>
  </conditionalFormatting>
  <conditionalFormatting sqref="B56:I56 K56:M56">
    <cfRule type="expression" dxfId="133" priority="134">
      <formula>$AB56=""</formula>
    </cfRule>
  </conditionalFormatting>
  <conditionalFormatting sqref="J56">
    <cfRule type="expression" dxfId="132" priority="133">
      <formula>$O56=""</formula>
    </cfRule>
  </conditionalFormatting>
  <conditionalFormatting sqref="B57:I57 K57:M57">
    <cfRule type="expression" dxfId="131" priority="132">
      <formula>$AB57=""</formula>
    </cfRule>
  </conditionalFormatting>
  <conditionalFormatting sqref="J57">
    <cfRule type="expression" dxfId="130" priority="131">
      <formula>$O57=""</formula>
    </cfRule>
  </conditionalFormatting>
  <conditionalFormatting sqref="B58:I58 K58:M58">
    <cfRule type="expression" dxfId="129" priority="130">
      <formula>$AB58=""</formula>
    </cfRule>
  </conditionalFormatting>
  <conditionalFormatting sqref="J58">
    <cfRule type="expression" dxfId="128" priority="129">
      <formula>$O58=""</formula>
    </cfRule>
  </conditionalFormatting>
  <conditionalFormatting sqref="B59:I59 K59:M59">
    <cfRule type="expression" dxfId="127" priority="128">
      <formula>$AB59=""</formula>
    </cfRule>
  </conditionalFormatting>
  <conditionalFormatting sqref="J59">
    <cfRule type="expression" dxfId="126" priority="127">
      <formula>$O59=""</formula>
    </cfRule>
  </conditionalFormatting>
  <conditionalFormatting sqref="B60:I60 K60:M60">
    <cfRule type="expression" dxfId="125" priority="126">
      <formula>$AB60=""</formula>
    </cfRule>
  </conditionalFormatting>
  <conditionalFormatting sqref="J60">
    <cfRule type="expression" dxfId="124" priority="125">
      <formula>$O60=""</formula>
    </cfRule>
  </conditionalFormatting>
  <conditionalFormatting sqref="B61:I61 K61:M61">
    <cfRule type="expression" dxfId="123" priority="124">
      <formula>$AB61=""</formula>
    </cfRule>
  </conditionalFormatting>
  <conditionalFormatting sqref="J61">
    <cfRule type="expression" dxfId="122" priority="123">
      <formula>$O61=""</formula>
    </cfRule>
  </conditionalFormatting>
  <conditionalFormatting sqref="B62:I62 K62:M62">
    <cfRule type="expression" dxfId="121" priority="122">
      <formula>$AB62=""</formula>
    </cfRule>
  </conditionalFormatting>
  <conditionalFormatting sqref="J62">
    <cfRule type="expression" dxfId="120" priority="121">
      <formula>$O62=""</formula>
    </cfRule>
  </conditionalFormatting>
  <conditionalFormatting sqref="B63:I63 K63:M63">
    <cfRule type="expression" dxfId="119" priority="120">
      <formula>$AB63=""</formula>
    </cfRule>
  </conditionalFormatting>
  <conditionalFormatting sqref="J63">
    <cfRule type="expression" dxfId="118" priority="119">
      <formula>$O63=""</formula>
    </cfRule>
  </conditionalFormatting>
  <conditionalFormatting sqref="B64:I64 K64:M64">
    <cfRule type="expression" dxfId="117" priority="118">
      <formula>$AB64=""</formula>
    </cfRule>
  </conditionalFormatting>
  <conditionalFormatting sqref="J64">
    <cfRule type="expression" dxfId="116" priority="117">
      <formula>$O64=""</formula>
    </cfRule>
  </conditionalFormatting>
  <conditionalFormatting sqref="B65:I65 K65:M65">
    <cfRule type="expression" dxfId="115" priority="116">
      <formula>$AB65=""</formula>
    </cfRule>
  </conditionalFormatting>
  <conditionalFormatting sqref="J65">
    <cfRule type="expression" dxfId="114" priority="115">
      <formula>$O65=""</formula>
    </cfRule>
  </conditionalFormatting>
  <conditionalFormatting sqref="B66:I66 K66:M66">
    <cfRule type="expression" dxfId="113" priority="114">
      <formula>$AB66=""</formula>
    </cfRule>
  </conditionalFormatting>
  <conditionalFormatting sqref="J66">
    <cfRule type="expression" dxfId="112" priority="113">
      <formula>$O66=""</formula>
    </cfRule>
  </conditionalFormatting>
  <conditionalFormatting sqref="B67:I67 K67:M67">
    <cfRule type="expression" dxfId="111" priority="112">
      <formula>$AB67=""</formula>
    </cfRule>
  </conditionalFormatting>
  <conditionalFormatting sqref="J67">
    <cfRule type="expression" dxfId="110" priority="111">
      <formula>$O67=""</formula>
    </cfRule>
  </conditionalFormatting>
  <conditionalFormatting sqref="B68:I68 K68:M68">
    <cfRule type="expression" dxfId="109" priority="110">
      <formula>$AB68=""</formula>
    </cfRule>
  </conditionalFormatting>
  <conditionalFormatting sqref="J68">
    <cfRule type="expression" dxfId="108" priority="109">
      <formula>$O68=""</formula>
    </cfRule>
  </conditionalFormatting>
  <conditionalFormatting sqref="B69:I69 K69:M69">
    <cfRule type="expression" dxfId="107" priority="108">
      <formula>$AB69=""</formula>
    </cfRule>
  </conditionalFormatting>
  <conditionalFormatting sqref="J69">
    <cfRule type="expression" dxfId="106" priority="107">
      <formula>$O69=""</formula>
    </cfRule>
  </conditionalFormatting>
  <conditionalFormatting sqref="B70:I70 K70:M70">
    <cfRule type="expression" dxfId="105" priority="106">
      <formula>$AB70=""</formula>
    </cfRule>
  </conditionalFormatting>
  <conditionalFormatting sqref="J70">
    <cfRule type="expression" dxfId="104" priority="105">
      <formula>$O70=""</formula>
    </cfRule>
  </conditionalFormatting>
  <conditionalFormatting sqref="B71:I71 K71:M71">
    <cfRule type="expression" dxfId="103" priority="104">
      <formula>$AB71=""</formula>
    </cfRule>
  </conditionalFormatting>
  <conditionalFormatting sqref="J71">
    <cfRule type="expression" dxfId="102" priority="103">
      <formula>$O71=""</formula>
    </cfRule>
  </conditionalFormatting>
  <conditionalFormatting sqref="B72:I72 K72:M72">
    <cfRule type="expression" dxfId="101" priority="102">
      <formula>$AB72=""</formula>
    </cfRule>
  </conditionalFormatting>
  <conditionalFormatting sqref="J72">
    <cfRule type="expression" dxfId="100" priority="101">
      <formula>$O72=""</formula>
    </cfRule>
  </conditionalFormatting>
  <conditionalFormatting sqref="B73:I73 K73:M73">
    <cfRule type="expression" dxfId="99" priority="100">
      <formula>$AB73=""</formula>
    </cfRule>
  </conditionalFormatting>
  <conditionalFormatting sqref="J73">
    <cfRule type="expression" dxfId="98" priority="99">
      <formula>$O73=""</formula>
    </cfRule>
  </conditionalFormatting>
  <conditionalFormatting sqref="B74:I74 K74:M74">
    <cfRule type="expression" dxfId="97" priority="98">
      <formula>$AB74=""</formula>
    </cfRule>
  </conditionalFormatting>
  <conditionalFormatting sqref="J74">
    <cfRule type="expression" dxfId="96" priority="97">
      <formula>$O74=""</formula>
    </cfRule>
  </conditionalFormatting>
  <conditionalFormatting sqref="B75:I75 K75:M75">
    <cfRule type="expression" dxfId="95" priority="96">
      <formula>$AB75=""</formula>
    </cfRule>
  </conditionalFormatting>
  <conditionalFormatting sqref="J75">
    <cfRule type="expression" dxfId="94" priority="95">
      <formula>$O75=""</formula>
    </cfRule>
  </conditionalFormatting>
  <conditionalFormatting sqref="B76:I76 K76:M76">
    <cfRule type="expression" dxfId="93" priority="94">
      <formula>$AB76=""</formula>
    </cfRule>
  </conditionalFormatting>
  <conditionalFormatting sqref="J76">
    <cfRule type="expression" dxfId="92" priority="93">
      <formula>$O76=""</formula>
    </cfRule>
  </conditionalFormatting>
  <conditionalFormatting sqref="B77:I77 K77:M77">
    <cfRule type="expression" dxfId="91" priority="92">
      <formula>$AB77=""</formula>
    </cfRule>
  </conditionalFormatting>
  <conditionalFormatting sqref="J77">
    <cfRule type="expression" dxfId="90" priority="91">
      <formula>$O77=""</formula>
    </cfRule>
  </conditionalFormatting>
  <conditionalFormatting sqref="B78:I78 K78:M78">
    <cfRule type="expression" dxfId="89" priority="90">
      <formula>$AB78=""</formula>
    </cfRule>
  </conditionalFormatting>
  <conditionalFormatting sqref="J78">
    <cfRule type="expression" dxfId="88" priority="89">
      <formula>$O78=""</formula>
    </cfRule>
  </conditionalFormatting>
  <conditionalFormatting sqref="B79:I79 K79:M79">
    <cfRule type="expression" dxfId="87" priority="88">
      <formula>$AB79=""</formula>
    </cfRule>
  </conditionalFormatting>
  <conditionalFormatting sqref="J79">
    <cfRule type="expression" dxfId="86" priority="87">
      <formula>$O79=""</formula>
    </cfRule>
  </conditionalFormatting>
  <conditionalFormatting sqref="B80:I80 K80:M80">
    <cfRule type="expression" dxfId="85" priority="86">
      <formula>$AB80=""</formula>
    </cfRule>
  </conditionalFormatting>
  <conditionalFormatting sqref="J80">
    <cfRule type="expression" dxfId="84" priority="85">
      <formula>$O80=""</formula>
    </cfRule>
  </conditionalFormatting>
  <conditionalFormatting sqref="B81:I81 K81:M81">
    <cfRule type="expression" dxfId="83" priority="84">
      <formula>$AB81=""</formula>
    </cfRule>
  </conditionalFormatting>
  <conditionalFormatting sqref="J81">
    <cfRule type="expression" dxfId="82" priority="83">
      <formula>$O81=""</formula>
    </cfRule>
  </conditionalFormatting>
  <conditionalFormatting sqref="L82:M82 B82 D82:I82">
    <cfRule type="expression" dxfId="81" priority="82">
      <formula>$O82=""</formula>
    </cfRule>
  </conditionalFormatting>
  <conditionalFormatting sqref="J82">
    <cfRule type="expression" dxfId="80" priority="81">
      <formula>$O82=""</formula>
    </cfRule>
  </conditionalFormatting>
  <conditionalFormatting sqref="L83:M83 B83 D83:I83">
    <cfRule type="expression" dxfId="79" priority="80">
      <formula>$O83=""</formula>
    </cfRule>
  </conditionalFormatting>
  <conditionalFormatting sqref="J83">
    <cfRule type="expression" dxfId="78" priority="79">
      <formula>$O83=""</formula>
    </cfRule>
  </conditionalFormatting>
  <conditionalFormatting sqref="L84:M84 B84 D84:I84">
    <cfRule type="expression" dxfId="77" priority="78">
      <formula>$O84=""</formula>
    </cfRule>
  </conditionalFormatting>
  <conditionalFormatting sqref="J84">
    <cfRule type="expression" dxfId="76" priority="77">
      <formula>$O84=""</formula>
    </cfRule>
  </conditionalFormatting>
  <conditionalFormatting sqref="L85:M85 B85 D85:I85">
    <cfRule type="expression" dxfId="75" priority="76">
      <formula>$O85=""</formula>
    </cfRule>
  </conditionalFormatting>
  <conditionalFormatting sqref="J85">
    <cfRule type="expression" dxfId="74" priority="75">
      <formula>$O85=""</formula>
    </cfRule>
  </conditionalFormatting>
  <conditionalFormatting sqref="L86:M86 B86 D86:I86">
    <cfRule type="expression" dxfId="73" priority="74">
      <formula>$O86=""</formula>
    </cfRule>
  </conditionalFormatting>
  <conditionalFormatting sqref="J86">
    <cfRule type="expression" dxfId="72" priority="73">
      <formula>$O86=""</formula>
    </cfRule>
  </conditionalFormatting>
  <conditionalFormatting sqref="L87:M87 B87 D87:I87">
    <cfRule type="expression" dxfId="71" priority="72">
      <formula>$O87=""</formula>
    </cfRule>
  </conditionalFormatting>
  <conditionalFormatting sqref="J87">
    <cfRule type="expression" dxfId="70" priority="71">
      <formula>$O87=""</formula>
    </cfRule>
  </conditionalFormatting>
  <conditionalFormatting sqref="L88:M88 B88 D88:I88">
    <cfRule type="expression" dxfId="69" priority="70">
      <formula>$O88=""</formula>
    </cfRule>
  </conditionalFormatting>
  <conditionalFormatting sqref="J88">
    <cfRule type="expression" dxfId="68" priority="69">
      <formula>$O88=""</formula>
    </cfRule>
  </conditionalFormatting>
  <conditionalFormatting sqref="L89:M89 B89 D89:I89">
    <cfRule type="expression" dxfId="67" priority="68">
      <formula>$O89=""</formula>
    </cfRule>
  </conditionalFormatting>
  <conditionalFormatting sqref="J89">
    <cfRule type="expression" dxfId="66" priority="67">
      <formula>$O89=""</formula>
    </cfRule>
  </conditionalFormatting>
  <conditionalFormatting sqref="L90:M90 B90 D90:I90">
    <cfRule type="expression" dxfId="65" priority="66">
      <formula>$O90=""</formula>
    </cfRule>
  </conditionalFormatting>
  <conditionalFormatting sqref="J90">
    <cfRule type="expression" dxfId="64" priority="65">
      <formula>$O90=""</formula>
    </cfRule>
  </conditionalFormatting>
  <conditionalFormatting sqref="L91:M91 B91 D91:I91">
    <cfRule type="expression" dxfId="63" priority="64">
      <formula>$O91=""</formula>
    </cfRule>
  </conditionalFormatting>
  <conditionalFormatting sqref="J91">
    <cfRule type="expression" dxfId="62" priority="63">
      <formula>$O91=""</formula>
    </cfRule>
  </conditionalFormatting>
  <conditionalFormatting sqref="L92:M92 B92 D92:I92">
    <cfRule type="expression" dxfId="61" priority="62">
      <formula>$O92=""</formula>
    </cfRule>
  </conditionalFormatting>
  <conditionalFormatting sqref="J92">
    <cfRule type="expression" dxfId="60" priority="61">
      <formula>$O92=""</formula>
    </cfRule>
  </conditionalFormatting>
  <conditionalFormatting sqref="L93:M93 B93 D93:I93">
    <cfRule type="expression" dxfId="59" priority="60">
      <formula>$O93=""</formula>
    </cfRule>
  </conditionalFormatting>
  <conditionalFormatting sqref="J93">
    <cfRule type="expression" dxfId="58" priority="59">
      <formula>$O93=""</formula>
    </cfRule>
  </conditionalFormatting>
  <conditionalFormatting sqref="L94:M94 B94 D94:I94">
    <cfRule type="expression" dxfId="57" priority="58">
      <formula>$O94=""</formula>
    </cfRule>
  </conditionalFormatting>
  <conditionalFormatting sqref="J94">
    <cfRule type="expression" dxfId="56" priority="57">
      <formula>$O94=""</formula>
    </cfRule>
  </conditionalFormatting>
  <conditionalFormatting sqref="L95:M95 B95 D95:I95">
    <cfRule type="expression" dxfId="55" priority="56">
      <formula>$O95=""</formula>
    </cfRule>
  </conditionalFormatting>
  <conditionalFormatting sqref="J95">
    <cfRule type="expression" dxfId="54" priority="55">
      <formula>$O95=""</formula>
    </cfRule>
  </conditionalFormatting>
  <conditionalFormatting sqref="L96:M96 B96 D96:I96">
    <cfRule type="expression" dxfId="53" priority="54">
      <formula>$O96=""</formula>
    </cfRule>
  </conditionalFormatting>
  <conditionalFormatting sqref="J96">
    <cfRule type="expression" dxfId="52" priority="53">
      <formula>$O96=""</formula>
    </cfRule>
  </conditionalFormatting>
  <conditionalFormatting sqref="L97:M97 B97 D97:I97">
    <cfRule type="expression" dxfId="51" priority="52">
      <formula>$O97=""</formula>
    </cfRule>
  </conditionalFormatting>
  <conditionalFormatting sqref="J97">
    <cfRule type="expression" dxfId="50" priority="51">
      <formula>$O97=""</formula>
    </cfRule>
  </conditionalFormatting>
  <conditionalFormatting sqref="L98:M98 B98 D98:I98">
    <cfRule type="expression" dxfId="49" priority="50">
      <formula>$O98=""</formula>
    </cfRule>
  </conditionalFormatting>
  <conditionalFormatting sqref="J98">
    <cfRule type="expression" dxfId="48" priority="49">
      <formula>$O98=""</formula>
    </cfRule>
  </conditionalFormatting>
  <conditionalFormatting sqref="L99:M99 B99 D99:I99">
    <cfRule type="expression" dxfId="47" priority="48">
      <formula>$O99=""</formula>
    </cfRule>
  </conditionalFormatting>
  <conditionalFormatting sqref="J99">
    <cfRule type="expression" dxfId="46" priority="47">
      <formula>$O99=""</formula>
    </cfRule>
  </conditionalFormatting>
  <conditionalFormatting sqref="L100:M100 B100 D100:I100">
    <cfRule type="expression" dxfId="45" priority="46">
      <formula>$O100=""</formula>
    </cfRule>
  </conditionalFormatting>
  <conditionalFormatting sqref="J100">
    <cfRule type="expression" dxfId="44" priority="45">
      <formula>$O100=""</formula>
    </cfRule>
  </conditionalFormatting>
  <conditionalFormatting sqref="L101:M101 B101 D101:I101">
    <cfRule type="expression" dxfId="43" priority="44">
      <formula>$O101=""</formula>
    </cfRule>
  </conditionalFormatting>
  <conditionalFormatting sqref="J101">
    <cfRule type="expression" dxfId="42" priority="43">
      <formula>$O101=""</formula>
    </cfRule>
  </conditionalFormatting>
  <conditionalFormatting sqref="L102:M102 B102 D102:I102">
    <cfRule type="expression" dxfId="41" priority="42">
      <formula>$O102=""</formula>
    </cfRule>
  </conditionalFormatting>
  <conditionalFormatting sqref="J102">
    <cfRule type="expression" dxfId="40" priority="41">
      <formula>$O102=""</formula>
    </cfRule>
  </conditionalFormatting>
  <conditionalFormatting sqref="L103:M103 B103 D103:I103">
    <cfRule type="expression" dxfId="39" priority="40">
      <formula>$O103=""</formula>
    </cfRule>
  </conditionalFormatting>
  <conditionalFormatting sqref="J103">
    <cfRule type="expression" dxfId="38" priority="39">
      <formula>$O103=""</formula>
    </cfRule>
  </conditionalFormatting>
  <conditionalFormatting sqref="L104:M104 B104 D104:I104">
    <cfRule type="expression" dxfId="37" priority="38">
      <formula>$O104=""</formula>
    </cfRule>
  </conditionalFormatting>
  <conditionalFormatting sqref="J104">
    <cfRule type="expression" dxfId="36" priority="37">
      <formula>$O104=""</formula>
    </cfRule>
  </conditionalFormatting>
  <conditionalFormatting sqref="K105:M105">
    <cfRule type="expression" dxfId="35" priority="36">
      <formula>$O105=""</formula>
    </cfRule>
  </conditionalFormatting>
  <conditionalFormatting sqref="J105">
    <cfRule type="expression" dxfId="34" priority="35">
      <formula>$O105=""</formula>
    </cfRule>
  </conditionalFormatting>
  <conditionalFormatting sqref="B106 I106 D106:G106 K106:M106">
    <cfRule type="expression" dxfId="33" priority="34">
      <formula>$O106=""</formula>
    </cfRule>
  </conditionalFormatting>
  <conditionalFormatting sqref="J106">
    <cfRule type="expression" dxfId="32" priority="33">
      <formula>$O106=""</formula>
    </cfRule>
  </conditionalFormatting>
  <conditionalFormatting sqref="B107 I107 D107:G107 K107:M107">
    <cfRule type="expression" dxfId="31" priority="32">
      <formula>$O107=""</formula>
    </cfRule>
  </conditionalFormatting>
  <conditionalFormatting sqref="J107">
    <cfRule type="expression" dxfId="30" priority="31">
      <formula>$O107=""</formula>
    </cfRule>
  </conditionalFormatting>
  <conditionalFormatting sqref="B108 I108 D108:G108 K108:M108">
    <cfRule type="expression" dxfId="29" priority="30">
      <formula>$O108=""</formula>
    </cfRule>
  </conditionalFormatting>
  <conditionalFormatting sqref="J108">
    <cfRule type="expression" dxfId="28" priority="29">
      <formula>$O108=""</formula>
    </cfRule>
  </conditionalFormatting>
  <conditionalFormatting sqref="B109 I109 D109:G109 K109:M109">
    <cfRule type="expression" dxfId="27" priority="28">
      <formula>$O109=""</formula>
    </cfRule>
  </conditionalFormatting>
  <conditionalFormatting sqref="J109">
    <cfRule type="expression" dxfId="26" priority="27">
      <formula>$O109=""</formula>
    </cfRule>
  </conditionalFormatting>
  <conditionalFormatting sqref="B110 I110 D110:G110 K110:M110">
    <cfRule type="expression" dxfId="25" priority="26">
      <formula>$O110=""</formula>
    </cfRule>
  </conditionalFormatting>
  <conditionalFormatting sqref="J110">
    <cfRule type="expression" dxfId="24" priority="25">
      <formula>$O110=""</formula>
    </cfRule>
  </conditionalFormatting>
  <conditionalFormatting sqref="B111 I111 D111:G111 K111:M111">
    <cfRule type="expression" dxfId="23" priority="24">
      <formula>$O111=""</formula>
    </cfRule>
  </conditionalFormatting>
  <conditionalFormatting sqref="J111">
    <cfRule type="expression" dxfId="22" priority="23">
      <formula>$O111=""</formula>
    </cfRule>
  </conditionalFormatting>
  <conditionalFormatting sqref="L112:M112 B112:I112">
    <cfRule type="expression" dxfId="21" priority="22">
      <formula>$AB112=""</formula>
    </cfRule>
  </conditionalFormatting>
  <conditionalFormatting sqref="J112">
    <cfRule type="expression" dxfId="20" priority="21">
      <formula>$O112=""</formula>
    </cfRule>
  </conditionalFormatting>
  <conditionalFormatting sqref="L113:M113 B113 D113:I113">
    <cfRule type="expression" dxfId="19" priority="20">
      <formula>$O113=""</formula>
    </cfRule>
  </conditionalFormatting>
  <conditionalFormatting sqref="J113">
    <cfRule type="expression" dxfId="18" priority="19">
      <formula>$P113=""</formula>
    </cfRule>
  </conditionalFormatting>
  <conditionalFormatting sqref="L114:M114 B114 E114:I114">
    <cfRule type="expression" dxfId="17" priority="18">
      <formula>$BO114=""</formula>
    </cfRule>
  </conditionalFormatting>
  <conditionalFormatting sqref="J114">
    <cfRule type="expression" dxfId="16" priority="17">
      <formula>$P114=""</formula>
    </cfRule>
  </conditionalFormatting>
  <conditionalFormatting sqref="L115:M115 B115 E115:I115">
    <cfRule type="expression" dxfId="15" priority="16">
      <formula>$BO115=""</formula>
    </cfRule>
  </conditionalFormatting>
  <conditionalFormatting sqref="J115">
    <cfRule type="expression" dxfId="14" priority="15">
      <formula>$P115=""</formula>
    </cfRule>
  </conditionalFormatting>
  <conditionalFormatting sqref="L116:M116 B116 E116:I116">
    <cfRule type="expression" dxfId="13" priority="14">
      <formula>$BO116=""</formula>
    </cfRule>
  </conditionalFormatting>
  <conditionalFormatting sqref="J116">
    <cfRule type="expression" dxfId="12" priority="13">
      <formula>$P116=""</formula>
    </cfRule>
  </conditionalFormatting>
  <conditionalFormatting sqref="L117:M117 B117 E117:I117">
    <cfRule type="expression" dxfId="11" priority="12">
      <formula>$BO117=""</formula>
    </cfRule>
  </conditionalFormatting>
  <conditionalFormatting sqref="J117">
    <cfRule type="expression" dxfId="10" priority="11">
      <formula>$P117=""</formula>
    </cfRule>
  </conditionalFormatting>
  <conditionalFormatting sqref="L118:M118 B118 E118:I118">
    <cfRule type="expression" dxfId="9" priority="10">
      <formula>$BO118=""</formula>
    </cfRule>
  </conditionalFormatting>
  <conditionalFormatting sqref="J118">
    <cfRule type="expression" dxfId="8" priority="9">
      <formula>$P118=""</formula>
    </cfRule>
  </conditionalFormatting>
  <conditionalFormatting sqref="L119:M119 B119 E119:I119">
    <cfRule type="expression" dxfId="7" priority="8">
      <formula>$BO119=""</formula>
    </cfRule>
  </conditionalFormatting>
  <conditionalFormatting sqref="J119">
    <cfRule type="expression" dxfId="6" priority="7">
      <formula>$P119=""</formula>
    </cfRule>
  </conditionalFormatting>
  <conditionalFormatting sqref="L120:M120 B120 E120:I120">
    <cfRule type="expression" dxfId="5" priority="6">
      <formula>$BO120=""</formula>
    </cfRule>
  </conditionalFormatting>
  <conditionalFormatting sqref="J120">
    <cfRule type="expression" dxfId="4" priority="5">
      <formula>$P120=""</formula>
    </cfRule>
  </conditionalFormatting>
  <conditionalFormatting sqref="L121:M121 B121 E121:I121">
    <cfRule type="expression" dxfId="3" priority="4">
      <formula>$BO121=""</formula>
    </cfRule>
  </conditionalFormatting>
  <conditionalFormatting sqref="J121">
    <cfRule type="expression" dxfId="2" priority="3">
      <formula>$P121=""</formula>
    </cfRule>
  </conditionalFormatting>
  <conditionalFormatting sqref="L122:M122 B122 E122:I122">
    <cfRule type="expression" dxfId="1" priority="2">
      <formula>$BO122=""</formula>
    </cfRule>
  </conditionalFormatting>
  <conditionalFormatting sqref="J122">
    <cfRule type="expression" dxfId="0" priority="1">
      <formula>$P122=""</formula>
    </cfRule>
  </conditionalFormatting>
  <pageMargins left="0.7" right="0.7" top="0.75" bottom="0.75" header="0.3" footer="0.3"/>
  <pageSetup paperSize="9" scale="6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6D5C0-85F4-4BC3-9FA8-413789D2553C}">
  <sheetPr codeName="Feuil2"/>
  <dimension ref="A1:L23"/>
  <sheetViews>
    <sheetView zoomScale="90" zoomScaleNormal="90" workbookViewId="0">
      <selection activeCell="M27" sqref="M27"/>
    </sheetView>
  </sheetViews>
  <sheetFormatPr baseColWidth="10" defaultRowHeight="14.5" x14ac:dyDescent="0.35"/>
  <cols>
    <col min="1" max="1" width="11.81640625" bestFit="1" customWidth="1"/>
    <col min="2" max="2" width="14.6328125" customWidth="1"/>
    <col min="3" max="3" width="18.81640625" customWidth="1"/>
    <col min="4" max="4" width="11.54296875" bestFit="1" customWidth="1"/>
    <col min="5" max="5" width="14.08984375" customWidth="1"/>
    <col min="6" max="7" width="11.54296875" bestFit="1" customWidth="1"/>
    <col min="8" max="8" width="12" bestFit="1" customWidth="1"/>
    <col min="9" max="9" width="11.54296875" bestFit="1" customWidth="1"/>
    <col min="10" max="10" width="14" bestFit="1" customWidth="1"/>
    <col min="11" max="11" width="12.81640625" bestFit="1" customWidth="1"/>
    <col min="12" max="12" width="12.26953125" bestFit="1" customWidth="1"/>
    <col min="13" max="13" width="14.6328125" customWidth="1"/>
    <col min="14" max="19" width="11.6328125" customWidth="1"/>
  </cols>
  <sheetData>
    <row r="1" spans="1:12" ht="31" x14ac:dyDescent="0.35">
      <c r="A1" s="492" t="s">
        <v>610</v>
      </c>
      <c r="B1" s="492"/>
      <c r="C1" s="492"/>
      <c r="D1" s="492"/>
      <c r="E1" s="492"/>
      <c r="I1" s="333"/>
      <c r="J1" s="333"/>
      <c r="K1" s="333"/>
    </row>
    <row r="2" spans="1:12" ht="31" x14ac:dyDescent="0.35">
      <c r="A2" s="493" t="s">
        <v>107</v>
      </c>
      <c r="B2" s="493"/>
      <c r="C2" s="493"/>
      <c r="D2" s="493"/>
      <c r="E2" s="493"/>
      <c r="J2" s="1"/>
      <c r="K2" s="1"/>
      <c r="L2" s="333"/>
    </row>
    <row r="3" spans="1:12" x14ac:dyDescent="0.35">
      <c r="J3" s="1"/>
      <c r="K3" s="1"/>
    </row>
    <row r="4" spans="1:12" x14ac:dyDescent="0.35">
      <c r="I4" s="494" t="s">
        <v>144</v>
      </c>
      <c r="J4" s="495"/>
      <c r="K4" s="496"/>
      <c r="L4" s="270">
        <f ca="1">NOW()</f>
        <v>44131.96870046296</v>
      </c>
    </row>
    <row r="5" spans="1:12" ht="15.5" x14ac:dyDescent="0.35">
      <c r="I5" s="497" t="s">
        <v>150</v>
      </c>
      <c r="J5" s="498"/>
      <c r="K5" s="499"/>
      <c r="L5" s="334">
        <f>SUM(F9:F23)</f>
        <v>14893.01</v>
      </c>
    </row>
    <row r="6" spans="1:12" x14ac:dyDescent="0.35">
      <c r="J6" s="1"/>
      <c r="K6" s="1"/>
    </row>
    <row r="7" spans="1:12" x14ac:dyDescent="0.35">
      <c r="E7" s="335"/>
      <c r="F7" s="335"/>
      <c r="G7" s="335"/>
      <c r="H7" s="335"/>
    </row>
    <row r="8" spans="1:12" ht="28" x14ac:dyDescent="0.35">
      <c r="A8" s="336" t="s">
        <v>35</v>
      </c>
      <c r="B8" s="336" t="s">
        <v>611</v>
      </c>
      <c r="C8" s="336" t="s">
        <v>0</v>
      </c>
      <c r="D8" s="336" t="s">
        <v>34</v>
      </c>
      <c r="E8" s="336" t="s">
        <v>612</v>
      </c>
      <c r="F8" s="336" t="s">
        <v>171</v>
      </c>
      <c r="G8" s="336" t="s">
        <v>37</v>
      </c>
      <c r="H8" s="336" t="s">
        <v>36</v>
      </c>
      <c r="I8" s="336" t="s">
        <v>613</v>
      </c>
      <c r="J8" s="336" t="s">
        <v>614</v>
      </c>
      <c r="K8" s="336" t="s">
        <v>615</v>
      </c>
      <c r="L8" s="336" t="s">
        <v>616</v>
      </c>
    </row>
    <row r="9" spans="1:12" x14ac:dyDescent="0.35">
      <c r="A9" s="337">
        <v>44081</v>
      </c>
      <c r="B9" s="338">
        <v>2003653</v>
      </c>
      <c r="C9" s="500" t="s">
        <v>617</v>
      </c>
      <c r="D9" s="339">
        <v>97.3</v>
      </c>
      <c r="E9" s="339">
        <v>0.12</v>
      </c>
      <c r="F9" s="340">
        <v>97.42</v>
      </c>
      <c r="G9" s="341">
        <v>97.42</v>
      </c>
      <c r="H9" s="502" t="s">
        <v>9</v>
      </c>
      <c r="I9" s="504">
        <v>377.42</v>
      </c>
      <c r="J9" s="505">
        <v>44134</v>
      </c>
      <c r="K9" s="507"/>
      <c r="L9" s="342"/>
    </row>
    <row r="10" spans="1:12" x14ac:dyDescent="0.35">
      <c r="A10" s="343">
        <v>44100</v>
      </c>
      <c r="B10" s="344">
        <v>2003654</v>
      </c>
      <c r="C10" s="500"/>
      <c r="D10" s="345">
        <v>70</v>
      </c>
      <c r="E10" s="345"/>
      <c r="F10" s="346">
        <v>70</v>
      </c>
      <c r="G10" s="347">
        <v>70</v>
      </c>
      <c r="H10" s="502"/>
      <c r="I10" s="504"/>
      <c r="J10" s="505"/>
      <c r="K10" s="507"/>
      <c r="L10" s="348"/>
    </row>
    <row r="11" spans="1:12" ht="15" thickBot="1" x14ac:dyDescent="0.4">
      <c r="A11" s="349">
        <v>44095</v>
      </c>
      <c r="B11" s="350">
        <v>2003655</v>
      </c>
      <c r="C11" s="500"/>
      <c r="D11" s="351">
        <v>210</v>
      </c>
      <c r="E11" s="351"/>
      <c r="F11" s="352">
        <v>210</v>
      </c>
      <c r="G11" s="353">
        <v>210</v>
      </c>
      <c r="H11" s="503"/>
      <c r="I11" s="489"/>
      <c r="J11" s="506"/>
      <c r="K11" s="491"/>
      <c r="L11" s="354"/>
    </row>
    <row r="12" spans="1:12" ht="15.5" thickTop="1" thickBot="1" x14ac:dyDescent="0.4">
      <c r="A12" s="355">
        <v>44106</v>
      </c>
      <c r="B12" s="356">
        <v>2003656</v>
      </c>
      <c r="C12" s="501"/>
      <c r="D12" s="357">
        <v>170.51</v>
      </c>
      <c r="E12" s="357"/>
      <c r="F12" s="358">
        <v>170.51</v>
      </c>
      <c r="G12" s="359">
        <v>170.51</v>
      </c>
      <c r="H12" s="360" t="s">
        <v>10</v>
      </c>
      <c r="I12" s="361">
        <v>210</v>
      </c>
      <c r="J12" s="361" t="s">
        <v>618</v>
      </c>
      <c r="K12" s="362"/>
      <c r="L12" s="363"/>
    </row>
    <row r="13" spans="1:12" x14ac:dyDescent="0.35">
      <c r="A13" s="364">
        <v>43998</v>
      </c>
      <c r="B13" s="365">
        <v>2003657</v>
      </c>
      <c r="C13" s="366" t="s">
        <v>619</v>
      </c>
      <c r="D13" s="367">
        <v>74.290000000000006</v>
      </c>
      <c r="E13" s="367">
        <v>6.31</v>
      </c>
      <c r="F13" s="368">
        <v>80.600000000000009</v>
      </c>
      <c r="G13" s="369">
        <v>80.600000000000009</v>
      </c>
      <c r="H13" s="367" t="s">
        <v>6</v>
      </c>
      <c r="I13" s="370">
        <v>80.600000000000009</v>
      </c>
      <c r="J13" s="371">
        <v>44028</v>
      </c>
      <c r="K13" s="372"/>
      <c r="L13" s="373"/>
    </row>
    <row r="14" spans="1:12" ht="15" thickBot="1" x14ac:dyDescent="0.4">
      <c r="A14" s="374">
        <v>44074</v>
      </c>
      <c r="B14" s="375">
        <v>2003658</v>
      </c>
      <c r="C14" s="376" t="s">
        <v>620</v>
      </c>
      <c r="D14" s="377">
        <v>989.35</v>
      </c>
      <c r="E14" s="377"/>
      <c r="F14" s="378">
        <v>989.35</v>
      </c>
      <c r="G14" s="379">
        <v>989.35</v>
      </c>
      <c r="H14" s="380" t="s">
        <v>8</v>
      </c>
      <c r="I14" s="381">
        <v>989.35</v>
      </c>
      <c r="J14" s="382">
        <v>44104</v>
      </c>
      <c r="K14" s="383"/>
      <c r="L14" s="384"/>
    </row>
    <row r="15" spans="1:12" ht="15" thickBot="1" x14ac:dyDescent="0.4">
      <c r="A15" s="385">
        <v>44075</v>
      </c>
      <c r="B15" s="386">
        <v>2003659</v>
      </c>
      <c r="C15" s="484" t="s">
        <v>621</v>
      </c>
      <c r="D15" s="387">
        <v>50.45</v>
      </c>
      <c r="E15" s="388">
        <v>4.29</v>
      </c>
      <c r="F15" s="388">
        <v>54.74</v>
      </c>
      <c r="G15" s="389">
        <v>54.74</v>
      </c>
      <c r="H15" s="390" t="s">
        <v>9</v>
      </c>
      <c r="I15" s="391">
        <v>139.68</v>
      </c>
      <c r="J15" s="392">
        <v>44105</v>
      </c>
      <c r="K15" s="393"/>
      <c r="L15" s="394"/>
    </row>
    <row r="16" spans="1:12" ht="15.5" thickTop="1" thickBot="1" x14ac:dyDescent="0.4">
      <c r="A16" s="395">
        <v>44044</v>
      </c>
      <c r="B16" s="396">
        <v>2003660</v>
      </c>
      <c r="C16" s="485"/>
      <c r="D16" s="397">
        <v>78.290000000000006</v>
      </c>
      <c r="E16" s="397">
        <v>6.65</v>
      </c>
      <c r="F16" s="368">
        <v>84.940000000000012</v>
      </c>
      <c r="G16" s="398">
        <v>84.940000000000012</v>
      </c>
      <c r="H16" s="399" t="s">
        <v>8</v>
      </c>
      <c r="I16" s="400">
        <v>84.94</v>
      </c>
      <c r="J16" s="401">
        <v>44074</v>
      </c>
      <c r="K16" s="402"/>
      <c r="L16" s="403"/>
    </row>
    <row r="17" spans="1:12" ht="15" thickBot="1" x14ac:dyDescent="0.4">
      <c r="A17" s="404">
        <v>44047</v>
      </c>
      <c r="B17" s="365">
        <v>2003661</v>
      </c>
      <c r="C17" s="486" t="s">
        <v>622</v>
      </c>
      <c r="D17" s="405">
        <v>294.3</v>
      </c>
      <c r="E17" s="405"/>
      <c r="F17" s="388">
        <v>294.3</v>
      </c>
      <c r="G17" s="406">
        <v>294.3</v>
      </c>
      <c r="H17" s="407" t="s">
        <v>8</v>
      </c>
      <c r="I17" s="407">
        <v>294.3</v>
      </c>
      <c r="J17" s="392">
        <v>44077</v>
      </c>
      <c r="K17" s="408"/>
      <c r="L17" s="409"/>
    </row>
    <row r="18" spans="1:12" ht="15" thickTop="1" x14ac:dyDescent="0.35">
      <c r="A18" s="410">
        <v>44043</v>
      </c>
      <c r="B18" s="344">
        <v>2003662</v>
      </c>
      <c r="C18" s="487"/>
      <c r="D18" s="411">
        <v>1072.4000000000001</v>
      </c>
      <c r="E18" s="411"/>
      <c r="F18" s="412">
        <v>1072.4000000000001</v>
      </c>
      <c r="G18" s="413">
        <v>1072.4000000000001</v>
      </c>
      <c r="H18" s="488" t="s">
        <v>7</v>
      </c>
      <c r="I18" s="488">
        <v>12211.47</v>
      </c>
      <c r="J18" s="414">
        <v>44073</v>
      </c>
      <c r="K18" s="490"/>
      <c r="L18" s="415"/>
    </row>
    <row r="19" spans="1:12" ht="15" thickBot="1" x14ac:dyDescent="0.4">
      <c r="A19" s="410">
        <v>44035</v>
      </c>
      <c r="B19" s="344">
        <v>2003663</v>
      </c>
      <c r="C19" s="487"/>
      <c r="D19" s="416">
        <v>11139.07</v>
      </c>
      <c r="E19" s="416"/>
      <c r="F19" s="352">
        <v>11139.07</v>
      </c>
      <c r="G19" s="417">
        <v>11139.07</v>
      </c>
      <c r="H19" s="489"/>
      <c r="I19" s="489"/>
      <c r="J19" s="418">
        <v>44065</v>
      </c>
      <c r="K19" s="491"/>
      <c r="L19" s="419"/>
    </row>
    <row r="20" spans="1:12" ht="15" thickTop="1" x14ac:dyDescent="0.35">
      <c r="A20" s="410">
        <v>44001</v>
      </c>
      <c r="B20" s="344">
        <v>2003664</v>
      </c>
      <c r="C20" s="487"/>
      <c r="D20" s="411">
        <v>31.2</v>
      </c>
      <c r="E20" s="411"/>
      <c r="F20" s="412">
        <v>31.2</v>
      </c>
      <c r="G20" s="413">
        <v>31.2</v>
      </c>
      <c r="H20" s="488" t="s">
        <v>6</v>
      </c>
      <c r="I20" s="488">
        <v>1214.3300000000002</v>
      </c>
      <c r="J20" s="414">
        <v>44031</v>
      </c>
      <c r="K20" s="490"/>
      <c r="L20" s="415"/>
    </row>
    <row r="21" spans="1:12" ht="15" thickBot="1" x14ac:dyDescent="0.4">
      <c r="A21" s="410">
        <v>44000</v>
      </c>
      <c r="B21" s="344">
        <v>2003665</v>
      </c>
      <c r="C21" s="487"/>
      <c r="D21" s="416">
        <v>1183.1300000000001</v>
      </c>
      <c r="E21" s="416"/>
      <c r="F21" s="352">
        <v>1183.1300000000001</v>
      </c>
      <c r="G21" s="417">
        <v>1183.1300000000001</v>
      </c>
      <c r="H21" s="489"/>
      <c r="I21" s="489"/>
      <c r="J21" s="418">
        <v>44030</v>
      </c>
      <c r="K21" s="491"/>
      <c r="L21" s="419"/>
    </row>
    <row r="22" spans="1:12" ht="15.5" thickTop="1" thickBot="1" x14ac:dyDescent="0.4">
      <c r="A22" s="420">
        <v>44102</v>
      </c>
      <c r="B22" s="421">
        <v>2003666</v>
      </c>
      <c r="C22" s="487"/>
      <c r="D22" s="422">
        <v>-588.6</v>
      </c>
      <c r="E22" s="422"/>
      <c r="F22" s="423">
        <v>-588.6</v>
      </c>
      <c r="G22" s="424">
        <v>-588.6</v>
      </c>
      <c r="H22" s="425" t="s">
        <v>9</v>
      </c>
      <c r="I22" s="425">
        <v>-588.6</v>
      </c>
      <c r="J22" s="382">
        <v>44132</v>
      </c>
      <c r="K22" s="426"/>
      <c r="L22" s="427"/>
    </row>
    <row r="23" spans="1:12" ht="44" thickBot="1" x14ac:dyDescent="0.4">
      <c r="A23" s="428">
        <v>44057</v>
      </c>
      <c r="B23" s="429">
        <v>2003667</v>
      </c>
      <c r="C23" s="430" t="s">
        <v>623</v>
      </c>
      <c r="D23" s="431">
        <v>3.64</v>
      </c>
      <c r="E23" s="431">
        <v>0.31</v>
      </c>
      <c r="F23" s="432">
        <v>3.95</v>
      </c>
      <c r="G23" s="433">
        <v>3.95</v>
      </c>
      <c r="H23" s="434" t="s">
        <v>8</v>
      </c>
      <c r="I23" s="434">
        <v>3.95</v>
      </c>
      <c r="J23" s="435">
        <v>44087</v>
      </c>
      <c r="K23" s="436"/>
      <c r="L23" s="437"/>
    </row>
  </sheetData>
  <mergeCells count="17">
    <mergeCell ref="A1:E1"/>
    <mergeCell ref="A2:E2"/>
    <mergeCell ref="I4:K4"/>
    <mergeCell ref="I5:K5"/>
    <mergeCell ref="C9:C12"/>
    <mergeCell ref="H9:H11"/>
    <mergeCell ref="I9:I11"/>
    <mergeCell ref="J9:J11"/>
    <mergeCell ref="K9:K11"/>
    <mergeCell ref="C15:C16"/>
    <mergeCell ref="C17:C22"/>
    <mergeCell ref="H18:H19"/>
    <mergeCell ref="I18:I19"/>
    <mergeCell ref="K18:K19"/>
    <mergeCell ref="H20:H21"/>
    <mergeCell ref="I20:I21"/>
    <mergeCell ref="K20:K21"/>
  </mergeCells>
  <conditionalFormatting sqref="K12:K15 K9 K17:K18 K20 K22">
    <cfRule type="expression" dxfId="201" priority="7">
      <formula>$U1048553=""</formula>
    </cfRule>
  </conditionalFormatting>
  <conditionalFormatting sqref="L9">
    <cfRule type="expression" dxfId="200" priority="6">
      <formula>$N8=""</formula>
    </cfRule>
  </conditionalFormatting>
  <conditionalFormatting sqref="L12">
    <cfRule type="expression" dxfId="199" priority="5">
      <formula>$X1048556=""</formula>
    </cfRule>
  </conditionalFormatting>
  <conditionalFormatting sqref="L13">
    <cfRule type="expression" dxfId="198" priority="4">
      <formula>$X1048557=""</formula>
    </cfRule>
  </conditionalFormatting>
  <conditionalFormatting sqref="L14">
    <cfRule type="expression" dxfId="197" priority="3">
      <formula>$X1048558=""</formula>
    </cfRule>
  </conditionalFormatting>
  <conditionalFormatting sqref="L15">
    <cfRule type="expression" dxfId="196" priority="2">
      <formula>$X1048559=""</formula>
    </cfRule>
  </conditionalFormatting>
  <conditionalFormatting sqref="L17:L18 L20 L22">
    <cfRule type="expression" dxfId="195" priority="1">
      <formula>$N17=""</formula>
    </cfRule>
  </conditionalFormatting>
  <conditionalFormatting sqref="K23">
    <cfRule type="expression" dxfId="194" priority="8">
      <formula>$J24=""</formula>
    </cfRule>
  </conditionalFormatting>
  <conditionalFormatting sqref="L23">
    <cfRule type="expression" dxfId="193" priority="9">
      <formula>#REF!=""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"/>
  <dimension ref="B3:N39"/>
  <sheetViews>
    <sheetView workbookViewId="0">
      <selection activeCell="B24" sqref="B24"/>
    </sheetView>
  </sheetViews>
  <sheetFormatPr baseColWidth="10" defaultRowHeight="14.5" x14ac:dyDescent="0.35"/>
  <cols>
    <col min="2" max="2" width="28.54296875" bestFit="1" customWidth="1"/>
    <col min="3" max="3" width="13.26953125" bestFit="1" customWidth="1"/>
    <col min="4" max="4" width="15.26953125" customWidth="1"/>
    <col min="5" max="5" width="19.81640625" bestFit="1" customWidth="1"/>
    <col min="7" max="7" width="22.453125" bestFit="1" customWidth="1"/>
    <col min="8" max="8" width="18" bestFit="1" customWidth="1"/>
  </cols>
  <sheetData>
    <row r="3" spans="2:14" x14ac:dyDescent="0.35">
      <c r="F3" t="s">
        <v>144</v>
      </c>
      <c r="G3" s="255">
        <f>DATE(2020,7,20)</f>
        <v>44032</v>
      </c>
    </row>
    <row r="5" spans="2:14" ht="31" x14ac:dyDescent="0.35">
      <c r="B5" s="261" t="s">
        <v>0</v>
      </c>
      <c r="C5" s="262" t="s">
        <v>149</v>
      </c>
      <c r="D5" s="262" t="s">
        <v>145</v>
      </c>
      <c r="E5" s="262" t="s">
        <v>146</v>
      </c>
      <c r="F5" s="262" t="s">
        <v>100</v>
      </c>
      <c r="G5" s="263" t="s">
        <v>147</v>
      </c>
      <c r="H5" s="263" t="s">
        <v>148</v>
      </c>
      <c r="I5" s="23"/>
      <c r="J5" s="23"/>
      <c r="K5" s="23"/>
      <c r="L5" s="23"/>
      <c r="M5" s="23"/>
      <c r="N5" s="23"/>
    </row>
    <row r="6" spans="2:14" ht="15.5" x14ac:dyDescent="0.35">
      <c r="B6" s="256" t="s">
        <v>39</v>
      </c>
      <c r="C6" s="259"/>
      <c r="D6" s="264"/>
      <c r="E6" s="180"/>
      <c r="F6" s="259"/>
      <c r="G6" s="259"/>
      <c r="H6" s="259"/>
      <c r="I6" s="9"/>
      <c r="J6" s="9"/>
      <c r="K6" s="23"/>
      <c r="L6" s="23"/>
      <c r="M6" s="23"/>
      <c r="N6" s="23"/>
    </row>
    <row r="7" spans="2:14" ht="15.5" x14ac:dyDescent="0.35">
      <c r="B7" s="256" t="s">
        <v>27</v>
      </c>
      <c r="C7" s="20"/>
      <c r="D7" s="20"/>
      <c r="E7" s="20"/>
      <c r="F7" s="20"/>
      <c r="G7" s="20"/>
      <c r="H7" s="20"/>
      <c r="I7" s="181"/>
      <c r="J7" s="60"/>
      <c r="K7" s="66"/>
      <c r="L7" s="23"/>
      <c r="M7" s="23"/>
      <c r="N7" s="23"/>
    </row>
    <row r="8" spans="2:14" ht="15.5" x14ac:dyDescent="0.35">
      <c r="B8" s="256" t="s">
        <v>44</v>
      </c>
      <c r="C8" s="20"/>
      <c r="D8" s="265"/>
      <c r="E8" s="39"/>
      <c r="F8" s="20"/>
      <c r="G8" s="20"/>
      <c r="H8" s="20"/>
      <c r="I8" s="181"/>
      <c r="J8" s="60"/>
      <c r="K8" s="66"/>
      <c r="L8" s="23"/>
      <c r="M8" s="23"/>
      <c r="N8" s="23"/>
    </row>
    <row r="9" spans="2:14" ht="15.5" x14ac:dyDescent="0.35">
      <c r="B9" s="256" t="s">
        <v>117</v>
      </c>
      <c r="C9" s="20"/>
      <c r="D9" s="18"/>
      <c r="E9" s="37"/>
      <c r="F9" s="17"/>
      <c r="G9" s="17"/>
      <c r="H9" s="17"/>
      <c r="I9" s="181"/>
      <c r="J9" s="66"/>
      <c r="K9" s="66"/>
      <c r="L9" s="23"/>
      <c r="M9" s="23"/>
      <c r="N9" s="23"/>
    </row>
    <row r="10" spans="2:14" ht="15.5" x14ac:dyDescent="0.35">
      <c r="B10" s="256" t="s">
        <v>22</v>
      </c>
      <c r="C10" s="20"/>
      <c r="D10" s="265"/>
      <c r="E10" s="39"/>
      <c r="F10" s="20"/>
      <c r="G10" s="20"/>
      <c r="H10" s="20"/>
      <c r="I10" s="181"/>
      <c r="J10" s="66"/>
      <c r="K10" s="66"/>
      <c r="L10" s="23"/>
      <c r="M10" s="23"/>
      <c r="N10" s="23"/>
    </row>
    <row r="11" spans="2:14" ht="15.5" x14ac:dyDescent="0.35">
      <c r="B11" s="256" t="s">
        <v>98</v>
      </c>
      <c r="C11" s="20"/>
      <c r="D11" s="18"/>
      <c r="E11" s="19"/>
      <c r="F11" s="17"/>
      <c r="G11" s="17"/>
      <c r="H11" s="17"/>
      <c r="I11" s="181"/>
      <c r="J11" s="66"/>
      <c r="K11" s="66"/>
      <c r="L11" s="23"/>
      <c r="M11" s="23"/>
      <c r="N11" s="23"/>
    </row>
    <row r="12" spans="2:14" ht="15.5" x14ac:dyDescent="0.35">
      <c r="B12" s="256" t="s">
        <v>31</v>
      </c>
      <c r="C12" s="20"/>
      <c r="D12" s="18"/>
      <c r="E12" s="53"/>
      <c r="F12" s="88"/>
      <c r="G12" s="88"/>
      <c r="H12" s="17"/>
      <c r="I12" s="181"/>
      <c r="J12" s="60"/>
      <c r="K12" s="66"/>
      <c r="L12" s="23"/>
      <c r="M12" s="23"/>
      <c r="N12" s="23"/>
    </row>
    <row r="13" spans="2:14" ht="15.5" x14ac:dyDescent="0.35">
      <c r="B13" s="235" t="s">
        <v>142</v>
      </c>
      <c r="C13" s="73"/>
      <c r="D13" s="73"/>
      <c r="E13" s="73"/>
      <c r="F13" s="73"/>
      <c r="G13" s="73"/>
      <c r="H13" s="73"/>
      <c r="I13" s="181"/>
      <c r="J13" s="60"/>
      <c r="K13" s="66"/>
      <c r="L13" s="23"/>
      <c r="M13" s="23"/>
      <c r="N13" s="23"/>
    </row>
    <row r="14" spans="2:14" ht="15.5" x14ac:dyDescent="0.35">
      <c r="B14" s="256" t="s">
        <v>118</v>
      </c>
      <c r="C14" s="20"/>
      <c r="D14" s="20"/>
      <c r="E14" s="20"/>
      <c r="F14" s="20"/>
      <c r="G14" s="20"/>
      <c r="H14" s="20"/>
      <c r="I14" s="181"/>
      <c r="J14" s="60"/>
      <c r="K14" s="66"/>
      <c r="L14" s="23"/>
      <c r="M14" s="23"/>
      <c r="N14" s="23"/>
    </row>
    <row r="15" spans="2:14" ht="15.5" x14ac:dyDescent="0.35">
      <c r="B15" s="256" t="s">
        <v>20</v>
      </c>
      <c r="C15" s="20"/>
      <c r="D15" s="20"/>
      <c r="E15" s="20"/>
      <c r="F15" s="20"/>
      <c r="G15" s="20"/>
      <c r="H15" s="20"/>
      <c r="I15" s="181"/>
      <c r="J15" s="55"/>
      <c r="K15" s="66"/>
      <c r="L15" s="23"/>
      <c r="M15" s="23"/>
      <c r="N15" s="23"/>
    </row>
    <row r="16" spans="2:14" ht="15.5" x14ac:dyDescent="0.35">
      <c r="B16" s="256" t="s">
        <v>112</v>
      </c>
      <c r="C16" s="20"/>
      <c r="D16" s="18"/>
      <c r="E16" s="53"/>
      <c r="F16" s="88"/>
      <c r="G16" s="88"/>
      <c r="H16" s="17"/>
      <c r="I16" s="55"/>
      <c r="J16" s="60"/>
      <c r="K16" s="60"/>
      <c r="L16" s="23"/>
      <c r="M16" s="23"/>
      <c r="N16" s="23"/>
    </row>
    <row r="17" spans="2:14" ht="15.5" x14ac:dyDescent="0.35">
      <c r="B17" s="256" t="s">
        <v>33</v>
      </c>
      <c r="C17" s="20"/>
      <c r="D17" s="18"/>
      <c r="E17" s="53"/>
      <c r="F17" s="88"/>
      <c r="G17" s="88"/>
      <c r="H17" s="17"/>
      <c r="I17" s="55"/>
      <c r="J17" s="60"/>
      <c r="K17" s="60"/>
      <c r="L17" s="23"/>
      <c r="M17" s="23"/>
      <c r="N17" s="23"/>
    </row>
    <row r="18" spans="2:14" ht="15.5" x14ac:dyDescent="0.35">
      <c r="B18" s="256" t="s">
        <v>116</v>
      </c>
      <c r="C18" s="20"/>
      <c r="D18" s="18"/>
      <c r="E18" s="19"/>
      <c r="F18" s="17"/>
      <c r="G18" s="17"/>
      <c r="H18" s="17"/>
      <c r="I18" s="55"/>
      <c r="J18" s="60"/>
      <c r="K18" s="60"/>
      <c r="L18" s="23"/>
      <c r="M18" s="23"/>
      <c r="N18" s="23"/>
    </row>
    <row r="19" spans="2:14" ht="15.5" x14ac:dyDescent="0.35">
      <c r="B19" s="133" t="s">
        <v>114</v>
      </c>
      <c r="C19" s="20"/>
      <c r="D19" s="18"/>
      <c r="E19" s="39"/>
      <c r="F19" s="88"/>
      <c r="G19" s="88"/>
      <c r="H19" s="17"/>
      <c r="I19" s="55"/>
      <c r="J19" s="55"/>
      <c r="K19" s="55"/>
      <c r="L19" s="23"/>
      <c r="M19" s="23"/>
      <c r="N19" s="23"/>
    </row>
    <row r="20" spans="2:14" ht="15.5" x14ac:dyDescent="0.35">
      <c r="B20" s="133" t="s">
        <v>28</v>
      </c>
      <c r="C20" s="20"/>
      <c r="D20" s="20"/>
      <c r="E20" s="20"/>
      <c r="F20" s="20"/>
      <c r="G20" s="20"/>
      <c r="H20" s="20"/>
      <c r="I20" s="23"/>
      <c r="J20" s="23"/>
      <c r="K20" s="23"/>
      <c r="L20" s="23"/>
      <c r="M20" s="23"/>
      <c r="N20" s="23"/>
    </row>
    <row r="21" spans="2:14" ht="15.5" x14ac:dyDescent="0.35">
      <c r="B21" s="133" t="s">
        <v>113</v>
      </c>
      <c r="C21" s="20"/>
      <c r="D21" s="18"/>
      <c r="E21" s="53"/>
      <c r="F21" s="88"/>
      <c r="G21" s="88"/>
      <c r="H21" s="17"/>
      <c r="I21" s="23"/>
      <c r="J21" s="23"/>
      <c r="K21" s="23"/>
      <c r="L21" s="23"/>
      <c r="M21" s="23"/>
      <c r="N21" s="23"/>
    </row>
    <row r="22" spans="2:14" ht="15.5" x14ac:dyDescent="0.35">
      <c r="B22" s="133" t="s">
        <v>115</v>
      </c>
      <c r="C22" s="20"/>
      <c r="D22" s="18"/>
      <c r="E22" s="53"/>
      <c r="F22" s="17"/>
      <c r="G22" s="17"/>
      <c r="H22" s="17"/>
      <c r="I22" s="23"/>
      <c r="J22" s="23"/>
      <c r="K22" s="23"/>
      <c r="L22" s="23"/>
      <c r="M22" s="23"/>
      <c r="N22" s="23"/>
    </row>
    <row r="23" spans="2:14" ht="15.5" x14ac:dyDescent="0.35">
      <c r="B23" s="133" t="s">
        <v>69</v>
      </c>
      <c r="C23" s="73"/>
      <c r="D23" s="73"/>
      <c r="E23" s="73"/>
      <c r="F23" s="73"/>
      <c r="G23" s="73"/>
      <c r="H23" s="73"/>
      <c r="I23" s="23"/>
      <c r="J23" s="23"/>
      <c r="K23" s="23"/>
      <c r="L23" s="23"/>
      <c r="M23" s="23"/>
      <c r="N23" s="23"/>
    </row>
    <row r="24" spans="2:14" ht="15.5" x14ac:dyDescent="0.35">
      <c r="B24" s="133" t="s">
        <v>119</v>
      </c>
      <c r="C24" s="20"/>
      <c r="D24" s="265"/>
      <c r="E24" s="39"/>
      <c r="F24" s="258"/>
      <c r="G24" s="20"/>
      <c r="H24" s="20"/>
      <c r="I24" s="23"/>
      <c r="J24" s="23"/>
      <c r="K24" s="23"/>
      <c r="L24" s="23"/>
      <c r="M24" s="23"/>
      <c r="N24" s="23"/>
    </row>
    <row r="25" spans="2:14" ht="15.5" x14ac:dyDescent="0.35">
      <c r="B25" s="133" t="s">
        <v>50</v>
      </c>
      <c r="C25" s="73"/>
      <c r="D25" s="73"/>
      <c r="E25" s="73"/>
      <c r="F25" s="73"/>
      <c r="G25" s="73"/>
      <c r="H25" s="73"/>
      <c r="I25" s="23"/>
      <c r="J25" s="23"/>
      <c r="K25" s="23"/>
      <c r="L25" s="23"/>
      <c r="M25" s="23"/>
      <c r="N25" s="23"/>
    </row>
    <row r="26" spans="2:14" ht="15.5" x14ac:dyDescent="0.35">
      <c r="B26" s="133" t="s">
        <v>17</v>
      </c>
      <c r="C26" s="20"/>
      <c r="D26" s="265"/>
      <c r="E26" s="39"/>
      <c r="F26" s="258"/>
      <c r="G26" s="20"/>
      <c r="H26" s="20"/>
      <c r="I26" s="23"/>
      <c r="J26" s="23"/>
      <c r="K26" s="23"/>
      <c r="L26" s="23"/>
      <c r="M26" s="23"/>
      <c r="N26" s="23"/>
    </row>
    <row r="27" spans="2:14" ht="15.5" x14ac:dyDescent="0.35">
      <c r="B27" s="133" t="s">
        <v>74</v>
      </c>
      <c r="C27" s="20"/>
      <c r="D27" s="18"/>
      <c r="E27" s="53"/>
      <c r="F27" s="88"/>
      <c r="G27" s="88"/>
      <c r="H27" s="17"/>
      <c r="I27" s="23"/>
      <c r="J27" s="23"/>
      <c r="K27" s="23"/>
      <c r="L27" s="23"/>
      <c r="M27" s="23"/>
      <c r="N27" s="23"/>
    </row>
    <row r="28" spans="2:14" ht="15.5" x14ac:dyDescent="0.35">
      <c r="B28" s="133" t="s">
        <v>24</v>
      </c>
      <c r="C28" s="20"/>
      <c r="D28" s="265"/>
      <c r="E28" s="39"/>
      <c r="F28" s="20"/>
      <c r="G28" s="20"/>
      <c r="H28" s="20"/>
      <c r="I28" s="23"/>
      <c r="J28" s="23"/>
      <c r="K28" s="23"/>
      <c r="L28" s="23"/>
      <c r="M28" s="23"/>
      <c r="N28" s="23"/>
    </row>
    <row r="29" spans="2:14" ht="15.5" x14ac:dyDescent="0.35">
      <c r="B29" s="133" t="s">
        <v>25</v>
      </c>
      <c r="C29" s="20"/>
      <c r="D29" s="265"/>
      <c r="E29" s="39"/>
      <c r="F29" s="20"/>
      <c r="G29" s="20"/>
      <c r="H29" s="20"/>
      <c r="I29" s="23"/>
      <c r="J29" s="23"/>
      <c r="K29" s="23"/>
      <c r="L29" s="23"/>
      <c r="M29" s="23"/>
      <c r="N29" s="23"/>
    </row>
    <row r="30" spans="2:14" ht="15.5" x14ac:dyDescent="0.35">
      <c r="B30" s="256" t="s">
        <v>19</v>
      </c>
      <c r="C30" s="20"/>
      <c r="D30" s="18"/>
      <c r="E30" s="37"/>
      <c r="F30" s="17"/>
      <c r="G30" s="17"/>
      <c r="H30" s="17"/>
      <c r="I30" s="23"/>
      <c r="J30" s="23"/>
      <c r="K30" s="23"/>
      <c r="L30" s="23"/>
      <c r="M30" s="23"/>
      <c r="N30" s="23"/>
    </row>
    <row r="31" spans="2:14" ht="15.5" x14ac:dyDescent="0.35">
      <c r="B31" s="133" t="s">
        <v>73</v>
      </c>
      <c r="C31" s="20"/>
      <c r="D31" s="18"/>
      <c r="E31" s="19"/>
      <c r="F31" s="17"/>
      <c r="G31" s="17"/>
      <c r="H31" s="17"/>
      <c r="I31" s="23"/>
      <c r="J31" s="23"/>
      <c r="K31" s="23"/>
      <c r="L31" s="23"/>
      <c r="M31" s="23"/>
      <c r="N31" s="23"/>
    </row>
    <row r="32" spans="2:14" ht="15.5" x14ac:dyDescent="0.35">
      <c r="B32" s="256" t="s">
        <v>21</v>
      </c>
      <c r="C32" s="20"/>
      <c r="D32" s="265"/>
      <c r="E32" s="39"/>
      <c r="F32" s="20"/>
      <c r="G32" s="20"/>
      <c r="H32" s="20"/>
      <c r="I32" s="23"/>
      <c r="J32" s="23"/>
      <c r="K32" s="23"/>
      <c r="L32" s="23"/>
      <c r="M32" s="23"/>
      <c r="N32" s="23"/>
    </row>
    <row r="33" spans="2:14" ht="15.5" x14ac:dyDescent="0.35">
      <c r="B33" s="256" t="s">
        <v>26</v>
      </c>
      <c r="C33" s="20"/>
      <c r="D33" s="20"/>
      <c r="E33" s="20"/>
      <c r="F33" s="20"/>
      <c r="G33" s="20"/>
      <c r="H33" s="20"/>
      <c r="I33" s="23"/>
      <c r="J33" s="23"/>
      <c r="K33" s="23"/>
      <c r="L33" s="23"/>
      <c r="M33" s="23"/>
      <c r="N33" s="23"/>
    </row>
    <row r="34" spans="2:14" ht="15.5" x14ac:dyDescent="0.35">
      <c r="B34" s="235" t="s">
        <v>18</v>
      </c>
      <c r="C34" s="20"/>
      <c r="D34" s="18"/>
      <c r="E34" s="19"/>
      <c r="F34" s="17"/>
      <c r="G34" s="17"/>
      <c r="H34" s="17"/>
    </row>
    <row r="35" spans="2:14" ht="15.5" x14ac:dyDescent="0.35">
      <c r="B35" s="133" t="s">
        <v>121</v>
      </c>
      <c r="C35" s="73"/>
      <c r="D35" s="73"/>
      <c r="E35" s="73"/>
      <c r="F35" s="73"/>
      <c r="G35" s="73"/>
      <c r="H35" s="73"/>
    </row>
    <row r="36" spans="2:14" ht="15.5" x14ac:dyDescent="0.35">
      <c r="B36" s="133" t="s">
        <v>48</v>
      </c>
      <c r="C36" s="20"/>
      <c r="D36" s="20"/>
      <c r="E36" s="20"/>
      <c r="F36" s="20"/>
      <c r="G36" s="20"/>
      <c r="H36" s="20"/>
    </row>
    <row r="37" spans="2:14" ht="15.5" x14ac:dyDescent="0.35">
      <c r="B37" s="133" t="s">
        <v>111</v>
      </c>
      <c r="C37" s="20"/>
      <c r="D37" s="257"/>
      <c r="E37" s="257"/>
      <c r="F37" s="257"/>
      <c r="G37" s="257"/>
      <c r="H37" s="257"/>
    </row>
    <row r="38" spans="2:14" ht="15.5" x14ac:dyDescent="0.35">
      <c r="B38" s="133" t="s">
        <v>120</v>
      </c>
      <c r="C38" s="73"/>
      <c r="D38" s="73"/>
      <c r="E38" s="73"/>
      <c r="F38" s="73"/>
      <c r="G38" s="73"/>
      <c r="H38" s="73"/>
    </row>
    <row r="39" spans="2:14" ht="15.5" x14ac:dyDescent="0.35">
      <c r="B39" s="133" t="s">
        <v>23</v>
      </c>
      <c r="C39" s="73"/>
      <c r="D39" s="73"/>
      <c r="E39" s="73"/>
      <c r="F39" s="73"/>
      <c r="G39" s="73"/>
      <c r="H39" s="73"/>
    </row>
  </sheetData>
  <autoFilter ref="B5:H5" xr:uid="{00000000-0009-0000-0000-000007000000}">
    <sortState xmlns:xlrd2="http://schemas.microsoft.com/office/spreadsheetml/2017/richdata2" ref="B3:H36">
      <sortCondition ref="B2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ACHATS FRS 20</vt:lpstr>
      <vt:lpstr>FACT - PEINTURE- SERRURERIE</vt:lpstr>
      <vt:lpstr>FACT - ELECTRICITE</vt:lpstr>
      <vt:lpstr>FACT - ACHAT DIVERS</vt:lpstr>
      <vt:lpstr>FACT - FRS EXPORTS-TRANSPORTS</vt:lpstr>
      <vt:lpstr>FACT - FRAIS Généraux</vt:lpstr>
      <vt:lpstr>SUIVI DES FACTURES FRS</vt:lpstr>
      <vt:lpstr>MAQUETTE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BELVEDER</dc:creator>
  <cp:lastModifiedBy>axelle EUGNE</cp:lastModifiedBy>
  <cp:lastPrinted>2020-10-09T16:10:33Z</cp:lastPrinted>
  <dcterms:created xsi:type="dcterms:W3CDTF">2017-04-27T18:24:26Z</dcterms:created>
  <dcterms:modified xsi:type="dcterms:W3CDTF">2020-10-28T03:14:55Z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2020-07-09T08:53:25.5812993Z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7eac3503-e34e-418a-89aa-e7088f2fb8d6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