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 codeName="{4470D2CD-2249-CD33-4A35-6F278624656F}"/>
  <workbookPr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F:\DOCUMENTS PROFESSIONNELS\MEDIA AGENCY CONSULTING\Client\Electrometal\TRAVAUX\MAQUETTES AMELIORATION TABLEAU\"/>
    </mc:Choice>
  </mc:AlternateContent>
  <xr:revisionPtr revIDLastSave="0" documentId="13_ncr:1_{98B50728-47B2-49FF-949C-9426C2B9E09C}" xr6:coauthVersionLast="45" xr6:coauthVersionMax="45" xr10:uidLastSave="{00000000-0000-0000-0000-000000000000}"/>
  <bookViews>
    <workbookView xWindow="-110" yWindow="-110" windowWidth="19420" windowHeight="10420" tabRatio="918" firstSheet="2" activeTab="7" xr2:uid="{00000000-000D-0000-FFFF-FFFF00000000}"/>
  </bookViews>
  <sheets>
    <sheet name="ACHATS FRS 20" sheetId="6" r:id="rId1"/>
    <sheet name="FACT - PEINTURE- SERRURERIE" sheetId="8" r:id="rId2"/>
    <sheet name="FACT - ELECTRICITE" sheetId="13" r:id="rId3"/>
    <sheet name="FACT - ACHAT DIVERS" sheetId="14" r:id="rId4"/>
    <sheet name="FACT - FRAIS Généraux" sheetId="17" r:id="rId5"/>
    <sheet name="FACT - FRS EXPORTS-TRANSPORTS" sheetId="18" r:id="rId6"/>
    <sheet name="SUIVI DES FACTURES FRS" sheetId="19" r:id="rId7"/>
    <sheet name="MAQUETTE" sheetId="21" r:id="rId8"/>
    <sheet name="Feuil1" sheetId="20" r:id="rId9"/>
  </sheets>
  <definedNames>
    <definedName name="_xlnm._FilterDatabase" localSheetId="0" hidden="1">'ACHATS FRS 20'!$B$5:$N$67</definedName>
    <definedName name="_xlnm._FilterDatabase" localSheetId="3" hidden="1">'FACT - ACHAT DIVERS'!$E$4:$O$84</definedName>
    <definedName name="_xlnm._FilterDatabase" localSheetId="2" hidden="1">'FACT - ELECTRICITE'!$E$4:$M$84</definedName>
    <definedName name="_xlnm._FilterDatabase" localSheetId="4" hidden="1">'FACT - FRAIS Généraux'!$BA$4:$BK$80</definedName>
    <definedName name="_xlnm._FilterDatabase" localSheetId="5" hidden="1">'FACT - FRS EXPORTS-TRANSPORTS'!$Q$4:$AA$62</definedName>
    <definedName name="_xlnm._FilterDatabase" localSheetId="1" hidden="1">'FACT - PEINTURE- SERRURERIE'!$E$4:$O$175</definedName>
    <definedName name="_xlnm._FilterDatabase" localSheetId="8" hidden="1">Feuil1!$B$5:$H$5</definedName>
    <definedName name="_xlnm._FilterDatabase" localSheetId="6" hidden="1">'SUIVI DES FACTURES FRS'!$B$5:$P$5</definedName>
  </definedNames>
  <calcPr calcId="181029"/>
</workbook>
</file>

<file path=xl/calcChain.xml><?xml version="1.0" encoding="utf-8"?>
<calcChain xmlns="http://schemas.openxmlformats.org/spreadsheetml/2006/main">
  <c r="L5" i="21" l="1"/>
  <c r="L4" i="21"/>
  <c r="H277" i="19" l="1"/>
  <c r="H276" i="19"/>
  <c r="H275" i="19"/>
  <c r="H274" i="19"/>
  <c r="H273" i="19"/>
  <c r="H272" i="19"/>
  <c r="H271" i="19"/>
  <c r="H270" i="19"/>
  <c r="H269" i="19"/>
  <c r="H268" i="19"/>
  <c r="H267" i="19"/>
  <c r="H266" i="19"/>
  <c r="H265" i="19"/>
  <c r="H264" i="19"/>
  <c r="H263" i="19"/>
  <c r="G262" i="19"/>
  <c r="F262" i="19"/>
  <c r="C262" i="19"/>
  <c r="B262" i="19"/>
  <c r="F261" i="19"/>
  <c r="F260" i="19"/>
  <c r="F259" i="19"/>
  <c r="F258" i="19"/>
  <c r="F257" i="19"/>
  <c r="F256" i="19"/>
  <c r="F255" i="19"/>
  <c r="F254" i="19"/>
  <c r="F253" i="19"/>
  <c r="E252" i="19"/>
  <c r="B252" i="19"/>
  <c r="B251" i="19"/>
  <c r="B250" i="19"/>
  <c r="B249" i="19"/>
  <c r="B248" i="19"/>
  <c r="B247" i="19"/>
  <c r="B246" i="19"/>
  <c r="B245" i="19"/>
  <c r="B244" i="19"/>
  <c r="B243" i="19"/>
  <c r="B242" i="19"/>
  <c r="B241" i="19"/>
  <c r="B240" i="19"/>
  <c r="B239" i="19"/>
  <c r="B238" i="19"/>
  <c r="B237" i="19"/>
  <c r="B236" i="19"/>
  <c r="B235" i="19"/>
  <c r="B234" i="19"/>
  <c r="B233" i="19"/>
  <c r="B232" i="19"/>
  <c r="B231" i="19"/>
  <c r="B230" i="19"/>
  <c r="B229" i="19"/>
  <c r="B228" i="19"/>
  <c r="B227" i="19"/>
  <c r="B226" i="19"/>
  <c r="B225" i="19"/>
  <c r="B224" i="19"/>
  <c r="B223" i="19"/>
  <c r="B222" i="19"/>
  <c r="B221" i="19"/>
  <c r="B220" i="19"/>
  <c r="B219" i="19"/>
  <c r="B218" i="19"/>
  <c r="B217" i="19"/>
  <c r="B216" i="19"/>
  <c r="B215" i="19"/>
  <c r="B214" i="19"/>
  <c r="B213" i="19"/>
  <c r="B212" i="19"/>
  <c r="B211" i="19"/>
  <c r="B210" i="19"/>
  <c r="B209" i="19"/>
  <c r="B208" i="19"/>
  <c r="B207" i="19"/>
  <c r="B206" i="19"/>
  <c r="B205" i="19"/>
  <c r="B204" i="19"/>
  <c r="B203" i="19"/>
  <c r="B202" i="19"/>
  <c r="B201" i="19"/>
  <c r="B200" i="19"/>
  <c r="B199" i="19"/>
  <c r="B198" i="19"/>
  <c r="B197" i="19"/>
  <c r="B196" i="19"/>
  <c r="B195" i="19"/>
  <c r="B194" i="19"/>
  <c r="B193" i="19"/>
  <c r="B192" i="19"/>
  <c r="B191" i="19"/>
  <c r="B190" i="19"/>
  <c r="B189" i="19"/>
  <c r="B188" i="19"/>
  <c r="B187" i="19"/>
  <c r="B186" i="19"/>
  <c r="B185" i="19"/>
  <c r="B184" i="19"/>
  <c r="B183" i="19"/>
  <c r="B182" i="19"/>
  <c r="B181" i="19"/>
  <c r="C180" i="19"/>
  <c r="C179" i="19"/>
  <c r="C178" i="19"/>
  <c r="C177" i="19"/>
  <c r="C176" i="19"/>
  <c r="H175" i="19"/>
  <c r="H174" i="19"/>
  <c r="H173" i="19"/>
  <c r="H172" i="19"/>
  <c r="H171" i="19"/>
  <c r="H170" i="19"/>
  <c r="H169" i="19"/>
  <c r="H168" i="19"/>
  <c r="H167" i="19"/>
  <c r="H166" i="19"/>
  <c r="H165" i="19"/>
  <c r="H164" i="19"/>
  <c r="H163" i="19"/>
  <c r="H162" i="19"/>
  <c r="H161" i="19"/>
  <c r="H160" i="19"/>
  <c r="H159" i="19"/>
  <c r="H158" i="19"/>
  <c r="H157" i="19"/>
  <c r="H156" i="19"/>
  <c r="H155" i="19"/>
  <c r="H154" i="19"/>
  <c r="H153" i="19"/>
  <c r="H152" i="19"/>
  <c r="H151" i="19"/>
  <c r="C142" i="19"/>
  <c r="B142" i="19"/>
  <c r="B141" i="19"/>
  <c r="B140" i="19"/>
  <c r="B139" i="19"/>
  <c r="B138" i="19"/>
  <c r="B137" i="19"/>
  <c r="B136" i="19"/>
  <c r="B135" i="19"/>
  <c r="B134" i="19"/>
  <c r="B133" i="19"/>
  <c r="B132" i="19"/>
  <c r="B131" i="19"/>
  <c r="B130" i="19"/>
  <c r="B129" i="19"/>
  <c r="B128" i="19"/>
  <c r="B127" i="19"/>
  <c r="B126" i="19"/>
  <c r="B125" i="19"/>
  <c r="B124" i="19"/>
  <c r="B123" i="19"/>
  <c r="B122" i="19"/>
  <c r="B121" i="19"/>
  <c r="B120" i="19"/>
  <c r="B119" i="19"/>
  <c r="B118" i="19"/>
  <c r="B117" i="19"/>
  <c r="B116" i="19"/>
  <c r="B115" i="19"/>
  <c r="B114" i="19"/>
  <c r="B113" i="19"/>
  <c r="B112" i="19"/>
  <c r="B111" i="19"/>
  <c r="B110" i="19"/>
  <c r="B109" i="19"/>
  <c r="B108" i="19"/>
  <c r="B107" i="19"/>
  <c r="B106" i="19"/>
  <c r="B105" i="19"/>
  <c r="B104" i="19"/>
  <c r="B103" i="19"/>
  <c r="B102" i="19"/>
  <c r="B101" i="19"/>
  <c r="B100" i="19"/>
  <c r="B99" i="19"/>
  <c r="B98" i="19"/>
  <c r="B97" i="19"/>
  <c r="B96" i="19"/>
  <c r="B95" i="19"/>
  <c r="B94" i="19"/>
  <c r="B93" i="19"/>
  <c r="B92" i="19"/>
  <c r="B91" i="19"/>
  <c r="B90" i="19"/>
  <c r="B89" i="19"/>
  <c r="B88" i="19"/>
  <c r="B87" i="19"/>
  <c r="B86" i="19"/>
  <c r="B85" i="19"/>
  <c r="B84" i="19"/>
  <c r="B83" i="19"/>
  <c r="B82" i="19"/>
  <c r="B81" i="19"/>
  <c r="B80" i="19"/>
  <c r="B79" i="19"/>
  <c r="B78" i="19"/>
  <c r="B77" i="19"/>
  <c r="B76" i="19"/>
  <c r="B75" i="19"/>
  <c r="B74" i="19"/>
  <c r="B73" i="19"/>
  <c r="B72" i="19"/>
  <c r="B71" i="19"/>
  <c r="B70" i="19"/>
  <c r="B69" i="19"/>
  <c r="H68" i="19"/>
  <c r="H67" i="19"/>
  <c r="H66" i="19"/>
  <c r="H65" i="19"/>
  <c r="H64" i="19"/>
  <c r="H63" i="19"/>
  <c r="H62" i="19"/>
  <c r="H61" i="19"/>
  <c r="H60" i="19"/>
  <c r="H59" i="19"/>
  <c r="H58" i="19"/>
  <c r="H57" i="19"/>
  <c r="H56" i="19"/>
  <c r="H55" i="19"/>
  <c r="H54" i="19"/>
  <c r="H53" i="19"/>
  <c r="H52" i="19"/>
  <c r="H51" i="19"/>
  <c r="H50" i="19"/>
  <c r="H49" i="19"/>
  <c r="H48" i="19"/>
  <c r="H47" i="19"/>
  <c r="H46" i="19"/>
  <c r="H45" i="19"/>
  <c r="H44" i="19"/>
  <c r="H43" i="19"/>
  <c r="H42" i="19"/>
  <c r="H41" i="19"/>
  <c r="H40" i="19"/>
  <c r="H39" i="19"/>
  <c r="H38" i="19"/>
  <c r="H37" i="19"/>
  <c r="H36" i="19"/>
  <c r="H35" i="19"/>
  <c r="DE81" i="17" l="1"/>
  <c r="J54" i="13" l="1"/>
  <c r="J46" i="8" l="1"/>
  <c r="J47" i="8"/>
  <c r="J45" i="8"/>
  <c r="J3" i="19" l="1"/>
  <c r="J44" i="13"/>
  <c r="J45" i="13"/>
  <c r="V108" i="8" l="1"/>
  <c r="V109" i="8"/>
  <c r="V110" i="8"/>
  <c r="V111" i="8"/>
  <c r="V112" i="8"/>
  <c r="V113" i="8"/>
  <c r="V114" i="8"/>
  <c r="V115" i="8"/>
  <c r="V116" i="8"/>
  <c r="V117" i="8"/>
  <c r="V118" i="8"/>
  <c r="V119" i="8"/>
  <c r="V120" i="8"/>
  <c r="V121" i="8"/>
  <c r="V122" i="8"/>
  <c r="V123" i="8"/>
  <c r="V124" i="8"/>
  <c r="V125" i="8"/>
  <c r="V126" i="8"/>
  <c r="V127" i="8"/>
  <c r="V128" i="8"/>
  <c r="V129" i="8"/>
  <c r="V130" i="8"/>
  <c r="V131" i="8"/>
  <c r="V132" i="8"/>
  <c r="V133" i="8"/>
  <c r="V134" i="8"/>
  <c r="V135" i="8"/>
  <c r="V136" i="8"/>
  <c r="V137" i="8"/>
  <c r="V138" i="8"/>
  <c r="V139" i="8"/>
  <c r="V140" i="8"/>
  <c r="V141" i="8"/>
  <c r="V142" i="8"/>
  <c r="V143" i="8"/>
  <c r="V144" i="8"/>
  <c r="V145" i="8"/>
  <c r="V146" i="8"/>
  <c r="V147" i="8"/>
  <c r="V148" i="8"/>
  <c r="V149" i="8"/>
  <c r="V150" i="8"/>
  <c r="V151" i="8"/>
  <c r="V152" i="8"/>
  <c r="V153" i="8"/>
  <c r="V154" i="8"/>
  <c r="V155" i="8"/>
  <c r="V156" i="8"/>
  <c r="V157" i="8"/>
  <c r="V158" i="8"/>
  <c r="V159" i="8"/>
  <c r="V160" i="8"/>
  <c r="V161" i="8"/>
  <c r="V162" i="8"/>
  <c r="V163" i="8"/>
  <c r="V164" i="8"/>
  <c r="V165" i="8"/>
  <c r="V166" i="8"/>
  <c r="V167" i="8"/>
  <c r="V168" i="8"/>
  <c r="V169" i="8"/>
  <c r="V170" i="8"/>
  <c r="V171" i="8"/>
  <c r="V172" i="8"/>
  <c r="V173" i="8"/>
  <c r="V174" i="8"/>
  <c r="J108" i="8"/>
  <c r="J109" i="8"/>
  <c r="J110" i="8"/>
  <c r="J111" i="8"/>
  <c r="J112" i="8"/>
  <c r="J113" i="8"/>
  <c r="J114" i="8"/>
  <c r="J115" i="8"/>
  <c r="J116" i="8"/>
  <c r="J117" i="8"/>
  <c r="J118" i="8"/>
  <c r="J119" i="8"/>
  <c r="J120" i="8"/>
  <c r="J121" i="8"/>
  <c r="J122" i="8"/>
  <c r="J123" i="8"/>
  <c r="J124" i="8"/>
  <c r="J125" i="8"/>
  <c r="J126" i="8"/>
  <c r="J127" i="8"/>
  <c r="J128" i="8"/>
  <c r="J129" i="8"/>
  <c r="J130" i="8"/>
  <c r="J131" i="8"/>
  <c r="J132" i="8"/>
  <c r="J133" i="8"/>
  <c r="J134" i="8"/>
  <c r="J135" i="8"/>
  <c r="J136" i="8"/>
  <c r="J137" i="8"/>
  <c r="J138" i="8"/>
  <c r="J139" i="8"/>
  <c r="J140" i="8"/>
  <c r="J141" i="8"/>
  <c r="J142" i="8"/>
  <c r="J143" i="8"/>
  <c r="J144" i="8"/>
  <c r="J145" i="8"/>
  <c r="J146" i="8"/>
  <c r="J147" i="8"/>
  <c r="J148" i="8"/>
  <c r="J149" i="8"/>
  <c r="J150" i="8"/>
  <c r="J151" i="8"/>
  <c r="J152" i="8"/>
  <c r="J153" i="8"/>
  <c r="J154" i="8"/>
  <c r="J155" i="8"/>
  <c r="J156" i="8"/>
  <c r="J157" i="8"/>
  <c r="J158" i="8"/>
  <c r="J159" i="8"/>
  <c r="J160" i="8"/>
  <c r="J161" i="8"/>
  <c r="J162" i="8"/>
  <c r="J163" i="8"/>
  <c r="J164" i="8"/>
  <c r="J165" i="8"/>
  <c r="J166" i="8"/>
  <c r="J167" i="8"/>
  <c r="J168" i="8"/>
  <c r="J169" i="8"/>
  <c r="J170" i="8"/>
  <c r="J51" i="13"/>
  <c r="N30" i="6" l="1"/>
  <c r="M30" i="6"/>
  <c r="L30" i="6"/>
  <c r="J30" i="6"/>
  <c r="I30" i="6"/>
  <c r="H30" i="6"/>
  <c r="G30" i="6"/>
  <c r="F30" i="6"/>
  <c r="E30" i="6"/>
  <c r="D30" i="6"/>
  <c r="C30" i="6"/>
  <c r="C31" i="6"/>
  <c r="N31" i="6" l="1"/>
  <c r="M31" i="6"/>
  <c r="K31" i="6"/>
  <c r="J31" i="6"/>
  <c r="H31" i="6"/>
  <c r="G31" i="6"/>
  <c r="F31" i="6"/>
  <c r="E31" i="6"/>
  <c r="D31" i="6"/>
  <c r="DC14" i="17" l="1"/>
  <c r="DC15" i="17"/>
  <c r="DC16" i="17"/>
  <c r="DC17" i="17"/>
  <c r="DC18" i="17"/>
  <c r="DC19" i="17"/>
  <c r="DC20" i="17"/>
  <c r="DC21" i="17"/>
  <c r="DC22" i="17"/>
  <c r="DC23" i="17"/>
  <c r="DC24" i="17"/>
  <c r="DC25" i="17"/>
  <c r="DC26" i="17"/>
  <c r="DC27" i="17"/>
  <c r="DC28" i="17"/>
  <c r="DC29" i="17"/>
  <c r="DC30" i="17"/>
  <c r="DC31" i="17"/>
  <c r="DC32" i="17"/>
  <c r="DC33" i="17"/>
  <c r="DC34" i="17"/>
  <c r="DC35" i="17"/>
  <c r="DC36" i="17"/>
  <c r="DC37" i="17"/>
  <c r="DC38" i="17"/>
  <c r="DC39" i="17"/>
  <c r="DC40" i="17"/>
  <c r="DC41" i="17"/>
  <c r="DC42" i="17"/>
  <c r="DC43" i="17"/>
  <c r="DC44" i="17"/>
  <c r="DC45" i="17"/>
  <c r="DC46" i="17"/>
  <c r="DC47" i="17"/>
  <c r="DC48" i="17"/>
  <c r="DC49" i="17"/>
  <c r="DC50" i="17"/>
  <c r="DC51" i="17"/>
  <c r="DC52" i="17"/>
  <c r="DC53" i="17"/>
  <c r="DC54" i="17"/>
  <c r="DC55" i="17"/>
  <c r="DC56" i="17"/>
  <c r="DC57" i="17"/>
  <c r="DC58" i="17"/>
  <c r="DC59" i="17"/>
  <c r="DC60" i="17"/>
  <c r="DC61" i="17"/>
  <c r="DC62" i="17"/>
  <c r="DC63" i="17"/>
  <c r="DC64" i="17"/>
  <c r="DC65" i="17"/>
  <c r="DC66" i="17"/>
  <c r="DC67" i="17"/>
  <c r="DC68" i="17"/>
  <c r="DC69" i="17"/>
  <c r="DC70" i="17"/>
  <c r="BQ74" i="17"/>
  <c r="BQ75" i="17"/>
  <c r="BQ76" i="17"/>
  <c r="BQ77" i="17"/>
  <c r="BQ78" i="17"/>
  <c r="BQ79" i="17"/>
  <c r="AS53" i="17"/>
  <c r="AS54" i="17"/>
  <c r="AS55" i="17"/>
  <c r="AS56" i="17"/>
  <c r="AS57" i="17"/>
  <c r="AS58" i="17"/>
  <c r="AS59" i="17"/>
  <c r="AS60" i="17"/>
  <c r="AS61" i="17"/>
  <c r="AS62" i="17"/>
  <c r="AS63" i="17"/>
  <c r="AS64" i="17"/>
  <c r="AS65" i="17"/>
  <c r="AS66" i="17"/>
  <c r="AS67" i="17"/>
  <c r="AS68" i="17"/>
  <c r="AS69" i="17"/>
  <c r="AS70" i="17"/>
  <c r="AS71" i="17"/>
  <c r="AS72" i="17"/>
  <c r="AS73" i="17"/>
  <c r="AS74" i="17"/>
  <c r="AS75" i="17"/>
  <c r="AS76" i="17"/>
  <c r="AS77" i="17"/>
  <c r="N15" i="6"/>
  <c r="M15" i="6"/>
  <c r="L15" i="6"/>
  <c r="K15" i="6"/>
  <c r="I15" i="6"/>
  <c r="H15" i="6"/>
  <c r="G15" i="6"/>
  <c r="F15" i="6"/>
  <c r="E15" i="6"/>
  <c r="D15" i="6"/>
  <c r="C15" i="6"/>
  <c r="N63" i="6"/>
  <c r="M63" i="6"/>
  <c r="L63" i="6"/>
  <c r="J63" i="6"/>
  <c r="I63" i="6"/>
  <c r="H63" i="6"/>
  <c r="G63" i="6"/>
  <c r="F63" i="6"/>
  <c r="E63" i="6"/>
  <c r="D63" i="6"/>
  <c r="C63" i="6"/>
  <c r="G62" i="6"/>
  <c r="H62" i="6"/>
  <c r="L62" i="6"/>
  <c r="M62" i="6"/>
  <c r="N62" i="6"/>
  <c r="J78" i="13"/>
  <c r="J79" i="13"/>
  <c r="J80" i="13"/>
  <c r="J81" i="13"/>
  <c r="J60" i="13"/>
  <c r="J61" i="13"/>
  <c r="J62" i="13"/>
  <c r="J63" i="13"/>
  <c r="J64" i="13"/>
  <c r="J65" i="13"/>
  <c r="J66" i="13"/>
  <c r="N45" i="6"/>
  <c r="M45" i="6"/>
  <c r="L45" i="6"/>
  <c r="K45" i="6"/>
  <c r="J45" i="6"/>
  <c r="I45" i="6"/>
  <c r="H45" i="6"/>
  <c r="G45" i="6"/>
  <c r="F45" i="6"/>
  <c r="E45" i="6"/>
  <c r="D45" i="6"/>
  <c r="C45" i="6"/>
  <c r="N44" i="6"/>
  <c r="M44" i="6"/>
  <c r="L44" i="6"/>
  <c r="K44" i="6"/>
  <c r="J44" i="6"/>
  <c r="I44" i="6"/>
  <c r="H44" i="6"/>
  <c r="G44" i="6"/>
  <c r="F44" i="6"/>
  <c r="E44" i="6"/>
  <c r="D44" i="6"/>
  <c r="C44" i="6"/>
  <c r="N43" i="6"/>
  <c r="M43" i="6"/>
  <c r="J43" i="6"/>
  <c r="H43" i="6"/>
  <c r="G43" i="6"/>
  <c r="F43" i="6"/>
  <c r="E43" i="6"/>
  <c r="C43" i="6"/>
  <c r="N42" i="6"/>
  <c r="M42" i="6"/>
  <c r="J42" i="6"/>
  <c r="G42" i="6"/>
  <c r="F42" i="6"/>
  <c r="D42" i="6"/>
  <c r="N41" i="6"/>
  <c r="M41" i="6"/>
  <c r="L41" i="6"/>
  <c r="G41" i="6"/>
  <c r="N37" i="6" l="1"/>
  <c r="M37" i="6"/>
  <c r="L37" i="6"/>
  <c r="K37" i="6"/>
  <c r="F37" i="6"/>
  <c r="E37" i="6"/>
  <c r="N36" i="6"/>
  <c r="N38" i="6"/>
  <c r="M38" i="6"/>
  <c r="L38" i="6"/>
  <c r="G38" i="6"/>
  <c r="F38" i="6"/>
  <c r="E38" i="6"/>
  <c r="D38" i="6"/>
  <c r="M36" i="6"/>
  <c r="L36" i="6"/>
  <c r="K36" i="6"/>
  <c r="J36" i="6"/>
  <c r="I36" i="6"/>
  <c r="H36" i="6"/>
  <c r="G36" i="6"/>
  <c r="F36" i="6"/>
  <c r="E36" i="6"/>
  <c r="D36" i="6"/>
  <c r="C36" i="6"/>
  <c r="N35" i="6"/>
  <c r="M35" i="6"/>
  <c r="L35" i="6"/>
  <c r="I35" i="6"/>
  <c r="F35" i="6"/>
  <c r="C35" i="6"/>
  <c r="N34" i="6"/>
  <c r="M34" i="6"/>
  <c r="L34" i="6"/>
  <c r="K34" i="6"/>
  <c r="J34" i="6"/>
  <c r="H34" i="6"/>
  <c r="F34" i="6"/>
  <c r="E34" i="6"/>
  <c r="D34" i="6"/>
  <c r="C34" i="6"/>
  <c r="N29" i="6"/>
  <c r="M29" i="6"/>
  <c r="L29" i="6"/>
  <c r="I29" i="6"/>
  <c r="G29" i="6"/>
  <c r="F29" i="6"/>
  <c r="D29" i="6"/>
  <c r="N28" i="6"/>
  <c r="M28" i="6"/>
  <c r="L28" i="6"/>
  <c r="G28" i="6"/>
  <c r="D28" i="6"/>
  <c r="C28" i="6"/>
  <c r="N25" i="6"/>
  <c r="M25" i="6"/>
  <c r="F25" i="6"/>
  <c r="N24" i="6"/>
  <c r="M24" i="6"/>
  <c r="L24" i="6"/>
  <c r="F24" i="6"/>
  <c r="DB81" i="17"/>
  <c r="DC80" i="17"/>
  <c r="DC79" i="17"/>
  <c r="DC78" i="17"/>
  <c r="DC77" i="17"/>
  <c r="DC76" i="17"/>
  <c r="DC75" i="17"/>
  <c r="DC74" i="17"/>
  <c r="DC73" i="17"/>
  <c r="DC72" i="17"/>
  <c r="DC71" i="17"/>
  <c r="DC13" i="17"/>
  <c r="DC12" i="17"/>
  <c r="DC11" i="17"/>
  <c r="DC10" i="17"/>
  <c r="DC9" i="17"/>
  <c r="DC8" i="17"/>
  <c r="DC7" i="17"/>
  <c r="U5" i="18" l="1"/>
  <c r="J2" i="19" l="1"/>
  <c r="V71" i="8" l="1"/>
  <c r="V76" i="8"/>
  <c r="V77" i="8"/>
  <c r="V79" i="8"/>
  <c r="J26" i="14" l="1"/>
  <c r="U19" i="18"/>
  <c r="U36" i="17"/>
  <c r="U37" i="17"/>
  <c r="U38" i="17"/>
  <c r="V7" i="17"/>
  <c r="BG38" i="17" l="1"/>
  <c r="BG37" i="17"/>
  <c r="BG36" i="17"/>
  <c r="V72" i="8" l="1"/>
  <c r="J31" i="17" l="1"/>
  <c r="N13" i="6" l="1"/>
  <c r="M13" i="6"/>
  <c r="L13" i="6"/>
  <c r="K13" i="6"/>
  <c r="J13" i="6"/>
  <c r="I13" i="6"/>
  <c r="H13" i="6"/>
  <c r="G13" i="6"/>
  <c r="F13" i="6"/>
  <c r="E13" i="6"/>
  <c r="D13" i="6"/>
  <c r="C13" i="6"/>
  <c r="O13" i="6" l="1"/>
  <c r="G3" i="20"/>
  <c r="J21" i="13" l="1"/>
  <c r="V52" i="8"/>
  <c r="V40" i="8"/>
  <c r="J34" i="13" l="1"/>
  <c r="J36" i="13"/>
  <c r="J37" i="13"/>
  <c r="J38" i="13"/>
  <c r="J39" i="13"/>
  <c r="J35" i="13"/>
  <c r="J40" i="13"/>
  <c r="J41" i="13"/>
  <c r="J42" i="13"/>
  <c r="J43" i="13"/>
  <c r="J46" i="13"/>
  <c r="J47" i="13"/>
  <c r="J48" i="13"/>
  <c r="J49" i="13"/>
  <c r="J50" i="13"/>
  <c r="J52" i="13"/>
  <c r="L42" i="6" s="1"/>
  <c r="J53" i="13"/>
  <c r="L43" i="6"/>
  <c r="J55" i="13"/>
  <c r="J56" i="13"/>
  <c r="J57" i="13"/>
  <c r="J58" i="13"/>
  <c r="J59" i="13"/>
  <c r="J67" i="13"/>
  <c r="J68" i="13"/>
  <c r="J69" i="13"/>
  <c r="J70" i="13"/>
  <c r="J71" i="13"/>
  <c r="J72" i="13"/>
  <c r="J73" i="13"/>
  <c r="J31" i="8"/>
  <c r="I34" i="6" s="1"/>
  <c r="J33" i="8"/>
  <c r="J35" i="6" s="1"/>
  <c r="J32" i="8"/>
  <c r="I37" i="6" s="1"/>
  <c r="J34" i="8"/>
  <c r="J38" i="6" s="1"/>
  <c r="J37" i="8"/>
  <c r="J27" i="8"/>
  <c r="J38" i="8"/>
  <c r="J35" i="8"/>
  <c r="J36" i="8"/>
  <c r="J39" i="8"/>
  <c r="J40" i="8"/>
  <c r="K38" i="6" s="1"/>
  <c r="J41" i="8"/>
  <c r="J42" i="8"/>
  <c r="J43" i="8"/>
  <c r="J44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101" i="8"/>
  <c r="J102" i="8"/>
  <c r="J103" i="8"/>
  <c r="J104" i="8"/>
  <c r="J105" i="8"/>
  <c r="J106" i="8"/>
  <c r="J107" i="8"/>
  <c r="J171" i="8"/>
  <c r="J172" i="8"/>
  <c r="J173" i="8"/>
  <c r="J174" i="8"/>
  <c r="V21" i="8"/>
  <c r="V62" i="8"/>
  <c r="V63" i="8"/>
  <c r="V65" i="8"/>
  <c r="V70" i="8"/>
  <c r="V67" i="8"/>
  <c r="V64" i="8"/>
  <c r="V68" i="8"/>
  <c r="V73" i="8"/>
  <c r="V66" i="8"/>
  <c r="V75" i="8"/>
  <c r="V69" i="8"/>
  <c r="V78" i="8"/>
  <c r="V80" i="8"/>
  <c r="V81" i="8"/>
  <c r="V83" i="8"/>
  <c r="V82" i="8"/>
  <c r="V84" i="8"/>
  <c r="V85" i="8"/>
  <c r="V86" i="8"/>
  <c r="K29" i="6" s="1"/>
  <c r="V87" i="8"/>
  <c r="V74" i="8"/>
  <c r="V88" i="8"/>
  <c r="V89" i="8"/>
  <c r="K26" i="6" s="1"/>
  <c r="V90" i="8"/>
  <c r="V91" i="8"/>
  <c r="V92" i="8"/>
  <c r="K28" i="6" s="1"/>
  <c r="V93" i="8"/>
  <c r="V94" i="8"/>
  <c r="V95" i="8"/>
  <c r="V96" i="8"/>
  <c r="V97" i="8"/>
  <c r="V98" i="8"/>
  <c r="K30" i="6" s="1"/>
  <c r="V99" i="8"/>
  <c r="V100" i="8"/>
  <c r="L31" i="6" s="1"/>
  <c r="V101" i="8"/>
  <c r="L25" i="6" s="1"/>
  <c r="V102" i="8"/>
  <c r="V103" i="8"/>
  <c r="V104" i="8"/>
  <c r="V105" i="8"/>
  <c r="V106" i="8"/>
  <c r="V107" i="8"/>
  <c r="V175" i="8"/>
  <c r="V176" i="8"/>
  <c r="N27" i="6"/>
  <c r="N26" i="6"/>
  <c r="M27" i="6"/>
  <c r="M26" i="6"/>
  <c r="L27" i="6"/>
  <c r="L26" i="6"/>
  <c r="K27" i="6"/>
  <c r="J27" i="6"/>
  <c r="J26" i="6"/>
  <c r="I27" i="6"/>
  <c r="H27" i="6"/>
  <c r="G27" i="6"/>
  <c r="F27" i="6"/>
  <c r="F26" i="6"/>
  <c r="E27" i="6"/>
  <c r="D27" i="6"/>
  <c r="D26" i="6"/>
  <c r="C27" i="6"/>
  <c r="C26" i="6"/>
  <c r="J14" i="18"/>
  <c r="H9" i="6" s="1"/>
  <c r="N21" i="6"/>
  <c r="N20" i="6"/>
  <c r="N19" i="6"/>
  <c r="N18" i="6"/>
  <c r="N16" i="6"/>
  <c r="N14" i="6"/>
  <c r="N12" i="6"/>
  <c r="N11" i="6"/>
  <c r="N10" i="6"/>
  <c r="N9" i="6"/>
  <c r="N8" i="6"/>
  <c r="N7" i="6"/>
  <c r="M21" i="6"/>
  <c r="M20" i="6"/>
  <c r="M19" i="6"/>
  <c r="M18" i="6"/>
  <c r="M16" i="6"/>
  <c r="M14" i="6"/>
  <c r="M12" i="6"/>
  <c r="M11" i="6"/>
  <c r="M10" i="6"/>
  <c r="M9" i="6"/>
  <c r="M8" i="6"/>
  <c r="M7" i="6"/>
  <c r="L21" i="6"/>
  <c r="L20" i="6"/>
  <c r="L19" i="6"/>
  <c r="L18" i="6"/>
  <c r="L16" i="6"/>
  <c r="L14" i="6"/>
  <c r="L12" i="6"/>
  <c r="L11" i="6"/>
  <c r="L10" i="6"/>
  <c r="L9" i="6"/>
  <c r="L8" i="6"/>
  <c r="L7" i="6"/>
  <c r="K20" i="6"/>
  <c r="K18" i="6"/>
  <c r="K16" i="6"/>
  <c r="K14" i="6"/>
  <c r="K12" i="6"/>
  <c r="K11" i="6"/>
  <c r="K10" i="6"/>
  <c r="K9" i="6"/>
  <c r="K7" i="6"/>
  <c r="J21" i="6"/>
  <c r="J18" i="6"/>
  <c r="J16" i="6"/>
  <c r="J14" i="6"/>
  <c r="J12" i="6"/>
  <c r="J11" i="6"/>
  <c r="J10" i="6"/>
  <c r="J9" i="6"/>
  <c r="I21" i="6"/>
  <c r="I20" i="6"/>
  <c r="I18" i="6"/>
  <c r="I16" i="6"/>
  <c r="I14" i="6"/>
  <c r="I11" i="6"/>
  <c r="I10" i="6"/>
  <c r="I9" i="6"/>
  <c r="I7" i="6"/>
  <c r="H21" i="6"/>
  <c r="H20" i="6"/>
  <c r="H18" i="6"/>
  <c r="H14" i="6"/>
  <c r="H12" i="6"/>
  <c r="H11" i="6"/>
  <c r="H10" i="6"/>
  <c r="H7" i="6"/>
  <c r="G11" i="6"/>
  <c r="G9" i="6"/>
  <c r="G7" i="6"/>
  <c r="F11" i="6"/>
  <c r="E11" i="6"/>
  <c r="E9" i="6"/>
  <c r="D11" i="6"/>
  <c r="D9" i="6"/>
  <c r="C11" i="6"/>
  <c r="F7" i="6"/>
  <c r="E7" i="6"/>
  <c r="C7" i="6"/>
  <c r="U11" i="18"/>
  <c r="BG53" i="17"/>
  <c r="BG54" i="17"/>
  <c r="BG55" i="17"/>
  <c r="BG56" i="17"/>
  <c r="BG57" i="17"/>
  <c r="BG58" i="17"/>
  <c r="BG59" i="17"/>
  <c r="BG60" i="17"/>
  <c r="BG61" i="17"/>
  <c r="BG62" i="17"/>
  <c r="BG63" i="17"/>
  <c r="BG64" i="17"/>
  <c r="BG65" i="17"/>
  <c r="BG66" i="17"/>
  <c r="BG67" i="17"/>
  <c r="BG68" i="17"/>
  <c r="BG69" i="17"/>
  <c r="BG70" i="17"/>
  <c r="BG71" i="17"/>
  <c r="BG72" i="17"/>
  <c r="BG73" i="17"/>
  <c r="BG74" i="17"/>
  <c r="BG75" i="17"/>
  <c r="BG76" i="17"/>
  <c r="BG77" i="17"/>
  <c r="J17" i="14"/>
  <c r="J18" i="14"/>
  <c r="J20" i="14"/>
  <c r="J21" i="14"/>
  <c r="J22" i="14"/>
  <c r="J23" i="14"/>
  <c r="J24" i="14"/>
  <c r="J27" i="14"/>
  <c r="J29" i="14"/>
  <c r="J30" i="14"/>
  <c r="J31" i="14"/>
  <c r="J33" i="14"/>
  <c r="J32" i="14"/>
  <c r="J34" i="14"/>
  <c r="J35" i="14"/>
  <c r="J36" i="14"/>
  <c r="J38" i="14"/>
  <c r="J37" i="14"/>
  <c r="J39" i="14"/>
  <c r="J40" i="14"/>
  <c r="J41" i="14"/>
  <c r="J42" i="14"/>
  <c r="J43" i="14"/>
  <c r="J44" i="14"/>
  <c r="J45" i="14"/>
  <c r="J46" i="14"/>
  <c r="J47" i="14"/>
  <c r="J48" i="14"/>
  <c r="J49" i="14"/>
  <c r="J50" i="14"/>
  <c r="J51" i="14"/>
  <c r="J52" i="14"/>
  <c r="J53" i="14"/>
  <c r="J54" i="14"/>
  <c r="J55" i="14"/>
  <c r="J56" i="14"/>
  <c r="J57" i="14"/>
  <c r="J58" i="14"/>
  <c r="J59" i="14"/>
  <c r="J60" i="14"/>
  <c r="J61" i="14"/>
  <c r="J62" i="14"/>
  <c r="J63" i="14"/>
  <c r="J64" i="14"/>
  <c r="J65" i="14"/>
  <c r="J66" i="14"/>
  <c r="V60" i="8"/>
  <c r="V61" i="8"/>
  <c r="V56" i="8"/>
  <c r="K176" i="8"/>
  <c r="I176" i="8"/>
  <c r="H176" i="8"/>
  <c r="J175" i="8"/>
  <c r="J25" i="8"/>
  <c r="J24" i="8"/>
  <c r="J30" i="8"/>
  <c r="J29" i="8"/>
  <c r="I38" i="6" s="1"/>
  <c r="J28" i="8"/>
  <c r="H37" i="6" s="1"/>
  <c r="J9" i="8"/>
  <c r="J26" i="8"/>
  <c r="H35" i="6" s="1"/>
  <c r="J23" i="8"/>
  <c r="J6" i="8"/>
  <c r="J5" i="8"/>
  <c r="J22" i="8"/>
  <c r="H38" i="6" s="1"/>
  <c r="J11" i="8"/>
  <c r="J7" i="8"/>
  <c r="J12" i="8"/>
  <c r="J13" i="8"/>
  <c r="J8" i="8"/>
  <c r="C38" i="6" s="1"/>
  <c r="J10" i="8"/>
  <c r="D35" i="6" s="1"/>
  <c r="J20" i="8"/>
  <c r="J19" i="8"/>
  <c r="J15" i="8"/>
  <c r="J14" i="8"/>
  <c r="E35" i="6" s="1"/>
  <c r="J21" i="8"/>
  <c r="J16" i="8"/>
  <c r="J17" i="8"/>
  <c r="J18" i="8"/>
  <c r="G34" i="6" s="1"/>
  <c r="W177" i="8"/>
  <c r="U177" i="8"/>
  <c r="T177" i="8"/>
  <c r="V43" i="8"/>
  <c r="V50" i="8"/>
  <c r="V54" i="8"/>
  <c r="I26" i="6" s="1"/>
  <c r="V47" i="8"/>
  <c r="V59" i="8"/>
  <c r="I31" i="6" s="1"/>
  <c r="V58" i="8"/>
  <c r="V57" i="8"/>
  <c r="V55" i="8"/>
  <c r="V53" i="8"/>
  <c r="V51" i="8"/>
  <c r="V49" i="8"/>
  <c r="V48" i="8"/>
  <c r="H29" i="6" s="1"/>
  <c r="V46" i="8"/>
  <c r="H26" i="6" s="1"/>
  <c r="V45" i="8"/>
  <c r="H28" i="6" s="1"/>
  <c r="V44" i="8"/>
  <c r="V42" i="8"/>
  <c r="V41" i="8"/>
  <c r="V39" i="8"/>
  <c r="G26" i="6" s="1"/>
  <c r="V38" i="8"/>
  <c r="V37" i="8"/>
  <c r="V36" i="8"/>
  <c r="V35" i="8"/>
  <c r="V34" i="8"/>
  <c r="V33" i="8"/>
  <c r="V32" i="8"/>
  <c r="F28" i="6" s="1"/>
  <c r="V31" i="8"/>
  <c r="V30" i="8"/>
  <c r="V28" i="8"/>
  <c r="E28" i="6" s="1"/>
  <c r="V29" i="8"/>
  <c r="V27" i="8"/>
  <c r="V26" i="8"/>
  <c r="V24" i="8"/>
  <c r="V25" i="8"/>
  <c r="V23" i="8"/>
  <c r="V22" i="8"/>
  <c r="E26" i="6" s="1"/>
  <c r="V20" i="8"/>
  <c r="V19" i="8"/>
  <c r="D24" i="6" s="1"/>
  <c r="V18" i="8"/>
  <c r="V17" i="8"/>
  <c r="V16" i="8"/>
  <c r="V15" i="8"/>
  <c r="V14" i="8"/>
  <c r="V13" i="8"/>
  <c r="V12" i="8"/>
  <c r="V11" i="8"/>
  <c r="C24" i="6" s="1"/>
  <c r="V10" i="8"/>
  <c r="V9" i="8"/>
  <c r="C29" i="6" s="1"/>
  <c r="V8" i="8"/>
  <c r="V7" i="8"/>
  <c r="V6" i="8"/>
  <c r="V5" i="8"/>
  <c r="K43" i="6" l="1"/>
  <c r="K42" i="6"/>
  <c r="K35" i="6"/>
  <c r="J29" i="6"/>
  <c r="K41" i="6"/>
  <c r="O11" i="6"/>
  <c r="I24" i="6"/>
  <c r="J37" i="6"/>
  <c r="J28" i="6"/>
  <c r="E29" i="6"/>
  <c r="G25" i="6"/>
  <c r="H24" i="6"/>
  <c r="J24" i="6"/>
  <c r="K24" i="6"/>
  <c r="K25" i="6"/>
  <c r="J41" i="6"/>
  <c r="E24" i="6"/>
  <c r="G37" i="6"/>
  <c r="D37" i="6"/>
  <c r="E25" i="6"/>
  <c r="H25" i="6"/>
  <c r="I25" i="6"/>
  <c r="C37" i="6"/>
  <c r="D25" i="6"/>
  <c r="I28" i="6"/>
  <c r="J25" i="6"/>
  <c r="C25" i="6"/>
  <c r="G24" i="6"/>
  <c r="G35" i="6"/>
  <c r="J176" i="8"/>
  <c r="V177" i="8"/>
  <c r="N55" i="6" l="1"/>
  <c r="N52" i="6"/>
  <c r="N51" i="6"/>
  <c r="N50" i="6"/>
  <c r="N49" i="6"/>
  <c r="N48" i="6"/>
  <c r="N61" i="6"/>
  <c r="N60" i="6"/>
  <c r="N59" i="6"/>
  <c r="N58" i="6"/>
  <c r="N57" i="6"/>
  <c r="N56" i="6"/>
  <c r="M55" i="6"/>
  <c r="M52" i="6"/>
  <c r="M51" i="6"/>
  <c r="M50" i="6"/>
  <c r="M49" i="6"/>
  <c r="M48" i="6"/>
  <c r="M61" i="6"/>
  <c r="M60" i="6"/>
  <c r="M59" i="6"/>
  <c r="M58" i="6"/>
  <c r="M57" i="6"/>
  <c r="M56" i="6"/>
  <c r="L52" i="6"/>
  <c r="L51" i="6"/>
  <c r="L50" i="6"/>
  <c r="L49" i="6"/>
  <c r="L48" i="6"/>
  <c r="L60" i="6"/>
  <c r="L59" i="6"/>
  <c r="L58" i="6"/>
  <c r="L57" i="6"/>
  <c r="L56" i="6"/>
  <c r="K52" i="6"/>
  <c r="K51" i="6"/>
  <c r="K50" i="6"/>
  <c r="K49" i="6"/>
  <c r="K48" i="6"/>
  <c r="K60" i="6"/>
  <c r="K58" i="6"/>
  <c r="J52" i="6"/>
  <c r="J50" i="6"/>
  <c r="J49" i="6"/>
  <c r="J48" i="6"/>
  <c r="J60" i="6"/>
  <c r="J57" i="6"/>
  <c r="I52" i="6"/>
  <c r="I50" i="6"/>
  <c r="I49" i="6"/>
  <c r="I58" i="6"/>
  <c r="I57" i="6"/>
  <c r="H52" i="6"/>
  <c r="H50" i="6"/>
  <c r="H49" i="6"/>
  <c r="G51" i="6"/>
  <c r="G49" i="6"/>
  <c r="G57" i="6"/>
  <c r="G21" i="6"/>
  <c r="G20" i="6"/>
  <c r="G19" i="6"/>
  <c r="G18" i="6"/>
  <c r="G16" i="6"/>
  <c r="G14" i="6"/>
  <c r="G12" i="6"/>
  <c r="G10" i="6"/>
  <c r="G8" i="6"/>
  <c r="F61" i="6"/>
  <c r="F60" i="6"/>
  <c r="F58" i="6"/>
  <c r="F52" i="6"/>
  <c r="F51" i="6"/>
  <c r="F50" i="6"/>
  <c r="F49" i="6"/>
  <c r="F20" i="6"/>
  <c r="F19" i="6"/>
  <c r="F18" i="6"/>
  <c r="F16" i="6"/>
  <c r="F14" i="6"/>
  <c r="F12" i="6"/>
  <c r="F10" i="6"/>
  <c r="F8" i="6"/>
  <c r="E58" i="6"/>
  <c r="E57" i="6"/>
  <c r="E52" i="6"/>
  <c r="E51" i="6"/>
  <c r="E50" i="6"/>
  <c r="E20" i="6"/>
  <c r="E19" i="6"/>
  <c r="E18" i="6"/>
  <c r="E16" i="6"/>
  <c r="E14" i="6"/>
  <c r="E12" i="6"/>
  <c r="E10" i="6"/>
  <c r="E8" i="6"/>
  <c r="D60" i="6"/>
  <c r="D58" i="6"/>
  <c r="D52" i="6"/>
  <c r="D51" i="6"/>
  <c r="D50" i="6"/>
  <c r="D49" i="6"/>
  <c r="C58" i="6"/>
  <c r="C57" i="6"/>
  <c r="C52" i="6"/>
  <c r="C51" i="6"/>
  <c r="C50" i="6"/>
  <c r="C49" i="6"/>
  <c r="C21" i="6"/>
  <c r="C19" i="6"/>
  <c r="C18" i="6"/>
  <c r="C16" i="6"/>
  <c r="C14" i="6"/>
  <c r="C12" i="6"/>
  <c r="C8" i="6"/>
  <c r="D21" i="6"/>
  <c r="D20" i="6"/>
  <c r="D19" i="6"/>
  <c r="D16" i="6"/>
  <c r="D14" i="6"/>
  <c r="D12" i="6"/>
  <c r="D10" i="6"/>
  <c r="V63" i="18"/>
  <c r="T63" i="18"/>
  <c r="S63" i="18"/>
  <c r="J63" i="18"/>
  <c r="H63" i="18"/>
  <c r="G63" i="18"/>
  <c r="U62" i="18"/>
  <c r="I62" i="18"/>
  <c r="U61" i="18"/>
  <c r="I61" i="18"/>
  <c r="U60" i="18"/>
  <c r="I60" i="18"/>
  <c r="U59" i="18"/>
  <c r="I59" i="18"/>
  <c r="U58" i="18"/>
  <c r="I58" i="18"/>
  <c r="U57" i="18"/>
  <c r="I57" i="18"/>
  <c r="U56" i="18"/>
  <c r="I56" i="18"/>
  <c r="U55" i="18"/>
  <c r="I55" i="18"/>
  <c r="U54" i="18"/>
  <c r="I54" i="18"/>
  <c r="U53" i="18"/>
  <c r="I53" i="18"/>
  <c r="U52" i="18"/>
  <c r="I52" i="18"/>
  <c r="U51" i="18"/>
  <c r="I51" i="18"/>
  <c r="U50" i="18"/>
  <c r="I50" i="18"/>
  <c r="U49" i="18"/>
  <c r="I49" i="18"/>
  <c r="U48" i="18"/>
  <c r="I48" i="18"/>
  <c r="U47" i="18"/>
  <c r="I47" i="18"/>
  <c r="U46" i="18"/>
  <c r="I46" i="18"/>
  <c r="U45" i="18"/>
  <c r="I45" i="18"/>
  <c r="U44" i="18"/>
  <c r="I44" i="18"/>
  <c r="U43" i="18"/>
  <c r="I43" i="18"/>
  <c r="U42" i="18"/>
  <c r="I42" i="18"/>
  <c r="U41" i="18"/>
  <c r="I41" i="18"/>
  <c r="U40" i="18"/>
  <c r="I40" i="18"/>
  <c r="U39" i="18"/>
  <c r="I39" i="18"/>
  <c r="U38" i="18"/>
  <c r="I38" i="18"/>
  <c r="U37" i="18"/>
  <c r="I37" i="18"/>
  <c r="U36" i="18"/>
  <c r="I36" i="18"/>
  <c r="U35" i="18"/>
  <c r="I35" i="18"/>
  <c r="U34" i="18"/>
  <c r="I34" i="18"/>
  <c r="U33" i="18"/>
  <c r="I33" i="18"/>
  <c r="U32" i="18"/>
  <c r="I32" i="18"/>
  <c r="U31" i="18"/>
  <c r="I31" i="18"/>
  <c r="U30" i="18"/>
  <c r="I30" i="18"/>
  <c r="U29" i="18"/>
  <c r="I29" i="18"/>
  <c r="U28" i="18"/>
  <c r="I28" i="18"/>
  <c r="U27" i="18"/>
  <c r="I27" i="18"/>
  <c r="U26" i="18"/>
  <c r="I26" i="18"/>
  <c r="U25" i="18"/>
  <c r="J25" i="18"/>
  <c r="K8" i="6" s="1"/>
  <c r="U24" i="18"/>
  <c r="J24" i="18"/>
  <c r="U23" i="18"/>
  <c r="J23" i="18"/>
  <c r="J15" i="6" s="1"/>
  <c r="U22" i="18"/>
  <c r="J22" i="18"/>
  <c r="U21" i="18"/>
  <c r="J21" i="18"/>
  <c r="U6" i="18"/>
  <c r="D18" i="6" s="1"/>
  <c r="J20" i="18"/>
  <c r="U18" i="18"/>
  <c r="J20" i="6" s="1"/>
  <c r="J19" i="18"/>
  <c r="I12" i="6" s="1"/>
  <c r="U20" i="18"/>
  <c r="J7" i="18"/>
  <c r="J6" i="18"/>
  <c r="J8" i="6" s="1"/>
  <c r="J8" i="18"/>
  <c r="U15" i="18"/>
  <c r="J12" i="18"/>
  <c r="U17" i="18"/>
  <c r="U16" i="18"/>
  <c r="J13" i="18"/>
  <c r="H16" i="6" s="1"/>
  <c r="U14" i="18"/>
  <c r="F9" i="6"/>
  <c r="U12" i="18"/>
  <c r="J9" i="18"/>
  <c r="J11" i="18"/>
  <c r="C9" i="6" s="1"/>
  <c r="U9" i="18"/>
  <c r="J10" i="18"/>
  <c r="C10" i="6" s="1"/>
  <c r="U13" i="18"/>
  <c r="J18" i="18"/>
  <c r="U10" i="18"/>
  <c r="J17" i="18"/>
  <c r="C20" i="6"/>
  <c r="J16" i="18"/>
  <c r="U8" i="18"/>
  <c r="F21" i="6" s="1"/>
  <c r="J15" i="18"/>
  <c r="U7" i="18"/>
  <c r="E21" i="6" s="1"/>
  <c r="J5" i="18"/>
  <c r="D7" i="6" s="1"/>
  <c r="J80" i="17"/>
  <c r="H80" i="17"/>
  <c r="G80" i="17"/>
  <c r="I79" i="17"/>
  <c r="I78" i="17"/>
  <c r="I77" i="17"/>
  <c r="I76" i="17"/>
  <c r="I75" i="17"/>
  <c r="CR81" i="17"/>
  <c r="CN81" i="17"/>
  <c r="CM81" i="17"/>
  <c r="CF81" i="17"/>
  <c r="CD81" i="17"/>
  <c r="CC81" i="17"/>
  <c r="BH81" i="17"/>
  <c r="BD81" i="17"/>
  <c r="BC81" i="17"/>
  <c r="AV81" i="17"/>
  <c r="AR81" i="17"/>
  <c r="AQ81" i="17"/>
  <c r="AF81" i="17"/>
  <c r="AE81" i="17"/>
  <c r="X81" i="17"/>
  <c r="T81" i="17"/>
  <c r="S81" i="17"/>
  <c r="I74" i="17"/>
  <c r="CO80" i="17"/>
  <c r="CE80" i="17"/>
  <c r="BG80" i="17"/>
  <c r="AS80" i="17"/>
  <c r="AG80" i="17"/>
  <c r="U80" i="17"/>
  <c r="I73" i="17"/>
  <c r="CO79" i="17"/>
  <c r="CE79" i="17"/>
  <c r="BP81" i="17"/>
  <c r="BO81" i="17"/>
  <c r="BG79" i="17"/>
  <c r="AS79" i="17"/>
  <c r="AG79" i="17"/>
  <c r="U79" i="17"/>
  <c r="I72" i="17"/>
  <c r="CO78" i="17"/>
  <c r="CE78" i="17"/>
  <c r="BQ80" i="17"/>
  <c r="BG78" i="17"/>
  <c r="AS78" i="17"/>
  <c r="AG78" i="17"/>
  <c r="U78" i="17"/>
  <c r="I71" i="17"/>
  <c r="CO77" i="17"/>
  <c r="CE77" i="17"/>
  <c r="AG77" i="17"/>
  <c r="U77" i="17"/>
  <c r="I70" i="17"/>
  <c r="CO76" i="17"/>
  <c r="CE76" i="17"/>
  <c r="AG76" i="17"/>
  <c r="U76" i="17"/>
  <c r="I69" i="17"/>
  <c r="CO75" i="17"/>
  <c r="CE75" i="17"/>
  <c r="AG75" i="17"/>
  <c r="U75" i="17"/>
  <c r="I68" i="17"/>
  <c r="CO74" i="17"/>
  <c r="CE74" i="17"/>
  <c r="AG74" i="17"/>
  <c r="U74" i="17"/>
  <c r="I67" i="17"/>
  <c r="CO73" i="17"/>
  <c r="CE73" i="17"/>
  <c r="BQ73" i="17"/>
  <c r="AG73" i="17"/>
  <c r="U73" i="17"/>
  <c r="I66" i="17"/>
  <c r="CO72" i="17"/>
  <c r="CE72" i="17"/>
  <c r="BQ72" i="17"/>
  <c r="AG72" i="17"/>
  <c r="U72" i="17"/>
  <c r="I65" i="17"/>
  <c r="CO71" i="17"/>
  <c r="CE71" i="17"/>
  <c r="BQ71" i="17"/>
  <c r="AG71" i="17"/>
  <c r="U71" i="17"/>
  <c r="I64" i="17"/>
  <c r="CO70" i="17"/>
  <c r="CE70" i="17"/>
  <c r="BQ70" i="17"/>
  <c r="AG70" i="17"/>
  <c r="U70" i="17"/>
  <c r="I63" i="17"/>
  <c r="CO69" i="17"/>
  <c r="CE69" i="17"/>
  <c r="BQ69" i="17"/>
  <c r="AG69" i="17"/>
  <c r="U69" i="17"/>
  <c r="I62" i="17"/>
  <c r="CO68" i="17"/>
  <c r="CE68" i="17"/>
  <c r="BQ68" i="17"/>
  <c r="AG68" i="17"/>
  <c r="U68" i="17"/>
  <c r="I61" i="17"/>
  <c r="CO67" i="17"/>
  <c r="CE67" i="17"/>
  <c r="BQ67" i="17"/>
  <c r="AG67" i="17"/>
  <c r="U67" i="17"/>
  <c r="I60" i="17"/>
  <c r="CO66" i="17"/>
  <c r="CE66" i="17"/>
  <c r="BQ66" i="17"/>
  <c r="AG66" i="17"/>
  <c r="U66" i="17"/>
  <c r="I59" i="17"/>
  <c r="CO65" i="17"/>
  <c r="CE65" i="17"/>
  <c r="BQ65" i="17"/>
  <c r="AG65" i="17"/>
  <c r="U65" i="17"/>
  <c r="I58" i="17"/>
  <c r="CO64" i="17"/>
  <c r="CE64" i="17"/>
  <c r="BQ64" i="17"/>
  <c r="AG64" i="17"/>
  <c r="U64" i="17"/>
  <c r="I57" i="17"/>
  <c r="CO63" i="17"/>
  <c r="CE63" i="17"/>
  <c r="BQ63" i="17"/>
  <c r="AG63" i="17"/>
  <c r="U63" i="17"/>
  <c r="J56" i="17"/>
  <c r="L55" i="6" s="1"/>
  <c r="CO62" i="17"/>
  <c r="CE62" i="17"/>
  <c r="BQ62" i="17"/>
  <c r="AG62" i="17"/>
  <c r="U62" i="17"/>
  <c r="J55" i="17"/>
  <c r="CO61" i="17"/>
  <c r="CE61" i="17"/>
  <c r="BQ61" i="17"/>
  <c r="AG61" i="17"/>
  <c r="U61" i="17"/>
  <c r="J54" i="17"/>
  <c r="CO60" i="17"/>
  <c r="CE60" i="17"/>
  <c r="BQ60" i="17"/>
  <c r="AG60" i="17"/>
  <c r="U60" i="17"/>
  <c r="J7" i="17"/>
  <c r="CO59" i="17"/>
  <c r="CE59" i="17"/>
  <c r="BQ59" i="17"/>
  <c r="AG59" i="17"/>
  <c r="U59" i="17"/>
  <c r="J13" i="17"/>
  <c r="CO58" i="17"/>
  <c r="CE58" i="17"/>
  <c r="BQ58" i="17"/>
  <c r="AG58" i="17"/>
  <c r="U58" i="17"/>
  <c r="CO57" i="17"/>
  <c r="CE57" i="17"/>
  <c r="BQ57" i="17"/>
  <c r="AG57" i="17"/>
  <c r="U57" i="17"/>
  <c r="J10" i="17"/>
  <c r="CO56" i="17"/>
  <c r="CE56" i="17"/>
  <c r="BQ56" i="17"/>
  <c r="AG56" i="17"/>
  <c r="U56" i="17"/>
  <c r="J5" i="17"/>
  <c r="CO55" i="17"/>
  <c r="CE55" i="17"/>
  <c r="BQ55" i="17"/>
  <c r="AG55" i="17"/>
  <c r="U55" i="17"/>
  <c r="DD6" i="17"/>
  <c r="DD81" i="17" s="1"/>
  <c r="CO54" i="17"/>
  <c r="CE54" i="17"/>
  <c r="BQ54" i="17"/>
  <c r="AG54" i="17"/>
  <c r="U54" i="17"/>
  <c r="J6" i="17"/>
  <c r="CO53" i="17"/>
  <c r="CE53" i="17"/>
  <c r="BQ53" i="17"/>
  <c r="AG53" i="17"/>
  <c r="U53" i="17"/>
  <c r="J11" i="17"/>
  <c r="CO52" i="17"/>
  <c r="CE52" i="17"/>
  <c r="BQ52" i="17"/>
  <c r="BG52" i="17"/>
  <c r="AS52" i="17"/>
  <c r="AG52" i="17"/>
  <c r="U52" i="17"/>
  <c r="J8" i="17"/>
  <c r="CO51" i="17"/>
  <c r="CE51" i="17"/>
  <c r="BQ51" i="17"/>
  <c r="BG51" i="17"/>
  <c r="AS51" i="17"/>
  <c r="AG51" i="17"/>
  <c r="U51" i="17"/>
  <c r="J15" i="17"/>
  <c r="CO50" i="17"/>
  <c r="CE50" i="17"/>
  <c r="BQ50" i="17"/>
  <c r="BG50" i="17"/>
  <c r="AS50" i="17"/>
  <c r="AG50" i="17"/>
  <c r="U50" i="17"/>
  <c r="J14" i="17"/>
  <c r="CO49" i="17"/>
  <c r="CE49" i="17"/>
  <c r="BQ49" i="17"/>
  <c r="BG49" i="17"/>
  <c r="AS49" i="17"/>
  <c r="AG49" i="17"/>
  <c r="U49" i="17"/>
  <c r="J17" i="17"/>
  <c r="CP48" i="17"/>
  <c r="CE48" i="17"/>
  <c r="BQ48" i="17"/>
  <c r="BG48" i="17"/>
  <c r="AS48" i="17"/>
  <c r="AG48" i="17"/>
  <c r="U48" i="17"/>
  <c r="J9" i="17"/>
  <c r="CP31" i="17"/>
  <c r="CE47" i="17"/>
  <c r="BQ47" i="17"/>
  <c r="BG47" i="17"/>
  <c r="AS47" i="17"/>
  <c r="AG47" i="17"/>
  <c r="U47" i="17"/>
  <c r="J12" i="17"/>
  <c r="CP28" i="17"/>
  <c r="CE46" i="17"/>
  <c r="BQ46" i="17"/>
  <c r="BG46" i="17"/>
  <c r="AS46" i="17"/>
  <c r="AG46" i="17"/>
  <c r="U46" i="17"/>
  <c r="J16" i="17"/>
  <c r="CP5" i="17"/>
  <c r="CE45" i="17"/>
  <c r="BQ45" i="17"/>
  <c r="BG45" i="17"/>
  <c r="AS45" i="17"/>
  <c r="AG45" i="17"/>
  <c r="U45" i="17"/>
  <c r="CP8" i="17"/>
  <c r="CE44" i="17"/>
  <c r="BQ44" i="17"/>
  <c r="BG44" i="17"/>
  <c r="AS44" i="17"/>
  <c r="AG44" i="17"/>
  <c r="U44" i="17"/>
  <c r="CP6" i="17"/>
  <c r="CE43" i="17"/>
  <c r="BQ43" i="17"/>
  <c r="BG43" i="17"/>
  <c r="AS43" i="17"/>
  <c r="AG43" i="17"/>
  <c r="U43" i="17"/>
  <c r="CP7" i="17"/>
  <c r="CE42" i="17"/>
  <c r="BQ42" i="17"/>
  <c r="BG42" i="17"/>
  <c r="AS42" i="17"/>
  <c r="AG42" i="17"/>
  <c r="U42" i="17"/>
  <c r="J18" i="17"/>
  <c r="CP9" i="17"/>
  <c r="CE41" i="17"/>
  <c r="BQ41" i="17"/>
  <c r="BG41" i="17"/>
  <c r="AS41" i="17"/>
  <c r="AG41" i="17"/>
  <c r="U41" i="17"/>
  <c r="J46" i="17"/>
  <c r="CP17" i="17"/>
  <c r="CE40" i="17"/>
  <c r="BQ40" i="17"/>
  <c r="BG40" i="17"/>
  <c r="AS40" i="17"/>
  <c r="AG40" i="17"/>
  <c r="U40" i="17"/>
  <c r="J45" i="17"/>
  <c r="CP11" i="17"/>
  <c r="CE39" i="17"/>
  <c r="BQ39" i="17"/>
  <c r="BG39" i="17"/>
  <c r="AS39" i="17"/>
  <c r="AG39" i="17"/>
  <c r="U39" i="17"/>
  <c r="I55" i="6"/>
  <c r="CP10" i="17"/>
  <c r="K61" i="6" s="1"/>
  <c r="CE38" i="17"/>
  <c r="BQ38" i="17"/>
  <c r="AS38" i="17"/>
  <c r="AG38" i="17"/>
  <c r="CP13" i="17"/>
  <c r="CE37" i="17"/>
  <c r="BQ37" i="17"/>
  <c r="BG14" i="17"/>
  <c r="AS37" i="17"/>
  <c r="AG37" i="17"/>
  <c r="J53" i="17"/>
  <c r="CP15" i="17"/>
  <c r="CE36" i="17"/>
  <c r="BQ36" i="17"/>
  <c r="BG16" i="17"/>
  <c r="AS36" i="17"/>
  <c r="AG36" i="17"/>
  <c r="J52" i="17"/>
  <c r="CP14" i="17"/>
  <c r="CE35" i="17"/>
  <c r="BQ35" i="17"/>
  <c r="BG35" i="17"/>
  <c r="AS35" i="17"/>
  <c r="AG35" i="17"/>
  <c r="U35" i="17"/>
  <c r="J51" i="17"/>
  <c r="CE34" i="17"/>
  <c r="BQ34" i="17"/>
  <c r="BG34" i="17"/>
  <c r="AS34" i="17"/>
  <c r="AG34" i="17"/>
  <c r="U34" i="17"/>
  <c r="J50" i="17"/>
  <c r="CP19" i="17"/>
  <c r="CE33" i="17"/>
  <c r="BQ33" i="17"/>
  <c r="BG33" i="17"/>
  <c r="AS33" i="17"/>
  <c r="AG33" i="17"/>
  <c r="U33" i="17"/>
  <c r="J49" i="17"/>
  <c r="CP12" i="17"/>
  <c r="CE32" i="17"/>
  <c r="BQ32" i="17"/>
  <c r="BG32" i="17"/>
  <c r="AS32" i="17"/>
  <c r="AG32" i="17"/>
  <c r="U32" i="17"/>
  <c r="J48" i="17"/>
  <c r="CP22" i="17"/>
  <c r="CE31" i="17"/>
  <c r="BQ31" i="17"/>
  <c r="BG31" i="17"/>
  <c r="AS31" i="17"/>
  <c r="AG31" i="17"/>
  <c r="U31" i="17"/>
  <c r="CP18" i="17"/>
  <c r="CE30" i="17"/>
  <c r="BQ30" i="17"/>
  <c r="BG30" i="17"/>
  <c r="AS30" i="17"/>
  <c r="AG30" i="17"/>
  <c r="V10" i="17"/>
  <c r="J47" i="17"/>
  <c r="CP20" i="17"/>
  <c r="CE29" i="17"/>
  <c r="BQ29" i="17"/>
  <c r="BG29" i="17"/>
  <c r="AS29" i="17"/>
  <c r="AG29" i="17"/>
  <c r="V29" i="17"/>
  <c r="J44" i="17"/>
  <c r="CP39" i="17"/>
  <c r="CE28" i="17"/>
  <c r="BQ28" i="17"/>
  <c r="BG28" i="17"/>
  <c r="AS28" i="17"/>
  <c r="AG28" i="17"/>
  <c r="V6" i="17"/>
  <c r="K56" i="6" s="1"/>
  <c r="J43" i="17"/>
  <c r="CP25" i="17"/>
  <c r="CE27" i="17"/>
  <c r="BQ27" i="17"/>
  <c r="BG27" i="17"/>
  <c r="AS27" i="17"/>
  <c r="AG27" i="17"/>
  <c r="V5" i="17"/>
  <c r="J42" i="17"/>
  <c r="CP21" i="17"/>
  <c r="CE26" i="17"/>
  <c r="BQ26" i="17"/>
  <c r="BG26" i="17"/>
  <c r="AS26" i="17"/>
  <c r="AG26" i="17"/>
  <c r="V8" i="17"/>
  <c r="J56" i="6" s="1"/>
  <c r="J41" i="17"/>
  <c r="CP24" i="17"/>
  <c r="CE25" i="17"/>
  <c r="BQ25" i="17"/>
  <c r="BG25" i="17"/>
  <c r="AS25" i="17"/>
  <c r="AG25" i="17"/>
  <c r="J40" i="17"/>
  <c r="CP32" i="17"/>
  <c r="CE24" i="17"/>
  <c r="BQ24" i="17"/>
  <c r="BG24" i="17"/>
  <c r="AS24" i="17"/>
  <c r="AG24" i="17"/>
  <c r="V18" i="17"/>
  <c r="J33" i="17"/>
  <c r="CP23" i="17"/>
  <c r="CE23" i="17"/>
  <c r="BQ23" i="17"/>
  <c r="BG23" i="17"/>
  <c r="AS23" i="17"/>
  <c r="AG23" i="17"/>
  <c r="V28" i="17"/>
  <c r="J20" i="17"/>
  <c r="CP27" i="17"/>
  <c r="CE22" i="17"/>
  <c r="BQ22" i="17"/>
  <c r="BG22" i="17"/>
  <c r="AS22" i="17"/>
  <c r="AG22" i="17"/>
  <c r="V11" i="17"/>
  <c r="J39" i="17"/>
  <c r="CP26" i="17"/>
  <c r="CE21" i="17"/>
  <c r="BQ21" i="17"/>
  <c r="BG21" i="17"/>
  <c r="AS21" i="17"/>
  <c r="AG21" i="17"/>
  <c r="V9" i="17"/>
  <c r="J38" i="17"/>
  <c r="CP29" i="17"/>
  <c r="CD20" i="17"/>
  <c r="BQ20" i="17"/>
  <c r="BG20" i="17"/>
  <c r="AS20" i="17"/>
  <c r="AG20" i="17"/>
  <c r="I56" i="6"/>
  <c r="J37" i="17"/>
  <c r="CP30" i="17"/>
  <c r="CD19" i="17"/>
  <c r="K62" i="6" s="1"/>
  <c r="BQ19" i="17"/>
  <c r="BG7" i="17"/>
  <c r="K59" i="6" s="1"/>
  <c r="AS19" i="17"/>
  <c r="AG19" i="17"/>
  <c r="V20" i="17"/>
  <c r="J36" i="17"/>
  <c r="CP33" i="17"/>
  <c r="CD18" i="17"/>
  <c r="BQ18" i="17"/>
  <c r="BG6" i="17"/>
  <c r="AS18" i="17"/>
  <c r="AG18" i="17"/>
  <c r="V21" i="17"/>
  <c r="J35" i="17"/>
  <c r="CP34" i="17"/>
  <c r="CD17" i="17"/>
  <c r="BQ17" i="17"/>
  <c r="BG8" i="17"/>
  <c r="J59" i="6" s="1"/>
  <c r="AS17" i="17"/>
  <c r="AG17" i="17"/>
  <c r="V19" i="17"/>
  <c r="J34" i="17"/>
  <c r="F55" i="6" s="1"/>
  <c r="CP35" i="17"/>
  <c r="CD16" i="17"/>
  <c r="J62" i="6" s="1"/>
  <c r="BQ16" i="17"/>
  <c r="BG13" i="17"/>
  <c r="AS16" i="17"/>
  <c r="AG16" i="17"/>
  <c r="V16" i="17"/>
  <c r="J32" i="17"/>
  <c r="CP36" i="17"/>
  <c r="CD15" i="17"/>
  <c r="I62" i="6" s="1"/>
  <c r="BQ15" i="17"/>
  <c r="BG9" i="17"/>
  <c r="I59" i="6" s="1"/>
  <c r="AS15" i="17"/>
  <c r="AG15" i="17"/>
  <c r="V13" i="17"/>
  <c r="H56" i="6" s="1"/>
  <c r="CP37" i="17"/>
  <c r="CD14" i="17"/>
  <c r="C62" i="6" s="1"/>
  <c r="BQ14" i="17"/>
  <c r="AS14" i="17"/>
  <c r="AG14" i="17"/>
  <c r="V17" i="17"/>
  <c r="J30" i="17"/>
  <c r="CP38" i="17"/>
  <c r="CD13" i="17"/>
  <c r="BQ13" i="17"/>
  <c r="AS13" i="17"/>
  <c r="AG13" i="17"/>
  <c r="V15" i="17"/>
  <c r="J29" i="17"/>
  <c r="CP41" i="17"/>
  <c r="CD12" i="17"/>
  <c r="BR12" i="17"/>
  <c r="H60" i="6" s="1"/>
  <c r="BG10" i="17"/>
  <c r="AS12" i="17"/>
  <c r="AG12" i="17"/>
  <c r="V23" i="17"/>
  <c r="J28" i="17"/>
  <c r="CP40" i="17"/>
  <c r="CD11" i="17"/>
  <c r="BR6" i="17"/>
  <c r="I60" i="6" s="1"/>
  <c r="BG19" i="17"/>
  <c r="AS11" i="17"/>
  <c r="AG11" i="17"/>
  <c r="V24" i="17"/>
  <c r="J27" i="17"/>
  <c r="CP42" i="17"/>
  <c r="CD10" i="17"/>
  <c r="BR11" i="17"/>
  <c r="BG17" i="17"/>
  <c r="AS10" i="17"/>
  <c r="AH10" i="17"/>
  <c r="V26" i="17"/>
  <c r="J26" i="17"/>
  <c r="CP43" i="17"/>
  <c r="CD9" i="17"/>
  <c r="BR9" i="17"/>
  <c r="BG15" i="17"/>
  <c r="AT9" i="17"/>
  <c r="AH9" i="17"/>
  <c r="V22" i="17"/>
  <c r="J25" i="17"/>
  <c r="CP44" i="17"/>
  <c r="CD8" i="17"/>
  <c r="BR10" i="17"/>
  <c r="E60" i="6" s="1"/>
  <c r="BG12" i="17"/>
  <c r="F59" i="6" s="1"/>
  <c r="AT8" i="17"/>
  <c r="J58" i="6" s="1"/>
  <c r="AH8" i="17"/>
  <c r="V27" i="17"/>
  <c r="D56" i="6" s="1"/>
  <c r="J24" i="17"/>
  <c r="CP45" i="17"/>
  <c r="CD7" i="17"/>
  <c r="BR8" i="17"/>
  <c r="BG11" i="17"/>
  <c r="G59" i="6" s="1"/>
  <c r="AT7" i="17"/>
  <c r="AH7" i="17"/>
  <c r="K57" i="6" s="1"/>
  <c r="V25" i="17"/>
  <c r="J23" i="17"/>
  <c r="CP46" i="17"/>
  <c r="CD6" i="17"/>
  <c r="BR7" i="17"/>
  <c r="G60" i="6" s="1"/>
  <c r="BG18" i="17"/>
  <c r="AT6" i="17"/>
  <c r="G58" i="6" s="1"/>
  <c r="AH6" i="17"/>
  <c r="H57" i="6" s="1"/>
  <c r="V12" i="17"/>
  <c r="E56" i="6" s="1"/>
  <c r="J22" i="17"/>
  <c r="E62" i="6"/>
  <c r="F57" i="6"/>
  <c r="V30" i="17"/>
  <c r="J21" i="17"/>
  <c r="CP47" i="17"/>
  <c r="CD5" i="17"/>
  <c r="F62" i="6" s="1"/>
  <c r="BR5" i="17"/>
  <c r="C60" i="6" s="1"/>
  <c r="BG5" i="17"/>
  <c r="AT5" i="17"/>
  <c r="H58" i="6" s="1"/>
  <c r="AH5" i="17"/>
  <c r="D57" i="6" s="1"/>
  <c r="J19" i="17"/>
  <c r="V5" i="14"/>
  <c r="E49" i="6" s="1"/>
  <c r="J16" i="14"/>
  <c r="I48" i="6" s="1"/>
  <c r="J15" i="14"/>
  <c r="H48" i="6" s="1"/>
  <c r="J14" i="14"/>
  <c r="J13" i="14"/>
  <c r="J12" i="14"/>
  <c r="J11" i="14"/>
  <c r="J10" i="14"/>
  <c r="J9" i="14"/>
  <c r="J8" i="14"/>
  <c r="J7" i="14"/>
  <c r="E48" i="6" s="1"/>
  <c r="J6" i="14"/>
  <c r="D48" i="6" s="1"/>
  <c r="J5" i="14"/>
  <c r="C48" i="6" s="1"/>
  <c r="J29" i="13"/>
  <c r="J33" i="13"/>
  <c r="J28" i="13"/>
  <c r="J26" i="13"/>
  <c r="J25" i="13"/>
  <c r="J27" i="13"/>
  <c r="J30" i="13"/>
  <c r="J32" i="13"/>
  <c r="I43" i="6" s="1"/>
  <c r="J31" i="13"/>
  <c r="I42" i="6" s="1"/>
  <c r="J24" i="13"/>
  <c r="J23" i="13"/>
  <c r="J22" i="13"/>
  <c r="J20" i="13"/>
  <c r="F41" i="6" s="1"/>
  <c r="J17" i="13"/>
  <c r="J19" i="13"/>
  <c r="J18" i="13"/>
  <c r="E42" i="6" s="1"/>
  <c r="J16" i="13"/>
  <c r="J15" i="13"/>
  <c r="J14" i="13"/>
  <c r="J13" i="13"/>
  <c r="J12" i="13"/>
  <c r="D43" i="6" s="1"/>
  <c r="J7" i="13"/>
  <c r="J11" i="13"/>
  <c r="J10" i="13"/>
  <c r="J8" i="13"/>
  <c r="J9" i="13"/>
  <c r="J6" i="13"/>
  <c r="J5" i="13"/>
  <c r="BR81" i="17" l="1"/>
  <c r="AH81" i="17"/>
  <c r="E61" i="6"/>
  <c r="K21" i="6"/>
  <c r="G61" i="6"/>
  <c r="K63" i="6"/>
  <c r="DC81" i="17"/>
  <c r="E59" i="6"/>
  <c r="C56" i="6"/>
  <c r="L61" i="6"/>
  <c r="O15" i="6"/>
  <c r="K55" i="6"/>
  <c r="K19" i="6"/>
  <c r="H42" i="6"/>
  <c r="O10" i="6"/>
  <c r="O14" i="6"/>
  <c r="O16" i="6"/>
  <c r="O12" i="6"/>
  <c r="C41" i="6"/>
  <c r="O20" i="6"/>
  <c r="F56" i="6"/>
  <c r="D62" i="6"/>
  <c r="H41" i="6"/>
  <c r="D41" i="6"/>
  <c r="E41" i="6"/>
  <c r="C42" i="6"/>
  <c r="I41" i="6"/>
  <c r="J7" i="6"/>
  <c r="I61" i="6"/>
  <c r="J61" i="6"/>
  <c r="C55" i="6"/>
  <c r="I8" i="6"/>
  <c r="J55" i="6"/>
  <c r="J19" i="6"/>
  <c r="E55" i="6"/>
  <c r="C61" i="6"/>
  <c r="D61" i="6"/>
  <c r="H61" i="6"/>
  <c r="H19" i="6"/>
  <c r="D55" i="6"/>
  <c r="O60" i="6"/>
  <c r="I80" i="17"/>
  <c r="BG81" i="17"/>
  <c r="G55" i="6"/>
  <c r="D59" i="6"/>
  <c r="H59" i="6"/>
  <c r="G56" i="6"/>
  <c r="O34" i="6"/>
  <c r="O38" i="6"/>
  <c r="C32" i="6"/>
  <c r="C39" i="6"/>
  <c r="D39" i="6"/>
  <c r="C53" i="6"/>
  <c r="F48" i="6"/>
  <c r="I19" i="6"/>
  <c r="H8" i="6"/>
  <c r="I63" i="18"/>
  <c r="D8" i="6"/>
  <c r="U63" i="18"/>
  <c r="H55" i="6"/>
  <c r="O58" i="6"/>
  <c r="C59" i="6"/>
  <c r="G48" i="6"/>
  <c r="O49" i="6"/>
  <c r="O29" i="6"/>
  <c r="AG81" i="17"/>
  <c r="CE81" i="17"/>
  <c r="AS81" i="17"/>
  <c r="CO81" i="17"/>
  <c r="U81" i="17"/>
  <c r="BQ81" i="17"/>
  <c r="O21" i="6" l="1"/>
  <c r="O62" i="6"/>
  <c r="O7" i="6"/>
  <c r="O19" i="6"/>
  <c r="O59" i="6"/>
  <c r="E46" i="6"/>
  <c r="D46" i="6"/>
  <c r="O8" i="6"/>
  <c r="D22" i="6"/>
  <c r="BF85" i="14"/>
  <c r="AT85" i="14"/>
  <c r="AJ85" i="14"/>
  <c r="AG85" i="14"/>
  <c r="T85" i="14"/>
  <c r="S85" i="14"/>
  <c r="BG84" i="14"/>
  <c r="AU84" i="14"/>
  <c r="AI84" i="14"/>
  <c r="U84" i="14"/>
  <c r="BG83" i="14"/>
  <c r="AU83" i="14"/>
  <c r="BG82" i="14"/>
  <c r="AU82" i="14"/>
  <c r="AI83" i="14"/>
  <c r="U83" i="14"/>
  <c r="BG81" i="14"/>
  <c r="AU81" i="14"/>
  <c r="AI82" i="14"/>
  <c r="U82" i="14"/>
  <c r="AU80" i="14"/>
  <c r="AI81" i="14"/>
  <c r="U81" i="14"/>
  <c r="BG80" i="14"/>
  <c r="AU79" i="14"/>
  <c r="AI80" i="14"/>
  <c r="U74" i="14"/>
  <c r="BG79" i="14"/>
  <c r="AU78" i="14"/>
  <c r="AI73" i="14"/>
  <c r="U73" i="14"/>
  <c r="BG78" i="14"/>
  <c r="AU77" i="14"/>
  <c r="AI72" i="14"/>
  <c r="U72" i="14"/>
  <c r="BG71" i="14"/>
  <c r="AU71" i="14"/>
  <c r="AI71" i="14"/>
  <c r="U71" i="14"/>
  <c r="BG70" i="14"/>
  <c r="AU70" i="14"/>
  <c r="AI70" i="14"/>
  <c r="U70" i="14"/>
  <c r="BG69" i="14"/>
  <c r="AU69" i="14"/>
  <c r="AI69" i="14"/>
  <c r="U69" i="14"/>
  <c r="BG68" i="14"/>
  <c r="AU68" i="14"/>
  <c r="AI68" i="14"/>
  <c r="U68" i="14"/>
  <c r="BG67" i="14"/>
  <c r="AU67" i="14"/>
  <c r="AI67" i="14"/>
  <c r="U67" i="14"/>
  <c r="BG66" i="14"/>
  <c r="AU66" i="14"/>
  <c r="AI66" i="14"/>
  <c r="U66" i="14"/>
  <c r="BG65" i="14"/>
  <c r="AU65" i="14"/>
  <c r="AI65" i="14"/>
  <c r="U65" i="14"/>
  <c r="BG64" i="14"/>
  <c r="AU64" i="14"/>
  <c r="AI64" i="14"/>
  <c r="U64" i="14"/>
  <c r="BG63" i="14"/>
  <c r="AU63" i="14"/>
  <c r="AI63" i="14"/>
  <c r="U63" i="14"/>
  <c r="BG62" i="14"/>
  <c r="AU62" i="14"/>
  <c r="AI62" i="14"/>
  <c r="U62" i="14"/>
  <c r="BG61" i="14"/>
  <c r="AU61" i="14"/>
  <c r="AI61" i="14"/>
  <c r="U61" i="14"/>
  <c r="BG60" i="14"/>
  <c r="AU60" i="14"/>
  <c r="AI60" i="14"/>
  <c r="U60" i="14"/>
  <c r="BG59" i="14"/>
  <c r="AU59" i="14"/>
  <c r="AI59" i="14"/>
  <c r="U59" i="14"/>
  <c r="BG58" i="14"/>
  <c r="AU58" i="14"/>
  <c r="AI58" i="14"/>
  <c r="U58" i="14"/>
  <c r="BG57" i="14"/>
  <c r="AU57" i="14"/>
  <c r="AI57" i="14"/>
  <c r="U57" i="14"/>
  <c r="BG56" i="14"/>
  <c r="AU56" i="14"/>
  <c r="AI56" i="14"/>
  <c r="U56" i="14"/>
  <c r="BG55" i="14"/>
  <c r="AU55" i="14"/>
  <c r="AI55" i="14"/>
  <c r="U55" i="14"/>
  <c r="BG54" i="14"/>
  <c r="AU54" i="14"/>
  <c r="AI54" i="14"/>
  <c r="U54" i="14"/>
  <c r="BG53" i="14"/>
  <c r="AU53" i="14"/>
  <c r="AI53" i="14"/>
  <c r="U53" i="14"/>
  <c r="BG52" i="14"/>
  <c r="AU52" i="14"/>
  <c r="AI52" i="14"/>
  <c r="U52" i="14"/>
  <c r="BG51" i="14"/>
  <c r="AU51" i="14"/>
  <c r="AI51" i="14"/>
  <c r="U51" i="14"/>
  <c r="BG50" i="14"/>
  <c r="AU50" i="14"/>
  <c r="AI50" i="14"/>
  <c r="U50" i="14"/>
  <c r="BG49" i="14"/>
  <c r="AU49" i="14"/>
  <c r="AI49" i="14"/>
  <c r="U49" i="14"/>
  <c r="BG48" i="14"/>
  <c r="AU48" i="14"/>
  <c r="AI48" i="14"/>
  <c r="U48" i="14"/>
  <c r="BG47" i="14"/>
  <c r="AU47" i="14"/>
  <c r="AI47" i="14"/>
  <c r="U47" i="14"/>
  <c r="BG46" i="14"/>
  <c r="AU46" i="14"/>
  <c r="AI46" i="14"/>
  <c r="U46" i="14"/>
  <c r="BG45" i="14"/>
  <c r="AU45" i="14"/>
  <c r="AI45" i="14"/>
  <c r="U45" i="14"/>
  <c r="BG44" i="14"/>
  <c r="AU44" i="14"/>
  <c r="AI44" i="14"/>
  <c r="U44" i="14"/>
  <c r="BG43" i="14"/>
  <c r="AU43" i="14"/>
  <c r="AI43" i="14"/>
  <c r="U43" i="14"/>
  <c r="BG42" i="14"/>
  <c r="AU42" i="14"/>
  <c r="AI42" i="14"/>
  <c r="U42" i="14"/>
  <c r="BG41" i="14"/>
  <c r="AU41" i="14"/>
  <c r="AI41" i="14"/>
  <c r="U41" i="14"/>
  <c r="BG40" i="14"/>
  <c r="AU40" i="14"/>
  <c r="AI40" i="14"/>
  <c r="U40" i="14"/>
  <c r="BG39" i="14"/>
  <c r="AU39" i="14"/>
  <c r="AI39" i="14"/>
  <c r="U39" i="14"/>
  <c r="BG38" i="14"/>
  <c r="AU38" i="14"/>
  <c r="AI38" i="14"/>
  <c r="U38" i="14"/>
  <c r="BG37" i="14"/>
  <c r="AU37" i="14"/>
  <c r="AI37" i="14"/>
  <c r="U37" i="14"/>
  <c r="BG36" i="14"/>
  <c r="AU36" i="14"/>
  <c r="AI36" i="14"/>
  <c r="U36" i="14"/>
  <c r="BG35" i="14"/>
  <c r="AU35" i="14"/>
  <c r="AI35" i="14"/>
  <c r="U35" i="14"/>
  <c r="BG34" i="14"/>
  <c r="AU34" i="14"/>
  <c r="AI34" i="14"/>
  <c r="U34" i="14"/>
  <c r="BG33" i="14"/>
  <c r="AU33" i="14"/>
  <c r="AI33" i="14"/>
  <c r="U33" i="14"/>
  <c r="BG32" i="14"/>
  <c r="AU32" i="14"/>
  <c r="AI32" i="14"/>
  <c r="U32" i="14"/>
  <c r="BG31" i="14"/>
  <c r="AU31" i="14"/>
  <c r="AI31" i="14"/>
  <c r="U31" i="14"/>
  <c r="BG30" i="14"/>
  <c r="AU30" i="14"/>
  <c r="AI30" i="14"/>
  <c r="U30" i="14"/>
  <c r="BG29" i="14"/>
  <c r="AU29" i="14"/>
  <c r="AI29" i="14"/>
  <c r="U29" i="14"/>
  <c r="BG28" i="14"/>
  <c r="AU28" i="14"/>
  <c r="AI28" i="14"/>
  <c r="U28" i="14"/>
  <c r="BG27" i="14"/>
  <c r="AU27" i="14"/>
  <c r="AI27" i="14"/>
  <c r="U27" i="14"/>
  <c r="BG26" i="14"/>
  <c r="AU26" i="14"/>
  <c r="AI26" i="14"/>
  <c r="U26" i="14"/>
  <c r="BG25" i="14"/>
  <c r="AU25" i="14"/>
  <c r="AI25" i="14"/>
  <c r="U25" i="14"/>
  <c r="BG24" i="14"/>
  <c r="AU24" i="14"/>
  <c r="AI24" i="14"/>
  <c r="U24" i="14"/>
  <c r="BG23" i="14"/>
  <c r="AU23" i="14"/>
  <c r="AI23" i="14"/>
  <c r="U23" i="14"/>
  <c r="BG22" i="14"/>
  <c r="AU22" i="14"/>
  <c r="AI22" i="14"/>
  <c r="U22" i="14"/>
  <c r="BG21" i="14"/>
  <c r="AU21" i="14"/>
  <c r="AI21" i="14"/>
  <c r="U21" i="14"/>
  <c r="BG20" i="14"/>
  <c r="AU20" i="14"/>
  <c r="AI20" i="14"/>
  <c r="U20" i="14"/>
  <c r="BG19" i="14"/>
  <c r="AU19" i="14"/>
  <c r="AI19" i="14"/>
  <c r="U19" i="14"/>
  <c r="BG18" i="14"/>
  <c r="AU18" i="14"/>
  <c r="AI18" i="14"/>
  <c r="U18" i="14"/>
  <c r="BG17" i="14"/>
  <c r="AU17" i="14"/>
  <c r="AI17" i="14"/>
  <c r="U17" i="14"/>
  <c r="BG16" i="14"/>
  <c r="AU16" i="14"/>
  <c r="AI16" i="14"/>
  <c r="U16" i="14"/>
  <c r="BG15" i="14"/>
  <c r="AU15" i="14"/>
  <c r="AI15" i="14"/>
  <c r="U15" i="14"/>
  <c r="BG14" i="14"/>
  <c r="AU14" i="14"/>
  <c r="AI14" i="14"/>
  <c r="U14" i="14"/>
  <c r="BG13" i="14"/>
  <c r="AU13" i="14"/>
  <c r="AI13" i="14"/>
  <c r="U13" i="14"/>
  <c r="BH12" i="14"/>
  <c r="AU12" i="14"/>
  <c r="AI12" i="14"/>
  <c r="U12" i="14"/>
  <c r="BH11" i="14"/>
  <c r="AU11" i="14"/>
  <c r="AI11" i="14"/>
  <c r="U11" i="14"/>
  <c r="BH10" i="14"/>
  <c r="AU10" i="14"/>
  <c r="AI10" i="14"/>
  <c r="U10" i="14"/>
  <c r="BH9" i="14"/>
  <c r="J51" i="6" s="1"/>
  <c r="AU9" i="14"/>
  <c r="AI9" i="14"/>
  <c r="U9" i="14"/>
  <c r="BH8" i="14"/>
  <c r="AU8" i="14"/>
  <c r="AI8" i="14"/>
  <c r="U8" i="14"/>
  <c r="BH7" i="14"/>
  <c r="AU7" i="14"/>
  <c r="AI7" i="14"/>
  <c r="U7" i="14"/>
  <c r="BH6" i="14"/>
  <c r="H51" i="6" s="1"/>
  <c r="AU6" i="14"/>
  <c r="AI6" i="14"/>
  <c r="V6" i="14"/>
  <c r="U85" i="14" s="1"/>
  <c r="BH5" i="14"/>
  <c r="BH85" i="14" s="1"/>
  <c r="AV5" i="14"/>
  <c r="AV85" i="14" s="1"/>
  <c r="AH5" i="14"/>
  <c r="AH85" i="14" s="1"/>
  <c r="V85" i="14" l="1"/>
  <c r="AI85" i="14"/>
  <c r="G52" i="6"/>
  <c r="AU85" i="14"/>
  <c r="G50" i="6"/>
  <c r="BG85" i="14"/>
  <c r="I51" i="6"/>
  <c r="C64" i="6"/>
  <c r="D64" i="6"/>
  <c r="L64" i="6"/>
  <c r="M64" i="6"/>
  <c r="E64" i="6"/>
  <c r="F64" i="6"/>
  <c r="G64" i="6"/>
  <c r="H64" i="6"/>
  <c r="I64" i="6"/>
  <c r="J64" i="6"/>
  <c r="K64" i="6"/>
  <c r="N64" i="6"/>
  <c r="O64" i="6" l="1"/>
  <c r="O31" i="6"/>
  <c r="D53" i="6" l="1"/>
  <c r="G22" i="6"/>
  <c r="K22" i="6"/>
  <c r="N22" i="6"/>
  <c r="J22" i="6"/>
  <c r="H22" i="6"/>
  <c r="L22" i="6"/>
  <c r="I22" i="6"/>
  <c r="M22" i="6"/>
  <c r="O9" i="6"/>
  <c r="E22" i="6" l="1"/>
  <c r="F22" i="6"/>
  <c r="C22" i="6"/>
  <c r="O51" i="6"/>
  <c r="F53" i="6"/>
  <c r="J67" i="14"/>
  <c r="J68" i="14"/>
  <c r="J69" i="14"/>
  <c r="J70" i="14"/>
  <c r="J71" i="14"/>
  <c r="J72" i="14"/>
  <c r="J73" i="14"/>
  <c r="J74" i="14"/>
  <c r="J75" i="14"/>
  <c r="J76" i="14"/>
  <c r="J77" i="14"/>
  <c r="J78" i="14"/>
  <c r="J79" i="14"/>
  <c r="J80" i="14"/>
  <c r="J81" i="14"/>
  <c r="J82" i="14"/>
  <c r="J83" i="14"/>
  <c r="J84" i="14"/>
  <c r="J74" i="13"/>
  <c r="J75" i="13"/>
  <c r="J76" i="13"/>
  <c r="J77" i="13"/>
  <c r="J82" i="13"/>
  <c r="J83" i="13"/>
  <c r="J84" i="13"/>
  <c r="I85" i="14"/>
  <c r="K85" i="14"/>
  <c r="H85" i="14"/>
  <c r="H85" i="13"/>
  <c r="I85" i="13"/>
  <c r="O22" i="6" l="1"/>
  <c r="M39" i="6"/>
  <c r="F39" i="6"/>
  <c r="J39" i="6"/>
  <c r="N39" i="6"/>
  <c r="K39" i="6"/>
  <c r="L39" i="6"/>
  <c r="E39" i="6"/>
  <c r="I39" i="6"/>
  <c r="H32" i="6"/>
  <c r="O50" i="6"/>
  <c r="E53" i="6"/>
  <c r="H39" i="6"/>
  <c r="K85" i="13"/>
  <c r="L32" i="6" l="1"/>
  <c r="M32" i="6"/>
  <c r="J32" i="6"/>
  <c r="I32" i="6"/>
  <c r="K32" i="6"/>
  <c r="F32" i="6"/>
  <c r="G32" i="6"/>
  <c r="D32" i="6"/>
  <c r="E32" i="6"/>
  <c r="J85" i="14"/>
  <c r="N32" i="6"/>
  <c r="G39" i="6"/>
  <c r="J85" i="13"/>
  <c r="C46" i="6"/>
  <c r="C68" i="6" s="1"/>
  <c r="D68" i="6" l="1"/>
  <c r="G53" i="6"/>
  <c r="L53" i="6"/>
  <c r="N53" i="6"/>
  <c r="O39" i="6" l="1"/>
  <c r="D67" i="6"/>
  <c r="M53" i="6"/>
  <c r="O18" i="6" l="1"/>
  <c r="K53" i="6"/>
  <c r="J53" i="6" l="1"/>
  <c r="I53" i="6" l="1"/>
  <c r="H53" i="6" l="1"/>
  <c r="O53" i="6" l="1"/>
  <c r="AM51" i="6" l="1"/>
  <c r="O37" i="6"/>
  <c r="O57" i="6"/>
  <c r="O43" i="6"/>
  <c r="O44" i="6"/>
  <c r="O45" i="6"/>
  <c r="F46" i="6"/>
  <c r="G46" i="6"/>
  <c r="H46" i="6"/>
  <c r="H68" i="6" s="1"/>
  <c r="I46" i="6"/>
  <c r="J46" i="6"/>
  <c r="K46" i="6"/>
  <c r="L46" i="6"/>
  <c r="M46" i="6"/>
  <c r="N46" i="6"/>
  <c r="O25" i="6"/>
  <c r="H67" i="6" l="1"/>
  <c r="M68" i="6"/>
  <c r="M67" i="6"/>
  <c r="I68" i="6"/>
  <c r="I67" i="6"/>
  <c r="L67" i="6"/>
  <c r="L68" i="6"/>
  <c r="K68" i="6"/>
  <c r="K67" i="6"/>
  <c r="G67" i="6"/>
  <c r="G68" i="6"/>
  <c r="N68" i="6"/>
  <c r="N67" i="6"/>
  <c r="J68" i="6"/>
  <c r="J67" i="6"/>
  <c r="F67" i="6"/>
  <c r="F68" i="6"/>
  <c r="E67" i="6"/>
  <c r="E68" i="6"/>
  <c r="O46" i="6"/>
  <c r="O61" i="6"/>
  <c r="O56" i="6"/>
  <c r="O52" i="6"/>
  <c r="O48" i="6"/>
  <c r="O55" i="6"/>
  <c r="O41" i="6"/>
  <c r="O42" i="6"/>
  <c r="O36" i="6"/>
  <c r="O24" i="6"/>
  <c r="O27" i="6"/>
  <c r="O26" i="6"/>
  <c r="O28" i="6"/>
  <c r="O35" i="6"/>
  <c r="AR51" i="6" l="1"/>
  <c r="AP51" i="6"/>
  <c r="AQ51" i="6"/>
  <c r="AN51" i="6"/>
  <c r="AO51" i="6"/>
  <c r="C67" i="6" l="1"/>
  <c r="O67" i="6" s="1"/>
  <c r="O32" i="6"/>
  <c r="O68" i="6" s="1"/>
</calcChain>
</file>

<file path=xl/sharedStrings.xml><?xml version="1.0" encoding="utf-8"?>
<sst xmlns="http://schemas.openxmlformats.org/spreadsheetml/2006/main" count="2177" uniqueCount="640">
  <si>
    <t>FOURNISSEURS</t>
  </si>
  <si>
    <t>JANVIER</t>
  </si>
  <si>
    <t>FEVRIER</t>
  </si>
  <si>
    <t>MARS</t>
  </si>
  <si>
    <t>AVRIL</t>
  </si>
  <si>
    <t xml:space="preserve">MAI </t>
  </si>
  <si>
    <t>JUIN</t>
  </si>
  <si>
    <t>JUILLET</t>
  </si>
  <si>
    <t>AOUT</t>
  </si>
  <si>
    <t>SEPTEMBRE</t>
  </si>
  <si>
    <t>OCTOBRE</t>
  </si>
  <si>
    <t>NOVEMBRE</t>
  </si>
  <si>
    <t>DECEMBRE</t>
  </si>
  <si>
    <t>MAI</t>
  </si>
  <si>
    <t>POINTAGE DEPENSES FOURNISSEURS  / CHANTIERS</t>
  </si>
  <si>
    <t>TOTAL ANNUEL</t>
  </si>
  <si>
    <t>TELECOM</t>
  </si>
  <si>
    <t>OUTICOUP</t>
  </si>
  <si>
    <t>SOPIMAT</t>
  </si>
  <si>
    <t>SASERQ</t>
  </si>
  <si>
    <t>ETS POMMEZ/Qllerie st JEAN</t>
  </si>
  <si>
    <t>SIAPOC</t>
  </si>
  <si>
    <t>CODIMA</t>
  </si>
  <si>
    <t>ZOLPAN</t>
  </si>
  <si>
    <t>Peinture GAUTHIER</t>
  </si>
  <si>
    <t>PPG  Guadeloupe</t>
  </si>
  <si>
    <t>SOGUADIME</t>
  </si>
  <si>
    <t>BLANDIN</t>
  </si>
  <si>
    <t>GMC</t>
  </si>
  <si>
    <t>RESTAURANT</t>
  </si>
  <si>
    <t>EXPORT</t>
  </si>
  <si>
    <t>DAD / DECAYEUX</t>
  </si>
  <si>
    <t xml:space="preserve"> </t>
  </si>
  <si>
    <t>FAAC</t>
  </si>
  <si>
    <t>HT</t>
  </si>
  <si>
    <t>TVA</t>
  </si>
  <si>
    <t>DATES FACTURES</t>
  </si>
  <si>
    <t>MOIS</t>
  </si>
  <si>
    <t>TOTAL FACTURE</t>
  </si>
  <si>
    <t>SOLDES</t>
  </si>
  <si>
    <t>PEINTURE</t>
  </si>
  <si>
    <t xml:space="preserve">ALLAMELOU </t>
  </si>
  <si>
    <t>DIVERS</t>
  </si>
  <si>
    <t>SERRURERIE</t>
  </si>
  <si>
    <t>MOYEN DE 
PAIEMENT</t>
  </si>
  <si>
    <t>CB</t>
  </si>
  <si>
    <t>CHANTIERS AUDEBERT</t>
  </si>
  <si>
    <t>DATE DU 
PAIEMENT</t>
  </si>
  <si>
    <t>LISTES DES FOURNISSEURS REGULIERS</t>
  </si>
  <si>
    <t>ELECTRICITE</t>
  </si>
  <si>
    <t>TEVAH SYSTEMES</t>
  </si>
  <si>
    <t>MATIERE 1ère
 DIVERS</t>
  </si>
  <si>
    <t>MAJY SERVICES</t>
  </si>
  <si>
    <t>DIVERS FRAIS GNX</t>
  </si>
  <si>
    <t xml:space="preserve">CB </t>
  </si>
  <si>
    <t>ESP</t>
  </si>
  <si>
    <t>CHEQUE</t>
  </si>
  <si>
    <t>FÉVRIER</t>
  </si>
  <si>
    <t>CARAIBE TELECOM</t>
  </si>
  <si>
    <t>ORANGE</t>
  </si>
  <si>
    <t>PRELEVEMENT</t>
  </si>
  <si>
    <t>EDF</t>
  </si>
  <si>
    <t>VET INDUSTRIE</t>
  </si>
  <si>
    <t>ENTRETIEN</t>
  </si>
  <si>
    <t xml:space="preserve">GERION </t>
  </si>
  <si>
    <t>SO'CLEAN</t>
  </si>
  <si>
    <t>SNR</t>
  </si>
  <si>
    <t>BUREAUTIQUE</t>
  </si>
  <si>
    <t>ANTILLES PAPETERIE</t>
  </si>
  <si>
    <t xml:space="preserve">FEVRIER </t>
  </si>
  <si>
    <t xml:space="preserve">PRELEVEMENT </t>
  </si>
  <si>
    <t>KOS</t>
  </si>
  <si>
    <t>CARIBURO</t>
  </si>
  <si>
    <t>TANSPORTS</t>
  </si>
  <si>
    <t>FRS EXPORTS</t>
  </si>
  <si>
    <t>SCHENKER</t>
  </si>
  <si>
    <t>PAUMELLES LIEGEOISE</t>
  </si>
  <si>
    <t>DECAYEUX</t>
  </si>
  <si>
    <t>PEINTURE GAUTHIER</t>
  </si>
  <si>
    <t>ESPECES</t>
  </si>
  <si>
    <t>VIREMENT</t>
  </si>
  <si>
    <t>BILAN DEPENSES 2020</t>
  </si>
  <si>
    <t>ALAMELOU</t>
  </si>
  <si>
    <t>TRANSPORT</t>
  </si>
  <si>
    <t>MAT 1ère</t>
  </si>
  <si>
    <t xml:space="preserve">FRAIS  GNX  </t>
  </si>
  <si>
    <t>BL</t>
  </si>
  <si>
    <t>AVOI</t>
  </si>
  <si>
    <t xml:space="preserve">ESPECES </t>
  </si>
  <si>
    <t>9 MOIS (05/10/2020)</t>
  </si>
  <si>
    <t>LETTRE DE CHANGE EN 2 FOIS</t>
  </si>
  <si>
    <t>31/05/2020
30/06/2020</t>
  </si>
  <si>
    <t>TOTAL CHARGES</t>
  </si>
  <si>
    <t>utilisé</t>
  </si>
  <si>
    <t>FRAIS GENERAUX</t>
  </si>
  <si>
    <t>EXPORT / TRANSPORT</t>
  </si>
  <si>
    <t>* les dépenses non réglées</t>
  </si>
  <si>
    <t>ACHATS</t>
  </si>
  <si>
    <t>ANALYSE DEPENSES ANNUEL FOURNISSEURS  / CHANTIERS</t>
  </si>
  <si>
    <t>AVOIR</t>
  </si>
  <si>
    <t>COLISSIMO</t>
  </si>
  <si>
    <t>BILAN ANNUEL 2020</t>
  </si>
  <si>
    <t>RESTE A PAYER</t>
  </si>
  <si>
    <t>SOLDE</t>
  </si>
  <si>
    <t xml:space="preserve">DATE DE PAIEMENT </t>
  </si>
  <si>
    <t>MOYEN DE PAIEMENT</t>
  </si>
  <si>
    <t>TOTAL EXPORT/TRANSPORT</t>
  </si>
  <si>
    <t>TOTAL SERRURERIE</t>
  </si>
  <si>
    <t>TOTAL PEINTURE</t>
  </si>
  <si>
    <t>TOTAL ELECTRICITE</t>
  </si>
  <si>
    <t>TOTAL FRAIS GENERAUX</t>
  </si>
  <si>
    <t>TOTAL DIVERS</t>
  </si>
  <si>
    <t>SUIVI ANNUEL DES FACTURES FRS</t>
  </si>
  <si>
    <t>Feuille</t>
  </si>
  <si>
    <t>Tableau</t>
  </si>
  <si>
    <t>FACT - ELECTRICITE</t>
  </si>
  <si>
    <t>FACT - FRAIS Généraux</t>
  </si>
  <si>
    <t>FACT - FRS EXPORTS-TRANSPORTS</t>
  </si>
  <si>
    <t>VIMAR/CEVAM</t>
  </si>
  <si>
    <t>EUROTECH/ DORTEL</t>
  </si>
  <si>
    <t>JOINT DUAL</t>
  </si>
  <si>
    <t>GENIUS</t>
  </si>
  <si>
    <t>KASTO</t>
  </si>
  <si>
    <t>FEDEX</t>
  </si>
  <si>
    <t>CHRONOPOST</t>
  </si>
  <si>
    <t>EQUINOX/ ZIG ZAG</t>
  </si>
  <si>
    <t>LB TECHNOLOGIES</t>
  </si>
  <si>
    <t>YESS ELECTRIC</t>
  </si>
  <si>
    <t>SOUS TRAITANT</t>
  </si>
  <si>
    <t>EQUIPEMENT</t>
  </si>
  <si>
    <t>DEPLACEMENT</t>
  </si>
  <si>
    <t>SOUSTRAITANT</t>
  </si>
  <si>
    <t>US MENUISERIE</t>
  </si>
  <si>
    <t>ROUDEN SERVICES</t>
  </si>
  <si>
    <t>VIRMENT</t>
  </si>
  <si>
    <t xml:space="preserve"> DIVERS</t>
  </si>
  <si>
    <t xml:space="preserve">JUIN </t>
  </si>
  <si>
    <t>CHEQUES</t>
  </si>
  <si>
    <t>CHEQUE SGBA</t>
  </si>
  <si>
    <t>LB TECHNOLOGIE</t>
  </si>
  <si>
    <t>BUREAU VALEE</t>
  </si>
  <si>
    <t>BURO STOCK</t>
  </si>
  <si>
    <t>HEBERGEMENTS</t>
  </si>
  <si>
    <t>BILLETS</t>
  </si>
  <si>
    <t>LOCATION VEHICULE</t>
  </si>
  <si>
    <t>FRAIS AUTRES</t>
  </si>
  <si>
    <t>PAUMELLE LIEGOISE</t>
  </si>
  <si>
    <t>SHENKER</t>
  </si>
  <si>
    <t>PPG  GUADELOUPE</t>
  </si>
  <si>
    <t>ATTENTE CONFIRMATION</t>
  </si>
  <si>
    <t>DIVERS MAT 1ère</t>
  </si>
  <si>
    <t>DIVERS MAT 1 ère</t>
  </si>
  <si>
    <t>DATE</t>
  </si>
  <si>
    <t>MONTANT</t>
  </si>
  <si>
    <t>ACOMPTE</t>
  </si>
  <si>
    <t>MOYENT DE REGLEMENT</t>
  </si>
  <si>
    <t>DATE DE REGLEMENT</t>
  </si>
  <si>
    <t>ECHEANCE</t>
  </si>
  <si>
    <t>TOTAL FACTURES NON PAYEES</t>
  </si>
  <si>
    <t>TORBEL</t>
  </si>
  <si>
    <t>TOTAL GLOBAL</t>
  </si>
  <si>
    <t xml:space="preserve">utilisé </t>
  </si>
  <si>
    <t xml:space="preserve">CHEQUE </t>
  </si>
  <si>
    <t>EUROBATT</t>
  </si>
  <si>
    <t>ACHAT DIVERS</t>
  </si>
  <si>
    <t>UTILISE</t>
  </si>
  <si>
    <t>IMMOBILISATION</t>
  </si>
  <si>
    <t>OPTIMACHINES</t>
  </si>
  <si>
    <t>FACT - ACHAT DIVERS</t>
  </si>
  <si>
    <t>AGENCY MEDIA CONSULTING</t>
  </si>
  <si>
    <t>SYNERGIE BTP</t>
  </si>
  <si>
    <t>UTILIS2</t>
  </si>
  <si>
    <t>SPECIABAT</t>
  </si>
  <si>
    <t>CB AMEX</t>
  </si>
  <si>
    <t>TROPIC PROFIL GUADELOUPE</t>
  </si>
  <si>
    <t>06/10/20,</t>
  </si>
  <si>
    <t>,,,,,,,,,,,</t>
  </si>
  <si>
    <t>DATE D'ECHEANCE</t>
  </si>
  <si>
    <t xml:space="preserve"> MONTANT TVA</t>
  </si>
  <si>
    <t>TTC</t>
  </si>
  <si>
    <t>DATE FACTURE</t>
  </si>
  <si>
    <t>N° FACTURE</t>
  </si>
  <si>
    <t>FOURNISSEUR</t>
  </si>
  <si>
    <t>DATE D ECHEANCE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</si>
  <si>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</si>
  <si>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</si>
  <si>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</si>
  <si>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</si>
  <si>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</si>
  <si>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</si>
  <si>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</si>
  <si>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</si>
  <si>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</si>
  <si>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</si>
  <si>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FOURNISSEUR 11</t>
  </si>
  <si>
    <t>FOURNISSEUR 12</t>
  </si>
  <si>
    <t>FOURNISSEUR 13</t>
  </si>
  <si>
    <t>FOURNISSEUR 14</t>
  </si>
  <si>
    <t>FOURNISSEUR 15</t>
  </si>
  <si>
    <t>FOURNISSEUR 16</t>
  </si>
  <si>
    <t>FOURNISSEUR 17</t>
  </si>
  <si>
    <t>FOURNISSEUR 18</t>
  </si>
  <si>
    <t>FOURNISSEUR 19</t>
  </si>
  <si>
    <t>FOURNISSEUR 20</t>
  </si>
  <si>
    <t>FOURNISSEUR 21</t>
  </si>
  <si>
    <t>FOURNISSEUR 22</t>
  </si>
  <si>
    <t>FOURNISSEUR 23</t>
  </si>
  <si>
    <t>FOURNISSEUR 24</t>
  </si>
  <si>
    <t>FOURNISSEUR 25</t>
  </si>
  <si>
    <t>FOURNISSEUR 26</t>
  </si>
  <si>
    <t>FOURNISSEUR 27</t>
  </si>
  <si>
    <t>FOURNISSEUR 28</t>
  </si>
  <si>
    <t>FOURNISSEUR 29</t>
  </si>
  <si>
    <t>FOURNISSEUR 30</t>
  </si>
  <si>
    <t>FOURNISSEUR 31</t>
  </si>
  <si>
    <t>FOURNISSEUR 32</t>
  </si>
  <si>
    <t>FOURNISSEUR 33</t>
  </si>
  <si>
    <t>FOURNISSEUR 34</t>
  </si>
  <si>
    <t>FOURNISSEUR 35</t>
  </si>
  <si>
    <t>FOURNISSEUR 36</t>
  </si>
  <si>
    <t>FOURNISSEUR 37</t>
  </si>
  <si>
    <t>FOURNISSEUR 38</t>
  </si>
  <si>
    <t>FOURNISSEUR 39</t>
  </si>
  <si>
    <t>FOURNISSEUR 40</t>
  </si>
  <si>
    <t>FOURNISSEUR 41</t>
  </si>
  <si>
    <t>FOURNISSEUR 42</t>
  </si>
  <si>
    <t>FOURNISSEURS 43</t>
  </si>
  <si>
    <t>FOURNISSEURS 44</t>
  </si>
  <si>
    <t>FOURNISSEURS 45</t>
  </si>
  <si>
    <t>FOURNISSEURS 46</t>
  </si>
  <si>
    <t>FOURNISSEURS 47</t>
  </si>
  <si>
    <t>FOURNISSEURS 48</t>
  </si>
  <si>
    <t>FOURNISSEURS 49</t>
  </si>
  <si>
    <t>FOURNISSEURS 50</t>
  </si>
  <si>
    <t>FOURNISSEURS 51</t>
  </si>
  <si>
    <t>FOURNISSEURS 52</t>
  </si>
  <si>
    <t>FOURNISSEURS 53</t>
  </si>
  <si>
    <t>FOURNISSEURS 54</t>
  </si>
  <si>
    <t>FOURNISSEURS 55</t>
  </si>
  <si>
    <t>FOURNISSEURS 56</t>
  </si>
  <si>
    <t>FOURNISSEURS 57</t>
  </si>
  <si>
    <t>FOURNISSEURS 58</t>
  </si>
  <si>
    <t>FOURNISSEURS 59</t>
  </si>
  <si>
    <t>FOURNISSEURS 60</t>
  </si>
  <si>
    <t>FOURNISSEURS 61</t>
  </si>
  <si>
    <t>FOURNISSEURS 62</t>
  </si>
  <si>
    <t>FOURNISSEURS 63</t>
  </si>
  <si>
    <t>FOURNISSEURS 64</t>
  </si>
  <si>
    <t>FOURNISSEURS 65</t>
  </si>
  <si>
    <t>FOURNISSEURS 66</t>
  </si>
  <si>
    <t>FOURNISSEURS 67</t>
  </si>
  <si>
    <t>FOURNISSEURS 68</t>
  </si>
  <si>
    <t>FOURNISSEURS 69</t>
  </si>
  <si>
    <t>FOURNISSEURS 70</t>
  </si>
  <si>
    <t>FOURNISSEURS 71</t>
  </si>
  <si>
    <t>FOURNISSEURS 72</t>
  </si>
  <si>
    <t>FOURNISSEURS 73</t>
  </si>
  <si>
    <t>FOURNISSEURS 74</t>
  </si>
  <si>
    <t>FOURNISSEURS 75</t>
  </si>
  <si>
    <t>FOURNISSEURS 76</t>
  </si>
  <si>
    <t>FOURNISSEURS 77</t>
  </si>
  <si>
    <t>FOURNISSEURS 78</t>
  </si>
  <si>
    <t>FOURNISSEURS 79</t>
  </si>
  <si>
    <t>FOURNISSEURS 80</t>
  </si>
  <si>
    <t>FOURNISSEURS 81</t>
  </si>
  <si>
    <t>FOURNISSEURS 82</t>
  </si>
  <si>
    <t>FOURNISSEURS 83</t>
  </si>
  <si>
    <t>FOURNISSEURS 84</t>
  </si>
  <si>
    <t>FOURNISSEURS 85</t>
  </si>
  <si>
    <t>FOURNISSEURS 86</t>
  </si>
  <si>
    <t>FOURNISSEURS 87</t>
  </si>
  <si>
    <t>FOURNISSEURS 88</t>
  </si>
  <si>
    <t>FOURNISSEURS 89</t>
  </si>
  <si>
    <t>FOURNISSEURS 90</t>
  </si>
  <si>
    <t>FOURNISSEURS 91</t>
  </si>
  <si>
    <t>FOURNISSEURS 92</t>
  </si>
  <si>
    <t>FOURNISSEURS 93</t>
  </si>
  <si>
    <t>FOURNISSEURS 94</t>
  </si>
  <si>
    <t>FOURNISSEURS 95</t>
  </si>
  <si>
    <t>FOURNISSEURS 96</t>
  </si>
  <si>
    <t>FOURNISSEURS 97</t>
  </si>
  <si>
    <t>FOURNISSEURS 98</t>
  </si>
  <si>
    <t>FOURNISSEURS 99</t>
  </si>
  <si>
    <t>FOURNISSEURS 100</t>
  </si>
  <si>
    <t>FOURNISSEURS 101</t>
  </si>
  <si>
    <t>FOURNISSEURS 102</t>
  </si>
  <si>
    <t>FOURNISSEURS 103</t>
  </si>
  <si>
    <t>FOURNISSEURS 104</t>
  </si>
  <si>
    <t>FOURNISSEURS 105</t>
  </si>
  <si>
    <t>FOURNISSEURS 106</t>
  </si>
  <si>
    <t>FOURNISSEURS 107</t>
  </si>
  <si>
    <t>FOURNISSEURS 108</t>
  </si>
  <si>
    <t>FOURNISSEURS 109</t>
  </si>
  <si>
    <t>FOURNISSEURS 110</t>
  </si>
  <si>
    <t>FOURNISSEURS 111</t>
  </si>
  <si>
    <t>FOURNISSEURS 112</t>
  </si>
  <si>
    <t>FOURNISSEURS 113</t>
  </si>
  <si>
    <t>FOURNISSEURS 114</t>
  </si>
  <si>
    <t>FOURNISSEURS 115</t>
  </si>
  <si>
    <t>FOURNISSEURS 116</t>
  </si>
  <si>
    <t>FOURNISSEURS 117</t>
  </si>
  <si>
    <t>FOURNISSEURS 118</t>
  </si>
  <si>
    <t>FOURNISSEURS 119</t>
  </si>
  <si>
    <t>FOURNISSEURS 120</t>
  </si>
  <si>
    <t>FOURNISSEURS 121</t>
  </si>
  <si>
    <t>FOURNISSEURS 122</t>
  </si>
  <si>
    <t>FOURNISSEURS 123</t>
  </si>
  <si>
    <t>FOURNISSEURS 124</t>
  </si>
  <si>
    <t>FOURNISSEURS 125</t>
  </si>
  <si>
    <t>FOURNISSEURS 126</t>
  </si>
  <si>
    <t>FOURNISSEURS 127</t>
  </si>
  <si>
    <t>FOURNISSEURS 128</t>
  </si>
  <si>
    <t>FOURNISSEURS 129</t>
  </si>
  <si>
    <t>FOURNISSEURS 130</t>
  </si>
  <si>
    <t>FOURNISSEURS 131</t>
  </si>
  <si>
    <t>FOURNISSEURS 132</t>
  </si>
  <si>
    <t>FOURNISSEURS 133</t>
  </si>
  <si>
    <t>FOURNISSEURS 134</t>
  </si>
  <si>
    <t>FOURNISSEURS 135</t>
  </si>
  <si>
    <t>FOURNISSEURS 136</t>
  </si>
  <si>
    <t>FOURNISSEURS 137</t>
  </si>
  <si>
    <t>FOURNISSEURS 138</t>
  </si>
  <si>
    <t>FOURNISSEURS 139</t>
  </si>
  <si>
    <t>FOURNISSEURS 140</t>
  </si>
  <si>
    <t>FOURNISSEURS 142</t>
  </si>
  <si>
    <t>FOURNISSEURS 143</t>
  </si>
  <si>
    <t>FOURNISSEURS 144</t>
  </si>
  <si>
    <t>FOURNISSEURS 145</t>
  </si>
  <si>
    <t>FOURNISSEURS 146</t>
  </si>
  <si>
    <t>FOURNISSEURS 147</t>
  </si>
  <si>
    <t>FOURNISSEURS 148</t>
  </si>
  <si>
    <t>FOURNISSEURS 149</t>
  </si>
  <si>
    <t>FOURNISSEURS 150</t>
  </si>
  <si>
    <t>FOURNISSEURS 151</t>
  </si>
  <si>
    <t>FOURNISSEURS 152</t>
  </si>
  <si>
    <t>FOURNISSEURS 153</t>
  </si>
  <si>
    <t>FOURNISSEURS 154</t>
  </si>
  <si>
    <t>FOURNISSEURS 155</t>
  </si>
  <si>
    <t>FOURNISSEURS 156</t>
  </si>
  <si>
    <t>FOURNISSEURS 157</t>
  </si>
  <si>
    <t>FOURNISSEURS 158</t>
  </si>
  <si>
    <t>FOURNISSEURS 159</t>
  </si>
  <si>
    <t>FOURNISSEURS 160</t>
  </si>
  <si>
    <t>FOURNISSEURS 161</t>
  </si>
  <si>
    <t>FOURNISSEURS 162</t>
  </si>
  <si>
    <t>FOURNISSEURS 163</t>
  </si>
  <si>
    <t>FOURNISSEURS 164</t>
  </si>
  <si>
    <t>FOURNISSEURS 165</t>
  </si>
  <si>
    <t>FOURNISSEURS 166</t>
  </si>
  <si>
    <t>FOURNISSEURS 167</t>
  </si>
  <si>
    <t>FOURNISSEURS 168</t>
  </si>
  <si>
    <t>FOURNISSEURS 169</t>
  </si>
  <si>
    <t>FOURNISSEURS 170</t>
  </si>
  <si>
    <t>FOURNISSEURS 171</t>
  </si>
  <si>
    <t>FOURNISSEURS 172</t>
  </si>
  <si>
    <t>FOURNISSEURS 173</t>
  </si>
  <si>
    <t>FOURNISSEURS 174</t>
  </si>
  <si>
    <t>FOURNISSEURS 175</t>
  </si>
  <si>
    <t>FOURNISSEURS 176</t>
  </si>
  <si>
    <t>FOURNISSEURS 177</t>
  </si>
  <si>
    <t>FOURNISSEURS 178</t>
  </si>
  <si>
    <t>FOURNISSEURS 179</t>
  </si>
  <si>
    <t>FOURNISSEURS 180</t>
  </si>
  <si>
    <t>FOURNISSEURS 181</t>
  </si>
  <si>
    <t>FOURNISSEURS 182</t>
  </si>
  <si>
    <t>FOURNISSEURS 183</t>
  </si>
  <si>
    <t>FOURNISSEURS 184</t>
  </si>
  <si>
    <t>FOURNISSEURS 185</t>
  </si>
  <si>
    <t>FOURNISSEURS 186</t>
  </si>
  <si>
    <t>FOURNISSEURS 187</t>
  </si>
  <si>
    <t>FOURNISSEURS 188</t>
  </si>
  <si>
    <t>FOURNISSEURS 189</t>
  </si>
  <si>
    <t>FOURNISSEURS 190</t>
  </si>
  <si>
    <t>FOURNISSEURS 191</t>
  </si>
  <si>
    <t>FOURNISSEURS 192</t>
  </si>
  <si>
    <t>FOURNISSEURS 193</t>
  </si>
  <si>
    <t>FOURNISSEURS 194</t>
  </si>
  <si>
    <t>FOURNISSEURS 195</t>
  </si>
  <si>
    <t>FOURNISSEURS 196</t>
  </si>
  <si>
    <t>FOURNISSEURS 197</t>
  </si>
  <si>
    <t>FOURNISSEURS 198</t>
  </si>
  <si>
    <t>FOURNISSEURS 199</t>
  </si>
  <si>
    <t>FOURNISSEURS 200</t>
  </si>
  <si>
    <t>FOURNISSEURS 201</t>
  </si>
  <si>
    <t>FOURNISSEURS 202</t>
  </si>
  <si>
    <t>FOURNISSEURS 203</t>
  </si>
  <si>
    <t>FOURNISSEURS 204</t>
  </si>
  <si>
    <t>FOURNISSEURS 205</t>
  </si>
  <si>
    <t>FOURNISSEURS 206</t>
  </si>
  <si>
    <t>FOURNISSEURS 207</t>
  </si>
  <si>
    <t>FOURNISSEURS 208</t>
  </si>
  <si>
    <t>FOURNISSEURS 209</t>
  </si>
  <si>
    <t>FOURNISSEURS 210</t>
  </si>
  <si>
    <t>FOURNISSEURS 211</t>
  </si>
  <si>
    <t>FOURNISSEURS 212</t>
  </si>
  <si>
    <t>FOURNISSEURS 213</t>
  </si>
  <si>
    <t>FOURNISSEURS 214</t>
  </si>
  <si>
    <t>FOURNISSEURS 215</t>
  </si>
  <si>
    <t>FOURNISSEURS 216</t>
  </si>
  <si>
    <t>FOURNISSEURS 217</t>
  </si>
  <si>
    <t>FOURNISSEURS 218</t>
  </si>
  <si>
    <t>FOURNISSEURS 219</t>
  </si>
  <si>
    <t>FOURNISSEURS 220</t>
  </si>
  <si>
    <t>FOURNISSEURS 221</t>
  </si>
  <si>
    <t>FOURNISSEURS 222</t>
  </si>
  <si>
    <t>FOURNISSEURS 223</t>
  </si>
  <si>
    <t>FOURNISSEURS 224</t>
  </si>
  <si>
    <t>FOURNISSEURS 225</t>
  </si>
  <si>
    <t>FOURNISSEURS 226</t>
  </si>
  <si>
    <t>FOURNISSEURS 227</t>
  </si>
  <si>
    <t>FOURNISSEURS 228</t>
  </si>
  <si>
    <t>FOURNISSEURS 229</t>
  </si>
  <si>
    <t>FOURNISSEURS 230</t>
  </si>
  <si>
    <t>FOURNISSEURS 231</t>
  </si>
  <si>
    <t>FOURNISSEURS 232</t>
  </si>
  <si>
    <t>FOURNISSEURS 233</t>
  </si>
  <si>
    <t>FOURNISSEURS 234</t>
  </si>
  <si>
    <t>FOURNISSEURS 235</t>
  </si>
  <si>
    <t>FOURNISSEURS 236</t>
  </si>
  <si>
    <t>FOURNISSEURS 237</t>
  </si>
  <si>
    <t>FOURNISSEURS 238</t>
  </si>
  <si>
    <t>FOURNISSEURS 239</t>
  </si>
  <si>
    <t>FOURNISSEURS 240</t>
  </si>
  <si>
    <t>FOURNISSEURS 241</t>
  </si>
  <si>
    <t>FOURNISSEURS 242</t>
  </si>
  <si>
    <t>FOURNISSEURS 243</t>
  </si>
  <si>
    <t>FOURNISSEURS 244</t>
  </si>
  <si>
    <t>FOURNISSEURS 245</t>
  </si>
  <si>
    <t>FOURNISSEURS 246</t>
  </si>
  <si>
    <t>FOURNISSEURS 247</t>
  </si>
  <si>
    <t>FOURNISSEURS 248</t>
  </si>
  <si>
    <t>FOURNISSEURS 249</t>
  </si>
  <si>
    <t>FOURNISSEURS 250</t>
  </si>
  <si>
    <t>FOURNISSEURS 251</t>
  </si>
  <si>
    <t>FOURNISSEURS 252</t>
  </si>
  <si>
    <t>FOURNISSEURS 253</t>
  </si>
  <si>
    <t>FOURNISSEURS 254</t>
  </si>
  <si>
    <t>FOURNISSEURS 255</t>
  </si>
  <si>
    <t>FOURNISSEURS 256</t>
  </si>
  <si>
    <t>FOURNISSEURS 257</t>
  </si>
  <si>
    <t>FOURNISSEURS 258</t>
  </si>
  <si>
    <t>FOURNISSEURS 259</t>
  </si>
  <si>
    <t>FOURNISSEURS 260</t>
  </si>
  <si>
    <t>FOURNISSEURS 261</t>
  </si>
  <si>
    <t>FOURNISSEURS 262</t>
  </si>
  <si>
    <t>FOURNISSEURS 263</t>
  </si>
  <si>
    <t>FOURNISSEURS 264</t>
  </si>
  <si>
    <t>FOURNISSEURS 265</t>
  </si>
  <si>
    <t>FOURNISSEURS 266</t>
  </si>
  <si>
    <t>FOURNISSEURS 267</t>
  </si>
  <si>
    <t>FOURNISSEURS 268</t>
  </si>
  <si>
    <t>FOURNISSEURS 269</t>
  </si>
  <si>
    <t>FOURNISSEURS 270</t>
  </si>
  <si>
    <t>FOURNISSEURS 271</t>
  </si>
  <si>
    <t>FOURNISSEURS 272</t>
  </si>
  <si>
    <t>FOURNISSEURS 273</t>
  </si>
  <si>
    <t>FOURNISSEURS 274</t>
  </si>
  <si>
    <t>FOURNISSEURS 275</t>
  </si>
  <si>
    <t>FOURNISSEURS 276</t>
  </si>
  <si>
    <t>FOURNISSEURS 277</t>
  </si>
  <si>
    <t>FOURNISSEURS 278</t>
  </si>
  <si>
    <t>FOURNISSEURS 279</t>
  </si>
  <si>
    <t>FOURNISSEURS 280</t>
  </si>
  <si>
    <t>FOURNISSEURS 281</t>
  </si>
  <si>
    <t>FOURNISSEURS 282</t>
  </si>
  <si>
    <t>FOURNISSEURS 283</t>
  </si>
  <si>
    <t>FOURNISSEURS 284</t>
  </si>
  <si>
    <t>FOURNISSEURS 285</t>
  </si>
  <si>
    <t>FOURNISSEURS 286</t>
  </si>
  <si>
    <t>FOURNISSEURS 287</t>
  </si>
  <si>
    <t>FOURNISSEURS 288</t>
  </si>
  <si>
    <t>FOURNISSEURS 289</t>
  </si>
  <si>
    <t>FOURNISSEURS 290</t>
  </si>
  <si>
    <t>FOURNISSEURS 291</t>
  </si>
  <si>
    <t>FOURNISSEURS 292</t>
  </si>
  <si>
    <t>FOURNISSEURS 293</t>
  </si>
  <si>
    <t>FOURNISSEURS 294</t>
  </si>
  <si>
    <t>FOURNISSEURS 295</t>
  </si>
  <si>
    <t>FOURNISSEURS 296</t>
  </si>
  <si>
    <t>FOURNISSEURS 297</t>
  </si>
  <si>
    <t>FOURNISSEURS 298</t>
  </si>
  <si>
    <t>FOURNISSEURS 299</t>
  </si>
  <si>
    <t>FOURNISSEURS 300</t>
  </si>
  <si>
    <t>FOURNISSEURS 301</t>
  </si>
  <si>
    <t>FOURNISSEURS 302</t>
  </si>
  <si>
    <t>FOURNISSEURS 303</t>
  </si>
  <si>
    <t>FOURNISSEURS 304</t>
  </si>
  <si>
    <t>FOURNISSEURS 305</t>
  </si>
  <si>
    <t>FOURNISSEURS 306</t>
  </si>
  <si>
    <t>FOURNISSEURS 307</t>
  </si>
  <si>
    <t>FOURNISSEURS 308</t>
  </si>
  <si>
    <t>FOURNISSEUR 309</t>
  </si>
  <si>
    <t>FOURNISSEUR 310</t>
  </si>
  <si>
    <t>FOURNISSEUR 311</t>
  </si>
  <si>
    <t>FOURNISSEUR 312</t>
  </si>
  <si>
    <t>FOURNISSEUR 313</t>
  </si>
  <si>
    <t>FOURNISSEUR 314</t>
  </si>
  <si>
    <t>FOURNISSEUR 315</t>
  </si>
  <si>
    <t>FOURNISSEUR 316</t>
  </si>
  <si>
    <t>FOURNISSEUR 317</t>
  </si>
  <si>
    <t>FOURNISSEUR 318</t>
  </si>
  <si>
    <t>FOURNISSSEUR 319</t>
  </si>
  <si>
    <t>FOURNISSSEUR 320</t>
  </si>
  <si>
    <t>FOURNISSSEUR 321</t>
  </si>
  <si>
    <t>FOURNISSSEUR 322</t>
  </si>
  <si>
    <t>FOURNISSSEUR 323</t>
  </si>
  <si>
    <t>FOURNISSSEUR 324</t>
  </si>
  <si>
    <t>FOURNISSSEUR 325</t>
  </si>
  <si>
    <t>FOURNISSSEUR 326</t>
  </si>
  <si>
    <t>FOURNISSSEUR 327</t>
  </si>
  <si>
    <t>FOURNISSSEUR 328</t>
  </si>
  <si>
    <t>FOURNISSSEUR 329</t>
  </si>
  <si>
    <t>FOURNISSSEUR 330</t>
  </si>
  <si>
    <t>FOURNISSSEUR 331</t>
  </si>
  <si>
    <t>FOURNISSSEUR 332</t>
  </si>
  <si>
    <t>FOURNISSSEUR 333</t>
  </si>
  <si>
    <t>FOURNISSSEUR 334</t>
  </si>
  <si>
    <t>FOURNISSEURS 335</t>
  </si>
  <si>
    <t>FOURNISSEURS 336</t>
  </si>
  <si>
    <t>FOURNISSEURS 337</t>
  </si>
  <si>
    <t>FOURNISSEURS 338</t>
  </si>
  <si>
    <t>FOURNISSEURS 339</t>
  </si>
  <si>
    <t>FOURNISSEURS 340</t>
  </si>
  <si>
    <t>FOURNISSEURS 341</t>
  </si>
  <si>
    <t>FOURNISSEURS 342</t>
  </si>
  <si>
    <t>FOURNISSEURS 343</t>
  </si>
  <si>
    <t>FOURNISSEURS 344</t>
  </si>
  <si>
    <t>FOURNISSEURS 345</t>
  </si>
  <si>
    <t>FOURNISSEURS 346</t>
  </si>
  <si>
    <t>FOURNISSEURS 347</t>
  </si>
  <si>
    <t>FOURNISSEURS 348</t>
  </si>
  <si>
    <t>FOURNISSEURS 349</t>
  </si>
  <si>
    <t>FOURNISSEURS 350</t>
  </si>
  <si>
    <t>FOURNISSEURS 351</t>
  </si>
  <si>
    <t>FOURNISSEURS 352</t>
  </si>
  <si>
    <t>FOURNISSEURS 353</t>
  </si>
  <si>
    <t>FOURNISSEURS 354</t>
  </si>
  <si>
    <t>FOURNISSEURS 355</t>
  </si>
  <si>
    <t>FOURNISSEURS 356</t>
  </si>
  <si>
    <t>FOURNISSEURS 357</t>
  </si>
  <si>
    <t>FOURNISSEUR 358</t>
  </si>
  <si>
    <t>FOURNISSEUR 359</t>
  </si>
  <si>
    <t>FOURNISSEUR 360</t>
  </si>
  <si>
    <t>FOURNISSEUR 361</t>
  </si>
  <si>
    <t>FOURNISSEUR 362</t>
  </si>
  <si>
    <t>FOURNISSEUR 363</t>
  </si>
  <si>
    <t>FOURNISSEUR 364</t>
  </si>
  <si>
    <t>FOURNISSEUR 365</t>
  </si>
  <si>
    <t>FOURNISSEUR 366</t>
  </si>
  <si>
    <t>FOURNISSEUR 367</t>
  </si>
  <si>
    <t>FOURNISSEUR 368</t>
  </si>
  <si>
    <t>FOURNISSEUR 369</t>
  </si>
  <si>
    <t>FOURNISSEUR 370</t>
  </si>
  <si>
    <t>FOURNISSEUR 371</t>
  </si>
  <si>
    <t>FOURNISSEUR 372</t>
  </si>
  <si>
    <t>FOURNISSEUR 373</t>
  </si>
  <si>
    <t>FOURNISSEUR 374</t>
  </si>
  <si>
    <t>FOURNISSEUR 375</t>
  </si>
  <si>
    <t>FOURNISSEUR 376</t>
  </si>
  <si>
    <t>FOURNISSEUR 377</t>
  </si>
  <si>
    <t>FOURNISSEUR 378</t>
  </si>
  <si>
    <t>FOURNISSEUR 379</t>
  </si>
  <si>
    <t>FOURNISSEUR 380</t>
  </si>
  <si>
    <t>FOURNISSEUR 381</t>
  </si>
  <si>
    <t>FOURNISSEUR 382</t>
  </si>
  <si>
    <t>FOURNISSEUR 383</t>
  </si>
  <si>
    <t>FOURNISSEUR 384</t>
  </si>
  <si>
    <t>FOURNISSEUR 385</t>
  </si>
  <si>
    <t>FOURNISSEUR 386</t>
  </si>
  <si>
    <t>FOURNISSEUR 387</t>
  </si>
  <si>
    <t>FOURNISSEUR 388</t>
  </si>
  <si>
    <t>FOURNISSEUR 389</t>
  </si>
  <si>
    <t>FOURNISSEUR 390</t>
  </si>
  <si>
    <t>FOURNISSEUR 391</t>
  </si>
  <si>
    <t>FOURNISSEUR 392</t>
  </si>
  <si>
    <t>FOURNISSEUR 393</t>
  </si>
  <si>
    <t>FOURNISSEUR 394</t>
  </si>
  <si>
    <t>FOURNISSEUR 395</t>
  </si>
  <si>
    <t>FOURNISSEUR 396</t>
  </si>
  <si>
    <t>FOURNISSEUR 397</t>
  </si>
  <si>
    <t>FOURNISSEUR 398</t>
  </si>
  <si>
    <t>FOURNISSEUR 399</t>
  </si>
  <si>
    <t>FOURNISSEUR 400</t>
  </si>
  <si>
    <t>FOURNISSEUR 401</t>
  </si>
  <si>
    <t>FOURNISSEUR 402</t>
  </si>
  <si>
    <t>FOURNISSEUR 403</t>
  </si>
  <si>
    <t>FOURNISSEURS 404</t>
  </si>
  <si>
    <t>FOURNISSEURS 405</t>
  </si>
  <si>
    <t>FOURNISSEURS 406</t>
  </si>
  <si>
    <t>FOURNISSEURS 407</t>
  </si>
  <si>
    <t>FOURNISSEURS 408</t>
  </si>
  <si>
    <t>FOURNISSEURS 409</t>
  </si>
  <si>
    <t>FOURNISSEURS 410</t>
  </si>
  <si>
    <t>FOURNISSEURS 411</t>
  </si>
  <si>
    <t>FOURNISSEURS 412</t>
  </si>
  <si>
    <t>FOURNISSEURS 413</t>
  </si>
  <si>
    <t>FOURNISSEURS 414</t>
  </si>
  <si>
    <t>FOURNISSEURS 415</t>
  </si>
  <si>
    <t>FOURNISSEURS 416</t>
  </si>
  <si>
    <t>FOURNISSEURS 417</t>
  </si>
  <si>
    <t>FOURNISSEURS 418</t>
  </si>
  <si>
    <t>FOURNISSEURS 419</t>
  </si>
  <si>
    <t>FOURNISSEURS 420</t>
  </si>
  <si>
    <t>FOURNISSEURS 421</t>
  </si>
  <si>
    <t>FOURNISSEURS 422</t>
  </si>
  <si>
    <t>FOURNISSEURS 423</t>
  </si>
  <si>
    <t>FOURNISSEURS 424</t>
  </si>
  <si>
    <t>FOURNISSEUR 425</t>
  </si>
  <si>
    <t>FOURNISSEUR 426</t>
  </si>
  <si>
    <t>FOURNISSEUR 427</t>
  </si>
  <si>
    <t>FOURNISSEUR 428</t>
  </si>
  <si>
    <t>FOURNISSEUR 429</t>
  </si>
  <si>
    <t>FOURNISSEUR 430</t>
  </si>
  <si>
    <t>FOURNISSEUR 431</t>
  </si>
  <si>
    <t>FOURNISSEUR 432</t>
  </si>
  <si>
    <t>FOURNISSEUR 433</t>
  </si>
  <si>
    <t>FOURNISSEUR 434</t>
  </si>
  <si>
    <t>FOURNISSEUR 435</t>
  </si>
  <si>
    <t>FOURNISSEUR 436</t>
  </si>
  <si>
    <t>FOURNISSEUR 437</t>
  </si>
  <si>
    <t>FOURNISSEUR 438</t>
  </si>
  <si>
    <t>FOURNISSEUR 439</t>
  </si>
  <si>
    <t>FOURNISSEUR 440</t>
  </si>
  <si>
    <t>FOURNISSEUR 441</t>
  </si>
  <si>
    <t>FOURNISSEUR 442</t>
  </si>
  <si>
    <t>FOURNISSEUR 443</t>
  </si>
  <si>
    <t>MAQUETTE</t>
  </si>
  <si>
    <t>N° FACTURES</t>
  </si>
  <si>
    <t>MONTANT TVA</t>
  </si>
  <si>
    <t>MONTANT MENSUEL</t>
  </si>
  <si>
    <t>DATES D'ECHEANCE</t>
  </si>
  <si>
    <t>MOYENS DE 
PAIEMENT</t>
  </si>
  <si>
    <t>DATES DE 
PAIEMENT</t>
  </si>
  <si>
    <t>FOURNISSEURS 2</t>
  </si>
  <si>
    <t>31/11/20/</t>
  </si>
  <si>
    <t>FOURNISSEURS 5</t>
  </si>
  <si>
    <t>FOURNISSEURS 6</t>
  </si>
  <si>
    <t>FOURNISSEURS 8</t>
  </si>
  <si>
    <t>FOURNISSEURS 9</t>
  </si>
  <si>
    <t>FOURNISSEURS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</si>
</sst>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</numFmts>
  <fonts count="4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FFFF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2"/>
      <name val="Calibri"/>
      <family val="2"/>
      <scheme val="minor"/>
    </font>
    <font>
      <b/>
      <sz val="20"/>
      <color theme="0"/>
      <name val="Mangal"/>
      <family val="1"/>
    </font>
    <font>
      <b/>
      <sz val="14"/>
      <color theme="0"/>
      <name val="Arial"/>
      <family val="2"/>
    </font>
    <font>
      <b/>
      <sz val="11"/>
      <color rgb="FFC00000"/>
      <name val="Calibri"/>
      <family val="2"/>
      <scheme val="minor"/>
    </font>
    <font>
      <b/>
      <sz val="22"/>
      <color theme="9" tint="-0.249977111117893"/>
      <name val="Calibri"/>
      <family val="2"/>
      <scheme val="minor"/>
    </font>
    <font>
      <b/>
      <i/>
      <u/>
      <sz val="16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b/>
      <sz val="9"/>
      <color theme="0"/>
      <name val="Arial"/>
      <family val="2"/>
    </font>
    <font>
      <b/>
      <sz val="11"/>
      <color theme="0"/>
      <name val="Arial"/>
      <family val="2"/>
    </font>
    <font>
      <sz val="8"/>
      <name val="Calibri"/>
      <family val="2"/>
      <scheme val="minor"/>
    </font>
    <font>
      <b/>
      <sz val="14"/>
      <color theme="0"/>
      <name val="Mangal"/>
      <family val="1"/>
    </font>
    <font>
      <sz val="24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8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medium">
        <color theme="0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indexed="64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theme="3"/>
      </left>
      <right/>
      <top style="medium">
        <color theme="3"/>
      </top>
      <bottom style="medium">
        <color theme="3"/>
      </bottom>
      <diagonal/>
    </border>
    <border>
      <left/>
      <right/>
      <top style="medium">
        <color theme="3"/>
      </top>
      <bottom style="medium">
        <color theme="3"/>
      </bottom>
      <diagonal/>
    </border>
    <border>
      <left style="medium">
        <color theme="3"/>
      </left>
      <right style="medium">
        <color indexed="64"/>
      </right>
      <top style="medium">
        <color theme="3"/>
      </top>
      <bottom style="medium">
        <color theme="3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17">
    <xf numFmtId="0" fontId="0" fillId="0" borderId="0" xfId="0"/>
    <xf numFmtId="44" fontId="0" fillId="0" borderId="0" xfId="0" applyNumberFormat="1"/>
    <xf numFmtId="0" fontId="0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 wrapText="1"/>
    </xf>
    <xf numFmtId="0" fontId="5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0" fillId="2" borderId="0" xfId="0" applyFill="1"/>
    <xf numFmtId="0" fontId="0" fillId="0" borderId="0" xfId="0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44" fontId="1" fillId="0" borderId="1" xfId="1" applyFont="1" applyFill="1" applyBorder="1" applyAlignment="1">
      <alignment horizontal="center"/>
    </xf>
    <xf numFmtId="44" fontId="8" fillId="0" borderId="1" xfId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44" fontId="13" fillId="0" borderId="0" xfId="0" applyNumberFormat="1" applyFont="1" applyFill="1" applyBorder="1" applyAlignment="1">
      <alignment horizontal="center" vertical="center"/>
    </xf>
    <xf numFmtId="44" fontId="13" fillId="0" borderId="0" xfId="1" applyFont="1" applyFill="1" applyBorder="1" applyAlignment="1">
      <alignment horizontal="center"/>
    </xf>
    <xf numFmtId="44" fontId="12" fillId="0" borderId="0" xfId="1" applyFont="1" applyFill="1" applyBorder="1" applyAlignment="1">
      <alignment horizontal="center"/>
    </xf>
    <xf numFmtId="44" fontId="8" fillId="0" borderId="1" xfId="0" applyNumberFormat="1" applyFont="1" applyFill="1" applyBorder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0" fillId="0" borderId="0" xfId="0" applyBorder="1" applyAlignment="1"/>
    <xf numFmtId="0" fontId="0" fillId="0" borderId="0" xfId="0" applyBorder="1"/>
    <xf numFmtId="0" fontId="0" fillId="0" borderId="0" xfId="0" applyFill="1" applyBorder="1"/>
    <xf numFmtId="0" fontId="0" fillId="0" borderId="0" xfId="0" applyFont="1" applyFill="1" applyBorder="1" applyAlignment="1">
      <alignment horizontal="center" vertical="center"/>
    </xf>
    <xf numFmtId="44" fontId="1" fillId="0" borderId="0" xfId="1" applyFont="1" applyFill="1" applyBorder="1" applyAlignment="1">
      <alignment horizontal="center"/>
    </xf>
    <xf numFmtId="44" fontId="1" fillId="0" borderId="0" xfId="1" applyFont="1" applyFill="1" applyBorder="1" applyAlignment="1">
      <alignment horizontal="center" vertical="center"/>
    </xf>
    <xf numFmtId="44" fontId="1" fillId="0" borderId="0" xfId="1" applyFont="1" applyFill="1" applyBorder="1" applyAlignment="1"/>
    <xf numFmtId="44" fontId="0" fillId="0" borderId="0" xfId="0" applyNumberFormat="1" applyFont="1" applyFill="1" applyBorder="1" applyAlignment="1">
      <alignment horizontal="center"/>
    </xf>
    <xf numFmtId="44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/>
    <xf numFmtId="164" fontId="0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44" fontId="4" fillId="0" borderId="0" xfId="1" applyFont="1" applyFill="1" applyBorder="1" applyAlignment="1">
      <alignment horizontal="center"/>
    </xf>
    <xf numFmtId="0" fontId="11" fillId="0" borderId="0" xfId="0" applyFont="1" applyFill="1" applyBorder="1" applyAlignment="1"/>
    <xf numFmtId="44" fontId="8" fillId="0" borderId="1" xfId="1" applyNumberFormat="1" applyFont="1" applyFill="1" applyBorder="1" applyAlignment="1">
      <alignment horizontal="center"/>
    </xf>
    <xf numFmtId="0" fontId="8" fillId="0" borderId="1" xfId="0" applyNumberFormat="1" applyFont="1" applyFill="1" applyBorder="1" applyAlignment="1">
      <alignment horizontal="center" vertical="center"/>
    </xf>
    <xf numFmtId="44" fontId="13" fillId="0" borderId="1" xfId="1" applyFont="1" applyFill="1" applyBorder="1" applyAlignment="1">
      <alignment horizontal="center" vertical="center"/>
    </xf>
    <xf numFmtId="44" fontId="8" fillId="0" borderId="1" xfId="1" applyFont="1" applyFill="1" applyBorder="1" applyAlignment="1">
      <alignment horizontal="center" vertical="center"/>
    </xf>
    <xf numFmtId="44" fontId="8" fillId="2" borderId="1" xfId="0" applyNumberFormat="1" applyFont="1" applyFill="1" applyBorder="1" applyAlignment="1">
      <alignment horizontal="center" vertical="center"/>
    </xf>
    <xf numFmtId="0" fontId="14" fillId="2" borderId="0" xfId="0" applyFont="1" applyFill="1" applyBorder="1" applyAlignment="1">
      <alignment horizontal="center" vertical="center" wrapText="1"/>
    </xf>
    <xf numFmtId="44" fontId="13" fillId="0" borderId="1" xfId="1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7" fillId="2" borderId="0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44" fontId="12" fillId="4" borderId="1" xfId="1" applyFont="1" applyFill="1" applyBorder="1" applyAlignment="1">
      <alignment horizontal="center"/>
    </xf>
    <xf numFmtId="0" fontId="0" fillId="0" borderId="19" xfId="0" applyFont="1" applyFill="1" applyBorder="1" applyAlignment="1">
      <alignment horizontal="center"/>
    </xf>
    <xf numFmtId="44" fontId="1" fillId="0" borderId="15" xfId="1" applyNumberFormat="1" applyFont="1" applyFill="1" applyBorder="1" applyAlignment="1">
      <alignment horizontal="center"/>
    </xf>
    <xf numFmtId="44" fontId="8" fillId="0" borderId="15" xfId="0" applyNumberFormat="1" applyFont="1" applyFill="1" applyBorder="1" applyAlignment="1">
      <alignment horizontal="center" vertical="center"/>
    </xf>
    <xf numFmtId="44" fontId="0" fillId="0" borderId="19" xfId="0" applyNumberFormat="1" applyFont="1" applyFill="1" applyBorder="1" applyAlignment="1">
      <alignment horizontal="center" vertical="center"/>
    </xf>
    <xf numFmtId="0" fontId="0" fillId="0" borderId="19" xfId="0" applyBorder="1"/>
    <xf numFmtId="0" fontId="0" fillId="0" borderId="1" xfId="0" applyFont="1" applyFill="1" applyBorder="1" applyAlignment="1">
      <alignment horizontal="center" vertical="center"/>
    </xf>
    <xf numFmtId="0" fontId="14" fillId="4" borderId="1" xfId="0" applyFont="1" applyFill="1" applyBorder="1" applyAlignment="1">
      <alignment horizontal="center" vertical="center" wrapText="1"/>
    </xf>
    <xf numFmtId="44" fontId="8" fillId="0" borderId="0" xfId="0" applyNumberFormat="1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vertical="center"/>
    </xf>
    <xf numFmtId="0" fontId="14" fillId="2" borderId="0" xfId="0" applyFont="1" applyFill="1" applyBorder="1" applyAlignment="1">
      <alignment vertical="center"/>
    </xf>
    <xf numFmtId="0" fontId="0" fillId="0" borderId="0" xfId="0" applyAlignment="1"/>
    <xf numFmtId="14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horizontal="center" vertical="center"/>
    </xf>
    <xf numFmtId="44" fontId="8" fillId="0" borderId="0" xfId="1" applyFont="1" applyFill="1" applyBorder="1" applyAlignment="1">
      <alignment horizontal="center"/>
    </xf>
    <xf numFmtId="44" fontId="8" fillId="0" borderId="0" xfId="1" applyNumberFormat="1" applyFont="1" applyFill="1" applyBorder="1" applyAlignment="1">
      <alignment horizontal="center"/>
    </xf>
    <xf numFmtId="44" fontId="8" fillId="0" borderId="0" xfId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4" fontId="1" fillId="0" borderId="0" xfId="1" applyNumberFormat="1" applyFont="1" applyFill="1" applyBorder="1" applyAlignment="1">
      <alignment horizontal="center"/>
    </xf>
    <xf numFmtId="14" fontId="8" fillId="0" borderId="1" xfId="1" applyNumberFormat="1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 vertical="center" wrapText="1"/>
    </xf>
    <xf numFmtId="0" fontId="14" fillId="4" borderId="15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0" fontId="0" fillId="0" borderId="1" xfId="0" applyBorder="1"/>
    <xf numFmtId="0" fontId="4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1" fillId="0" borderId="1" xfId="0" applyFont="1" applyBorder="1"/>
    <xf numFmtId="14" fontId="8" fillId="0" borderId="0" xfId="1" applyNumberFormat="1" applyFont="1" applyFill="1" applyBorder="1" applyAlignment="1">
      <alignment horizontal="center"/>
    </xf>
    <xf numFmtId="0" fontId="8" fillId="0" borderId="0" xfId="0" applyFont="1" applyFill="1" applyBorder="1"/>
    <xf numFmtId="14" fontId="0" fillId="0" borderId="0" xfId="0" applyNumberFormat="1" applyFill="1" applyBorder="1"/>
    <xf numFmtId="44" fontId="23" fillId="2" borderId="1" xfId="1" applyFont="1" applyFill="1" applyBorder="1" applyAlignment="1">
      <alignment horizontal="center"/>
    </xf>
    <xf numFmtId="44" fontId="23" fillId="2" borderId="5" xfId="1" applyFont="1" applyFill="1" applyBorder="1" applyAlignment="1">
      <alignment horizontal="center"/>
    </xf>
    <xf numFmtId="44" fontId="23" fillId="2" borderId="1" xfId="1" applyFont="1" applyFill="1" applyBorder="1"/>
    <xf numFmtId="44" fontId="23" fillId="2" borderId="1" xfId="1" applyFont="1" applyFill="1" applyBorder="1" applyAlignment="1">
      <alignment horizontal="center" vertical="center"/>
    </xf>
    <xf numFmtId="44" fontId="8" fillId="7" borderId="9" xfId="0" applyNumberFormat="1" applyFont="1" applyFill="1" applyBorder="1" applyAlignment="1">
      <alignment horizontal="center" vertical="center"/>
    </xf>
    <xf numFmtId="44" fontId="0" fillId="7" borderId="9" xfId="0" applyNumberFormat="1" applyFont="1" applyFill="1" applyBorder="1" applyAlignment="1">
      <alignment horizontal="center" vertical="center"/>
    </xf>
    <xf numFmtId="44" fontId="0" fillId="7" borderId="1" xfId="1" applyFont="1" applyFill="1" applyBorder="1"/>
    <xf numFmtId="44" fontId="8" fillId="7" borderId="1" xfId="0" applyNumberFormat="1" applyFont="1" applyFill="1" applyBorder="1" applyAlignment="1">
      <alignment horizontal="center"/>
    </xf>
    <xf numFmtId="44" fontId="8" fillId="0" borderId="1" xfId="1" applyNumberFormat="1" applyFont="1" applyFill="1" applyBorder="1" applyAlignment="1">
      <alignment horizontal="center" vertical="center"/>
    </xf>
    <xf numFmtId="14" fontId="8" fillId="0" borderId="1" xfId="1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19" fillId="0" borderId="0" xfId="0" applyFont="1" applyBorder="1" applyAlignment="1">
      <alignment vertical="center"/>
    </xf>
    <xf numFmtId="0" fontId="7" fillId="7" borderId="8" xfId="0" applyFont="1" applyFill="1" applyBorder="1" applyAlignment="1">
      <alignment horizontal="center" vertical="center"/>
    </xf>
    <xf numFmtId="44" fontId="8" fillId="9" borderId="1" xfId="1" applyFont="1" applyFill="1" applyBorder="1" applyAlignment="1">
      <alignment horizontal="center"/>
    </xf>
    <xf numFmtId="0" fontId="8" fillId="9" borderId="1" xfId="0" applyFont="1" applyFill="1" applyBorder="1" applyAlignment="1">
      <alignment horizontal="center" vertical="center"/>
    </xf>
    <xf numFmtId="0" fontId="12" fillId="0" borderId="23" xfId="0" applyFont="1" applyFill="1" applyBorder="1" applyAlignment="1">
      <alignment vertical="center" wrapText="1"/>
    </xf>
    <xf numFmtId="0" fontId="12" fillId="0" borderId="0" xfId="0" applyFont="1" applyFill="1" applyAlignment="1">
      <alignment wrapText="1"/>
    </xf>
    <xf numFmtId="0" fontId="7" fillId="10" borderId="8" xfId="0" applyFont="1" applyFill="1" applyBorder="1" applyAlignment="1">
      <alignment horizontal="center" vertical="center"/>
    </xf>
    <xf numFmtId="44" fontId="0" fillId="10" borderId="9" xfId="0" applyNumberFormat="1" applyFont="1" applyFill="1" applyBorder="1" applyAlignment="1">
      <alignment horizontal="center" vertical="center"/>
    </xf>
    <xf numFmtId="164" fontId="0" fillId="10" borderId="9" xfId="0" applyNumberFormat="1" applyFont="1" applyFill="1" applyBorder="1" applyAlignment="1">
      <alignment horizontal="center" vertical="center"/>
    </xf>
    <xf numFmtId="44" fontId="23" fillId="2" borderId="3" xfId="1" applyFont="1" applyFill="1" applyBorder="1" applyAlignment="1">
      <alignment horizontal="center"/>
    </xf>
    <xf numFmtId="44" fontId="23" fillId="2" borderId="24" xfId="1" applyFont="1" applyFill="1" applyBorder="1" applyAlignment="1">
      <alignment horizontal="center"/>
    </xf>
    <xf numFmtId="44" fontId="23" fillId="2" borderId="3" xfId="1" applyFont="1" applyFill="1" applyBorder="1"/>
    <xf numFmtId="44" fontId="10" fillId="2" borderId="17" xfId="0" applyNumberFormat="1" applyFont="1" applyFill="1" applyBorder="1" applyAlignment="1">
      <alignment horizontal="center"/>
    </xf>
    <xf numFmtId="0" fontId="13" fillId="0" borderId="0" xfId="0" applyFont="1"/>
    <xf numFmtId="0" fontId="21" fillId="2" borderId="0" xfId="0" applyFont="1" applyFill="1" applyBorder="1" applyAlignment="1">
      <alignment horizontal="center" vertical="center"/>
    </xf>
    <xf numFmtId="0" fontId="22" fillId="2" borderId="0" xfId="0" applyFont="1" applyFill="1" applyBorder="1" applyAlignment="1">
      <alignment horizontal="center" vertical="center"/>
    </xf>
    <xf numFmtId="0" fontId="13" fillId="2" borderId="0" xfId="0" applyFont="1" applyFill="1"/>
    <xf numFmtId="0" fontId="13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22" fillId="2" borderId="0" xfId="0" applyFont="1" applyFill="1" applyBorder="1" applyAlignment="1">
      <alignment vertical="center"/>
    </xf>
    <xf numFmtId="0" fontId="21" fillId="2" borderId="0" xfId="0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44" fontId="8" fillId="2" borderId="1" xfId="1" applyFont="1" applyFill="1" applyBorder="1" applyAlignment="1">
      <alignment horizontal="center" vertical="center"/>
    </xf>
    <xf numFmtId="44" fontId="8" fillId="2" borderId="1" xfId="1" applyNumberFormat="1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29" xfId="0" applyFont="1" applyFill="1" applyBorder="1" applyAlignment="1">
      <alignment horizontal="center" vertical="center"/>
    </xf>
    <xf numFmtId="0" fontId="16" fillId="8" borderId="26" xfId="0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0" fontId="16" fillId="8" borderId="28" xfId="0" applyFont="1" applyFill="1" applyBorder="1" applyAlignment="1">
      <alignment horizontal="center" vertical="center"/>
    </xf>
    <xf numFmtId="0" fontId="16" fillId="4" borderId="33" xfId="0" applyFont="1" applyFill="1" applyBorder="1" applyAlignment="1">
      <alignment horizontal="center" vertical="center"/>
    </xf>
    <xf numFmtId="0" fontId="23" fillId="2" borderId="1" xfId="0" applyFont="1" applyFill="1" applyBorder="1" applyAlignment="1">
      <alignment horizontal="center" vertical="center"/>
    </xf>
    <xf numFmtId="0" fontId="23" fillId="2" borderId="35" xfId="0" applyFont="1" applyFill="1" applyBorder="1" applyAlignment="1">
      <alignment horizontal="center" vertical="center"/>
    </xf>
    <xf numFmtId="44" fontId="9" fillId="0" borderId="36" xfId="0" applyNumberFormat="1" applyFont="1" applyFill="1" applyBorder="1" applyAlignment="1">
      <alignment horizontal="center" vertical="center"/>
    </xf>
    <xf numFmtId="164" fontId="0" fillId="10" borderId="10" xfId="0" applyNumberFormat="1" applyFont="1" applyFill="1" applyBorder="1" applyAlignment="1">
      <alignment horizontal="center" vertical="center"/>
    </xf>
    <xf numFmtId="44" fontId="9" fillId="0" borderId="36" xfId="0" applyNumberFormat="1" applyFont="1" applyBorder="1" applyAlignment="1">
      <alignment horizontal="center"/>
    </xf>
    <xf numFmtId="44" fontId="9" fillId="2" borderId="36" xfId="0" applyNumberFormat="1" applyFont="1" applyFill="1" applyBorder="1" applyAlignment="1">
      <alignment horizontal="center"/>
    </xf>
    <xf numFmtId="44" fontId="24" fillId="11" borderId="26" xfId="0" applyNumberFormat="1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14" fontId="8" fillId="2" borderId="1" xfId="0" applyNumberFormat="1" applyFont="1" applyFill="1" applyBorder="1" applyAlignment="1">
      <alignment horizontal="center" vertical="center"/>
    </xf>
    <xf numFmtId="44" fontId="8" fillId="2" borderId="1" xfId="1" applyFont="1" applyFill="1" applyBorder="1" applyAlignment="1">
      <alignment horizontal="center"/>
    </xf>
    <xf numFmtId="44" fontId="8" fillId="2" borderId="1" xfId="1" applyNumberFormat="1" applyFont="1" applyFill="1" applyBorder="1" applyAlignment="1">
      <alignment horizontal="center"/>
    </xf>
    <xf numFmtId="14" fontId="8" fillId="2" borderId="1" xfId="1" applyNumberFormat="1" applyFont="1" applyFill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44" fontId="8" fillId="0" borderId="1" xfId="1" applyFont="1" applyFill="1" applyBorder="1" applyAlignment="1">
      <alignment horizontal="center" vertical="center" wrapText="1"/>
    </xf>
    <xf numFmtId="14" fontId="8" fillId="0" borderId="1" xfId="1" applyNumberFormat="1" applyFont="1" applyFill="1" applyBorder="1" applyAlignment="1">
      <alignment horizontal="center" wrapText="1"/>
    </xf>
    <xf numFmtId="44" fontId="3" fillId="8" borderId="36" xfId="0" applyNumberFormat="1" applyFont="1" applyFill="1" applyBorder="1" applyAlignment="1">
      <alignment horizontal="center"/>
    </xf>
    <xf numFmtId="44" fontId="9" fillId="8" borderId="17" xfId="0" applyNumberFormat="1" applyFont="1" applyFill="1" applyBorder="1" applyAlignment="1">
      <alignment horizontal="center"/>
    </xf>
    <xf numFmtId="44" fontId="6" fillId="8" borderId="36" xfId="0" applyNumberFormat="1" applyFont="1" applyFill="1" applyBorder="1" applyAlignment="1">
      <alignment horizontal="center"/>
    </xf>
    <xf numFmtId="44" fontId="1" fillId="2" borderId="15" xfId="1" applyNumberFormat="1" applyFont="1" applyFill="1" applyBorder="1" applyAlignment="1">
      <alignment horizontal="center"/>
    </xf>
    <xf numFmtId="44" fontId="8" fillId="2" borderId="0" xfId="0" applyNumberFormat="1" applyFont="1" applyFill="1" applyBorder="1" applyAlignment="1">
      <alignment horizontal="center" vertical="center"/>
    </xf>
    <xf numFmtId="14" fontId="8" fillId="2" borderId="0" xfId="1" applyNumberFormat="1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 vertical="center"/>
    </xf>
    <xf numFmtId="14" fontId="8" fillId="2" borderId="0" xfId="0" applyNumberFormat="1" applyFont="1" applyFill="1" applyBorder="1" applyAlignment="1">
      <alignment horizontal="center" vertical="center"/>
    </xf>
    <xf numFmtId="44" fontId="8" fillId="2" borderId="0" xfId="1" applyFont="1" applyFill="1" applyBorder="1" applyAlignment="1">
      <alignment horizontal="center" vertical="center"/>
    </xf>
    <xf numFmtId="44" fontId="8" fillId="2" borderId="0" xfId="1" applyNumberFormat="1" applyFont="1" applyFill="1" applyBorder="1" applyAlignment="1">
      <alignment horizontal="center" vertical="center"/>
    </xf>
    <xf numFmtId="14" fontId="8" fillId="2" borderId="0" xfId="1" applyNumberFormat="1" applyFont="1" applyFill="1" applyBorder="1" applyAlignment="1">
      <alignment horizontal="center" vertical="center"/>
    </xf>
    <xf numFmtId="44" fontId="8" fillId="2" borderId="0" xfId="1" applyFont="1" applyFill="1" applyBorder="1" applyAlignment="1">
      <alignment horizontal="center"/>
    </xf>
    <xf numFmtId="44" fontId="8" fillId="2" borderId="0" xfId="1" applyNumberFormat="1" applyFont="1" applyFill="1" applyBorder="1" applyAlignment="1">
      <alignment horizontal="center"/>
    </xf>
    <xf numFmtId="44" fontId="1" fillId="2" borderId="0" xfId="1" applyNumberFormat="1" applyFont="1" applyFill="1" applyBorder="1" applyAlignment="1">
      <alignment horizontal="center"/>
    </xf>
    <xf numFmtId="44" fontId="12" fillId="2" borderId="0" xfId="1" applyFont="1" applyFill="1" applyBorder="1" applyAlignment="1">
      <alignment horizontal="center"/>
    </xf>
    <xf numFmtId="44" fontId="4" fillId="2" borderId="0" xfId="1" applyFont="1" applyFill="1" applyBorder="1" applyAlignment="1">
      <alignment horizontal="center"/>
    </xf>
    <xf numFmtId="14" fontId="8" fillId="10" borderId="1" xfId="0" applyNumberFormat="1" applyFont="1" applyFill="1" applyBorder="1" applyAlignment="1">
      <alignment horizontal="center" vertical="center"/>
    </xf>
    <xf numFmtId="0" fontId="8" fillId="10" borderId="1" xfId="0" applyFont="1" applyFill="1" applyBorder="1" applyAlignment="1">
      <alignment horizontal="center" vertical="center"/>
    </xf>
    <xf numFmtId="44" fontId="8" fillId="10" borderId="1" xfId="0" applyNumberFormat="1" applyFont="1" applyFill="1" applyBorder="1" applyAlignment="1">
      <alignment horizontal="center" vertical="center"/>
    </xf>
    <xf numFmtId="14" fontId="8" fillId="9" borderId="1" xfId="0" applyNumberFormat="1" applyFont="1" applyFill="1" applyBorder="1" applyAlignment="1">
      <alignment horizontal="center" vertical="center"/>
    </xf>
    <xf numFmtId="44" fontId="8" fillId="9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44" fontId="0" fillId="0" borderId="1" xfId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44" fontId="8" fillId="9" borderId="1" xfId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/>
    </xf>
    <xf numFmtId="44" fontId="13" fillId="0" borderId="0" xfId="1" applyFont="1" applyFill="1" applyBorder="1" applyAlignment="1">
      <alignment horizontal="center" vertical="center"/>
    </xf>
    <xf numFmtId="0" fontId="26" fillId="0" borderId="0" xfId="0" applyFont="1"/>
    <xf numFmtId="0" fontId="0" fillId="0" borderId="0" xfId="0" applyBorder="1" applyAlignment="1">
      <alignment horizontal="center"/>
    </xf>
    <xf numFmtId="0" fontId="13" fillId="2" borderId="0" xfId="0" applyFont="1" applyFill="1" applyBorder="1"/>
    <xf numFmtId="0" fontId="0" fillId="0" borderId="0" xfId="0" applyFont="1" applyBorder="1"/>
    <xf numFmtId="44" fontId="24" fillId="0" borderId="38" xfId="0" applyNumberFormat="1" applyFont="1" applyBorder="1" applyAlignment="1">
      <alignment horizontal="center" vertical="center"/>
    </xf>
    <xf numFmtId="49" fontId="16" fillId="4" borderId="38" xfId="0" applyNumberFormat="1" applyFont="1" applyFill="1" applyBorder="1" applyAlignment="1">
      <alignment horizontal="center" vertical="center"/>
    </xf>
    <xf numFmtId="0" fontId="16" fillId="4" borderId="38" xfId="0" applyFont="1" applyFill="1" applyBorder="1" applyAlignment="1">
      <alignment horizontal="center" vertical="center"/>
    </xf>
    <xf numFmtId="14" fontId="8" fillId="2" borderId="1" xfId="1" applyNumberFormat="1" applyFont="1" applyFill="1" applyBorder="1" applyAlignment="1">
      <alignment horizontal="center" vertical="center"/>
    </xf>
    <xf numFmtId="0" fontId="19" fillId="0" borderId="22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44" fontId="8" fillId="0" borderId="9" xfId="1" applyFont="1" applyFill="1" applyBorder="1" applyAlignment="1">
      <alignment horizontal="center" vertical="center"/>
    </xf>
    <xf numFmtId="44" fontId="8" fillId="0" borderId="0" xfId="1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16" fillId="0" borderId="0" xfId="0" applyFont="1"/>
    <xf numFmtId="0" fontId="14" fillId="0" borderId="0" xfId="0" applyFont="1" applyAlignment="1">
      <alignment horizontal="center" vertical="center" wrapText="1"/>
    </xf>
    <xf numFmtId="14" fontId="8" fillId="0" borderId="1" xfId="0" applyNumberFormat="1" applyFont="1" applyBorder="1" applyAlignment="1">
      <alignment horizontal="center" vertical="center"/>
    </xf>
    <xf numFmtId="44" fontId="8" fillId="0" borderId="1" xfId="0" applyNumberFormat="1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44" fontId="8" fillId="0" borderId="0" xfId="0" applyNumberFormat="1" applyFont="1" applyAlignment="1">
      <alignment horizontal="center" vertical="center"/>
    </xf>
    <xf numFmtId="44" fontId="1" fillId="0" borderId="15" xfId="1" applyFont="1" applyFill="1" applyBorder="1" applyAlignment="1">
      <alignment horizontal="center"/>
    </xf>
    <xf numFmtId="44" fontId="8" fillId="12" borderId="1" xfId="0" applyNumberFormat="1" applyFont="1" applyFill="1" applyBorder="1" applyAlignment="1">
      <alignment horizontal="center" vertical="center"/>
    </xf>
    <xf numFmtId="44" fontId="8" fillId="13" borderId="1" xfId="0" applyNumberFormat="1" applyFont="1" applyFill="1" applyBorder="1" applyAlignment="1">
      <alignment horizontal="center" vertical="center"/>
    </xf>
    <xf numFmtId="44" fontId="8" fillId="14" borderId="1" xfId="0" applyNumberFormat="1" applyFont="1" applyFill="1" applyBorder="1" applyAlignment="1">
      <alignment horizontal="center" vertical="center"/>
    </xf>
    <xf numFmtId="44" fontId="8" fillId="15" borderId="1" xfId="0" applyNumberFormat="1" applyFont="1" applyFill="1" applyBorder="1" applyAlignment="1">
      <alignment horizontal="center" vertical="center"/>
    </xf>
    <xf numFmtId="44" fontId="8" fillId="16" borderId="1" xfId="0" applyNumberFormat="1" applyFont="1" applyFill="1" applyBorder="1" applyAlignment="1">
      <alignment horizontal="center" vertical="center"/>
    </xf>
    <xf numFmtId="14" fontId="8" fillId="9" borderId="1" xfId="1" applyNumberFormat="1" applyFont="1" applyFill="1" applyBorder="1" applyAlignment="1">
      <alignment horizontal="center" vertical="center"/>
    </xf>
    <xf numFmtId="0" fontId="27" fillId="0" borderId="1" xfId="0" applyFont="1" applyBorder="1" applyAlignment="1">
      <alignment horizontal="center" vertical="center"/>
    </xf>
    <xf numFmtId="14" fontId="27" fillId="0" borderId="1" xfId="0" applyNumberFormat="1" applyFont="1" applyBorder="1" applyAlignment="1">
      <alignment horizontal="center" vertical="center"/>
    </xf>
    <xf numFmtId="0" fontId="14" fillId="2" borderId="0" xfId="0" applyFont="1" applyFill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44" fontId="13" fillId="0" borderId="0" xfId="0" applyNumberFormat="1" applyFont="1" applyAlignment="1">
      <alignment horizontal="center" vertical="center"/>
    </xf>
    <xf numFmtId="0" fontId="0" fillId="0" borderId="9" xfId="0" applyBorder="1"/>
    <xf numFmtId="44" fontId="1" fillId="0" borderId="1" xfId="1" applyFont="1" applyFill="1" applyBorder="1" applyAlignment="1">
      <alignment horizontal="center" vertical="center"/>
    </xf>
    <xf numFmtId="44" fontId="8" fillId="0" borderId="15" xfId="0" applyNumberFormat="1" applyFont="1" applyBorder="1" applyAlignment="1">
      <alignment horizontal="center" vertical="center"/>
    </xf>
    <xf numFmtId="44" fontId="1" fillId="0" borderId="15" xfId="1" applyFont="1" applyFill="1" applyBorder="1" applyAlignment="1">
      <alignment horizontal="center" vertical="center"/>
    </xf>
    <xf numFmtId="0" fontId="11" fillId="0" borderId="0" xfId="0" applyFont="1"/>
    <xf numFmtId="44" fontId="0" fillId="0" borderId="15" xfId="1" applyFont="1" applyFill="1" applyBorder="1" applyAlignment="1">
      <alignment horizontal="center"/>
    </xf>
    <xf numFmtId="0" fontId="0" fillId="0" borderId="0" xfId="0" applyFill="1"/>
    <xf numFmtId="44" fontId="1" fillId="0" borderId="15" xfId="1" applyNumberFormat="1" applyFont="1" applyFill="1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18" fillId="0" borderId="0" xfId="0" applyFont="1" applyBorder="1" applyAlignment="1">
      <alignment vertical="center"/>
    </xf>
    <xf numFmtId="0" fontId="19" fillId="0" borderId="20" xfId="0" applyFont="1" applyBorder="1" applyAlignment="1">
      <alignment horizontal="center" vertical="center"/>
    </xf>
    <xf numFmtId="0" fontId="5" fillId="0" borderId="43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6" xfId="0" applyFont="1" applyBorder="1" applyAlignment="1">
      <alignment horizontal="center"/>
    </xf>
    <xf numFmtId="0" fontId="5" fillId="0" borderId="45" xfId="0" applyFont="1" applyBorder="1" applyAlignment="1">
      <alignment horizontal="center" vertical="center"/>
    </xf>
    <xf numFmtId="44" fontId="5" fillId="0" borderId="2" xfId="1" applyFont="1" applyFill="1" applyBorder="1" applyAlignment="1">
      <alignment horizontal="center"/>
    </xf>
    <xf numFmtId="0" fontId="5" fillId="0" borderId="2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30" fillId="0" borderId="26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48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/>
    </xf>
    <xf numFmtId="0" fontId="5" fillId="0" borderId="31" xfId="0" applyFont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44" fontId="20" fillId="0" borderId="0" xfId="1" applyFont="1" applyFill="1" applyBorder="1" applyAlignment="1">
      <alignment horizontal="center"/>
    </xf>
    <xf numFmtId="0" fontId="19" fillId="0" borderId="0" xfId="0" applyFont="1" applyFill="1" applyBorder="1" applyAlignment="1">
      <alignment vertical="center"/>
    </xf>
    <xf numFmtId="0" fontId="5" fillId="0" borderId="27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0" fontId="5" fillId="0" borderId="32" xfId="0" applyFont="1" applyFill="1" applyBorder="1" applyAlignment="1">
      <alignment horizontal="center" vertical="center"/>
    </xf>
    <xf numFmtId="0" fontId="7" fillId="7" borderId="49" xfId="0" applyFont="1" applyFill="1" applyBorder="1" applyAlignment="1">
      <alignment horizontal="center" vertical="center" wrapText="1"/>
    </xf>
    <xf numFmtId="44" fontId="0" fillId="7" borderId="1" xfId="0" applyNumberFormat="1" applyFill="1" applyBorder="1"/>
    <xf numFmtId="44" fontId="31" fillId="0" borderId="51" xfId="0" applyNumberFormat="1" applyFont="1" applyFill="1" applyBorder="1" applyAlignment="1">
      <alignment horizontal="center" vertical="center"/>
    </xf>
    <xf numFmtId="0" fontId="24" fillId="0" borderId="52" xfId="0" applyFont="1" applyFill="1" applyBorder="1" applyAlignment="1">
      <alignment horizontal="center" vertical="center"/>
    </xf>
    <xf numFmtId="0" fontId="32" fillId="4" borderId="0" xfId="0" applyFont="1" applyFill="1" applyAlignment="1">
      <alignment horizontal="center" vertical="center"/>
    </xf>
    <xf numFmtId="44" fontId="22" fillId="4" borderId="0" xfId="0" applyNumberFormat="1" applyFont="1" applyFill="1" applyBorder="1" applyAlignment="1">
      <alignment horizontal="center" vertical="center"/>
    </xf>
    <xf numFmtId="44" fontId="33" fillId="4" borderId="0" xfId="0" applyNumberFormat="1" applyFont="1" applyFill="1" applyAlignment="1">
      <alignment horizontal="center" vertical="center"/>
    </xf>
    <xf numFmtId="0" fontId="5" fillId="0" borderId="23" xfId="0" applyFont="1" applyBorder="1" applyAlignment="1">
      <alignment horizontal="center"/>
    </xf>
    <xf numFmtId="0" fontId="0" fillId="2" borderId="36" xfId="0" applyFill="1" applyBorder="1"/>
    <xf numFmtId="0" fontId="2" fillId="2" borderId="0" xfId="0" applyFont="1" applyFill="1" applyBorder="1" applyAlignment="1">
      <alignment horizontal="center"/>
    </xf>
    <xf numFmtId="0" fontId="16" fillId="4" borderId="55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 wrapText="1"/>
    </xf>
    <xf numFmtId="0" fontId="0" fillId="0" borderId="34" xfId="0" applyBorder="1"/>
    <xf numFmtId="4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8" fillId="0" borderId="0" xfId="1" applyNumberFormat="1" applyFont="1" applyFill="1" applyBorder="1" applyAlignment="1">
      <alignment horizontal="center" vertical="center"/>
    </xf>
    <xf numFmtId="44" fontId="8" fillId="17" borderId="1" xfId="0" applyNumberFormat="1" applyFont="1" applyFill="1" applyBorder="1" applyAlignment="1">
      <alignment horizontal="center" vertical="center"/>
    </xf>
    <xf numFmtId="14" fontId="0" fillId="9" borderId="1" xfId="0" applyNumberFormat="1" applyFill="1" applyBorder="1" applyAlignment="1">
      <alignment horizontal="center" vertical="center"/>
    </xf>
    <xf numFmtId="44" fontId="0" fillId="9" borderId="1" xfId="0" applyNumberFormat="1" applyFill="1" applyBorder="1" applyAlignment="1">
      <alignment horizontal="center" vertical="center"/>
    </xf>
    <xf numFmtId="44" fontId="8" fillId="18" borderId="1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7" fillId="7" borderId="49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44" fontId="0" fillId="0" borderId="1" xfId="0" applyNumberFormat="1" applyFill="1" applyBorder="1"/>
    <xf numFmtId="0" fontId="0" fillId="0" borderId="9" xfId="0" applyFill="1" applyBorder="1"/>
    <xf numFmtId="0" fontId="0" fillId="0" borderId="1" xfId="0" applyFill="1" applyBorder="1" applyAlignment="1">
      <alignment horizontal="center" vertical="center"/>
    </xf>
    <xf numFmtId="0" fontId="34" fillId="0" borderId="1" xfId="0" applyFont="1" applyBorder="1" applyAlignment="1">
      <alignment horizontal="center" vertical="center"/>
    </xf>
    <xf numFmtId="0" fontId="34" fillId="0" borderId="1" xfId="0" applyFont="1" applyFill="1" applyBorder="1" applyAlignment="1">
      <alignment horizontal="center" vertical="center"/>
    </xf>
    <xf numFmtId="0" fontId="34" fillId="0" borderId="1" xfId="0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vertical="center"/>
    </xf>
    <xf numFmtId="0" fontId="0" fillId="0" borderId="1" xfId="0" applyFont="1" applyFill="1" applyBorder="1" applyAlignment="1">
      <alignment vertical="center"/>
    </xf>
    <xf numFmtId="44" fontId="35" fillId="0" borderId="52" xfId="1" applyFont="1" applyFill="1" applyBorder="1" applyAlignment="1">
      <alignment vertical="center"/>
    </xf>
    <xf numFmtId="44" fontId="35" fillId="0" borderId="50" xfId="1" applyFont="1" applyFill="1" applyBorder="1" applyAlignment="1">
      <alignment vertical="center"/>
    </xf>
    <xf numFmtId="44" fontId="35" fillId="0" borderId="53" xfId="1" applyFont="1" applyFill="1" applyBorder="1" applyAlignment="1">
      <alignment vertical="center"/>
    </xf>
    <xf numFmtId="44" fontId="35" fillId="0" borderId="54" xfId="1" applyFont="1" applyFill="1" applyBorder="1" applyAlignment="1">
      <alignment vertical="center"/>
    </xf>
    <xf numFmtId="44" fontId="23" fillId="0" borderId="1" xfId="0" applyNumberFormat="1" applyFont="1" applyBorder="1"/>
    <xf numFmtId="14" fontId="0" fillId="0" borderId="1" xfId="0" applyNumberFormat="1" applyBorder="1"/>
    <xf numFmtId="44" fontId="0" fillId="0" borderId="1" xfId="0" applyNumberFormat="1" applyBorder="1"/>
    <xf numFmtId="0" fontId="8" fillId="0" borderId="1" xfId="0" applyFont="1" applyBorder="1"/>
    <xf numFmtId="14" fontId="1" fillId="0" borderId="1" xfId="0" applyNumberFormat="1" applyFont="1" applyBorder="1" applyAlignment="1">
      <alignment horizontal="center" vertical="center"/>
    </xf>
    <xf numFmtId="44" fontId="0" fillId="0" borderId="9" xfId="0" applyNumberFormat="1" applyBorder="1"/>
    <xf numFmtId="0" fontId="0" fillId="0" borderId="1" xfId="0" applyBorder="1" applyAlignment="1">
      <alignment vertical="center"/>
    </xf>
    <xf numFmtId="44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vertical="center"/>
    </xf>
    <xf numFmtId="44" fontId="8" fillId="19" borderId="1" xfId="0" applyNumberFormat="1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44" fontId="0" fillId="0" borderId="1" xfId="0" applyNumberFormat="1" applyFill="1" applyBorder="1" applyAlignment="1">
      <alignment horizontal="center" vertical="center"/>
    </xf>
    <xf numFmtId="44" fontId="0" fillId="19" borderId="1" xfId="0" applyNumberFormat="1" applyFill="1" applyBorder="1" applyAlignment="1">
      <alignment horizontal="center" vertical="center"/>
    </xf>
    <xf numFmtId="14" fontId="8" fillId="9" borderId="1" xfId="1" applyNumberFormat="1" applyFont="1" applyFill="1" applyBorder="1" applyAlignment="1">
      <alignment horizontal="center"/>
    </xf>
    <xf numFmtId="0" fontId="16" fillId="8" borderId="36" xfId="0" applyFont="1" applyFill="1" applyBorder="1" applyAlignment="1">
      <alignment horizontal="center" vertical="center"/>
    </xf>
    <xf numFmtId="44" fontId="9" fillId="0" borderId="17" xfId="0" applyNumberFormat="1" applyFont="1" applyFill="1" applyBorder="1" applyAlignment="1">
      <alignment horizontal="center" vertical="center"/>
    </xf>
    <xf numFmtId="0" fontId="37" fillId="4" borderId="18" xfId="0" applyFont="1" applyFill="1" applyBorder="1" applyAlignment="1">
      <alignment horizontal="center" vertical="center"/>
    </xf>
    <xf numFmtId="0" fontId="37" fillId="4" borderId="15" xfId="0" applyFont="1" applyFill="1" applyBorder="1" applyAlignment="1">
      <alignment horizontal="center" vertical="center"/>
    </xf>
    <xf numFmtId="0" fontId="37" fillId="4" borderId="15" xfId="0" applyFont="1" applyFill="1" applyBorder="1" applyAlignment="1">
      <alignment horizontal="center" vertical="center" wrapText="1"/>
    </xf>
    <xf numFmtId="0" fontId="37" fillId="9" borderId="15" xfId="0" applyFont="1" applyFill="1" applyBorder="1" applyAlignment="1">
      <alignment horizontal="center" vertical="center" wrapText="1"/>
    </xf>
    <xf numFmtId="44" fontId="37" fillId="9" borderId="15" xfId="0" applyNumberFormat="1" applyFont="1" applyFill="1" applyBorder="1" applyAlignment="1">
      <alignment horizontal="center" vertical="center" wrapText="1"/>
    </xf>
    <xf numFmtId="0" fontId="37" fillId="9" borderId="15" xfId="0" applyFont="1" applyFill="1" applyBorder="1" applyAlignment="1">
      <alignment horizontal="center" vertical="center"/>
    </xf>
    <xf numFmtId="0" fontId="37" fillId="8" borderId="15" xfId="0" applyFont="1" applyFill="1" applyBorder="1" applyAlignment="1">
      <alignment horizontal="center" vertical="center"/>
    </xf>
    <xf numFmtId="44" fontId="8" fillId="10" borderId="1" xfId="1" applyFont="1" applyFill="1" applyBorder="1" applyAlignment="1">
      <alignment horizontal="center" vertical="center"/>
    </xf>
    <xf numFmtId="14" fontId="8" fillId="10" borderId="1" xfId="1" applyNumberFormat="1" applyFont="1" applyFill="1" applyBorder="1" applyAlignment="1">
      <alignment horizontal="center" vertical="center"/>
    </xf>
    <xf numFmtId="44" fontId="8" fillId="9" borderId="1" xfId="1" applyNumberFormat="1" applyFont="1" applyFill="1" applyBorder="1" applyAlignment="1">
      <alignment horizontal="center"/>
    </xf>
    <xf numFmtId="44" fontId="8" fillId="0" borderId="17" xfId="0" applyNumberFormat="1" applyFont="1" applyFill="1" applyBorder="1" applyAlignment="1">
      <alignment horizontal="center" vertical="center"/>
    </xf>
    <xf numFmtId="0" fontId="8" fillId="0" borderId="1" xfId="0" applyFont="1" applyFill="1" applyBorder="1"/>
    <xf numFmtId="44" fontId="0" fillId="14" borderId="1" xfId="0" applyNumberFormat="1" applyFill="1" applyBorder="1" applyAlignment="1">
      <alignment horizontal="center" vertical="center"/>
    </xf>
    <xf numFmtId="0" fontId="7" fillId="7" borderId="56" xfId="0" applyFont="1" applyFill="1" applyBorder="1" applyAlignment="1">
      <alignment horizontal="center" vertical="center"/>
    </xf>
    <xf numFmtId="44" fontId="9" fillId="2" borderId="0" xfId="0" applyNumberFormat="1" applyFont="1" applyFill="1" applyBorder="1" applyAlignment="1">
      <alignment horizontal="center"/>
    </xf>
    <xf numFmtId="44" fontId="8" fillId="20" borderId="1" xfId="0" applyNumberFormat="1" applyFont="1" applyFill="1" applyBorder="1" applyAlignment="1">
      <alignment horizontal="center" vertical="center"/>
    </xf>
    <xf numFmtId="8" fontId="3" fillId="2" borderId="1" xfId="0" applyNumberFormat="1" applyFont="1" applyFill="1" applyBorder="1" applyAlignment="1">
      <alignment horizontal="center" vertical="center"/>
    </xf>
    <xf numFmtId="0" fontId="14" fillId="4" borderId="18" xfId="0" applyFont="1" applyFill="1" applyBorder="1" applyAlignment="1">
      <alignment horizontal="center" vertical="center" wrapText="1"/>
    </xf>
    <xf numFmtId="0" fontId="16" fillId="2" borderId="0" xfId="0" applyFont="1" applyFill="1" applyBorder="1" applyAlignment="1"/>
    <xf numFmtId="0" fontId="4" fillId="4" borderId="1" xfId="0" applyFont="1" applyFill="1" applyBorder="1" applyAlignment="1">
      <alignment vertical="center"/>
    </xf>
    <xf numFmtId="0" fontId="0" fillId="0" borderId="15" xfId="0" applyBorder="1" applyAlignment="1">
      <alignment horizontal="center" vertical="center"/>
    </xf>
    <xf numFmtId="44" fontId="8" fillId="0" borderId="15" xfId="1" applyFont="1" applyFill="1" applyBorder="1" applyAlignment="1">
      <alignment horizontal="center"/>
    </xf>
    <xf numFmtId="44" fontId="8" fillId="0" borderId="15" xfId="1" applyFont="1" applyFill="1" applyBorder="1" applyAlignment="1">
      <alignment horizontal="center" vertical="center"/>
    </xf>
    <xf numFmtId="44" fontId="13" fillId="0" borderId="15" xfId="1" applyFont="1" applyFill="1" applyBorder="1" applyAlignment="1">
      <alignment horizontal="center"/>
    </xf>
    <xf numFmtId="0" fontId="4" fillId="4" borderId="57" xfId="0" applyFont="1" applyFill="1" applyBorder="1" applyAlignment="1">
      <alignment vertical="center"/>
    </xf>
    <xf numFmtId="0" fontId="0" fillId="4" borderId="57" xfId="0" applyFill="1" applyBorder="1" applyAlignment="1">
      <alignment vertical="center"/>
    </xf>
    <xf numFmtId="44" fontId="12" fillId="4" borderId="57" xfId="1" applyFont="1" applyFill="1" applyBorder="1" applyAlignment="1">
      <alignment horizontal="center"/>
    </xf>
    <xf numFmtId="14" fontId="0" fillId="0" borderId="1" xfId="0" applyNumberFormat="1" applyFill="1" applyBorder="1"/>
    <xf numFmtId="0" fontId="0" fillId="0" borderId="9" xfId="0" applyBorder="1" applyAlignment="1">
      <alignment horizontal="center" vertical="center"/>
    </xf>
    <xf numFmtId="44" fontId="0" fillId="0" borderId="9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44" fontId="1" fillId="0" borderId="1" xfId="1" applyNumberFormat="1" applyFont="1" applyFill="1" applyBorder="1" applyAlignment="1">
      <alignment horizontal="center"/>
    </xf>
    <xf numFmtId="44" fontId="4" fillId="4" borderId="1" xfId="1" applyFont="1" applyFill="1" applyBorder="1" applyAlignment="1"/>
    <xf numFmtId="44" fontId="20" fillId="4" borderId="1" xfId="1" applyFont="1" applyFill="1" applyBorder="1" applyAlignment="1"/>
    <xf numFmtId="0" fontId="0" fillId="2" borderId="15" xfId="0" applyFill="1" applyBorder="1"/>
    <xf numFmtId="44" fontId="1" fillId="2" borderId="15" xfId="1" applyFont="1" applyFill="1" applyBorder="1" applyAlignment="1">
      <alignment horizontal="center"/>
    </xf>
    <xf numFmtId="44" fontId="8" fillId="2" borderId="15" xfId="0" applyNumberFormat="1" applyFont="1" applyFill="1" applyBorder="1" applyAlignment="1">
      <alignment horizontal="center" vertical="center"/>
    </xf>
    <xf numFmtId="44" fontId="8" fillId="2" borderId="15" xfId="1" applyFont="1" applyFill="1" applyBorder="1" applyAlignment="1">
      <alignment horizontal="center"/>
    </xf>
    <xf numFmtId="44" fontId="8" fillId="2" borderId="15" xfId="1" applyFont="1" applyFill="1" applyBorder="1" applyAlignment="1">
      <alignment horizontal="center" vertical="center"/>
    </xf>
    <xf numFmtId="44" fontId="4" fillId="4" borderId="57" xfId="1" applyFont="1" applyFill="1" applyBorder="1" applyAlignment="1"/>
    <xf numFmtId="44" fontId="20" fillId="4" borderId="57" xfId="1" applyFont="1" applyFill="1" applyBorder="1" applyAlignment="1"/>
    <xf numFmtId="0" fontId="12" fillId="4" borderId="57" xfId="0" applyFont="1" applyFill="1" applyBorder="1" applyAlignment="1">
      <alignment vertical="center"/>
    </xf>
    <xf numFmtId="0" fontId="5" fillId="0" borderId="39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15" fillId="0" borderId="0" xfId="0" applyFont="1" applyFill="1" applyBorder="1" applyAlignment="1">
      <alignment horizontal="center" vertical="center" wrapText="1"/>
    </xf>
    <xf numFmtId="0" fontId="4" fillId="4" borderId="58" xfId="0" applyFont="1" applyFill="1" applyBorder="1" applyAlignment="1">
      <alignment vertical="center"/>
    </xf>
    <xf numFmtId="44" fontId="12" fillId="4" borderId="58" xfId="1" applyFont="1" applyFill="1" applyBorder="1" applyAlignment="1">
      <alignment horizontal="center"/>
    </xf>
    <xf numFmtId="44" fontId="4" fillId="4" borderId="58" xfId="1" applyFont="1" applyFill="1" applyBorder="1" applyAlignment="1"/>
    <xf numFmtId="44" fontId="20" fillId="4" borderId="58" xfId="1" applyFont="1" applyFill="1" applyBorder="1" applyAlignment="1"/>
    <xf numFmtId="0" fontId="5" fillId="0" borderId="6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wrapText="1"/>
    </xf>
    <xf numFmtId="0" fontId="8" fillId="0" borderId="1" xfId="0" applyFont="1" applyFill="1" applyBorder="1" applyAlignment="1">
      <alignment horizontal="center" vertical="center" wrapText="1"/>
    </xf>
    <xf numFmtId="14" fontId="8" fillId="10" borderId="1" xfId="0" applyNumberFormat="1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44" fontId="8" fillId="0" borderId="0" xfId="1" applyFont="1" applyFill="1" applyBorder="1" applyAlignment="1">
      <alignment horizontal="center" vertical="center"/>
    </xf>
    <xf numFmtId="44" fontId="8" fillId="0" borderId="0" xfId="1" applyFont="1" applyFill="1" applyBorder="1" applyAlignment="1">
      <alignment horizontal="center"/>
    </xf>
    <xf numFmtId="0" fontId="16" fillId="4" borderId="32" xfId="0" applyFont="1" applyFill="1" applyBorder="1" applyAlignment="1">
      <alignment horizontal="center" vertical="center"/>
    </xf>
    <xf numFmtId="0" fontId="16" fillId="4" borderId="12" xfId="0" applyFont="1" applyFill="1" applyBorder="1" applyAlignment="1">
      <alignment horizontal="center" vertical="center"/>
    </xf>
    <xf numFmtId="0" fontId="16" fillId="4" borderId="13" xfId="0" applyFont="1" applyFill="1" applyBorder="1" applyAlignment="1">
      <alignment horizontal="center" vertical="center"/>
    </xf>
    <xf numFmtId="0" fontId="16" fillId="4" borderId="6" xfId="0" applyFont="1" applyFill="1" applyBorder="1" applyAlignment="1">
      <alignment horizontal="center" vertical="center"/>
    </xf>
    <xf numFmtId="0" fontId="16" fillId="4" borderId="7" xfId="0" applyFont="1" applyFill="1" applyBorder="1" applyAlignment="1"/>
    <xf numFmtId="0" fontId="16" fillId="4" borderId="4" xfId="0" applyFont="1" applyFill="1" applyBorder="1" applyAlignment="1"/>
    <xf numFmtId="0" fontId="22" fillId="6" borderId="25" xfId="0" applyFont="1" applyFill="1" applyBorder="1" applyAlignment="1">
      <alignment horizontal="center" vertical="center"/>
    </xf>
    <xf numFmtId="0" fontId="22" fillId="6" borderId="0" xfId="0" applyFont="1" applyFill="1" applyBorder="1" applyAlignment="1">
      <alignment horizontal="center" vertical="center"/>
    </xf>
    <xf numFmtId="0" fontId="16" fillId="4" borderId="44" xfId="0" applyFont="1" applyFill="1" applyBorder="1" applyAlignment="1">
      <alignment horizontal="center" vertical="center"/>
    </xf>
    <xf numFmtId="0" fontId="16" fillId="4" borderId="37" xfId="0" applyFont="1" applyFill="1" applyBorder="1" applyAlignment="1">
      <alignment horizontal="center" vertical="center"/>
    </xf>
    <xf numFmtId="0" fontId="22" fillId="6" borderId="3" xfId="0" applyFont="1" applyFill="1" applyBorder="1" applyAlignment="1">
      <alignment horizontal="center" vertical="center"/>
    </xf>
    <xf numFmtId="0" fontId="22" fillId="6" borderId="7" xfId="0" applyFont="1" applyFill="1" applyBorder="1" applyAlignment="1">
      <alignment horizontal="center" vertical="center"/>
    </xf>
    <xf numFmtId="0" fontId="25" fillId="4" borderId="25" xfId="0" applyFont="1" applyFill="1" applyBorder="1" applyAlignment="1">
      <alignment horizontal="center" vertical="center"/>
    </xf>
    <xf numFmtId="0" fontId="25" fillId="4" borderId="0" xfId="0" applyFont="1" applyFill="1" applyBorder="1" applyAlignment="1">
      <alignment horizontal="center" vertical="center"/>
    </xf>
    <xf numFmtId="0" fontId="16" fillId="4" borderId="7" xfId="0" applyFont="1" applyFill="1" applyBorder="1" applyAlignment="1">
      <alignment horizontal="center" vertical="center"/>
    </xf>
    <xf numFmtId="0" fontId="16" fillId="4" borderId="16" xfId="0" applyFont="1" applyFill="1" applyBorder="1" applyAlignment="1">
      <alignment horizontal="center" vertical="center"/>
    </xf>
    <xf numFmtId="0" fontId="16" fillId="5" borderId="11" xfId="0" applyFont="1" applyFill="1" applyBorder="1" applyAlignment="1">
      <alignment horizontal="center"/>
    </xf>
    <xf numFmtId="0" fontId="16" fillId="5" borderId="14" xfId="0" applyFont="1" applyFill="1" applyBorder="1" applyAlignment="1">
      <alignment horizontal="center"/>
    </xf>
    <xf numFmtId="0" fontId="18" fillId="0" borderId="40" xfId="0" applyFont="1" applyBorder="1" applyAlignment="1">
      <alignment horizontal="center" vertical="center"/>
    </xf>
    <xf numFmtId="0" fontId="18" fillId="0" borderId="39" xfId="0" applyFont="1" applyBorder="1" applyAlignment="1">
      <alignment horizontal="center" vertical="center"/>
    </xf>
    <xf numFmtId="0" fontId="18" fillId="0" borderId="41" xfId="0" applyFont="1" applyBorder="1" applyAlignment="1">
      <alignment horizontal="center" vertical="center"/>
    </xf>
    <xf numFmtId="0" fontId="19" fillId="0" borderId="20" xfId="0" applyFont="1" applyBorder="1" applyAlignment="1">
      <alignment horizontal="center" vertical="center"/>
    </xf>
    <xf numFmtId="0" fontId="19" fillId="0" borderId="21" xfId="0" applyFont="1" applyBorder="1" applyAlignment="1">
      <alignment horizontal="center" vertical="center"/>
    </xf>
    <xf numFmtId="0" fontId="19" fillId="0" borderId="22" xfId="0" applyFont="1" applyBorder="1" applyAlignment="1">
      <alignment horizontal="center" vertical="center"/>
    </xf>
    <xf numFmtId="0" fontId="14" fillId="2" borderId="0" xfId="0" applyFont="1" applyFill="1" applyBorder="1" applyAlignment="1">
      <alignment horizontal="center" vertical="center"/>
    </xf>
    <xf numFmtId="0" fontId="16" fillId="5" borderId="27" xfId="0" applyFont="1" applyFill="1" applyBorder="1" applyAlignment="1">
      <alignment horizontal="center"/>
    </xf>
    <xf numFmtId="0" fontId="16" fillId="5" borderId="30" xfId="0" applyFont="1" applyFill="1" applyBorder="1" applyAlignment="1">
      <alignment horizontal="center"/>
    </xf>
    <xf numFmtId="0" fontId="16" fillId="5" borderId="43" xfId="0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0" fontId="19" fillId="0" borderId="46" xfId="0" applyFont="1" applyBorder="1" applyAlignment="1">
      <alignment horizontal="center" vertical="center"/>
    </xf>
    <xf numFmtId="0" fontId="19" fillId="0" borderId="20" xfId="0" applyFont="1" applyBorder="1" applyAlignment="1">
      <alignment horizontal="center" vertical="center" wrapText="1"/>
    </xf>
    <xf numFmtId="0" fontId="19" fillId="0" borderId="28" xfId="0" applyFont="1" applyBorder="1" applyAlignment="1">
      <alignment horizontal="center" vertical="center"/>
    </xf>
    <xf numFmtId="0" fontId="19" fillId="0" borderId="47" xfId="0" applyFont="1" applyBorder="1" applyAlignment="1">
      <alignment horizontal="center" vertical="center"/>
    </xf>
    <xf numFmtId="0" fontId="16" fillId="5" borderId="28" xfId="0" applyFont="1" applyFill="1" applyBorder="1" applyAlignment="1">
      <alignment horizontal="center"/>
    </xf>
    <xf numFmtId="0" fontId="16" fillId="5" borderId="47" xfId="0" applyFont="1" applyFill="1" applyBorder="1" applyAlignment="1">
      <alignment horizontal="center"/>
    </xf>
    <xf numFmtId="0" fontId="16" fillId="5" borderId="1" xfId="0" applyFont="1" applyFill="1" applyBorder="1" applyAlignment="1">
      <alignment horizontal="center"/>
    </xf>
    <xf numFmtId="0" fontId="19" fillId="0" borderId="0" xfId="0" applyFont="1" applyBorder="1" applyAlignment="1">
      <alignment horizontal="center" vertical="center"/>
    </xf>
    <xf numFmtId="0" fontId="19" fillId="0" borderId="40" xfId="0" applyFont="1" applyBorder="1" applyAlignment="1">
      <alignment horizontal="center" vertical="center"/>
    </xf>
    <xf numFmtId="0" fontId="19" fillId="0" borderId="39" xfId="0" applyFont="1" applyBorder="1" applyAlignment="1">
      <alignment horizontal="center" vertical="center"/>
    </xf>
    <xf numFmtId="0" fontId="19" fillId="0" borderId="41" xfId="0" applyFont="1" applyBorder="1" applyAlignment="1">
      <alignment horizontal="center" vertical="center"/>
    </xf>
    <xf numFmtId="0" fontId="19" fillId="0" borderId="48" xfId="0" applyFont="1" applyBorder="1" applyAlignment="1">
      <alignment horizontal="center" vertical="center"/>
    </xf>
    <xf numFmtId="49" fontId="28" fillId="4" borderId="0" xfId="0" applyNumberFormat="1" applyFont="1" applyFill="1" applyAlignment="1">
      <alignment horizontal="center" vertical="center"/>
    </xf>
    <xf numFmtId="0" fontId="29" fillId="6" borderId="0" xfId="0" applyFont="1" applyFill="1" applyAlignment="1">
      <alignment horizontal="center" vertical="center"/>
    </xf>
    <xf numFmtId="0" fontId="36" fillId="4" borderId="1" xfId="0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/>
    </xf>
    <xf numFmtId="49" fontId="39" fillId="4" borderId="0" xfId="0" applyNumberFormat="1" applyFont="1" applyFill="1" applyAlignment="1">
      <alignment horizontal="center" vertical="center"/>
    </xf>
    <xf numFmtId="0" fontId="40" fillId="0" borderId="0" xfId="0" applyFont="1" applyAlignment="1">
      <alignment horizontal="center" vertical="center"/>
    </xf>
    <xf numFmtId="0" fontId="37" fillId="6" borderId="0" xfId="0" applyFont="1" applyFill="1" applyAlignment="1">
      <alignment horizontal="center" vertical="center"/>
    </xf>
    <xf numFmtId="0" fontId="41" fillId="4" borderId="3" xfId="0" applyFont="1" applyFill="1" applyBorder="1" applyAlignment="1">
      <alignment horizontal="center" vertical="center"/>
    </xf>
    <xf numFmtId="0" fontId="41" fillId="4" borderId="7" xfId="0" applyFont="1" applyFill="1" applyBorder="1" applyAlignment="1">
      <alignment horizontal="center" vertical="center"/>
    </xf>
    <xf numFmtId="0" fontId="41" fillId="4" borderId="16" xfId="0" applyFont="1" applyFill="1" applyBorder="1" applyAlignment="1">
      <alignment horizontal="center" vertical="center"/>
    </xf>
    <xf numFmtId="0" fontId="36" fillId="4" borderId="3" xfId="0" applyFont="1" applyFill="1" applyBorder="1" applyAlignment="1">
      <alignment horizontal="center" vertical="center" wrapText="1"/>
    </xf>
    <xf numFmtId="0" fontId="36" fillId="4" borderId="7" xfId="0" applyFont="1" applyFill="1" applyBorder="1" applyAlignment="1">
      <alignment horizontal="center" vertical="center" wrapText="1"/>
    </xf>
    <xf numFmtId="0" fontId="36" fillId="4" borderId="16" xfId="0" applyFont="1" applyFill="1" applyBorder="1" applyAlignment="1">
      <alignment horizontal="center" vertical="center" wrapText="1"/>
    </xf>
    <xf numFmtId="44" fontId="23" fillId="0" borderId="1" xfId="0" applyNumberFormat="1" applyFont="1" applyBorder="1" applyAlignment="1">
      <alignment horizontal="center" vertical="center"/>
    </xf>
    <xf numFmtId="0" fontId="0" fillId="0" borderId="59" xfId="0" applyBorder="1"/>
    <xf numFmtId="0" fontId="37" fillId="4" borderId="60" xfId="0" applyFont="1" applyFill="1" applyBorder="1" applyAlignment="1">
      <alignment vertical="center" wrapText="1"/>
    </xf>
    <xf numFmtId="14" fontId="4" fillId="2" borderId="8" xfId="0" applyNumberFormat="1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44" fontId="4" fillId="2" borderId="17" xfId="1" applyFont="1" applyFill="1" applyBorder="1" applyAlignment="1">
      <alignment horizontal="center" vertical="center" wrapText="1"/>
    </xf>
    <xf numFmtId="44" fontId="4" fillId="2" borderId="9" xfId="1" applyFont="1" applyFill="1" applyBorder="1" applyAlignment="1">
      <alignment horizontal="center" vertical="center"/>
    </xf>
    <xf numFmtId="44" fontId="4" fillId="0" borderId="9" xfId="0" applyNumberFormat="1" applyFont="1" applyBorder="1" applyAlignment="1">
      <alignment horizontal="center" vertical="center"/>
    </xf>
    <xf numFmtId="44" fontId="4" fillId="21" borderId="9" xfId="1" applyFont="1" applyFill="1" applyBorder="1" applyAlignment="1">
      <alignment horizontal="center" vertical="center"/>
    </xf>
    <xf numFmtId="44" fontId="4" fillId="2" borderId="17" xfId="1" applyFont="1" applyFill="1" applyBorder="1" applyAlignment="1">
      <alignment horizontal="center" vertical="center"/>
    </xf>
    <xf numFmtId="44" fontId="4" fillId="0" borderId="17" xfId="1" applyFont="1" applyFill="1" applyBorder="1" applyAlignment="1">
      <alignment horizontal="center" vertical="center"/>
    </xf>
    <xf numFmtId="14" fontId="4" fillId="0" borderId="17" xfId="1" applyNumberFormat="1" applyFont="1" applyFill="1" applyBorder="1" applyAlignment="1">
      <alignment horizontal="center" vertical="center"/>
    </xf>
    <xf numFmtId="44" fontId="8" fillId="0" borderId="17" xfId="1" applyFont="1" applyFill="1" applyBorder="1" applyAlignment="1">
      <alignment horizontal="center" vertical="center"/>
    </xf>
    <xf numFmtId="14" fontId="8" fillId="0" borderId="10" xfId="1" applyNumberFormat="1" applyFont="1" applyFill="1" applyBorder="1" applyAlignment="1">
      <alignment horizontal="center"/>
    </xf>
    <xf numFmtId="14" fontId="4" fillId="2" borderId="2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4" fontId="4" fillId="2" borderId="1" xfId="1" applyFont="1" applyFill="1" applyBorder="1" applyAlignment="1">
      <alignment horizontal="center" vertical="center"/>
    </xf>
    <xf numFmtId="44" fontId="4" fillId="0" borderId="1" xfId="0" applyNumberFormat="1" applyFont="1" applyBorder="1" applyAlignment="1">
      <alignment horizontal="center" vertical="center"/>
    </xf>
    <xf numFmtId="44" fontId="4" fillId="21" borderId="1" xfId="1" applyFont="1" applyFill="1" applyBorder="1" applyAlignment="1">
      <alignment horizontal="center"/>
    </xf>
    <xf numFmtId="14" fontId="8" fillId="0" borderId="61" xfId="1" applyNumberFormat="1" applyFont="1" applyFill="1" applyBorder="1" applyAlignment="1">
      <alignment horizontal="center"/>
    </xf>
    <xf numFmtId="14" fontId="4" fillId="0" borderId="62" xfId="0" applyNumberFormat="1" applyFont="1" applyBorder="1" applyAlignment="1">
      <alignment horizontal="center"/>
    </xf>
    <xf numFmtId="0" fontId="4" fillId="2" borderId="63" xfId="0" applyFont="1" applyFill="1" applyBorder="1" applyAlignment="1">
      <alignment horizontal="center" vertical="center"/>
    </xf>
    <xf numFmtId="44" fontId="4" fillId="2" borderId="63" xfId="1" applyFont="1" applyFill="1" applyBorder="1" applyAlignment="1">
      <alignment horizontal="center" vertical="center"/>
    </xf>
    <xf numFmtId="44" fontId="4" fillId="0" borderId="63" xfId="0" applyNumberFormat="1" applyFont="1" applyBorder="1" applyAlignment="1">
      <alignment horizontal="center" vertical="center"/>
    </xf>
    <xf numFmtId="44" fontId="4" fillId="21" borderId="63" xfId="1" applyFont="1" applyFill="1" applyBorder="1" applyAlignment="1">
      <alignment horizontal="center" vertical="center"/>
    </xf>
    <xf numFmtId="44" fontId="4" fillId="2" borderId="64" xfId="1" applyFont="1" applyFill="1" applyBorder="1" applyAlignment="1">
      <alignment horizontal="center" vertical="center"/>
    </xf>
    <xf numFmtId="44" fontId="4" fillId="0" borderId="64" xfId="1" applyFont="1" applyFill="1" applyBorder="1" applyAlignment="1">
      <alignment horizontal="center" vertical="center"/>
    </xf>
    <xf numFmtId="14" fontId="4" fillId="0" borderId="64" xfId="1" applyNumberFormat="1" applyFont="1" applyFill="1" applyBorder="1" applyAlignment="1">
      <alignment horizontal="center" vertical="center"/>
    </xf>
    <xf numFmtId="44" fontId="8" fillId="0" borderId="64" xfId="1" applyFont="1" applyFill="1" applyBorder="1" applyAlignment="1">
      <alignment horizontal="center" vertical="center"/>
    </xf>
    <xf numFmtId="14" fontId="8" fillId="0" borderId="65" xfId="1" applyNumberFormat="1" applyFont="1" applyFill="1" applyBorder="1" applyAlignment="1">
      <alignment horizontal="center"/>
    </xf>
    <xf numFmtId="14" fontId="4" fillId="0" borderId="66" xfId="0" applyNumberFormat="1" applyFont="1" applyBorder="1" applyAlignment="1">
      <alignment horizontal="center" vertical="center"/>
    </xf>
    <xf numFmtId="0" fontId="4" fillId="2" borderId="67" xfId="0" applyFont="1" applyFill="1" applyBorder="1" applyAlignment="1">
      <alignment horizontal="center" vertical="center"/>
    </xf>
    <xf numFmtId="44" fontId="4" fillId="2" borderId="67" xfId="1" applyFont="1" applyFill="1" applyBorder="1" applyAlignment="1">
      <alignment horizontal="center" vertical="center" wrapText="1"/>
    </xf>
    <xf numFmtId="0" fontId="4" fillId="0" borderId="67" xfId="0" applyFont="1" applyBorder="1"/>
    <xf numFmtId="44" fontId="4" fillId="0" borderId="67" xfId="0" applyNumberFormat="1" applyFont="1" applyBorder="1" applyAlignment="1">
      <alignment horizontal="center" vertical="center"/>
    </xf>
    <xf numFmtId="0" fontId="4" fillId="21" borderId="67" xfId="0" applyFont="1" applyFill="1" applyBorder="1"/>
    <xf numFmtId="0" fontId="4" fillId="0" borderId="67" xfId="0" applyFont="1" applyBorder="1" applyAlignment="1">
      <alignment vertical="center"/>
    </xf>
    <xf numFmtId="44" fontId="4" fillId="0" borderId="67" xfId="1" applyFont="1" applyFill="1" applyBorder="1" applyAlignment="1">
      <alignment horizontal="center" vertical="center"/>
    </xf>
    <xf numFmtId="44" fontId="8" fillId="0" borderId="67" xfId="1" applyFont="1" applyFill="1" applyBorder="1" applyAlignment="1">
      <alignment horizontal="center" vertical="center"/>
    </xf>
    <xf numFmtId="14" fontId="8" fillId="0" borderId="68" xfId="1" applyNumberFormat="1" applyFont="1" applyFill="1" applyBorder="1" applyAlignment="1">
      <alignment horizontal="center"/>
    </xf>
    <xf numFmtId="14" fontId="4" fillId="2" borderId="25" xfId="0" applyNumberFormat="1" applyFont="1" applyFill="1" applyBorder="1" applyAlignment="1">
      <alignment horizontal="center" vertical="center"/>
    </xf>
    <xf numFmtId="0" fontId="4" fillId="2" borderId="69" xfId="0" applyFont="1" applyFill="1" applyBorder="1" applyAlignment="1">
      <alignment horizontal="center" vertical="center"/>
    </xf>
    <xf numFmtId="0" fontId="4" fillId="0" borderId="17" xfId="0" applyFont="1" applyBorder="1" applyAlignment="1">
      <alignment horizontal="center" vertical="center" wrapText="1"/>
    </xf>
    <xf numFmtId="44" fontId="4" fillId="2" borderId="17" xfId="1" applyFont="1" applyFill="1" applyBorder="1" applyAlignment="1">
      <alignment horizontal="center" vertical="center"/>
    </xf>
    <xf numFmtId="44" fontId="4" fillId="0" borderId="17" xfId="0" applyNumberFormat="1" applyFont="1" applyBorder="1" applyAlignment="1">
      <alignment horizontal="center" vertical="center"/>
    </xf>
    <xf numFmtId="44" fontId="4" fillId="21" borderId="17" xfId="1" applyFont="1" applyFill="1" applyBorder="1" applyAlignment="1">
      <alignment horizontal="center" vertical="center"/>
    </xf>
    <xf numFmtId="44" fontId="4" fillId="0" borderId="17" xfId="1" applyFont="1" applyFill="1" applyBorder="1" applyAlignment="1">
      <alignment horizontal="center" vertical="center"/>
    </xf>
    <xf numFmtId="14" fontId="4" fillId="0" borderId="9" xfId="1" applyNumberFormat="1" applyFont="1" applyFill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44" fontId="8" fillId="0" borderId="17" xfId="1" applyFont="1" applyFill="1" applyBorder="1" applyAlignment="1">
      <alignment horizontal="center" vertical="center"/>
    </xf>
    <xf numFmtId="14" fontId="4" fillId="2" borderId="70" xfId="0" applyNumberFormat="1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0" borderId="15" xfId="0" applyFont="1" applyBorder="1" applyAlignment="1">
      <alignment horizontal="center" vertical="center" wrapText="1"/>
    </xf>
    <xf numFmtId="44" fontId="4" fillId="2" borderId="15" xfId="1" applyFont="1" applyFill="1" applyBorder="1" applyAlignment="1">
      <alignment horizontal="center" vertical="center"/>
    </xf>
    <xf numFmtId="44" fontId="4" fillId="0" borderId="15" xfId="0" applyNumberFormat="1" applyFont="1" applyBorder="1" applyAlignment="1">
      <alignment horizontal="center" vertical="center"/>
    </xf>
    <xf numFmtId="44" fontId="4" fillId="21" borderId="15" xfId="1" applyFont="1" applyFill="1" applyBorder="1" applyAlignment="1">
      <alignment horizontal="center" vertical="center"/>
    </xf>
    <xf numFmtId="44" fontId="4" fillId="2" borderId="15" xfId="1" applyFont="1" applyFill="1" applyBorder="1" applyAlignment="1">
      <alignment vertical="center"/>
    </xf>
    <xf numFmtId="44" fontId="4" fillId="0" borderId="15" xfId="1" applyFont="1" applyFill="1" applyBorder="1" applyAlignment="1">
      <alignment horizontal="center" vertical="center"/>
    </xf>
    <xf numFmtId="14" fontId="4" fillId="0" borderId="15" xfId="1" applyNumberFormat="1" applyFont="1" applyFill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14" fontId="8" fillId="0" borderId="15" xfId="1" applyNumberFormat="1" applyFont="1" applyFill="1" applyBorder="1" applyAlignment="1">
      <alignment horizontal="center" vertical="center"/>
    </xf>
    <xf numFmtId="14" fontId="4" fillId="0" borderId="71" xfId="0" applyNumberFormat="1" applyFont="1" applyBorder="1" applyAlignment="1">
      <alignment horizontal="center" vertical="center"/>
    </xf>
    <xf numFmtId="0" fontId="4" fillId="2" borderId="71" xfId="0" applyFont="1" applyFill="1" applyBorder="1" applyAlignment="1">
      <alignment horizontal="center" vertical="center"/>
    </xf>
    <xf numFmtId="0" fontId="4" fillId="0" borderId="72" xfId="0" applyFont="1" applyBorder="1" applyAlignment="1">
      <alignment horizontal="center" vertical="center" wrapText="1"/>
    </xf>
    <xf numFmtId="0" fontId="4" fillId="0" borderId="73" xfId="0" applyFont="1" applyBorder="1"/>
    <xf numFmtId="44" fontId="4" fillId="0" borderId="74" xfId="0" applyNumberFormat="1" applyFont="1" applyBorder="1" applyAlignment="1">
      <alignment horizontal="center" vertical="center"/>
    </xf>
    <xf numFmtId="44" fontId="4" fillId="21" borderId="74" xfId="0" applyNumberFormat="1" applyFont="1" applyFill="1" applyBorder="1" applyAlignment="1">
      <alignment horizontal="center" vertical="center"/>
    </xf>
    <xf numFmtId="44" fontId="4" fillId="2" borderId="74" xfId="1" applyFont="1" applyFill="1" applyBorder="1" applyAlignment="1">
      <alignment vertical="center"/>
    </xf>
    <xf numFmtId="44" fontId="4" fillId="0" borderId="74" xfId="1" applyFont="1" applyFill="1" applyBorder="1" applyAlignment="1">
      <alignment vertical="center"/>
    </xf>
    <xf numFmtId="14" fontId="4" fillId="0" borderId="74" xfId="1" applyNumberFormat="1" applyFont="1" applyFill="1" applyBorder="1" applyAlignment="1">
      <alignment horizontal="center" vertical="center"/>
    </xf>
    <xf numFmtId="44" fontId="8" fillId="0" borderId="74" xfId="1" applyFont="1" applyFill="1" applyBorder="1" applyAlignment="1">
      <alignment vertical="center"/>
    </xf>
    <xf numFmtId="44" fontId="8" fillId="0" borderId="75" xfId="1" applyFont="1" applyFill="1" applyBorder="1" applyAlignment="1"/>
    <xf numFmtId="14" fontId="4" fillId="0" borderId="76" xfId="0" applyNumberFormat="1" applyFont="1" applyBorder="1" applyAlignment="1">
      <alignment horizontal="center" vertical="center"/>
    </xf>
    <xf numFmtId="0" fontId="4" fillId="2" borderId="44" xfId="0" applyFont="1" applyFill="1" applyBorder="1" applyAlignment="1">
      <alignment horizontal="center" vertical="center"/>
    </xf>
    <xf numFmtId="0" fontId="4" fillId="0" borderId="17" xfId="0" applyFont="1" applyBorder="1" applyAlignment="1">
      <alignment horizontal="center" vertical="center" wrapText="1"/>
    </xf>
    <xf numFmtId="44" fontId="4" fillId="0" borderId="17" xfId="1" applyFont="1" applyFill="1" applyBorder="1" applyAlignment="1">
      <alignment horizontal="center"/>
    </xf>
    <xf numFmtId="44" fontId="4" fillId="21" borderId="17" xfId="0" applyNumberFormat="1" applyFont="1" applyFill="1" applyBorder="1" applyAlignment="1">
      <alignment horizontal="center" vertical="center"/>
    </xf>
    <xf numFmtId="44" fontId="4" fillId="2" borderId="17" xfId="1" applyFont="1" applyFill="1" applyBorder="1" applyAlignment="1">
      <alignment vertical="center"/>
    </xf>
    <xf numFmtId="8" fontId="4" fillId="0" borderId="17" xfId="1" applyNumberFormat="1" applyFont="1" applyFill="1" applyBorder="1" applyAlignment="1">
      <alignment vertical="center"/>
    </xf>
    <xf numFmtId="14" fontId="4" fillId="0" borderId="17" xfId="1" applyNumberFormat="1" applyFont="1" applyFill="1" applyBorder="1" applyAlignment="1">
      <alignment horizontal="center" vertical="center"/>
    </xf>
    <xf numFmtId="44" fontId="8" fillId="0" borderId="17" xfId="1" applyFont="1" applyFill="1" applyBorder="1" applyAlignment="1">
      <alignment vertical="center"/>
    </xf>
    <xf numFmtId="44" fontId="8" fillId="0" borderId="77" xfId="1" applyFont="1" applyFill="1" applyBorder="1" applyAlignment="1"/>
    <xf numFmtId="14" fontId="4" fillId="0" borderId="78" xfId="0" applyNumberFormat="1" applyFont="1" applyBorder="1" applyAlignment="1">
      <alignment horizontal="center" vertical="center"/>
    </xf>
    <xf numFmtId="44" fontId="4" fillId="0" borderId="79" xfId="1" applyFont="1" applyFill="1" applyBorder="1" applyAlignment="1">
      <alignment horizontal="center" vertical="center" wrapText="1"/>
    </xf>
    <xf numFmtId="44" fontId="4" fillId="0" borderId="74" xfId="1" applyFont="1" applyFill="1" applyBorder="1" applyAlignment="1">
      <alignment horizontal="center"/>
    </xf>
    <xf numFmtId="44" fontId="4" fillId="21" borderId="74" xfId="1" applyFont="1" applyFill="1" applyBorder="1" applyAlignment="1">
      <alignment horizontal="center"/>
    </xf>
    <xf numFmtId="44" fontId="4" fillId="0" borderId="74" xfId="1" applyFont="1" applyFill="1" applyBorder="1" applyAlignment="1">
      <alignment horizontal="center" vertical="center"/>
    </xf>
    <xf numFmtId="44" fontId="8" fillId="0" borderId="74" xfId="1" applyFont="1" applyFill="1" applyBorder="1" applyAlignment="1">
      <alignment horizontal="center" vertical="center"/>
    </xf>
    <xf numFmtId="14" fontId="8" fillId="0" borderId="75" xfId="1" applyNumberFormat="1" applyFont="1" applyFill="1" applyBorder="1" applyAlignment="1">
      <alignment horizontal="center"/>
    </xf>
    <xf numFmtId="14" fontId="4" fillId="0" borderId="2" xfId="0" applyNumberFormat="1" applyFont="1" applyBorder="1" applyAlignment="1">
      <alignment horizontal="center" vertical="center"/>
    </xf>
    <xf numFmtId="44" fontId="4" fillId="0" borderId="36" xfId="1" applyFont="1" applyFill="1" applyBorder="1" applyAlignment="1">
      <alignment horizontal="center" vertical="center" wrapText="1"/>
    </xf>
    <xf numFmtId="44" fontId="4" fillId="0" borderId="80" xfId="1" applyFont="1" applyFill="1" applyBorder="1" applyAlignment="1">
      <alignment horizontal="center"/>
    </xf>
    <xf numFmtId="44" fontId="4" fillId="0" borderId="80" xfId="0" applyNumberFormat="1" applyFont="1" applyBorder="1" applyAlignment="1">
      <alignment horizontal="center" vertical="center"/>
    </xf>
    <xf numFmtId="44" fontId="4" fillId="21" borderId="80" xfId="1" applyFont="1" applyFill="1" applyBorder="1" applyAlignment="1">
      <alignment horizontal="center"/>
    </xf>
    <xf numFmtId="44" fontId="4" fillId="0" borderId="81" xfId="1" applyFont="1" applyFill="1" applyBorder="1" applyAlignment="1">
      <alignment horizontal="center" vertical="center"/>
    </xf>
    <xf numFmtId="14" fontId="4" fillId="0" borderId="80" xfId="1" applyNumberFormat="1" applyFont="1" applyFill="1" applyBorder="1" applyAlignment="1">
      <alignment horizontal="center" vertical="center"/>
    </xf>
    <xf numFmtId="44" fontId="8" fillId="0" borderId="81" xfId="1" applyFont="1" applyFill="1" applyBorder="1" applyAlignment="1">
      <alignment horizontal="center" vertical="center"/>
    </xf>
    <xf numFmtId="14" fontId="8" fillId="0" borderId="82" xfId="1" applyNumberFormat="1" applyFont="1" applyFill="1" applyBorder="1" applyAlignment="1">
      <alignment horizontal="center"/>
    </xf>
    <xf numFmtId="44" fontId="4" fillId="0" borderId="63" xfId="1" applyFont="1" applyFill="1" applyBorder="1" applyAlignment="1">
      <alignment horizontal="center"/>
    </xf>
    <xf numFmtId="44" fontId="4" fillId="21" borderId="63" xfId="1" applyFont="1" applyFill="1" applyBorder="1" applyAlignment="1">
      <alignment horizontal="center"/>
    </xf>
    <xf numFmtId="14" fontId="4" fillId="0" borderId="63" xfId="1" applyNumberFormat="1" applyFont="1" applyFill="1" applyBorder="1" applyAlignment="1">
      <alignment horizontal="center" vertical="center"/>
    </xf>
    <xf numFmtId="14" fontId="8" fillId="0" borderId="83" xfId="1" applyNumberFormat="1" applyFont="1" applyFill="1" applyBorder="1" applyAlignment="1">
      <alignment horizontal="center"/>
    </xf>
    <xf numFmtId="14" fontId="4" fillId="0" borderId="84" xfId="0" applyNumberFormat="1" applyFont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44" fontId="4" fillId="9" borderId="17" xfId="1" applyFont="1" applyFill="1" applyBorder="1" applyAlignment="1">
      <alignment horizontal="center"/>
    </xf>
    <xf numFmtId="44" fontId="4" fillId="9" borderId="17" xfId="0" applyNumberFormat="1" applyFont="1" applyFill="1" applyBorder="1" applyAlignment="1">
      <alignment horizontal="center" vertical="center"/>
    </xf>
    <xf numFmtId="44" fontId="4" fillId="21" borderId="17" xfId="1" applyFont="1" applyFill="1" applyBorder="1" applyAlignment="1">
      <alignment horizontal="center"/>
    </xf>
    <xf numFmtId="44" fontId="4" fillId="9" borderId="17" xfId="1" applyFont="1" applyFill="1" applyBorder="1" applyAlignment="1">
      <alignment horizontal="center" vertical="center"/>
    </xf>
    <xf numFmtId="44" fontId="8" fillId="9" borderId="17" xfId="1" applyFont="1" applyFill="1" applyBorder="1" applyAlignment="1">
      <alignment horizontal="center" vertical="center"/>
    </xf>
    <xf numFmtId="14" fontId="8" fillId="9" borderId="77" xfId="1" applyNumberFormat="1" applyFont="1" applyFill="1" applyBorder="1" applyAlignment="1">
      <alignment horizontal="center"/>
    </xf>
    <xf numFmtId="14" fontId="4" fillId="0" borderId="28" xfId="0" applyNumberFormat="1" applyFont="1" applyBorder="1" applyAlignment="1">
      <alignment horizontal="center" vertical="center"/>
    </xf>
    <xf numFmtId="0" fontId="4" fillId="2" borderId="85" xfId="0" applyFont="1" applyFill="1" applyBorder="1" applyAlignment="1">
      <alignment horizontal="center" vertical="center"/>
    </xf>
    <xf numFmtId="44" fontId="4" fillId="0" borderId="85" xfId="1" applyFont="1" applyFill="1" applyBorder="1" applyAlignment="1">
      <alignment horizontal="center" vertical="center" wrapText="1"/>
    </xf>
    <xf numFmtId="44" fontId="4" fillId="0" borderId="85" xfId="1" applyFont="1" applyFill="1" applyBorder="1" applyAlignment="1">
      <alignment horizontal="center"/>
    </xf>
    <xf numFmtId="44" fontId="4" fillId="0" borderId="85" xfId="0" applyNumberFormat="1" applyFont="1" applyBorder="1" applyAlignment="1">
      <alignment horizontal="center" vertical="center"/>
    </xf>
    <xf numFmtId="44" fontId="4" fillId="21" borderId="85" xfId="1" applyFont="1" applyFill="1" applyBorder="1" applyAlignment="1">
      <alignment horizontal="center"/>
    </xf>
    <xf numFmtId="44" fontId="4" fillId="0" borderId="85" xfId="1" applyFont="1" applyFill="1" applyBorder="1" applyAlignment="1">
      <alignment horizontal="center" vertical="center"/>
    </xf>
    <xf numFmtId="14" fontId="4" fillId="0" borderId="85" xfId="1" applyNumberFormat="1" applyFont="1" applyFill="1" applyBorder="1" applyAlignment="1">
      <alignment horizontal="center" vertical="center"/>
    </xf>
    <xf numFmtId="44" fontId="8" fillId="0" borderId="85" xfId="1" applyFont="1" applyFill="1" applyBorder="1" applyAlignment="1">
      <alignment horizontal="center" vertical="center"/>
    </xf>
    <xf numFmtId="14" fontId="8" fillId="0" borderId="85" xfId="0" applyNumberFormat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543"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</dxfs>
  <tableStyles count="0" defaultTableStyle="TableStyleMedium2" defaultPivotStyle="PivotStyleLight16"/>
  <colors>
    <mruColors>
      <color rgb="FF0066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fr-FR" sz="16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sz="16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rPr>
              <a:t>FOURNISSEURS SERRURERIE</a:t>
            </a:r>
          </a:p>
        </c:rich>
      </c:tx>
      <c:overlay val="0"/>
      <c:spPr>
        <a:solidFill>
          <a:schemeClr val="accent6">
            <a:lumMod val="75000"/>
          </a:schemeClr>
        </a:solidFill>
        <a:ln>
          <a:solidFill>
            <a:schemeClr val="bg1"/>
          </a:solidFill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fr-FR" sz="1600" b="1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tx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lang="en-US" sz="105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'ACHATS FRS 20'!$B$24:$B$31</c:f>
              <c:strCache>
                <c:ptCount val="8"/>
                <c:pt idx="0">
                  <c:v>SOPIMAT</c:v>
                </c:pt>
                <c:pt idx="1">
                  <c:v>SASERQ</c:v>
                </c:pt>
                <c:pt idx="2">
                  <c:v>EQUINOX/ ZIG ZAG</c:v>
                </c:pt>
                <c:pt idx="3">
                  <c:v>ETS POMMEZ/Qllerie st JEAN</c:v>
                </c:pt>
                <c:pt idx="4">
                  <c:v>CHANTIERS AUDEBERT</c:v>
                </c:pt>
                <c:pt idx="5">
                  <c:v>OUTICOUP</c:v>
                </c:pt>
                <c:pt idx="6">
                  <c:v>TROPIC PROFIL GUADELOUPE</c:v>
                </c:pt>
                <c:pt idx="7">
                  <c:v>LB TECHNOLOGIES</c:v>
                </c:pt>
              </c:strCache>
            </c:strRef>
          </c:cat>
          <c:val>
            <c:numRef>
              <c:f>'ACHATS FRS 20'!$O$24:$O$31</c:f>
              <c:numCache>
                <c:formatCode>_("€"* #,##0.00_);_("€"* \(#,##0.00\);_("€"* "-"??_);_(@_)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219-4366-AB28-76E4B113E71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35497856"/>
        <c:axId val="35499392"/>
      </c:barChart>
      <c:catAx>
        <c:axId val="354978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n-US" sz="1000" b="1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499392"/>
        <c:crosses val="autoZero"/>
        <c:auto val="1"/>
        <c:lblAlgn val="ctr"/>
        <c:lblOffset val="100"/>
        <c:noMultiLvlLbl val="0"/>
      </c:catAx>
      <c:valAx>
        <c:axId val="35499392"/>
        <c:scaling>
          <c:orientation val="minMax"/>
        </c:scaling>
        <c:delete val="1"/>
        <c:axPos val="l"/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crossAx val="354978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38100" cap="flat" cmpd="dbl" algn="ctr">
      <a:noFill/>
      <a:prstDash val="lgDashDotDot"/>
      <a:round/>
    </a:ln>
    <a:effectLst/>
  </c:spPr>
  <c:txPr>
    <a:bodyPr/>
    <a:lstStyle/>
    <a:p>
      <a:pPr>
        <a:defRPr lang="en-US" sz="1000" b="0" i="0" u="none" strike="noStrike" kern="1200" baseline="0">
          <a:solidFill>
            <a:schemeClr val="tx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fr-FR" sz="16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sz="16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rPr>
              <a:t>FOURNISSEURS PEINTURE</a:t>
            </a:r>
          </a:p>
        </c:rich>
      </c:tx>
      <c:overlay val="0"/>
      <c:spPr>
        <a:solidFill>
          <a:schemeClr val="accent6">
            <a:lumMod val="75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fr-FR" sz="1600" b="1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1718768386241197E-2"/>
          <c:y val="0.17844212598425196"/>
          <c:w val="0.91704647753007307"/>
          <c:h val="0.69638628661510005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tx2"/>
            </a:solidFill>
            <a:ln>
              <a:noFill/>
              <a:prstDash val="lgDashDotDot"/>
            </a:ln>
            <a:effectLst/>
          </c:spPr>
          <c:invertIfNegative val="0"/>
          <c:dLbls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BDC4-4BAB-AA24-86DBA422242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'ACHATS FRS 20'!$B$34:$B$38</c:f>
              <c:strCache>
                <c:ptCount val="5"/>
                <c:pt idx="0">
                  <c:v>SIAPOC</c:v>
                </c:pt>
                <c:pt idx="1">
                  <c:v>CODIMA</c:v>
                </c:pt>
                <c:pt idx="2">
                  <c:v>Peinture GAUTHIER</c:v>
                </c:pt>
                <c:pt idx="3">
                  <c:v>PPG  Guadeloupe</c:v>
                </c:pt>
                <c:pt idx="4">
                  <c:v>ALLAMELOU </c:v>
                </c:pt>
              </c:strCache>
            </c:strRef>
          </c:cat>
          <c:val>
            <c:numRef>
              <c:f>'ACHATS FRS 20'!$O$34:$O$38</c:f>
              <c:numCache>
                <c:formatCode>_("€"* #,##0.00_);_("€"* \(#,##0.00\);_("€"* "-"??_);_(@_)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DC4-4BAB-AA24-86DBA42224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75723520"/>
        <c:axId val="75725056"/>
      </c:barChart>
      <c:catAx>
        <c:axId val="75723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725056"/>
        <c:crosses val="autoZero"/>
        <c:auto val="1"/>
        <c:lblAlgn val="ctr"/>
        <c:lblOffset val="100"/>
        <c:noMultiLvlLbl val="0"/>
      </c:catAx>
      <c:valAx>
        <c:axId val="75725056"/>
        <c:scaling>
          <c:orientation val="minMax"/>
        </c:scaling>
        <c:delete val="1"/>
        <c:axPos val="l"/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crossAx val="75723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38100" cap="flat" cmpd="dbl" algn="ctr">
      <a:noFill/>
      <a:prstDash val="lgDashDotDot"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sz="1600" b="1">
                <a:solidFill>
                  <a:schemeClr val="bg1"/>
                </a:solidFill>
              </a:rPr>
              <a:t>FOURNISSEURS ELECTRICITE</a:t>
            </a:r>
          </a:p>
        </c:rich>
      </c:tx>
      <c:overlay val="0"/>
      <c:spPr>
        <a:solidFill>
          <a:schemeClr val="accent6">
            <a:lumMod val="75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tx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'ACHATS FRS 20'!$B$41:$B$45</c:f>
              <c:strCache>
                <c:ptCount val="5"/>
                <c:pt idx="0">
                  <c:v>SOGUADIME</c:v>
                </c:pt>
                <c:pt idx="1">
                  <c:v>BLANDIN</c:v>
                </c:pt>
                <c:pt idx="2">
                  <c:v>TEVAH SYSTEMES</c:v>
                </c:pt>
                <c:pt idx="3">
                  <c:v>GMC</c:v>
                </c:pt>
                <c:pt idx="4">
                  <c:v>YESS ELECTRIC</c:v>
                </c:pt>
              </c:strCache>
            </c:strRef>
          </c:cat>
          <c:val>
            <c:numRef>
              <c:f>'ACHATS FRS 20'!$O$41:$O$45</c:f>
              <c:numCache>
                <c:formatCode>_("€"* #,##0.00_);_("€"* \(#,##0.00\);_("€"* "-"??_);_(@_)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416-4A68-86A1-B6B3AC1994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75733632"/>
        <c:axId val="78123392"/>
      </c:barChart>
      <c:catAx>
        <c:axId val="75733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123392"/>
        <c:crosses val="autoZero"/>
        <c:auto val="1"/>
        <c:lblAlgn val="ctr"/>
        <c:lblOffset val="100"/>
        <c:noMultiLvlLbl val="0"/>
      </c:catAx>
      <c:valAx>
        <c:axId val="78123392"/>
        <c:scaling>
          <c:orientation val="minMax"/>
        </c:scaling>
        <c:delete val="1"/>
        <c:axPos val="l"/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crossAx val="757336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38100" cap="flat" cmpd="dbl" algn="ctr">
      <a:noFill/>
      <a:prstDash val="lgDashDotDot"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fr-FR" sz="16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sz="16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rPr>
              <a:t>ACHATS DIVERS</a:t>
            </a:r>
          </a:p>
        </c:rich>
      </c:tx>
      <c:overlay val="0"/>
      <c:spPr>
        <a:solidFill>
          <a:schemeClr val="accent6">
            <a:lumMod val="75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fr-FR" sz="1600" b="1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tx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'ACHATS FRS 20'!$B$48:$B$52</c:f>
              <c:strCache>
                <c:ptCount val="5"/>
                <c:pt idx="0">
                  <c:v>DIVERS MAT 1ère</c:v>
                </c:pt>
                <c:pt idx="1">
                  <c:v>MAJY SERVICES</c:v>
                </c:pt>
                <c:pt idx="2">
                  <c:v>ZOLPAN</c:v>
                </c:pt>
                <c:pt idx="3">
                  <c:v>SOUS TRAITANT</c:v>
                </c:pt>
                <c:pt idx="4">
                  <c:v>KOS</c:v>
                </c:pt>
              </c:strCache>
            </c:strRef>
          </c:cat>
          <c:val>
            <c:numRef>
              <c:f>'ACHATS FRS 20'!$O$48:$O$52</c:f>
              <c:numCache>
                <c:formatCode>_("€"* #,##0.00_);_("€"* \(#,##0.00\);_("€"* "-"??_);_(@_)</c:formatCode>
                <c:ptCount val="5"/>
                <c:pt idx="0">
                  <c:v>3568.74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27F-4D14-AB07-62AE4E74E89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8144640"/>
        <c:axId val="78146176"/>
      </c:barChart>
      <c:catAx>
        <c:axId val="781446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146176"/>
        <c:crosses val="autoZero"/>
        <c:auto val="1"/>
        <c:lblAlgn val="ctr"/>
        <c:lblOffset val="100"/>
        <c:noMultiLvlLbl val="0"/>
      </c:catAx>
      <c:valAx>
        <c:axId val="78146176"/>
        <c:scaling>
          <c:orientation val="minMax"/>
        </c:scaling>
        <c:delete val="1"/>
        <c:axPos val="l"/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crossAx val="781446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38100" cap="flat" cmpd="dbl" algn="ctr">
      <a:noFill/>
      <a:prstDash val="lgDashDotDot"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fr-FR" sz="16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sz="1600" b="1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rPr>
              <a:t>FRAIS GENERAUX</a:t>
            </a:r>
          </a:p>
        </c:rich>
      </c:tx>
      <c:overlay val="0"/>
      <c:spPr>
        <a:solidFill>
          <a:schemeClr val="accent6">
            <a:lumMod val="75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fr-FR" sz="1600" b="1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tx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'ACHATS FRS 20'!$B$55:$B$62</c:f>
              <c:strCache>
                <c:ptCount val="8"/>
                <c:pt idx="0">
                  <c:v>DIVERS FRAIS GNX</c:v>
                </c:pt>
                <c:pt idx="1">
                  <c:v>TELECOM</c:v>
                </c:pt>
                <c:pt idx="2">
                  <c:v>EDF</c:v>
                </c:pt>
                <c:pt idx="3">
                  <c:v>EQUIPEMENT</c:v>
                </c:pt>
                <c:pt idx="4">
                  <c:v>ENTRETIEN</c:v>
                </c:pt>
                <c:pt idx="5">
                  <c:v>BUREAUTIQUE</c:v>
                </c:pt>
                <c:pt idx="6">
                  <c:v>RESTAURANT</c:v>
                </c:pt>
                <c:pt idx="7">
                  <c:v>DEPLACEMENT</c:v>
                </c:pt>
              </c:strCache>
            </c:strRef>
          </c:cat>
          <c:val>
            <c:numRef>
              <c:f>'ACHATS FRS 20'!$O$55:$O$62</c:f>
              <c:numCache>
                <c:formatCode>_("€"* #,##0.00_);_("€"* \(#,##0.00\);_("€"* "-"??_);_(@_)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884-4F52-B436-2D6E4D0E2C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1268096"/>
        <c:axId val="81269888"/>
      </c:barChart>
      <c:catAx>
        <c:axId val="812680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269888"/>
        <c:crosses val="autoZero"/>
        <c:auto val="1"/>
        <c:lblAlgn val="ctr"/>
        <c:lblOffset val="100"/>
        <c:noMultiLvlLbl val="0"/>
      </c:catAx>
      <c:valAx>
        <c:axId val="81269888"/>
        <c:scaling>
          <c:orientation val="minMax"/>
        </c:scaling>
        <c:delete val="1"/>
        <c:axPos val="l"/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crossAx val="812680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38100" cap="flat" cmpd="dbl" algn="ctr">
      <a:noFill/>
      <a:prstDash val="lgDashDotDot"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3200" b="1" i="0" u="none" strike="noStrike" kern="1200" cap="all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sz="3200">
                <a:solidFill>
                  <a:schemeClr val="bg1"/>
                </a:solidFill>
              </a:rPr>
              <a:t>DEPENSES</a:t>
            </a:r>
            <a:r>
              <a:rPr lang="fr-FR" sz="3200" baseline="0">
                <a:solidFill>
                  <a:schemeClr val="bg1"/>
                </a:solidFill>
              </a:rPr>
              <a:t> FOURNISSEURS ANNUELLES</a:t>
            </a:r>
            <a:endParaRPr lang="fr-FR" sz="3200">
              <a:solidFill>
                <a:schemeClr val="bg1"/>
              </a:solidFill>
            </a:endParaRPr>
          </a:p>
        </c:rich>
      </c:tx>
      <c:overlay val="0"/>
      <c:spPr>
        <a:solidFill>
          <a:schemeClr val="accent6">
            <a:lumMod val="75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3200" b="1" i="0" u="none" strike="noStrike" kern="1200" cap="all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9289666489096069"/>
          <c:y val="0.20114597747533711"/>
          <c:w val="0.59617520879690056"/>
          <c:h val="0.74690236375790209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76F3-420B-837A-502B49B311F3}"/>
              </c:ext>
            </c:extLst>
          </c:dPt>
          <c:dPt>
            <c:idx val="1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2-76F3-420B-837A-502B49B311F3}"/>
              </c:ext>
            </c:extLst>
          </c:dPt>
          <c:dPt>
            <c:idx val="2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76F3-420B-837A-502B49B311F3}"/>
              </c:ext>
            </c:extLst>
          </c:dPt>
          <c:dPt>
            <c:idx val="3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6-76F3-420B-837A-502B49B311F3}"/>
              </c:ext>
            </c:extLst>
          </c:dPt>
          <c:dPt>
            <c:idx val="4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4-76F3-420B-837A-502B49B311F3}"/>
              </c:ext>
            </c:extLst>
          </c:dPt>
          <c:dPt>
            <c:idx val="5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76F3-420B-837A-502B49B311F3}"/>
              </c:ext>
            </c:extLst>
          </c:dPt>
          <c:dLbls>
            <c:dLbl>
              <c:idx val="0"/>
              <c:layout>
                <c:manualLayout>
                  <c:x val="7.2126224300063102E-3"/>
                  <c:y val="3.2051278006854693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2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6571897351320589"/>
                      <c:h val="0.11257216427264231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76F3-420B-837A-502B49B311F3}"/>
                </c:ext>
              </c:extLst>
            </c:dLbl>
            <c:dLbl>
              <c:idx val="1"/>
              <c:layout>
                <c:manualLayout>
                  <c:x val="2.1637867290018979E-2"/>
                  <c:y val="-1.6025639003427929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76F3-420B-837A-502B49B311F3}"/>
                </c:ext>
              </c:extLst>
            </c:dLbl>
            <c:dLbl>
              <c:idx val="2"/>
              <c:layout>
                <c:manualLayout>
                  <c:x val="2.0435763551684593E-2"/>
                  <c:y val="0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76F3-420B-837A-502B49B311F3}"/>
                </c:ext>
              </c:extLst>
            </c:dLbl>
            <c:dLbl>
              <c:idx val="3"/>
              <c:layout>
                <c:manualLayout>
                  <c:x val="-1.081893364500949E-2"/>
                  <c:y val="-1.9230766804112811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spc="0" baseline="0">
                      <a:solidFill>
                        <a:schemeClr val="accent6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76F3-420B-837A-502B49B311F3}"/>
                </c:ext>
              </c:extLst>
            </c:dLbl>
            <c:dLbl>
              <c:idx val="4"/>
              <c:layout>
                <c:manualLayout>
                  <c:x val="-2.644628224335652E-2"/>
                  <c:y val="-1.1217947302399198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spc="0" baseline="0">
                      <a:solidFill>
                        <a:schemeClr val="accent5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76F3-420B-837A-502B49B311F3}"/>
                </c:ext>
              </c:extLst>
            </c:dLbl>
            <c:dLbl>
              <c:idx val="5"/>
              <c:layout>
                <c:manualLayout>
                  <c:x val="-2.4042074766687754E-3"/>
                  <c:y val="2.8846150206169187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2000" b="1" i="0" u="none" strike="noStrike" kern="1200" spc="0" baseline="0">
                      <a:solidFill>
                        <a:schemeClr val="accent4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76F3-420B-837A-502B49B311F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000" b="1" i="0" u="none" strike="noStrike" kern="1200" spc="0" baseline="0">
                    <a:solidFill>
                      <a:schemeClr val="accent6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'ACHATS FRS 20'!$AM$50:$AR$50</c:f>
              <c:strCache>
                <c:ptCount val="6"/>
                <c:pt idx="0">
                  <c:v>EXPORT / TRANSPORT</c:v>
                </c:pt>
                <c:pt idx="1">
                  <c:v>SERRURERIE</c:v>
                </c:pt>
                <c:pt idx="2">
                  <c:v>PEINTURE</c:v>
                </c:pt>
                <c:pt idx="3">
                  <c:v>ELECTRICITE</c:v>
                </c:pt>
                <c:pt idx="4">
                  <c:v>DIVERS MAT 1 ère</c:v>
                </c:pt>
                <c:pt idx="5">
                  <c:v>FRAIS GENERAUX</c:v>
                </c:pt>
              </c:strCache>
            </c:strRef>
          </c:cat>
          <c:val>
            <c:numRef>
              <c:f>'ACHATS FRS 20'!$AM$51:$AR$51</c:f>
              <c:numCache>
                <c:formatCode>_("€"* #,##0.00_);_("€"* \(#,##0.00\);_("€"* "-"??_);_(@_)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3568.74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6F3-420B-837A-502B49B311F3}"/>
            </c:ext>
          </c:extLst>
        </c:ser>
        <c:dLbls>
          <c:dLblPos val="out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600">
                <a:solidFill>
                  <a:schemeClr val="bg1"/>
                </a:solidFill>
              </a:defRPr>
            </a:pPr>
            <a:r>
              <a:rPr lang="en-US" sz="1600">
                <a:solidFill>
                  <a:schemeClr val="bg1"/>
                </a:solidFill>
              </a:rPr>
              <a:t>FGOURNISSEURS</a:t>
            </a:r>
            <a:r>
              <a:rPr lang="en-US" sz="1600" baseline="0">
                <a:solidFill>
                  <a:schemeClr val="bg1"/>
                </a:solidFill>
              </a:rPr>
              <a:t> TRANSPORT</a:t>
            </a:r>
            <a:endParaRPr lang="en-US" sz="1600">
              <a:solidFill>
                <a:schemeClr val="bg1"/>
              </a:solidFill>
            </a:endParaRPr>
          </a:p>
        </c:rich>
      </c:tx>
      <c:overlay val="0"/>
      <c:spPr>
        <a:solidFill>
          <a:schemeClr val="accent6">
            <a:lumMod val="75000"/>
          </a:schemeClr>
        </a:solidFill>
        <a:ln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tx2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'ACHATS FRS 20'!$B$7:$B$16</c:f>
              <c:strCache>
                <c:ptCount val="10"/>
                <c:pt idx="0">
                  <c:v>VIMAR/CEVAM</c:v>
                </c:pt>
                <c:pt idx="1">
                  <c:v>FAAC</c:v>
                </c:pt>
                <c:pt idx="2">
                  <c:v>DAD / DECAYEUX</c:v>
                </c:pt>
                <c:pt idx="3">
                  <c:v>PAUMELLES LIEGEOISE</c:v>
                </c:pt>
                <c:pt idx="4">
                  <c:v>EUROTECH/ DORTEL</c:v>
                </c:pt>
                <c:pt idx="5">
                  <c:v>JOINT DUAL</c:v>
                </c:pt>
                <c:pt idx="6">
                  <c:v>TORBEL</c:v>
                </c:pt>
                <c:pt idx="7">
                  <c:v>GENIUS</c:v>
                </c:pt>
                <c:pt idx="8">
                  <c:v>OPTIMACHINES</c:v>
                </c:pt>
                <c:pt idx="9">
                  <c:v>KASTO</c:v>
                </c:pt>
              </c:strCache>
            </c:strRef>
          </c:cat>
          <c:val>
            <c:numRef>
              <c:f>'ACHATS FRS 20'!$O$7:$O$16</c:f>
              <c:numCache>
                <c:formatCode>_("€"* #,##0.00_);_("€"* \(#,##0.00\);_("€"* "-"??_);_(@_)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C3C-4381-B6BE-1F4ABEF9181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overlap val="40"/>
        <c:axId val="81684736"/>
        <c:axId val="81707008"/>
      </c:barChart>
      <c:catAx>
        <c:axId val="8168473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1000" b="1"/>
            </a:pPr>
            <a:endParaRPr lang="fr-FR"/>
          </a:p>
        </c:txPr>
        <c:crossAx val="81707008"/>
        <c:crosses val="autoZero"/>
        <c:auto val="1"/>
        <c:lblAlgn val="ctr"/>
        <c:lblOffset val="100"/>
        <c:noMultiLvlLbl val="0"/>
      </c:catAx>
      <c:valAx>
        <c:axId val="81707008"/>
        <c:scaling>
          <c:orientation val="minMax"/>
        </c:scaling>
        <c:delete val="1"/>
        <c:axPos val="l"/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crossAx val="81684736"/>
        <c:crosses val="autoZero"/>
        <c:crossBetween val="between"/>
      </c:valAx>
      <c:spPr>
        <a:ln>
          <a:noFill/>
        </a:ln>
      </c:spPr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600"/>
            </a:pPr>
            <a:r>
              <a:rPr lang="fr-FR" sz="1600">
                <a:solidFill>
                  <a:schemeClr val="bg1"/>
                </a:solidFill>
              </a:rPr>
              <a:t>FOURNISSEURS EXPORTS</a:t>
            </a:r>
          </a:p>
        </c:rich>
      </c:tx>
      <c:overlay val="0"/>
      <c:spPr>
        <a:solidFill>
          <a:schemeClr val="accent6">
            <a:lumMod val="75000"/>
          </a:schemeClr>
        </a:solidFill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tx2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'ACHATS FRS 20'!$B$18:$B$21</c:f>
              <c:strCache>
                <c:ptCount val="4"/>
                <c:pt idx="0">
                  <c:v>FEDEX</c:v>
                </c:pt>
                <c:pt idx="1">
                  <c:v>CHRONOPOST</c:v>
                </c:pt>
                <c:pt idx="2">
                  <c:v>COLISSIMO</c:v>
                </c:pt>
                <c:pt idx="3">
                  <c:v>SCHENKER</c:v>
                </c:pt>
              </c:strCache>
            </c:strRef>
          </c:cat>
          <c:val>
            <c:numRef>
              <c:f>'ACHATS FRS 20'!$O$18:$O$21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E75-4B66-A286-7A7B92BDEE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82063360"/>
        <c:axId val="82064896"/>
      </c:barChart>
      <c:catAx>
        <c:axId val="82063360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82064896"/>
        <c:crosses val="autoZero"/>
        <c:auto val="1"/>
        <c:lblAlgn val="ctr"/>
        <c:lblOffset val="100"/>
        <c:noMultiLvlLbl val="0"/>
      </c:catAx>
      <c:valAx>
        <c:axId val="82064896"/>
        <c:scaling>
          <c:orientation val="minMax"/>
        </c:scaling>
        <c:delete val="1"/>
        <c:axPos val="l"/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crossAx val="82063360"/>
        <c:crosses val="autoZero"/>
        <c:crossBetween val="between"/>
      </c:valAx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4536</xdr:colOff>
      <xdr:row>22</xdr:row>
      <xdr:rowOff>0</xdr:rowOff>
    </xdr:from>
    <xdr:to>
      <xdr:col>31</xdr:col>
      <xdr:colOff>209550</xdr:colOff>
      <xdr:row>35</xdr:row>
      <xdr:rowOff>114300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19</xdr:col>
      <xdr:colOff>151040</xdr:colOff>
      <xdr:row>35</xdr:row>
      <xdr:rowOff>190500</xdr:rowOff>
    </xdr:from>
    <xdr:to>
      <xdr:col>28</xdr:col>
      <xdr:colOff>304800</xdr:colOff>
      <xdr:row>48</xdr:row>
      <xdr:rowOff>76200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19</xdr:col>
      <xdr:colOff>21316</xdr:colOff>
      <xdr:row>49</xdr:row>
      <xdr:rowOff>95250</xdr:rowOff>
    </xdr:from>
    <xdr:to>
      <xdr:col>28</xdr:col>
      <xdr:colOff>15874</xdr:colOff>
      <xdr:row>59</xdr:row>
      <xdr:rowOff>158749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19</xdr:col>
      <xdr:colOff>23813</xdr:colOff>
      <xdr:row>61</xdr:row>
      <xdr:rowOff>171450</xdr:rowOff>
    </xdr:from>
    <xdr:to>
      <xdr:col>28</xdr:col>
      <xdr:colOff>3175</xdr:colOff>
      <xdr:row>77</xdr:row>
      <xdr:rowOff>136525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18</xdr:col>
      <xdr:colOff>595312</xdr:colOff>
      <xdr:row>79</xdr:row>
      <xdr:rowOff>25400</xdr:rowOff>
    </xdr:from>
    <xdr:to>
      <xdr:col>28</xdr:col>
      <xdr:colOff>333375</xdr:colOff>
      <xdr:row>96</xdr:row>
      <xdr:rowOff>158750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36</xdr:col>
      <xdr:colOff>345168</xdr:colOff>
      <xdr:row>13</xdr:row>
      <xdr:rowOff>97064</xdr:rowOff>
    </xdr:from>
    <xdr:to>
      <xdr:col>47</xdr:col>
      <xdr:colOff>448582</xdr:colOff>
      <xdr:row>46</xdr:row>
      <xdr:rowOff>160565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18</xdr:col>
      <xdr:colOff>95250</xdr:colOff>
      <xdr:row>3</xdr:row>
      <xdr:rowOff>50345</xdr:rowOff>
    </xdr:from>
    <xdr:to>
      <xdr:col>30</xdr:col>
      <xdr:colOff>269875</xdr:colOff>
      <xdr:row>20</xdr:row>
      <xdr:rowOff>176893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30</xdr:col>
      <xdr:colOff>473980</xdr:colOff>
      <xdr:row>4</xdr:row>
      <xdr:rowOff>136071</xdr:rowOff>
    </xdr:from>
    <xdr:to>
      <xdr:col>34</xdr:col>
      <xdr:colOff>535213</xdr:colOff>
      <xdr:row>20</xdr:row>
      <xdr:rowOff>29480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1"/>
  <dimension ref="A1:AR88"/>
  <sheetViews>
    <sheetView showGridLines="0" zoomScale="70" zoomScaleNormal="70" workbookViewId="0">
      <selection activeCell="M31" sqref="M31"/>
    </sheetView>
  </sheetViews>
  <sheetFormatPr baseColWidth="10" defaultColWidth="10.81640625" defaultRowHeight="14.5" x14ac:dyDescent="0.35"/>
  <cols>
    <col min="1" max="1" width="22.453125" style="22" bestFit="1" customWidth="1"/>
    <col min="2" max="2" width="43" style="22" bestFit="1" customWidth="1"/>
    <col min="3" max="3" width="19.453125" style="22" bestFit="1" customWidth="1"/>
    <col min="4" max="4" width="17.81640625" style="22" customWidth="1"/>
    <col min="5" max="5" width="17.7265625" style="171" customWidth="1"/>
    <col min="6" max="6" width="17.26953125" style="22" bestFit="1" customWidth="1"/>
    <col min="7" max="7" width="18.1796875" style="22" bestFit="1" customWidth="1"/>
    <col min="8" max="8" width="21.1796875" style="113" bestFit="1" customWidth="1"/>
    <col min="9" max="9" width="19" style="22" bestFit="1" customWidth="1"/>
    <col min="10" max="10" width="20.54296875" style="22" customWidth="1"/>
    <col min="11" max="11" width="21.54296875" style="22" customWidth="1"/>
    <col min="12" max="12" width="19.453125" style="22" customWidth="1"/>
    <col min="13" max="13" width="21.54296875" style="22" customWidth="1"/>
    <col min="14" max="14" width="20.81640625" style="22" customWidth="1"/>
    <col min="15" max="15" width="30.1796875" style="171" customWidth="1"/>
    <col min="16" max="16" width="26" style="22" customWidth="1"/>
    <col min="17" max="32" width="10.81640625" style="22"/>
    <col min="33" max="33" width="21.81640625" style="22" bestFit="1" customWidth="1"/>
    <col min="34" max="34" width="41.453125" style="22" bestFit="1" customWidth="1"/>
    <col min="35" max="35" width="24.54296875" style="22" bestFit="1" customWidth="1"/>
    <col min="36" max="36" width="39" style="22" bestFit="1" customWidth="1"/>
    <col min="37" max="37" width="22.7265625" style="22" bestFit="1" customWidth="1"/>
    <col min="38" max="38" width="19.54296875" style="22" bestFit="1" customWidth="1"/>
    <col min="39" max="39" width="23" style="22" bestFit="1" customWidth="1"/>
    <col min="40" max="40" width="29.54296875" style="22" bestFit="1" customWidth="1"/>
    <col min="41" max="41" width="30.453125" style="22" bestFit="1" customWidth="1"/>
    <col min="42" max="42" width="25.1796875" style="22" bestFit="1" customWidth="1"/>
    <col min="43" max="43" width="23.26953125" style="22" customWidth="1"/>
    <col min="44" max="44" width="16.7265625" style="22" customWidth="1"/>
    <col min="45" max="16384" width="10.81640625" style="22"/>
  </cols>
  <sheetData>
    <row r="1" spans="1:43" ht="28.5" x14ac:dyDescent="0.35">
      <c r="A1" s="355" t="s">
        <v>81</v>
      </c>
      <c r="B1" s="356"/>
      <c r="C1" s="356"/>
      <c r="D1" s="356"/>
      <c r="E1" s="356"/>
      <c r="F1" s="112"/>
      <c r="G1"/>
      <c r="H1" s="8"/>
      <c r="I1"/>
      <c r="J1"/>
      <c r="K1"/>
      <c r="L1"/>
      <c r="M1"/>
      <c r="N1"/>
      <c r="O1" s="3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</row>
    <row r="2" spans="1:43" s="44" customFormat="1" ht="23.5" x14ac:dyDescent="0.35">
      <c r="A2" s="353" t="s">
        <v>14</v>
      </c>
      <c r="B2" s="354"/>
      <c r="C2" s="354"/>
      <c r="D2" s="354"/>
      <c r="E2" s="111"/>
      <c r="F2" s="107"/>
      <c r="G2" s="107"/>
      <c r="H2" s="107"/>
      <c r="I2" s="7"/>
      <c r="J2" s="107"/>
      <c r="K2" s="7"/>
      <c r="L2" s="7"/>
      <c r="M2" s="7"/>
      <c r="N2" s="7"/>
      <c r="O2" s="110"/>
      <c r="P2" s="7"/>
      <c r="Q2" s="7"/>
      <c r="R2" s="7"/>
      <c r="S2" s="349" t="s">
        <v>98</v>
      </c>
      <c r="T2" s="350"/>
      <c r="U2" s="350"/>
      <c r="V2" s="350"/>
      <c r="W2" s="350"/>
      <c r="X2" s="350"/>
      <c r="Y2" s="350"/>
      <c r="Z2" s="350"/>
      <c r="AA2" s="350"/>
      <c r="AB2" s="350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</row>
    <row r="3" spans="1:43" s="172" customFormat="1" ht="26" x14ac:dyDescent="0.35">
      <c r="A3" s="106"/>
      <c r="B3" s="106"/>
      <c r="C3" s="107"/>
      <c r="D3" s="107"/>
      <c r="E3" s="107"/>
      <c r="F3" s="107"/>
      <c r="G3" s="107"/>
      <c r="H3" s="107"/>
      <c r="I3" s="107"/>
      <c r="J3" s="107"/>
      <c r="K3" s="108"/>
      <c r="L3" s="108"/>
      <c r="M3" s="108"/>
      <c r="N3" s="108"/>
      <c r="O3" s="109"/>
      <c r="P3" s="108"/>
      <c r="Q3" s="108"/>
      <c r="R3" s="108"/>
      <c r="S3" s="108"/>
      <c r="T3" s="108"/>
      <c r="U3" s="108"/>
      <c r="V3" s="108"/>
      <c r="W3" s="108"/>
      <c r="X3" s="108"/>
      <c r="Y3" s="108"/>
      <c r="Z3" s="108"/>
      <c r="AA3" s="108"/>
      <c r="AB3" s="108"/>
      <c r="AC3" s="108"/>
      <c r="AD3" s="108"/>
      <c r="AE3" s="108"/>
      <c r="AF3" s="108"/>
      <c r="AG3" s="108"/>
      <c r="AH3" s="108"/>
      <c r="AI3" s="108"/>
      <c r="AJ3" s="108"/>
      <c r="AK3" s="108"/>
      <c r="AL3" s="108"/>
      <c r="AM3" s="108"/>
      <c r="AN3" s="108"/>
      <c r="AO3" s="108"/>
      <c r="AP3" s="108"/>
      <c r="AQ3" s="108"/>
    </row>
    <row r="4" spans="1:43" ht="15" thickBot="1" x14ac:dyDescent="0.4">
      <c r="A4"/>
      <c r="B4"/>
      <c r="C4"/>
      <c r="D4"/>
      <c r="E4" s="3"/>
      <c r="F4"/>
      <c r="G4"/>
      <c r="H4" s="8"/>
      <c r="I4"/>
      <c r="J4"/>
      <c r="K4"/>
      <c r="L4"/>
      <c r="M4"/>
      <c r="N4"/>
      <c r="O4" s="3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</row>
    <row r="5" spans="1:43" ht="30" customHeight="1" thickBot="1" x14ac:dyDescent="0.4">
      <c r="A5"/>
      <c r="B5" s="245" t="s">
        <v>0</v>
      </c>
      <c r="C5" s="245" t="s">
        <v>1</v>
      </c>
      <c r="D5" s="124" t="s">
        <v>2</v>
      </c>
      <c r="E5" s="124" t="s">
        <v>3</v>
      </c>
      <c r="F5" s="124" t="s">
        <v>4</v>
      </c>
      <c r="G5" s="124" t="s">
        <v>5</v>
      </c>
      <c r="H5" s="124" t="s">
        <v>6</v>
      </c>
      <c r="I5" s="124" t="s">
        <v>7</v>
      </c>
      <c r="J5" s="124" t="s">
        <v>8</v>
      </c>
      <c r="K5" s="124" t="s">
        <v>9</v>
      </c>
      <c r="L5" s="124" t="s">
        <v>10</v>
      </c>
      <c r="M5" s="124" t="s">
        <v>11</v>
      </c>
      <c r="N5" s="124" t="s">
        <v>12</v>
      </c>
      <c r="O5" s="131" t="s">
        <v>15</v>
      </c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</row>
    <row r="6" spans="1:43" ht="30" customHeight="1" thickBot="1" x14ac:dyDescent="0.4">
      <c r="A6" s="123" t="s">
        <v>30</v>
      </c>
      <c r="B6" s="351" t="s">
        <v>95</v>
      </c>
      <c r="C6" s="352"/>
      <c r="D6" s="352"/>
      <c r="E6" s="352"/>
      <c r="F6" s="352"/>
      <c r="G6" s="352"/>
      <c r="H6" s="352"/>
      <c r="I6" s="352"/>
      <c r="J6" s="352"/>
      <c r="K6" s="352"/>
      <c r="L6" s="352"/>
      <c r="M6" s="352"/>
      <c r="N6" s="352"/>
      <c r="O6" s="284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</row>
    <row r="7" spans="1:43" ht="15.5" x14ac:dyDescent="0.35">
      <c r="A7" s="96"/>
      <c r="B7" s="93" t="s">
        <v>118</v>
      </c>
      <c r="C7" s="85">
        <f>SUMIFS('FACT - FRS EXPORTS-TRANSPORTS'!$I$5:$I$62,'FACT - FRS EXPORTS-TRANSPORTS'!$F$5:$F$62,"vimar",'FACT - FRS EXPORTS-TRANSPORTS'!$K$5:$K$62,"janvier")+SUMIFS('FACT - FRS EXPORTS-TRANSPORTS'!$I$5:$I$62,'FACT - FRS EXPORTS-TRANSPORTS'!$F$5:$F$62,"cevam",'FACT - FRS EXPORTS-TRANSPORTS'!$K$5:$K$62,"fevrier")</f>
        <v>0</v>
      </c>
      <c r="D7" s="85">
        <f>SUMIFS('FACT - FRS EXPORTS-TRANSPORTS'!$I$5:$I$62,'FACT - FRS EXPORTS-TRANSPORTS'!$F$5:$F$62,"vimar",'FACT - FRS EXPORTS-TRANSPORTS'!$K$5:$K$62,"fevrier")+SUMIFS('FACT - FRS EXPORTS-TRANSPORTS'!$I$5:$I$62,'FACT - FRS EXPORTS-TRANSPORTS'!$F$5:$F$62,"cevam",'FACT - FRS EXPORTS-TRANSPORTS'!$K$5:$K$62,"fevrier")</f>
        <v>0</v>
      </c>
      <c r="E7" s="85">
        <f>SUMIFS('FACT - FRS EXPORTS-TRANSPORTS'!$I$5:$I$62,'FACT - FRS EXPORTS-TRANSPORTS'!$F$5:$F$62,"vimar",'FACT - FRS EXPORTS-TRANSPORTS'!$K$5:$K$62,"mars")+SUMIFS('FACT - FRS EXPORTS-TRANSPORTS'!$I$5:$I$62,'FACT - FRS EXPORTS-TRANSPORTS'!$F$5:$F$62,"cevam",'FACT - FRS EXPORTS-TRANSPORTS'!$K$5:$K$62,"mars")</f>
        <v>0</v>
      </c>
      <c r="F7" s="85">
        <f>SUMIFS('FACT - FRS EXPORTS-TRANSPORTS'!$I$5:$I$62,'FACT - FRS EXPORTS-TRANSPORTS'!$F$5:$F$62,"vimar",'FACT - FRS EXPORTS-TRANSPORTS'!$K$5:$K$62,"avril")+SUMIFS('FACT - FRS EXPORTS-TRANSPORTS'!$I$5:$I$62,'FACT - FRS EXPORTS-TRANSPORTS'!$F$5:$F$62,"cevam",'FACT - FRS EXPORTS-TRANSPORTS'!$K$5:$K$62,"avril")</f>
        <v>0</v>
      </c>
      <c r="G7" s="85">
        <f>SUMIFS('FACT - FRS EXPORTS-TRANSPORTS'!$I$5:$I$62,'FACT - FRS EXPORTS-TRANSPORTS'!$F$5:$F$62,"vimar",'FACT - FRS EXPORTS-TRANSPORTS'!$K$5:$K$62,"mai")+SUMIFS('FACT - FRS EXPORTS-TRANSPORTS'!$I$5:$I$62,'FACT - FRS EXPORTS-TRANSPORTS'!$F$5:$F$62,"cevam",'FACT - FRS EXPORTS-TRANSPORTS'!$K$5:$K$62,"mai")</f>
        <v>0</v>
      </c>
      <c r="H7" s="85">
        <f>SUMIFS('FACT - FRS EXPORTS-TRANSPORTS'!$I$5:$I$62,'FACT - FRS EXPORTS-TRANSPORTS'!$F$5:$F$62,"vimar",'FACT - FRS EXPORTS-TRANSPORTS'!$K$5:$K$62,"juin")+SUMIFS('FACT - FRS EXPORTS-TRANSPORTS'!$I$5:$I$62,'FACT - FRS EXPORTS-TRANSPORTS'!$F$5:$F$62,"cevam",'FACT - FRS EXPORTS-TRANSPORTS'!$K$5:$K$62,"juin")</f>
        <v>0</v>
      </c>
      <c r="I7" s="85">
        <f>SUMIFS('FACT - FRS EXPORTS-TRANSPORTS'!$I$5:$I$62,'FACT - FRS EXPORTS-TRANSPORTS'!$F$5:$F$62,"vimar",'FACT - FRS EXPORTS-TRANSPORTS'!$K$5:$K$62,"juillet")+SUMIFS('FACT - FRS EXPORTS-TRANSPORTS'!$I$5:$I$62,'FACT - FRS EXPORTS-TRANSPORTS'!$F$5:$F$62,"cevam",'FACT - FRS EXPORTS-TRANSPORTS'!$K$5:$K$62,"juillet")</f>
        <v>0</v>
      </c>
      <c r="J7" s="85">
        <f>SUMIFS('FACT - FRS EXPORTS-TRANSPORTS'!$I$5:$I$62,'FACT - FRS EXPORTS-TRANSPORTS'!$F$5:$F$62,"vimar",'FACT - FRS EXPORTS-TRANSPORTS'!$K$5:$K$62,"aout")+SUMIFS('FACT - FRS EXPORTS-TRANSPORTS'!$I$5:$I$62,'FACT - FRS EXPORTS-TRANSPORTS'!$F$5:$F$62,"cevam",'FACT - FRS EXPORTS-TRANSPORTS'!$K$5:$K$62,"aout")</f>
        <v>0</v>
      </c>
      <c r="K7" s="85">
        <f>SUMIFS('FACT - FRS EXPORTS-TRANSPORTS'!$I$5:$I$62,'FACT - FRS EXPORTS-TRANSPORTS'!$F$5:$F$62,"vimar",'FACT - FRS EXPORTS-TRANSPORTS'!$K$5:$K$62,"septembre")+SUMIFS('FACT - FRS EXPORTS-TRANSPORTS'!$I$5:$I$62,'FACT - FRS EXPORTS-TRANSPORTS'!$F$5:$F$62,"cevam",'FACT - FRS EXPORTS-TRANSPORTS'!$K$5:$K$62,"septembre")</f>
        <v>0</v>
      </c>
      <c r="L7" s="85">
        <f>SUMIFS('FACT - FRS EXPORTS-TRANSPORTS'!$I$5:$I$62,'FACT - FRS EXPORTS-TRANSPORTS'!$F$5:$F$62,"vimar",'FACT - FRS EXPORTS-TRANSPORTS'!$K$5:$K$62,"octobre")+SUMIFS('FACT - FRS EXPORTS-TRANSPORTS'!$I$5:$I$62,'FACT - FRS EXPORTS-TRANSPORTS'!$F$5:$F$62,"cevam",'FACT - FRS EXPORTS-TRANSPORTS'!$K$5:$K$62,"octobre")</f>
        <v>0</v>
      </c>
      <c r="M7" s="85">
        <f>SUMIFS('FACT - FRS EXPORTS-TRANSPORTS'!$I$5:$I$62,'FACT - FRS EXPORTS-TRANSPORTS'!$F$5:$F$62,"vimar",'FACT - FRS EXPORTS-TRANSPORTS'!$K$5:$K$62,"novembre")+SUMIFS('FACT - FRS EXPORTS-TRANSPORTS'!$I$5:$I$62,'FACT - FRS EXPORTS-TRANSPORTS'!$F$5:$F$62,"cevam",'FACT - FRS EXPORTS-TRANSPORTS'!$K$5:$K$62,"novembre")</f>
        <v>0</v>
      </c>
      <c r="N7" s="85">
        <f>SUMIFS('FACT - FRS EXPORTS-TRANSPORTS'!$I$5:$I$62,'FACT - FRS EXPORTS-TRANSPORTS'!$F$5:$F$62,"vimar",'FACT - FRS EXPORTS-TRANSPORTS'!$K$5:$K$62,"decembre")+SUMIFS('FACT - FRS EXPORTS-TRANSPORTS'!$I$5:$I$62,'FACT - FRS EXPORTS-TRANSPORTS'!$F$5:$F$62,"cevam",'FACT - FRS EXPORTS-TRANSPORTS'!$K$5:$K$62,"decembre")</f>
        <v>0</v>
      </c>
      <c r="O7" s="285">
        <f>SUM(C7:N7)</f>
        <v>0</v>
      </c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</row>
    <row r="8" spans="1:43" ht="15.5" x14ac:dyDescent="0.35">
      <c r="A8" s="6"/>
      <c r="B8" s="93" t="s">
        <v>33</v>
      </c>
      <c r="C8" s="85">
        <f>SUMIFS('FACT - FRS EXPORTS-TRANSPORTS'!$I$5:$I$62,'FACT - FRS EXPORTS-TRANSPORTS'!$F$5:$F$62,"FAAC",'FACT - FRS EXPORTS-TRANSPORTS'!$K$5:$K$62,"janvier")</f>
        <v>0</v>
      </c>
      <c r="D8" s="85">
        <f>SUMIFS('FACT - FRS EXPORTS-TRANSPORTS'!$I$5:$I$62,'FACT - FRS EXPORTS-TRANSPORTS'!$F$5:$F$62,"FAAC",'FACT - FRS EXPORTS-TRANSPORTS'!$K$5:$K$62,"fevrier")</f>
        <v>0</v>
      </c>
      <c r="E8" s="85">
        <f>SUMIFS('FACT - FRS EXPORTS-TRANSPORTS'!$I$5:$I$62,'FACT - FRS EXPORTS-TRANSPORTS'!$F$5:$F$62,"FAAC",'FACT - FRS EXPORTS-TRANSPORTS'!$K$5:$K$62,"mars")</f>
        <v>0</v>
      </c>
      <c r="F8" s="85">
        <f>SUMIFS('FACT - FRS EXPORTS-TRANSPORTS'!$I$5:$I$62,'FACT - FRS EXPORTS-TRANSPORTS'!$F$5:$F$62,"FAAC",'FACT - FRS EXPORTS-TRANSPORTS'!$K$5:$K$62,"avril")</f>
        <v>0</v>
      </c>
      <c r="G8" s="85">
        <f>SUMIFS('FACT - FRS EXPORTS-TRANSPORTS'!$I$5:$I$62,'FACT - FRS EXPORTS-TRANSPORTS'!$F$5:$F$62,"FAAC",'FACT - FRS EXPORTS-TRANSPORTS'!$K$5:$K$62,"mai")</f>
        <v>0</v>
      </c>
      <c r="H8" s="85">
        <f>SUMIFS('FACT - FRS EXPORTS-TRANSPORTS'!$I$5:$I$62,'FACT - FRS EXPORTS-TRANSPORTS'!$F$5:$F$62,"FAAC",'FACT - FRS EXPORTS-TRANSPORTS'!$K$5:$K$62,"juin")</f>
        <v>0</v>
      </c>
      <c r="I8" s="85">
        <f>SUMIFS('FACT - FRS EXPORTS-TRANSPORTS'!$I$5:$I$62,'FACT - FRS EXPORTS-TRANSPORTS'!$F$5:$F$62,"FAAC",'FACT - FRS EXPORTS-TRANSPORTS'!$K$5:$K$62,"juillet")</f>
        <v>0</v>
      </c>
      <c r="J8" s="85">
        <f>SUMIFS('FACT - FRS EXPORTS-TRANSPORTS'!$I$5:$I$62,'FACT - FRS EXPORTS-TRANSPORTS'!$F$5:$F$62,"FAAC",'FACT - FRS EXPORTS-TRANSPORTS'!$K$5:$K$62,"aout")</f>
        <v>0</v>
      </c>
      <c r="K8" s="85">
        <f>SUMIFS('FACT - FRS EXPORTS-TRANSPORTS'!$I$5:$I$62,'FACT - FRS EXPORTS-TRANSPORTS'!$F$5:$F$62,"FAAC",'FACT - FRS EXPORTS-TRANSPORTS'!$K$5:$K$62,"septembre")</f>
        <v>0</v>
      </c>
      <c r="L8" s="85">
        <f>SUMIFS('FACT - FRS EXPORTS-TRANSPORTS'!$I$5:$I$62,'FACT - FRS EXPORTS-TRANSPORTS'!$F$5:$F$62,"FAAC",'FACT - FRS EXPORTS-TRANSPORTS'!$K$5:$K$62,"octobre")</f>
        <v>0</v>
      </c>
      <c r="M8" s="85">
        <f>SUMIFS('FACT - FRS EXPORTS-TRANSPORTS'!$I$5:$I$62,'FACT - FRS EXPORTS-TRANSPORTS'!$F$5:$F$62,"FAAC",'FACT - FRS EXPORTS-TRANSPORTS'!$K$5:$K$62,"novembre")</f>
        <v>0</v>
      </c>
      <c r="N8" s="85">
        <f>SUMIFS('FACT - FRS EXPORTS-TRANSPORTS'!$I$5:$I$62,'FACT - FRS EXPORTS-TRANSPORTS'!$F$5:$F$62,"FAAC",'FACT - FRS EXPORTS-TRANSPORTS'!$K$5:$K$62,"decembre")</f>
        <v>0</v>
      </c>
      <c r="O8" s="127">
        <f>SUM(C8:N8)</f>
        <v>0</v>
      </c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 s="1"/>
      <c r="AH8" s="1"/>
      <c r="AI8" s="1"/>
      <c r="AJ8" s="1"/>
      <c r="AK8" s="1"/>
      <c r="AL8" s="1"/>
      <c r="AM8"/>
      <c r="AN8"/>
      <c r="AO8"/>
      <c r="AP8"/>
      <c r="AQ8"/>
    </row>
    <row r="9" spans="1:43" ht="15.5" x14ac:dyDescent="0.35">
      <c r="A9" s="6"/>
      <c r="B9" s="93" t="s">
        <v>31</v>
      </c>
      <c r="C9" s="85">
        <f>SUMIFS('FACT - FRS EXPORTS-TRANSPORTS'!$I$5:$I$62,'FACT - FRS EXPORTS-TRANSPORTS'!$F$5:$F$62,"decayeux",'FACT - FRS EXPORTS-TRANSPORTS'!$K$5:$K$62,"janvier")+SUMIFS('FACT - FRS EXPORTS-TRANSPORTS'!$I$5:$I$62,'FACT - FRS EXPORTS-TRANSPORTS'!$F$5:$F$62,"dad",'FACT - FRS EXPORTS-TRANSPORTS'!$K$5:$K$62,"fevrier")</f>
        <v>0</v>
      </c>
      <c r="D9" s="85">
        <f>SUMIFS('FACT - FRS EXPORTS-TRANSPORTS'!$I$5:$I$62,'FACT - FRS EXPORTS-TRANSPORTS'!$F$5:$F$62,"decayeux",'FACT - FRS EXPORTS-TRANSPORTS'!$K$5:$K$62,"fevrier")+SUMIFS('FACT - FRS EXPORTS-TRANSPORTS'!$I$5:$I$62,'FACT - FRS EXPORTS-TRANSPORTS'!$F$5:$F$62,"dad",'FACT - FRS EXPORTS-TRANSPORTS'!$K$5:$K$62,"fevrier")</f>
        <v>0</v>
      </c>
      <c r="E9" s="85">
        <f>SUMIFS('FACT - FRS EXPORTS-TRANSPORTS'!$I$5:$I$62,'FACT - FRS EXPORTS-TRANSPORTS'!$F$5:$F$62,"decayeux",'FACT - FRS EXPORTS-TRANSPORTS'!$K$5:$K$62,"mars")+SUMIFS('FACT - FRS EXPORTS-TRANSPORTS'!$I$5:$I$62,'FACT - FRS EXPORTS-TRANSPORTS'!$F$5:$F$62,"dad",'FACT - FRS EXPORTS-TRANSPORTS'!$K$5:$K$62,"fevrier")</f>
        <v>0</v>
      </c>
      <c r="F9" s="85">
        <f>SUMIFS('FACT - FRS EXPORTS-TRANSPORTS'!$I$5:$I$62,'FACT - FRS EXPORTS-TRANSPORTS'!$F$5:$F$62,"decayeux",'FACT - FRS EXPORTS-TRANSPORTS'!$K$5:$K$62,"avril")+SUMIFS('FACT - FRS EXPORTS-TRANSPORTS'!$I$5:$I$62,'FACT - FRS EXPORTS-TRANSPORTS'!$F$5:$F$62,"dad",'FACT - FRS EXPORTS-TRANSPORTS'!$K$5:$K$62,"fevrier")</f>
        <v>0</v>
      </c>
      <c r="G9" s="85">
        <f>SUMIFS('FACT - FRS EXPORTS-TRANSPORTS'!$I$5:$I$62,'FACT - FRS EXPORTS-TRANSPORTS'!$F$5:$F$62,"decayeux",'FACT - FRS EXPORTS-TRANSPORTS'!$K$5:$K$62,"mai")+SUMIFS('FACT - FRS EXPORTS-TRANSPORTS'!$I$5:$I$62,'FACT - FRS EXPORTS-TRANSPORTS'!$F$5:$F$62,"dad",'FACT - FRS EXPORTS-TRANSPORTS'!$K$5:$K$62,"fevrier")</f>
        <v>0</v>
      </c>
      <c r="H9" s="85">
        <f>SUMIFS('FACT - FRS EXPORTS-TRANSPORTS'!$I$5:$I$62,'FACT - FRS EXPORTS-TRANSPORTS'!$F$5:$F$62,"decayeux",'FACT - FRS EXPORTS-TRANSPORTS'!$K$5:$K$62,"juin")+SUMIFS('FACT - FRS EXPORTS-TRANSPORTS'!$I$5:$I$62,'FACT - FRS EXPORTS-TRANSPORTS'!$F$5:$F$62,"dad",'FACT - FRS EXPORTS-TRANSPORTS'!$K$5:$K$62,"fevrier")</f>
        <v>0</v>
      </c>
      <c r="I9" s="85">
        <f>SUMIFS('FACT - FRS EXPORTS-TRANSPORTS'!$I$5:$I$62,'FACT - FRS EXPORTS-TRANSPORTS'!$F$5:$F$62,"decayeux",'FACT - FRS EXPORTS-TRANSPORTS'!$K$5:$K$62,"juillet")+SUMIFS('FACT - FRS EXPORTS-TRANSPORTS'!$I$5:$I$62,'FACT - FRS EXPORTS-TRANSPORTS'!$F$5:$F$62,"dad",'FACT - FRS EXPORTS-TRANSPORTS'!$K$5:$K$62,"fevrier")</f>
        <v>0</v>
      </c>
      <c r="J9" s="85">
        <f>SUMIFS('FACT - FRS EXPORTS-TRANSPORTS'!$I$5:$I$62,'FACT - FRS EXPORTS-TRANSPORTS'!$F$5:$F$62,"decayeux",'FACT - FRS EXPORTS-TRANSPORTS'!$K$5:$K$62,"aout")+SUMIFS('FACT - FRS EXPORTS-TRANSPORTS'!$I$5:$I$62,'FACT - FRS EXPORTS-TRANSPORTS'!$F$5:$F$62,"dad",'FACT - FRS EXPORTS-TRANSPORTS'!$K$5:$K$62,"fevrier")</f>
        <v>0</v>
      </c>
      <c r="K9" s="85">
        <f>SUMIFS('FACT - FRS EXPORTS-TRANSPORTS'!$I$5:$I$62,'FACT - FRS EXPORTS-TRANSPORTS'!$F$5:$F$62,"decayeux",'FACT - FRS EXPORTS-TRANSPORTS'!$K$5:$K$62,"septembre")+SUMIFS('FACT - FRS EXPORTS-TRANSPORTS'!$I$5:$I$62,'FACT - FRS EXPORTS-TRANSPORTS'!$F$5:$F$62,"dad",'FACT - FRS EXPORTS-TRANSPORTS'!$K$5:$K$62,"fevrier")</f>
        <v>0</v>
      </c>
      <c r="L9" s="85">
        <f>SUMIFS('FACT - FRS EXPORTS-TRANSPORTS'!$I$5:$I$62,'FACT - FRS EXPORTS-TRANSPORTS'!$F$5:$F$62,"decayeux",'FACT - FRS EXPORTS-TRANSPORTS'!$K$5:$K$62,"octobre")+SUMIFS('FACT - FRS EXPORTS-TRANSPORTS'!$I$5:$I$62,'FACT - FRS EXPORTS-TRANSPORTS'!$F$5:$F$62,"dad",'FACT - FRS EXPORTS-TRANSPORTS'!$K$5:$K$62,"fevrier")</f>
        <v>0</v>
      </c>
      <c r="M9" s="85">
        <f>SUMIFS('FACT - FRS EXPORTS-TRANSPORTS'!$I$5:$I$62,'FACT - FRS EXPORTS-TRANSPORTS'!$F$5:$F$62,"decayeux",'FACT - FRS EXPORTS-TRANSPORTS'!$K$5:$K$62,"novembre")+SUMIFS('FACT - FRS EXPORTS-TRANSPORTS'!$I$5:$I$62,'FACT - FRS EXPORTS-TRANSPORTS'!$F$5:$F$62,"dad",'FACT - FRS EXPORTS-TRANSPORTS'!$K$5:$K$62,"fevrier")</f>
        <v>0</v>
      </c>
      <c r="N9" s="85">
        <f>SUMIFS('FACT - FRS EXPORTS-TRANSPORTS'!$I$5:$I$62,'FACT - FRS EXPORTS-TRANSPORTS'!$F$5:$F$62,"decayeux",'FACT - FRS EXPORTS-TRANSPORTS'!$K$5:$K$62,"decembre")+SUMIFS('FACT - FRS EXPORTS-TRANSPORTS'!$I$5:$I$62,'FACT - FRS EXPORTS-TRANSPORTS'!$F$5:$F$62,"dad",'FACT - FRS EXPORTS-TRANSPORTS'!$K$5:$K$62,"fevrier")</f>
        <v>0</v>
      </c>
      <c r="O9" s="127">
        <f>SUM(C9:N9)</f>
        <v>0</v>
      </c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</row>
    <row r="10" spans="1:43" ht="15.5" x14ac:dyDescent="0.35">
      <c r="A10" s="6"/>
      <c r="B10" s="93" t="s">
        <v>76</v>
      </c>
      <c r="C10" s="85">
        <f>SUMIFS('FACT - FRS EXPORTS-TRANSPORTS'!$I$5:$I$62,'FACT - FRS EXPORTS-TRANSPORTS'!$F$5:$F$62,"PAUMELLES LIEGEOISE",'FACT - FRS EXPORTS-TRANSPORTS'!$K$5:$K$62,"janvier")</f>
        <v>0</v>
      </c>
      <c r="D10" s="85">
        <f>SUMIFS('FACT - FRS EXPORTS-TRANSPORTS'!$I$5:$I$62,'FACT - FRS EXPORTS-TRANSPORTS'!$F$5:$F$62,"PAUMELLES LIEGEOISE",'FACT - FRS EXPORTS-TRANSPORTS'!$K$5:$K$62,"fevrier")</f>
        <v>0</v>
      </c>
      <c r="E10" s="85">
        <f>SUMIFS('FACT - FRS EXPORTS-TRANSPORTS'!$I$5:$I$62,'FACT - FRS EXPORTS-TRANSPORTS'!$F$5:$F$62,"PAUMELLES LIEGEOISE",'FACT - FRS EXPORTS-TRANSPORTS'!$K$5:$K$62,"mars")</f>
        <v>0</v>
      </c>
      <c r="F10" s="85">
        <f>SUMIFS('FACT - FRS EXPORTS-TRANSPORTS'!$I$5:$I$62,'FACT - FRS EXPORTS-TRANSPORTS'!$F$5:$F$62,"PAUMELLES LIEGEOISE",'FACT - FRS EXPORTS-TRANSPORTS'!$K$5:$K$62,"avril")</f>
        <v>0</v>
      </c>
      <c r="G10" s="85">
        <f>SUMIFS('FACT - FRS EXPORTS-TRANSPORTS'!$I$5:$I$62,'FACT - FRS EXPORTS-TRANSPORTS'!$F$5:$F$62,"PAUMELLES LIEGEOISE",'FACT - FRS EXPORTS-TRANSPORTS'!$K$5:$K$62,"mai")</f>
        <v>0</v>
      </c>
      <c r="H10" s="85">
        <f>SUMIFS('FACT - FRS EXPORTS-TRANSPORTS'!$I$5:$I$62,'FACT - FRS EXPORTS-TRANSPORTS'!$F$5:$F$62,"PAUMELLES LIEGEOISE",'FACT - FRS EXPORTS-TRANSPORTS'!$K$5:$K$62,"juin")</f>
        <v>0</v>
      </c>
      <c r="I10" s="85">
        <f>SUMIFS('FACT - FRS EXPORTS-TRANSPORTS'!$I$5:$I$62,'FACT - FRS EXPORTS-TRANSPORTS'!$F$5:$F$62,"PAUMELLES LIEGEOISE",'FACT - FRS EXPORTS-TRANSPORTS'!$K$5:$K$62,"juillet")</f>
        <v>0</v>
      </c>
      <c r="J10" s="85">
        <f>SUMIFS('FACT - FRS EXPORTS-TRANSPORTS'!$I$5:$I$62,'FACT - FRS EXPORTS-TRANSPORTS'!$F$5:$F$62,"PAUMELLES LIEGEOISE",'FACT - FRS EXPORTS-TRANSPORTS'!$K$5:$K$62,"aout")</f>
        <v>0</v>
      </c>
      <c r="K10" s="85">
        <f>SUMIFS('FACT - FRS EXPORTS-TRANSPORTS'!$I$5:$I$62,'FACT - FRS EXPORTS-TRANSPORTS'!$F$5:$F$62,"PAUMELLES LIEGEOISE",'FACT - FRS EXPORTS-TRANSPORTS'!$K$5:$K$62,"septembre")</f>
        <v>0</v>
      </c>
      <c r="L10" s="85">
        <f>SUMIFS('FACT - FRS EXPORTS-TRANSPORTS'!$I$5:$I$62,'FACT - FRS EXPORTS-TRANSPORTS'!$F$5:$F$62,"PAUMELLES LIEGEOISE",'FACT - FRS EXPORTS-TRANSPORTS'!$K$5:$K$62,"octobre")</f>
        <v>0</v>
      </c>
      <c r="M10" s="85">
        <f>SUMIFS('FACT - FRS EXPORTS-TRANSPORTS'!$I$5:$I$62,'FACT - FRS EXPORTS-TRANSPORTS'!$F$5:$F$62,"PAUMELLES LIEGEOISE",'FACT - FRS EXPORTS-TRANSPORTS'!$K$5:$K$62,"novembre")</f>
        <v>0</v>
      </c>
      <c r="N10" s="85">
        <f>SUMIFS('FACT - FRS EXPORTS-TRANSPORTS'!$I$5:$I$62,'FACT - FRS EXPORTS-TRANSPORTS'!$F$5:$F$62,"PAUMELLES LIEGEOISE",'FACT - FRS EXPORTS-TRANSPORTS'!$K$5:$K$62,"decembre")</f>
        <v>0</v>
      </c>
      <c r="O10" s="127">
        <f t="shared" ref="O10:O16" si="0">SUM(C10:N10)</f>
        <v>0</v>
      </c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</row>
    <row r="11" spans="1:43" ht="15.5" x14ac:dyDescent="0.35">
      <c r="A11" s="6"/>
      <c r="B11" s="93" t="s">
        <v>119</v>
      </c>
      <c r="C11" s="85">
        <f>SUMIFS('FACT - FRS EXPORTS-TRANSPORTS'!$I$5:$I$62,'FACT - FRS EXPORTS-TRANSPORTS'!$F$5:$F$62,"eurotech",'FACT - FRS EXPORTS-TRANSPORTS'!$K$5:$K$62,"janvier")+SUMIFS('FACT - FRS EXPORTS-TRANSPORTS'!$I$5:$I$62,'FACT - FRS EXPORTS-TRANSPORTS'!$F$5:$F$62,"dortel",'FACT - FRS EXPORTS-TRANSPORTS'!$K$5:$K$62,"fevrier")</f>
        <v>0</v>
      </c>
      <c r="D11" s="85">
        <f>SUMIFS('FACT - FRS EXPORTS-TRANSPORTS'!$I$5:$I$62,'FACT - FRS EXPORTS-TRANSPORTS'!$F$5:$F$62,"eurotech",'FACT - FRS EXPORTS-TRANSPORTS'!$K$5:$K$62,"fevrier")+SUMIFS('FACT - FRS EXPORTS-TRANSPORTS'!$I$5:$I$62,'FACT - FRS EXPORTS-TRANSPORTS'!$F$5:$F$62,"dortel",'FACT - FRS EXPORTS-TRANSPORTS'!$K$5:$K$62,"fevrier")</f>
        <v>0</v>
      </c>
      <c r="E11" s="85">
        <f>SUMIFS('FACT - FRS EXPORTS-TRANSPORTS'!$I$5:$I$62,'FACT - FRS EXPORTS-TRANSPORTS'!$F$5:$F$62,"eurotech",'FACT - FRS EXPORTS-TRANSPORTS'!$K$5:$K$62,"mars")+SUMIFS('FACT - FRS EXPORTS-TRANSPORTS'!$I$5:$I$62,'FACT - FRS EXPORTS-TRANSPORTS'!$F$5:$F$62,"dortel",'FACT - FRS EXPORTS-TRANSPORTS'!$K$5:$K$62,"fevrier")</f>
        <v>0</v>
      </c>
      <c r="F11" s="85">
        <f>SUMIFS('FACT - FRS EXPORTS-TRANSPORTS'!$I$5:$I$62,'FACT - FRS EXPORTS-TRANSPORTS'!$F$5:$F$62,"eurotech",'FACT - FRS EXPORTS-TRANSPORTS'!$K$5:$K$62,"avril")+SUMIFS('FACT - FRS EXPORTS-TRANSPORTS'!$I$5:$I$62,'FACT - FRS EXPORTS-TRANSPORTS'!$F$5:$F$62,"dortel",'FACT - FRS EXPORTS-TRANSPORTS'!$K$5:$K$62,"fevrier")</f>
        <v>0</v>
      </c>
      <c r="G11" s="85">
        <f>SUMIFS('FACT - FRS EXPORTS-TRANSPORTS'!$I$5:$I$62,'FACT - FRS EXPORTS-TRANSPORTS'!$F$5:$F$62,"eurotech",'FACT - FRS EXPORTS-TRANSPORTS'!$K$5:$K$62,"mai")+SUMIFS('FACT - FRS EXPORTS-TRANSPORTS'!$I$5:$I$62,'FACT - FRS EXPORTS-TRANSPORTS'!$F$5:$F$62,"dortel",'FACT - FRS EXPORTS-TRANSPORTS'!$K$5:$K$62,"fevrier")</f>
        <v>0</v>
      </c>
      <c r="H11" s="85">
        <f>SUMIFS('FACT - FRS EXPORTS-TRANSPORTS'!$I$5:$I$62,'FACT - FRS EXPORTS-TRANSPORTS'!$F$5:$F$62,"eurotech",'FACT - FRS EXPORTS-TRANSPORTS'!$K$5:$K$62,"juin")+SUMIFS('FACT - FRS EXPORTS-TRANSPORTS'!$I$5:$I$62,'FACT - FRS EXPORTS-TRANSPORTS'!$F$5:$F$62,"dortel",'FACT - FRS EXPORTS-TRANSPORTS'!$K$5:$K$62,"fevrier")</f>
        <v>0</v>
      </c>
      <c r="I11" s="85">
        <f>SUMIFS('FACT - FRS EXPORTS-TRANSPORTS'!$I$5:$I$62,'FACT - FRS EXPORTS-TRANSPORTS'!$F$5:$F$62,"eurotech",'FACT - FRS EXPORTS-TRANSPORTS'!$K$5:$K$62,"juillet")+SUMIFS('FACT - FRS EXPORTS-TRANSPORTS'!$I$5:$I$62,'FACT - FRS EXPORTS-TRANSPORTS'!$F$5:$F$62,"dortel",'FACT - FRS EXPORTS-TRANSPORTS'!$K$5:$K$62,"fevrier")</f>
        <v>0</v>
      </c>
      <c r="J11" s="85">
        <f>SUMIFS('FACT - FRS EXPORTS-TRANSPORTS'!$I$5:$I$62,'FACT - FRS EXPORTS-TRANSPORTS'!$F$5:$F$62,"eurotech",'FACT - FRS EXPORTS-TRANSPORTS'!$K$5:$K$62,"aout")+SUMIFS('FACT - FRS EXPORTS-TRANSPORTS'!$I$5:$I$62,'FACT - FRS EXPORTS-TRANSPORTS'!$F$5:$F$62,"dortel",'FACT - FRS EXPORTS-TRANSPORTS'!$K$5:$K$62,"fevrier")</f>
        <v>0</v>
      </c>
      <c r="K11" s="85">
        <f>SUMIFS('FACT - FRS EXPORTS-TRANSPORTS'!$I$5:$I$62,'FACT - FRS EXPORTS-TRANSPORTS'!$F$5:$F$62,"eurotech",'FACT - FRS EXPORTS-TRANSPORTS'!$K$5:$K$62,"septembre")+SUMIFS('FACT - FRS EXPORTS-TRANSPORTS'!$I$5:$I$62,'FACT - FRS EXPORTS-TRANSPORTS'!$F$5:$F$62,"dortel",'FACT - FRS EXPORTS-TRANSPORTS'!$K$5:$K$62,"fevrier")</f>
        <v>0</v>
      </c>
      <c r="L11" s="85">
        <f>SUMIFS('FACT - FRS EXPORTS-TRANSPORTS'!$I$5:$I$62,'FACT - FRS EXPORTS-TRANSPORTS'!$F$5:$F$62,"eurotech",'FACT - FRS EXPORTS-TRANSPORTS'!$K$5:$K$62,"octobre")+SUMIFS('FACT - FRS EXPORTS-TRANSPORTS'!$I$5:$I$62,'FACT - FRS EXPORTS-TRANSPORTS'!$F$5:$F$62,"dortel",'FACT - FRS EXPORTS-TRANSPORTS'!$K$5:$K$62,"fevrier")</f>
        <v>0</v>
      </c>
      <c r="M11" s="85">
        <f>SUMIFS('FACT - FRS EXPORTS-TRANSPORTS'!$I$5:$I$62,'FACT - FRS EXPORTS-TRANSPORTS'!$F$5:$F$62,"eurotech",'FACT - FRS EXPORTS-TRANSPORTS'!$K$5:$K$62,"novembre")+SUMIFS('FACT - FRS EXPORTS-TRANSPORTS'!$I$5:$I$62,'FACT - FRS EXPORTS-TRANSPORTS'!$F$5:$F$62,"dortel",'FACT - FRS EXPORTS-TRANSPORTS'!$K$5:$K$62,"fevrier")</f>
        <v>0</v>
      </c>
      <c r="N11" s="85">
        <f>SUMIFS('FACT - FRS EXPORTS-TRANSPORTS'!$I$5:$I$62,'FACT - FRS EXPORTS-TRANSPORTS'!$F$5:$F$62,"eurotech",'FACT - FRS EXPORTS-TRANSPORTS'!$K$5:$K$62,"decembre")+SUMIFS('FACT - FRS EXPORTS-TRANSPORTS'!$I$5:$I$62,'FACT - FRS EXPORTS-TRANSPORTS'!$F$5:$F$62,"dortel",'FACT - FRS EXPORTS-TRANSPORTS'!$K$5:$K$62,"fevrier")</f>
        <v>0</v>
      </c>
      <c r="O11" s="127">
        <f t="shared" si="0"/>
        <v>0</v>
      </c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</row>
    <row r="12" spans="1:43" ht="15.5" x14ac:dyDescent="0.35">
      <c r="A12" s="6"/>
      <c r="B12" s="93" t="s">
        <v>120</v>
      </c>
      <c r="C12" s="85">
        <f>SUMIFS('FACT - FRS EXPORTS-TRANSPORTS'!$I$5:$I$62,'FACT - FRS EXPORTS-TRANSPORTS'!$F$5:$F$62,"JOINT DUAL",'FACT - FRS EXPORTS-TRANSPORTS'!$K$5:$K$62,"janvier")</f>
        <v>0</v>
      </c>
      <c r="D12" s="85">
        <f>SUMIFS('FACT - FRS EXPORTS-TRANSPORTS'!$I$5:$I$62,'FACT - FRS EXPORTS-TRANSPORTS'!$F$5:$F$62,"JOINT DUAL",'FACT - FRS EXPORTS-TRANSPORTS'!$K$5:$K$62,"fevrier")</f>
        <v>0</v>
      </c>
      <c r="E12" s="85">
        <f>SUMIFS('FACT - FRS EXPORTS-TRANSPORTS'!$I$5:$I$62,'FACT - FRS EXPORTS-TRANSPORTS'!$F$5:$F$62,"JOINT DUAL",'FACT - FRS EXPORTS-TRANSPORTS'!$K$5:$K$62,"mars")</f>
        <v>0</v>
      </c>
      <c r="F12" s="85">
        <f>SUMIFS('FACT - FRS EXPORTS-TRANSPORTS'!$I$5:$I$62,'FACT - FRS EXPORTS-TRANSPORTS'!$F$5:$F$62,"JOINT DUAL",'FACT - FRS EXPORTS-TRANSPORTS'!$K$5:$K$62,"avril")</f>
        <v>0</v>
      </c>
      <c r="G12" s="85">
        <f>SUMIFS('FACT - FRS EXPORTS-TRANSPORTS'!$I$5:$I$62,'FACT - FRS EXPORTS-TRANSPORTS'!$F$5:$F$62,"JOINT DUAL",'FACT - FRS EXPORTS-TRANSPORTS'!$K$5:$K$62,"mai")</f>
        <v>0</v>
      </c>
      <c r="H12" s="85">
        <f>SUMIFS('FACT - FRS EXPORTS-TRANSPORTS'!$I$5:$I$62,'FACT - FRS EXPORTS-TRANSPORTS'!$F$5:$F$62,"JOINT DUAL",'FACT - FRS EXPORTS-TRANSPORTS'!$K$5:$K$62,"juin")</f>
        <v>0</v>
      </c>
      <c r="I12" s="85">
        <f>SUMIFS('FACT - FRS EXPORTS-TRANSPORTS'!$I$5:$I$62,'FACT - FRS EXPORTS-TRANSPORTS'!$F$5:$F$62,"JOINT DUAL",'FACT - FRS EXPORTS-TRANSPORTS'!$K$5:$K$62,"juillet")</f>
        <v>0</v>
      </c>
      <c r="J12" s="85">
        <f>SUMIFS('FACT - FRS EXPORTS-TRANSPORTS'!$I$5:$I$62,'FACT - FRS EXPORTS-TRANSPORTS'!$F$5:$F$62,"JOINT DUAL",'FACT - FRS EXPORTS-TRANSPORTS'!$K$5:$K$62,"aout")</f>
        <v>0</v>
      </c>
      <c r="K12" s="85">
        <f>SUMIFS('FACT - FRS EXPORTS-TRANSPORTS'!$I$5:$I$62,'FACT - FRS EXPORTS-TRANSPORTS'!$F$5:$F$62,"JOINT DUAL",'FACT - FRS EXPORTS-TRANSPORTS'!$K$5:$K$62,"septembre")</f>
        <v>0</v>
      </c>
      <c r="L12" s="85">
        <f>SUMIFS('FACT - FRS EXPORTS-TRANSPORTS'!$I$5:$I$62,'FACT - FRS EXPORTS-TRANSPORTS'!$F$5:$F$62,"JOINT DUAL",'FACT - FRS EXPORTS-TRANSPORTS'!$K$5:$K$62,"octobre")</f>
        <v>0</v>
      </c>
      <c r="M12" s="85">
        <f>SUMIFS('FACT - FRS EXPORTS-TRANSPORTS'!$I$5:$I$62,'FACT - FRS EXPORTS-TRANSPORTS'!$F$5:$F$62,"JOINT DUAL",'FACT - FRS EXPORTS-TRANSPORTS'!$K$5:$K$62,"novembre")</f>
        <v>0</v>
      </c>
      <c r="N12" s="85">
        <f>SUMIFS('FACT - FRS EXPORTS-TRANSPORTS'!$I$5:$I$62,'FACT - FRS EXPORTS-TRANSPORTS'!$F$5:$F$62,"JOINT DUAL",'FACT - FRS EXPORTS-TRANSPORTS'!$K$5:$K$62,"decembre")</f>
        <v>0</v>
      </c>
      <c r="O12" s="127">
        <f t="shared" si="0"/>
        <v>0</v>
      </c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</row>
    <row r="13" spans="1:43" ht="15.5" x14ac:dyDescent="0.35">
      <c r="A13" s="6"/>
      <c r="B13" s="93" t="s">
        <v>159</v>
      </c>
      <c r="C13" s="85">
        <f>SUMIFS('FACT - FRS EXPORTS-TRANSPORTS'!$I$5:$I$62,'FACT - FRS EXPORTS-TRANSPORTS'!$F$5:$F$62,"TORBEL",'FACT - FRS EXPORTS-TRANSPORTS'!$K$5:$K$62,"janvier")</f>
        <v>0</v>
      </c>
      <c r="D13" s="85">
        <f>SUMIFS('FACT - FRS EXPORTS-TRANSPORTS'!$I$5:$I$62,'FACT - FRS EXPORTS-TRANSPORTS'!$F$5:$F$62,"TORBEL",'FACT - FRS EXPORTS-TRANSPORTS'!$K$5:$K$62,"fevrier")</f>
        <v>0</v>
      </c>
      <c r="E13" s="85">
        <f>SUMIFS('FACT - FRS EXPORTS-TRANSPORTS'!$I$5:$I$62,'FACT - FRS EXPORTS-TRANSPORTS'!$F$5:$F$62,"TORBEL",'FACT - FRS EXPORTS-TRANSPORTS'!$K$5:$K$62,"mars")</f>
        <v>0</v>
      </c>
      <c r="F13" s="85">
        <f>SUMIFS('FACT - FRS EXPORTS-TRANSPORTS'!$I$5:$I$62,'FACT - FRS EXPORTS-TRANSPORTS'!$F$5:$F$62,"TORBEL",'FACT - FRS EXPORTS-TRANSPORTS'!$K$5:$K$62,"avril")</f>
        <v>0</v>
      </c>
      <c r="G13" s="85">
        <f>SUMIFS('FACT - FRS EXPORTS-TRANSPORTS'!$I$5:$I$62,'FACT - FRS EXPORTS-TRANSPORTS'!$F$5:$F$62,"TORBEL",'FACT - FRS EXPORTS-TRANSPORTS'!$K$5:$K$62,"mai")</f>
        <v>0</v>
      </c>
      <c r="H13" s="85">
        <f>SUMIFS('FACT - FRS EXPORTS-TRANSPORTS'!$I$5:$I$62,'FACT - FRS EXPORTS-TRANSPORTS'!$F$5:$F$62,"TORBEL",'FACT - FRS EXPORTS-TRANSPORTS'!$K$5:$K$62,"juin")</f>
        <v>0</v>
      </c>
      <c r="I13" s="85">
        <f>SUMIFS('FACT - FRS EXPORTS-TRANSPORTS'!$I$5:$I$62,'FACT - FRS EXPORTS-TRANSPORTS'!$F$5:$F$62,"TORBEL",'FACT - FRS EXPORTS-TRANSPORTS'!$K$5:$K$62,"juillet")</f>
        <v>0</v>
      </c>
      <c r="J13" s="85">
        <f>SUMIFS('FACT - FRS EXPORTS-TRANSPORTS'!$I$5:$I$62,'FACT - FRS EXPORTS-TRANSPORTS'!$F$5:$F$62,"TORBEL",'FACT - FRS EXPORTS-TRANSPORTS'!$K$5:$K$62,"aout")</f>
        <v>0</v>
      </c>
      <c r="K13" s="85">
        <f>SUMIFS('FACT - FRS EXPORTS-TRANSPORTS'!$I$5:$I$62,'FACT - FRS EXPORTS-TRANSPORTS'!$F$5:$F$62,"TORBEL",'FACT - FRS EXPORTS-TRANSPORTS'!$K$5:$K$62,"septembre")</f>
        <v>0</v>
      </c>
      <c r="L13" s="85">
        <f>SUMIFS('FACT - FRS EXPORTS-TRANSPORTS'!$I$5:$I$62,'FACT - FRS EXPORTS-TRANSPORTS'!$F$5:$F$62,"TORBEL",'FACT - FRS EXPORTS-TRANSPORTS'!$K$5:$K$62,"octobre")</f>
        <v>0</v>
      </c>
      <c r="M13" s="85">
        <f>SUMIFS('FACT - FRS EXPORTS-TRANSPORTS'!$I$5:$I$62,'FACT - FRS EXPORTS-TRANSPORTS'!$F$5:$F$62,"TORBEL",'FACT - FRS EXPORTS-TRANSPORTS'!$K$5:$K$62,"novembre")</f>
        <v>0</v>
      </c>
      <c r="N13" s="85">
        <f>SUMIFS('FACT - FRS EXPORTS-TRANSPORTS'!$I$5:$I$62,'FACT - FRS EXPORTS-TRANSPORTS'!$F$5:$F$62,"TORBEL",'FACT - FRS EXPORTS-TRANSPORTS'!$K$5:$K$62,"decembre")</f>
        <v>0</v>
      </c>
      <c r="O13" s="127">
        <f t="shared" si="0"/>
        <v>0</v>
      </c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</row>
    <row r="14" spans="1:43" ht="15.5" x14ac:dyDescent="0.35">
      <c r="A14" s="6"/>
      <c r="B14" s="93" t="s">
        <v>121</v>
      </c>
      <c r="C14" s="85">
        <f>SUMIFS('FACT - FRS EXPORTS-TRANSPORTS'!$I$5:$I$62,'FACT - FRS EXPORTS-TRANSPORTS'!$F$5:$F$62,"GENIUS",'FACT - FRS EXPORTS-TRANSPORTS'!$K$5:$K$62,"janvier")</f>
        <v>0</v>
      </c>
      <c r="D14" s="85">
        <f>SUMIFS('FACT - FRS EXPORTS-TRANSPORTS'!$I$5:$I$62,'FACT - FRS EXPORTS-TRANSPORTS'!$F$5:$F$62,"GENIUS",'FACT - FRS EXPORTS-TRANSPORTS'!$K$5:$K$62,"fevrier")</f>
        <v>0</v>
      </c>
      <c r="E14" s="85">
        <f>SUMIFS('FACT - FRS EXPORTS-TRANSPORTS'!$I$5:$I$62,'FACT - FRS EXPORTS-TRANSPORTS'!$F$5:$F$62,"GENIUS",'FACT - FRS EXPORTS-TRANSPORTS'!$K$5:$K$62,"mars")</f>
        <v>0</v>
      </c>
      <c r="F14" s="85">
        <f>SUMIFS('FACT - FRS EXPORTS-TRANSPORTS'!$I$5:$I$62,'FACT - FRS EXPORTS-TRANSPORTS'!$F$5:$F$62,"GENIUS",'FACT - FRS EXPORTS-TRANSPORTS'!$K$5:$K$62,"avril")</f>
        <v>0</v>
      </c>
      <c r="G14" s="85">
        <f>SUMIFS('FACT - FRS EXPORTS-TRANSPORTS'!$I$5:$I$62,'FACT - FRS EXPORTS-TRANSPORTS'!$F$5:$F$62,"GENIUS",'FACT - FRS EXPORTS-TRANSPORTS'!$K$5:$K$62,"mai")</f>
        <v>0</v>
      </c>
      <c r="H14" s="85">
        <f>SUMIFS('FACT - FRS EXPORTS-TRANSPORTS'!$I$5:$I$62,'FACT - FRS EXPORTS-TRANSPORTS'!$F$5:$F$62,"GENIUS",'FACT - FRS EXPORTS-TRANSPORTS'!$K$5:$K$62,"juin")</f>
        <v>0</v>
      </c>
      <c r="I14" s="85">
        <f>SUMIFS('FACT - FRS EXPORTS-TRANSPORTS'!$I$5:$I$62,'FACT - FRS EXPORTS-TRANSPORTS'!$F$5:$F$62,"GENIUS",'FACT - FRS EXPORTS-TRANSPORTS'!$K$5:$K$62,"juillet")</f>
        <v>0</v>
      </c>
      <c r="J14" s="85">
        <f>SUMIFS('FACT - FRS EXPORTS-TRANSPORTS'!$I$5:$I$62,'FACT - FRS EXPORTS-TRANSPORTS'!$F$5:$F$62,"GENIUS",'FACT - FRS EXPORTS-TRANSPORTS'!$K$5:$K$62,"aout")</f>
        <v>0</v>
      </c>
      <c r="K14" s="85">
        <f>SUMIFS('FACT - FRS EXPORTS-TRANSPORTS'!$I$5:$I$62,'FACT - FRS EXPORTS-TRANSPORTS'!$F$5:$F$62,"GENIUS",'FACT - FRS EXPORTS-TRANSPORTS'!$K$5:$K$62,"septembre")</f>
        <v>0</v>
      </c>
      <c r="L14" s="85">
        <f>SUMIFS('FACT - FRS EXPORTS-TRANSPORTS'!$I$5:$I$62,'FACT - FRS EXPORTS-TRANSPORTS'!$F$5:$F$62,"GENIUS",'FACT - FRS EXPORTS-TRANSPORTS'!$K$5:$K$62,"octobre")</f>
        <v>0</v>
      </c>
      <c r="M14" s="85">
        <f>SUMIFS('FACT - FRS EXPORTS-TRANSPORTS'!$I$5:$I$62,'FACT - FRS EXPORTS-TRANSPORTS'!$F$5:$F$62,"GENIUS",'FACT - FRS EXPORTS-TRANSPORTS'!$K$5:$K$62,"novembre")</f>
        <v>0</v>
      </c>
      <c r="N14" s="85">
        <f>SUMIFS('FACT - FRS EXPORTS-TRANSPORTS'!$I$5:$I$62,'FACT - FRS EXPORTS-TRANSPORTS'!$F$5:$F$62,"GENIUS",'FACT - FRS EXPORTS-TRANSPORTS'!$K$5:$K$62,"decembre")</f>
        <v>0</v>
      </c>
      <c r="O14" s="127">
        <f t="shared" si="0"/>
        <v>0</v>
      </c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</row>
    <row r="15" spans="1:43" ht="15.5" x14ac:dyDescent="0.35">
      <c r="A15" s="6"/>
      <c r="B15" s="93" t="s">
        <v>167</v>
      </c>
      <c r="C15" s="85">
        <f>SUMIFS('FACT - FRS EXPORTS-TRANSPORTS'!$I$5:$I$62,'FACT - FRS EXPORTS-TRANSPORTS'!$F$5:$F$62,"OPTIMACHINES",'FACT - FRS EXPORTS-TRANSPORTS'!$K$5:$K$62,"janvier")</f>
        <v>0</v>
      </c>
      <c r="D15" s="85">
        <f>SUMIFS('FACT - FRS EXPORTS-TRANSPORTS'!$I$5:$I$62,'FACT - FRS EXPORTS-TRANSPORTS'!$F$5:$F$62,"OPTIMACHINES",'FACT - FRS EXPORTS-TRANSPORTS'!$K$5:$K$62,"fevrier")</f>
        <v>0</v>
      </c>
      <c r="E15" s="85">
        <f>SUMIFS('FACT - FRS EXPORTS-TRANSPORTS'!$I$5:$I$62,'FACT - FRS EXPORTS-TRANSPORTS'!$F$5:$F$62,"OPTIMACHINES",'FACT - FRS EXPORTS-TRANSPORTS'!$K$5:$K$62,"mars")</f>
        <v>0</v>
      </c>
      <c r="F15" s="85">
        <f>SUMIFS('FACT - FRS EXPORTS-TRANSPORTS'!$I$5:$I$62,'FACT - FRS EXPORTS-TRANSPORTS'!$F$5:$F$62,"OPTIMACHINES",'FACT - FRS EXPORTS-TRANSPORTS'!$K$5:$K$62,"avril")</f>
        <v>0</v>
      </c>
      <c r="G15" s="85">
        <f>SUMIFS('FACT - FRS EXPORTS-TRANSPORTS'!$I$5:$I$62,'FACT - FRS EXPORTS-TRANSPORTS'!$F$5:$F$62,"OPTIMACHINES",'FACT - FRS EXPORTS-TRANSPORTS'!$K$5:$K$62,"mai")</f>
        <v>0</v>
      </c>
      <c r="H15" s="85">
        <f>SUMIFS('FACT - FRS EXPORTS-TRANSPORTS'!$I$5:$I$62,'FACT - FRS EXPORTS-TRANSPORTS'!$F$5:$F$62,"OPTIMACHINES",'FACT - FRS EXPORTS-TRANSPORTS'!$K$5:$K$62,"juin")</f>
        <v>0</v>
      </c>
      <c r="I15" s="85">
        <f>SUMIFS('FACT - FRS EXPORTS-TRANSPORTS'!$I$5:$I$62,'FACT - FRS EXPORTS-TRANSPORTS'!$F$5:$F$62,"OPTIMACHINES",'FACT - FRS EXPORTS-TRANSPORTS'!$K$5:$K$62,"juillet")</f>
        <v>0</v>
      </c>
      <c r="J15" s="85">
        <f>SUMIFS('FACT - FRS EXPORTS-TRANSPORTS'!$I$5:$I$62,'FACT - FRS EXPORTS-TRANSPORTS'!$F$5:$F$62,"OPTIMACHINES",'FACT - FRS EXPORTS-TRANSPORTS'!$K$5:$K$62,"aout")</f>
        <v>0</v>
      </c>
      <c r="K15" s="85">
        <f>SUMIFS('FACT - FRS EXPORTS-TRANSPORTS'!$I$5:$I$62,'FACT - FRS EXPORTS-TRANSPORTS'!$F$5:$F$62,"OPTIMACHINES",'FACT - FRS EXPORTS-TRANSPORTS'!$K$5:$K$62,"septembre")</f>
        <v>0</v>
      </c>
      <c r="L15" s="85">
        <f>SUMIFS('FACT - FRS EXPORTS-TRANSPORTS'!$I$5:$I$62,'FACT - FRS EXPORTS-TRANSPORTS'!$F$5:$F$62,"OPTIMACHINES",'FACT - FRS EXPORTS-TRANSPORTS'!$K$5:$K$62,"octobre")</f>
        <v>0</v>
      </c>
      <c r="M15" s="85">
        <f>SUMIFS('FACT - FRS EXPORTS-TRANSPORTS'!$I$5:$I$62,'FACT - FRS EXPORTS-TRANSPORTS'!$F$5:$F$62,"OPTIMACHINES",'FACT - FRS EXPORTS-TRANSPORTS'!$K$5:$K$62,"novembre")</f>
        <v>0</v>
      </c>
      <c r="N15" s="85">
        <f>SUMIFS('FACT - FRS EXPORTS-TRANSPORTS'!$I$5:$I$62,'FACT - FRS EXPORTS-TRANSPORTS'!$F$5:$F$62,"OPTIMACHINES",'FACT - FRS EXPORTS-TRANSPORTS'!$K$5:$K$62,"decembre")</f>
        <v>0</v>
      </c>
      <c r="O15" s="127">
        <f t="shared" si="0"/>
        <v>0</v>
      </c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</row>
    <row r="16" spans="1:43" ht="16" thickBot="1" x14ac:dyDescent="0.4">
      <c r="A16" s="6"/>
      <c r="B16" s="93" t="s">
        <v>122</v>
      </c>
      <c r="C16" s="85">
        <f>SUMIFS('FACT - FRS EXPORTS-TRANSPORTS'!$I$5:$I$62,'FACT - FRS EXPORTS-TRANSPORTS'!$F$5:$F$62,"KASTO",'FACT - FRS EXPORTS-TRANSPORTS'!$K$5:$K$62,"janvier")</f>
        <v>0</v>
      </c>
      <c r="D16" s="85">
        <f>SUMIFS('FACT - FRS EXPORTS-TRANSPORTS'!$I$5:$I$62,'FACT - FRS EXPORTS-TRANSPORTS'!$F$5:$F$62,"KASTO",'FACT - FRS EXPORTS-TRANSPORTS'!$K$5:$K$62,"fevrier")</f>
        <v>0</v>
      </c>
      <c r="E16" s="85">
        <f>SUMIFS('FACT - FRS EXPORTS-TRANSPORTS'!$I$5:$I$62,'FACT - FRS EXPORTS-TRANSPORTS'!$F$5:$F$62,"KASTO",'FACT - FRS EXPORTS-TRANSPORTS'!$K$5:$K$62,"mars")</f>
        <v>0</v>
      </c>
      <c r="F16" s="85">
        <f>SUMIFS('FACT - FRS EXPORTS-TRANSPORTS'!$I$5:$I$62,'FACT - FRS EXPORTS-TRANSPORTS'!$F$5:$F$62,"KASTO",'FACT - FRS EXPORTS-TRANSPORTS'!$K$5:$K$62,"avril")</f>
        <v>0</v>
      </c>
      <c r="G16" s="85">
        <f>SUMIFS('FACT - FRS EXPORTS-TRANSPORTS'!$I$5:$I$62,'FACT - FRS EXPORTS-TRANSPORTS'!$F$5:$F$62,"KASTO",'FACT - FRS EXPORTS-TRANSPORTS'!$K$5:$K$62,"mai")</f>
        <v>0</v>
      </c>
      <c r="H16" s="85">
        <f>SUMIFS('FACT - FRS EXPORTS-TRANSPORTS'!$I$5:$I$62,'FACT - FRS EXPORTS-TRANSPORTS'!$F$5:$F$62,"KASTO",'FACT - FRS EXPORTS-TRANSPORTS'!$K$5:$K$62,"juin")</f>
        <v>0</v>
      </c>
      <c r="I16" s="85">
        <f>SUMIFS('FACT - FRS EXPORTS-TRANSPORTS'!$I$5:$I$62,'FACT - FRS EXPORTS-TRANSPORTS'!$F$5:$F$62,"KASTO",'FACT - FRS EXPORTS-TRANSPORTS'!$K$5:$K$62,"juillet")</f>
        <v>0</v>
      </c>
      <c r="J16" s="85">
        <f>SUMIFS('FACT - FRS EXPORTS-TRANSPORTS'!$I$5:$I$62,'FACT - FRS EXPORTS-TRANSPORTS'!$F$5:$F$62,"KASTO",'FACT - FRS EXPORTS-TRANSPORTS'!$K$5:$K$62,"aout")</f>
        <v>0</v>
      </c>
      <c r="K16" s="85">
        <f>SUMIFS('FACT - FRS EXPORTS-TRANSPORTS'!$I$5:$I$62,'FACT - FRS EXPORTS-TRANSPORTS'!$F$5:$F$62,"KASTO",'FACT - FRS EXPORTS-TRANSPORTS'!$K$5:$K$62,"septembre")</f>
        <v>0</v>
      </c>
      <c r="L16" s="85">
        <f>SUMIFS('FACT - FRS EXPORTS-TRANSPORTS'!$I$5:$I$62,'FACT - FRS EXPORTS-TRANSPORTS'!$F$5:$F$62,"KASTO",'FACT - FRS EXPORTS-TRANSPORTS'!$K$5:$K$62,"octobre")</f>
        <v>0</v>
      </c>
      <c r="M16" s="85">
        <f>SUMIFS('FACT - FRS EXPORTS-TRANSPORTS'!$I$5:$I$62,'FACT - FRS EXPORTS-TRANSPORTS'!$F$5:$F$62,"KASTO",'FACT - FRS EXPORTS-TRANSPORTS'!$K$5:$K$62,"novembre")</f>
        <v>0</v>
      </c>
      <c r="N16" s="85">
        <f>SUMIFS('FACT - FRS EXPORTS-TRANSPORTS'!$I$5:$I$62,'FACT - FRS EXPORTS-TRANSPORTS'!$F$5:$F$62,"KASTO",'FACT - FRS EXPORTS-TRANSPORTS'!$K$5:$K$62,"decembre")</f>
        <v>0</v>
      </c>
      <c r="O16" s="127">
        <f t="shared" si="0"/>
        <v>0</v>
      </c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</row>
    <row r="17" spans="1:43" ht="19" thickBot="1" x14ac:dyDescent="0.4">
      <c r="A17" s="121" t="s">
        <v>83</v>
      </c>
      <c r="B17" s="98"/>
      <c r="C17" s="99"/>
      <c r="D17" s="99"/>
      <c r="E17" s="99"/>
      <c r="F17" s="99"/>
      <c r="G17" s="99"/>
      <c r="H17" s="99"/>
      <c r="I17" s="99"/>
      <c r="J17" s="100"/>
      <c r="K17" s="100"/>
      <c r="L17" s="100"/>
      <c r="M17" s="100"/>
      <c r="N17" s="128"/>
      <c r="O17" s="12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</row>
    <row r="18" spans="1:43" ht="15.5" x14ac:dyDescent="0.35">
      <c r="A18" s="6"/>
      <c r="B18" s="93" t="s">
        <v>123</v>
      </c>
      <c r="C18" s="85">
        <f>SUMIFS('FACT - FRS EXPORTS-TRANSPORTS'!$U$5:$U$62,'FACT - FRS EXPORTS-TRANSPORTS'!$R$5:$R$62,"fedex",'FACT - FRS EXPORTS-TRANSPORTS'!$Y$5:$Y$62,"janvier")</f>
        <v>0</v>
      </c>
      <c r="D18" s="85">
        <f>SUMIFS('FACT - FRS EXPORTS-TRANSPORTS'!$U$5:$U$62,'FACT - FRS EXPORTS-TRANSPORTS'!$R$5:$R$62,"fedex",'FACT - FRS EXPORTS-TRANSPORTS'!$Y$5:$Y$62,"fevrier")</f>
        <v>0</v>
      </c>
      <c r="E18" s="85">
        <f>SUMIFS('FACT - FRS EXPORTS-TRANSPORTS'!$U$5:$U$62,'FACT - FRS EXPORTS-TRANSPORTS'!$R$5:$R$62,"fedex",'FACT - FRS EXPORTS-TRANSPORTS'!$Y$5:$Y$62,"mars")</f>
        <v>0</v>
      </c>
      <c r="F18" s="85">
        <f>SUMIFS('FACT - FRS EXPORTS-TRANSPORTS'!$U$5:$U$62,'FACT - FRS EXPORTS-TRANSPORTS'!$R$5:$R$62,"fedex",'FACT - FRS EXPORTS-TRANSPORTS'!$Y$5:$Y$62,"avril")</f>
        <v>0</v>
      </c>
      <c r="G18" s="85">
        <f>SUMIFS('FACT - FRS EXPORTS-TRANSPORTS'!$U$5:$U$62,'FACT - FRS EXPORTS-TRANSPORTS'!$R$5:$R$62,"fedex",'FACT - FRS EXPORTS-TRANSPORTS'!$Y$5:$Y$62,"mai")</f>
        <v>0</v>
      </c>
      <c r="H18" s="85">
        <f>SUMIFS('FACT - FRS EXPORTS-TRANSPORTS'!$U$5:$U$62,'FACT - FRS EXPORTS-TRANSPORTS'!$R$5:$R$62,"fedex",'FACT - FRS EXPORTS-TRANSPORTS'!$Y$5:$Y$62,"juin")</f>
        <v>0</v>
      </c>
      <c r="I18" s="85">
        <f>SUMIFS('FACT - FRS EXPORTS-TRANSPORTS'!$U$5:$U$62,'FACT - FRS EXPORTS-TRANSPORTS'!$R$5:$R$62,"fedex",'FACT - FRS EXPORTS-TRANSPORTS'!$Y$5:$Y$62,"juillet")</f>
        <v>0</v>
      </c>
      <c r="J18" s="85">
        <f>SUMIFS('FACT - FRS EXPORTS-TRANSPORTS'!$U$5:$U$62,'FACT - FRS EXPORTS-TRANSPORTS'!$R$5:$R$62,"fedex",'FACT - FRS EXPORTS-TRANSPORTS'!$Y$5:$Y$62,"aout")</f>
        <v>0</v>
      </c>
      <c r="K18" s="85">
        <f>SUMIFS('FACT - FRS EXPORTS-TRANSPORTS'!$U$5:$U$62,'FACT - FRS EXPORTS-TRANSPORTS'!$R$5:$R$62,"fedex",'FACT - FRS EXPORTS-TRANSPORTS'!$Y$5:$Y$62,"septembre")</f>
        <v>0</v>
      </c>
      <c r="L18" s="85">
        <f>SUMIFS('FACT - FRS EXPORTS-TRANSPORTS'!$U$5:$U$62,'FACT - FRS EXPORTS-TRANSPORTS'!$R$5:$R$62,"fedex",'FACT - FRS EXPORTS-TRANSPORTS'!$Y$5:$Y$62,"octobre")</f>
        <v>0</v>
      </c>
      <c r="M18" s="85">
        <f>SUMIFS('FACT - FRS EXPORTS-TRANSPORTS'!$U$5:$U$62,'FACT - FRS EXPORTS-TRANSPORTS'!$R$5:$R$62,"fedex",'FACT - FRS EXPORTS-TRANSPORTS'!$Y$5:$Y$62,"novembre")</f>
        <v>0</v>
      </c>
      <c r="N18" s="85">
        <f>SUMIFS('FACT - FRS EXPORTS-TRANSPORTS'!$U$5:$U$62,'FACT - FRS EXPORTS-TRANSPORTS'!$R$5:$R$62,"fedex",'FACT - FRS EXPORTS-TRANSPORTS'!$Y$5:$Y$62,"decembre")</f>
        <v>0</v>
      </c>
      <c r="O18" s="127">
        <f t="shared" ref="O18:O21" si="1">SUM(C18:N18)</f>
        <v>0</v>
      </c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</row>
    <row r="19" spans="1:43" ht="15.5" x14ac:dyDescent="0.35">
      <c r="A19" s="6"/>
      <c r="B19" s="93" t="s">
        <v>124</v>
      </c>
      <c r="C19" s="85">
        <f>SUMIFS('FACT - FRS EXPORTS-TRANSPORTS'!$U$5:$U$62,'FACT - FRS EXPORTS-TRANSPORTS'!$R$5:$R$62,"CHRONOPOST",'FACT - FRS EXPORTS-TRANSPORTS'!$Y$5:$Y$62,"janvier")</f>
        <v>0</v>
      </c>
      <c r="D19" s="85">
        <f>SUMIFS('FACT - FRS EXPORTS-TRANSPORTS'!$U$5:$U$62,'FACT - FRS EXPORTS-TRANSPORTS'!$R$5:$R$62,"CHRONOPOST",'FACT - FRS EXPORTS-TRANSPORTS'!$Y$5:$Y$62,"fevrier")</f>
        <v>0</v>
      </c>
      <c r="E19" s="85">
        <f>SUMIFS('FACT - FRS EXPORTS-TRANSPORTS'!$U$5:$U$62,'FACT - FRS EXPORTS-TRANSPORTS'!$R$5:$R$62,"CHRONOPOST",'FACT - FRS EXPORTS-TRANSPORTS'!$Y$5:$Y$62,"mars")</f>
        <v>0</v>
      </c>
      <c r="F19" s="85">
        <f>SUMIFS('FACT - FRS EXPORTS-TRANSPORTS'!$U$5:$U$62,'FACT - FRS EXPORTS-TRANSPORTS'!$R$5:$R$62,"CHRONOPOST",'FACT - FRS EXPORTS-TRANSPORTS'!$Y$5:$Y$62,"avril")</f>
        <v>0</v>
      </c>
      <c r="G19" s="85">
        <f>SUMIFS('FACT - FRS EXPORTS-TRANSPORTS'!$U$5:$U$62,'FACT - FRS EXPORTS-TRANSPORTS'!$R$5:$R$62,"CHRONOPOST",'FACT - FRS EXPORTS-TRANSPORTS'!$Y$5:$Y$62,"mai")</f>
        <v>0</v>
      </c>
      <c r="H19" s="85">
        <f>SUMIFS('FACT - FRS EXPORTS-TRANSPORTS'!$U$5:$U$62,'FACT - FRS EXPORTS-TRANSPORTS'!$R$5:$R$62,"CHRONOPOST",'FACT - FRS EXPORTS-TRANSPORTS'!$Y$5:$Y$62,"juin")</f>
        <v>0</v>
      </c>
      <c r="I19" s="85">
        <f>SUMIFS('FACT - FRS EXPORTS-TRANSPORTS'!$U$5:$U$62,'FACT - FRS EXPORTS-TRANSPORTS'!$R$5:$R$62,"CHRONOPOST",'FACT - FRS EXPORTS-TRANSPORTS'!$Y$5:$Y$62,"juillet")</f>
        <v>0</v>
      </c>
      <c r="J19" s="85">
        <f>SUMIFS('FACT - FRS EXPORTS-TRANSPORTS'!$U$5:$U$62,'FACT - FRS EXPORTS-TRANSPORTS'!$R$5:$R$62,"CHRONOPOST",'FACT - FRS EXPORTS-TRANSPORTS'!$Y$5:$Y$62,"aout")</f>
        <v>0</v>
      </c>
      <c r="K19" s="85">
        <f>SUMIFS('FACT - FRS EXPORTS-TRANSPORTS'!$U$5:$U$62,'FACT - FRS EXPORTS-TRANSPORTS'!$R$5:$R$62,"CHRONOPOST",'FACT - FRS EXPORTS-TRANSPORTS'!$Y$5:$Y$62,"septembre")</f>
        <v>0</v>
      </c>
      <c r="L19" s="85">
        <f>SUMIFS('FACT - FRS EXPORTS-TRANSPORTS'!$U$5:$U$62,'FACT - FRS EXPORTS-TRANSPORTS'!$R$5:$R$62,"CHRONOPOST",'FACT - FRS EXPORTS-TRANSPORTS'!$Y$5:$Y$62,"octobre")</f>
        <v>0</v>
      </c>
      <c r="M19" s="85">
        <f>SUMIFS('FACT - FRS EXPORTS-TRANSPORTS'!$U$5:$U$62,'FACT - FRS EXPORTS-TRANSPORTS'!$R$5:$R$62,"CHRONOPOST",'FACT - FRS EXPORTS-TRANSPORTS'!$Y$5:$Y$62,"novembre")</f>
        <v>0</v>
      </c>
      <c r="N19" s="85">
        <f>SUMIFS('FACT - FRS EXPORTS-TRANSPORTS'!$U$5:$U$62,'FACT - FRS EXPORTS-TRANSPORTS'!$R$5:$R$62,"CHRONOPOST",'FACT - FRS EXPORTS-TRANSPORTS'!$Y$5:$Y$62,"decembre")</f>
        <v>0</v>
      </c>
      <c r="O19" s="127">
        <f t="shared" si="1"/>
        <v>0</v>
      </c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</row>
    <row r="20" spans="1:43" ht="15.5" x14ac:dyDescent="0.35">
      <c r="A20" s="6"/>
      <c r="B20" s="93" t="s">
        <v>100</v>
      </c>
      <c r="C20" s="85">
        <f>SUMIFS('FACT - FRS EXPORTS-TRANSPORTS'!$U$5:$U$62,'FACT - FRS EXPORTS-TRANSPORTS'!$R$5:$R$62,"COLISSIMO",'FACT - FRS EXPORTS-TRANSPORTS'!$Y$5:$Y$62,"janvier")</f>
        <v>0</v>
      </c>
      <c r="D20" s="85">
        <f>SUMIFS('FACT - FRS EXPORTS-TRANSPORTS'!$U$5:$U$62,'FACT - FRS EXPORTS-TRANSPORTS'!$R$5:$R$62,"COLISSIMO",'FACT - FRS EXPORTS-TRANSPORTS'!$Y$5:$Y$62,"fevrier")</f>
        <v>0</v>
      </c>
      <c r="E20" s="85">
        <f>SUMIFS('FACT - FRS EXPORTS-TRANSPORTS'!$U$5:$U$62,'FACT - FRS EXPORTS-TRANSPORTS'!$R$5:$R$62,"COLISSIMO",'FACT - FRS EXPORTS-TRANSPORTS'!$Y$5:$Y$62,"mars")</f>
        <v>0</v>
      </c>
      <c r="F20" s="85">
        <f>SUMIFS('FACT - FRS EXPORTS-TRANSPORTS'!$U$5:$U$62,'FACT - FRS EXPORTS-TRANSPORTS'!$R$5:$R$62,"COLISSIMO",'FACT - FRS EXPORTS-TRANSPORTS'!$Y$5:$Y$62,"avril")</f>
        <v>0</v>
      </c>
      <c r="G20" s="85">
        <f>SUMIFS('FACT - FRS EXPORTS-TRANSPORTS'!$U$5:$U$62,'FACT - FRS EXPORTS-TRANSPORTS'!$R$5:$R$62,"COLISSIMO",'FACT - FRS EXPORTS-TRANSPORTS'!$Y$5:$Y$62,"mai")</f>
        <v>0</v>
      </c>
      <c r="H20" s="85">
        <f>SUMIFS('FACT - FRS EXPORTS-TRANSPORTS'!$U$5:$U$62,'FACT - FRS EXPORTS-TRANSPORTS'!$R$5:$R$62,"COLISSIMO",'FACT - FRS EXPORTS-TRANSPORTS'!$Y$5:$Y$62,"juin")</f>
        <v>0</v>
      </c>
      <c r="I20" s="85">
        <f>SUMIFS('FACT - FRS EXPORTS-TRANSPORTS'!$U$5:$U$62,'FACT - FRS EXPORTS-TRANSPORTS'!$R$5:$R$62,"COLISSIMO",'FACT - FRS EXPORTS-TRANSPORTS'!$Y$5:$Y$62,"juillet")</f>
        <v>0</v>
      </c>
      <c r="J20" s="85">
        <f>SUMIFS('FACT - FRS EXPORTS-TRANSPORTS'!$U$5:$U$62,'FACT - FRS EXPORTS-TRANSPORTS'!$R$5:$R$62,"COLISSIMO",'FACT - FRS EXPORTS-TRANSPORTS'!$Y$5:$Y$62,"aout")</f>
        <v>0</v>
      </c>
      <c r="K20" s="85">
        <f>SUMIFS('FACT - FRS EXPORTS-TRANSPORTS'!$U$5:$U$62,'FACT - FRS EXPORTS-TRANSPORTS'!$R$5:$R$62,"COLISSIMO",'FACT - FRS EXPORTS-TRANSPORTS'!$Y$5:$Y$62,"septembre")</f>
        <v>0</v>
      </c>
      <c r="L20" s="85">
        <f>SUMIFS('FACT - FRS EXPORTS-TRANSPORTS'!$U$5:$U$62,'FACT - FRS EXPORTS-TRANSPORTS'!$R$5:$R$62,"COLISSIMO",'FACT - FRS EXPORTS-TRANSPORTS'!$Y$5:$Y$62,"octobre")</f>
        <v>0</v>
      </c>
      <c r="M20" s="85">
        <f>SUMIFS('FACT - FRS EXPORTS-TRANSPORTS'!$U$5:$U$62,'FACT - FRS EXPORTS-TRANSPORTS'!$R$5:$R$62,"COLISSIMO",'FACT - FRS EXPORTS-TRANSPORTS'!$Y$5:$Y$62,"novembre")</f>
        <v>0</v>
      </c>
      <c r="N20" s="85">
        <f>SUMIFS('FACT - FRS EXPORTS-TRANSPORTS'!$U$5:$U$62,'FACT - FRS EXPORTS-TRANSPORTS'!$R$5:$R$62,"COLISSIMO",'FACT - FRS EXPORTS-TRANSPORTS'!$Y$5:$Y$62,"decembre")</f>
        <v>0</v>
      </c>
      <c r="O20" s="127">
        <f t="shared" si="1"/>
        <v>0</v>
      </c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</row>
    <row r="21" spans="1:43" ht="16" thickBot="1" x14ac:dyDescent="0.4">
      <c r="A21" s="6"/>
      <c r="B21" s="93" t="s">
        <v>75</v>
      </c>
      <c r="C21" s="85">
        <f>SUMIFS('FACT - FRS EXPORTS-TRANSPORTS'!$U$5:$U$62,'FACT - FRS EXPORTS-TRANSPORTS'!$R$5:$R$62,"SCHENKER",'FACT - FRS EXPORTS-TRANSPORTS'!$Y$5:$Y$62,"janvier")</f>
        <v>0</v>
      </c>
      <c r="D21" s="85">
        <f>SUMIFS('FACT - FRS EXPORTS-TRANSPORTS'!$U$5:$U$62,'FACT - FRS EXPORTS-TRANSPORTS'!$R$5:$R$62,"SCHENKER",'FACT - FRS EXPORTS-TRANSPORTS'!$Y$5:$Y$62,"fevrier")</f>
        <v>0</v>
      </c>
      <c r="E21" s="85">
        <f>SUMIFS('FACT - FRS EXPORTS-TRANSPORTS'!$U$5:$U$62,'FACT - FRS EXPORTS-TRANSPORTS'!$R$5:$R$62,"SCHENKER",'FACT - FRS EXPORTS-TRANSPORTS'!$Y$5:$Y$62,"mars")</f>
        <v>0</v>
      </c>
      <c r="F21" s="85">
        <f>SUMIFS('FACT - FRS EXPORTS-TRANSPORTS'!$U$5:$U$62,'FACT - FRS EXPORTS-TRANSPORTS'!$R$5:$R$62,"SCHENKER",'FACT - FRS EXPORTS-TRANSPORTS'!$Y$5:$Y$62,"avril")</f>
        <v>0</v>
      </c>
      <c r="G21" s="85">
        <f>SUMIFS('FACT - FRS EXPORTS-TRANSPORTS'!$U$5:$U$62,'FACT - FRS EXPORTS-TRANSPORTS'!$R$5:$R$62,"SCHENKER",'FACT - FRS EXPORTS-TRANSPORTS'!$Y$5:$Y$62,"mai")</f>
        <v>0</v>
      </c>
      <c r="H21" s="85">
        <f>SUMIFS('FACT - FRS EXPORTS-TRANSPORTS'!$U$5:$U$62,'FACT - FRS EXPORTS-TRANSPORTS'!$R$5:$R$62,"SCHENKER",'FACT - FRS EXPORTS-TRANSPORTS'!$Y$5:$Y$62,"juin")</f>
        <v>0</v>
      </c>
      <c r="I21" s="85">
        <f>SUMIFS('FACT - FRS EXPORTS-TRANSPORTS'!$U$5:$U$62,'FACT - FRS EXPORTS-TRANSPORTS'!$R$5:$R$62,"SCHENKER",'FACT - FRS EXPORTS-TRANSPORTS'!$Y$5:$Y$62,"juillet")</f>
        <v>0</v>
      </c>
      <c r="J21" s="85">
        <f>SUMIFS('FACT - FRS EXPORTS-TRANSPORTS'!$U$5:$U$62,'FACT - FRS EXPORTS-TRANSPORTS'!$R$5:$R$62,"SCHENKER",'FACT - FRS EXPORTS-TRANSPORTS'!$Y$5:$Y$62,"aout")</f>
        <v>0</v>
      </c>
      <c r="K21" s="85">
        <f>SUMIFS('FACT - FRS EXPORTS-TRANSPORTS'!$U$5:$U$62,'FACT - FRS EXPORTS-TRANSPORTS'!$R$5:$R$62,"SCHENKER",'FACT - FRS EXPORTS-TRANSPORTS'!$Y$5:$Y$62,"septembre")</f>
        <v>0</v>
      </c>
      <c r="L21" s="85">
        <f>SUMIFS('FACT - FRS EXPORTS-TRANSPORTS'!$U$5:$U$62,'FACT - FRS EXPORTS-TRANSPORTS'!$R$5:$R$62,"SCHENKER",'FACT - FRS EXPORTS-TRANSPORTS'!$Y$5:$Y$62,"octobre")</f>
        <v>0</v>
      </c>
      <c r="M21" s="85">
        <f>SUMIFS('FACT - FRS EXPORTS-TRANSPORTS'!$U$5:$U$62,'FACT - FRS EXPORTS-TRANSPORTS'!$R$5:$R$62,"SCHENKER",'FACT - FRS EXPORTS-TRANSPORTS'!$Y$5:$Y$62,"novembre")</f>
        <v>0</v>
      </c>
      <c r="N21" s="85">
        <f>SUMIFS('FACT - FRS EXPORTS-TRANSPORTS'!$U$5:$U$62,'FACT - FRS EXPORTS-TRANSPORTS'!$R$5:$R$62,"SCHENKER",'FACT - FRS EXPORTS-TRANSPORTS'!$Y$5:$Y$62,"decembre")</f>
        <v>0</v>
      </c>
      <c r="O21" s="127">
        <f t="shared" si="1"/>
        <v>0</v>
      </c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</row>
    <row r="22" spans="1:43" ht="19" thickBot="1" x14ac:dyDescent="0.4">
      <c r="A22" s="6"/>
      <c r="B22" s="80" t="s">
        <v>106</v>
      </c>
      <c r="C22" s="80">
        <f t="shared" ref="C22:N22" si="2">SUM(C7:C21)</f>
        <v>0</v>
      </c>
      <c r="D22" s="80">
        <f>SUM(D7:D21)</f>
        <v>0</v>
      </c>
      <c r="E22" s="80">
        <f t="shared" si="2"/>
        <v>0</v>
      </c>
      <c r="F22" s="80">
        <f t="shared" si="2"/>
        <v>0</v>
      </c>
      <c r="G22" s="80">
        <f t="shared" si="2"/>
        <v>0</v>
      </c>
      <c r="H22" s="80">
        <f t="shared" si="2"/>
        <v>0</v>
      </c>
      <c r="I22" s="80">
        <f t="shared" si="2"/>
        <v>0</v>
      </c>
      <c r="J22" s="80">
        <f t="shared" si="2"/>
        <v>0</v>
      </c>
      <c r="K22" s="80">
        <f t="shared" si="2"/>
        <v>0</v>
      </c>
      <c r="L22" s="80">
        <f t="shared" si="2"/>
        <v>0</v>
      </c>
      <c r="M22" s="80">
        <f t="shared" si="2"/>
        <v>0</v>
      </c>
      <c r="N22" s="101">
        <f t="shared" si="2"/>
        <v>0</v>
      </c>
      <c r="O22" s="131">
        <f>SUM(C22:N22)</f>
        <v>0</v>
      </c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</row>
    <row r="23" spans="1:43" ht="19" thickBot="1" x14ac:dyDescent="0.4">
      <c r="A23" s="121" t="s">
        <v>84</v>
      </c>
      <c r="B23" s="343" t="s">
        <v>43</v>
      </c>
      <c r="C23" s="344"/>
      <c r="D23" s="344"/>
      <c r="E23" s="344"/>
      <c r="F23" s="344"/>
      <c r="G23" s="344"/>
      <c r="H23" s="344"/>
      <c r="I23" s="344"/>
      <c r="J23" s="344"/>
      <c r="K23" s="344"/>
      <c r="L23" s="344"/>
      <c r="M23" s="344"/>
      <c r="N23" s="345"/>
      <c r="O23" s="142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</row>
    <row r="24" spans="1:43" ht="15.5" x14ac:dyDescent="0.35">
      <c r="B24" s="235" t="s">
        <v>18</v>
      </c>
      <c r="C24" s="236">
        <f>SUMIFS('FACT - PEINTURE- SERRURERIE'!$V$5:$V$176,'FACT - PEINTURE- SERRURERIE'!$S$5:$S$176,"sopimat",'FACT - PEINTURE- SERRURERIE'!$X$5:$X$176,"janvier")</f>
        <v>0</v>
      </c>
      <c r="D24" s="236">
        <f>SUMIFS('FACT - PEINTURE- SERRURERIE'!$V$5:$V$176,'FACT - PEINTURE- SERRURERIE'!$S$5:$S$176,"sopimat",'FACT - PEINTURE- SERRURERIE'!$X$5:$X$176,"fevrier")</f>
        <v>0</v>
      </c>
      <c r="E24" s="236">
        <f>SUMIFS('FACT - PEINTURE- SERRURERIE'!$V$5:$V$176,'FACT - PEINTURE- SERRURERIE'!$S$5:$S$176,"sopimat",'FACT - PEINTURE- SERRURERIE'!$X$5:$X$176,"mars")</f>
        <v>0</v>
      </c>
      <c r="F24" s="236">
        <f>SUMIFS('FACT - PEINTURE- SERRURERIE'!$V$5:$V$176,'FACT - PEINTURE- SERRURERIE'!$S$5:$S$176,"sopimat",'FACT - PEINTURE- SERRURERIE'!$X$5:$X$176,"avril")</f>
        <v>0</v>
      </c>
      <c r="G24" s="236">
        <f>SUMIFS('FACT - PEINTURE- SERRURERIE'!$V$5:$V$176,'FACT - PEINTURE- SERRURERIE'!$S$5:$S$176,"sopimat",'FACT - PEINTURE- SERRURERIE'!$X$5:$X$176,"mai")</f>
        <v>0</v>
      </c>
      <c r="H24" s="236">
        <f>SUMIFS('FACT - PEINTURE- SERRURERIE'!$V$5:$V$176,'FACT - PEINTURE- SERRURERIE'!$S$5:$S$176,"sopimat",'FACT - PEINTURE- SERRURERIE'!$X$5:$X$176,"juin")</f>
        <v>0</v>
      </c>
      <c r="I24" s="236">
        <f>SUMIFS('FACT - PEINTURE- SERRURERIE'!$V$5:$V$176,'FACT - PEINTURE- SERRURERIE'!$S$5:$S$176,"sopimat",'FACT - PEINTURE- SERRURERIE'!$X$5:$X$176,"JUILLET")</f>
        <v>0</v>
      </c>
      <c r="J24" s="236">
        <f>SUMIFS('FACT - PEINTURE- SERRURERIE'!$V$5:$V$176,'FACT - PEINTURE- SERRURERIE'!$S$5:$S$176,"sopimat",'FACT - PEINTURE- SERRURERIE'!$X$5:$X$176,"aout")</f>
        <v>0</v>
      </c>
      <c r="K24" s="236">
        <f>SUMIFS('FACT - PEINTURE- SERRURERIE'!$V$5:$V$176,'FACT - PEINTURE- SERRURERIE'!$S$5:$S$176,"sopimat",'FACT - PEINTURE- SERRURERIE'!$X$5:$X$176,"septembre")</f>
        <v>0</v>
      </c>
      <c r="L24" s="236">
        <f>SUMIFS('FACT - PEINTURE- SERRURERIE'!$V$5:$V$176,'FACT - PEINTURE- SERRURERIE'!$S$5:$S$176,"sopimat",'FACT - PEINTURE- SERRURERIE'!$X$5:$X$176,"octobre")</f>
        <v>0</v>
      </c>
      <c r="M24" s="236">
        <f>SUMIFS('FACT - PEINTURE- SERRURERIE'!$V$5:$V$176,'FACT - PEINTURE- SERRURERIE'!$S$5:$S$176,"sopimat",'FACT - PEINTURE- SERRURERIE'!$X$5:$X$176,"novembre")</f>
        <v>0</v>
      </c>
      <c r="N24" s="236">
        <f>SUMIFS('FACT - PEINTURE- SERRURERIE'!$V$5:$V$176,'FACT - PEINTURE- SERRURERIE'!$S$5:$S$176,"sopimat",'FACT - PEINTURE- SERRURERIE'!$X$5:$X$176,"decembre")</f>
        <v>0</v>
      </c>
      <c r="O24" s="127">
        <f>SUM(C24:N24)</f>
        <v>0</v>
      </c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</row>
    <row r="25" spans="1:43" s="44" customFormat="1" ht="30" customHeight="1" x14ac:dyDescent="0.35">
      <c r="A25" s="6"/>
      <c r="B25" s="133" t="s">
        <v>19</v>
      </c>
      <c r="C25" s="236">
        <f>SUMIFS('FACT - PEINTURE- SERRURERIE'!$V$5:$V$176,'FACT - PEINTURE- SERRURERIE'!$S$5:$S$176,"saserq",'FACT - PEINTURE- SERRURERIE'!$X$5:$X$176,"janvier")</f>
        <v>0</v>
      </c>
      <c r="D25" s="236">
        <f>SUMIFS('FACT - PEINTURE- SERRURERIE'!$V$5:$V$176,'FACT - PEINTURE- SERRURERIE'!$S$5:$S$176,"saserq",'FACT - PEINTURE- SERRURERIE'!$X$5:$X$176,"fevrier")</f>
        <v>0</v>
      </c>
      <c r="E25" s="236">
        <f>SUMIFS('FACT - PEINTURE- SERRURERIE'!$V$5:$V$176,'FACT - PEINTURE- SERRURERIE'!$S$5:$S$176,"saserq",'FACT - PEINTURE- SERRURERIE'!$X$5:$X$176,"mars")</f>
        <v>0</v>
      </c>
      <c r="F25" s="236">
        <f>SUMIFS('FACT - PEINTURE- SERRURERIE'!$V$5:$V$176,'FACT - PEINTURE- SERRURERIE'!$S$5:$S$176,"saserq",'FACT - PEINTURE- SERRURERIE'!$X$5:$X$176,"avril")</f>
        <v>0</v>
      </c>
      <c r="G25" s="236">
        <f>SUMIFS('FACT - PEINTURE- SERRURERIE'!$V$5:$V$176,'FACT - PEINTURE- SERRURERIE'!$S$5:$S$176,"saserq",'FACT - PEINTURE- SERRURERIE'!$X$5:$X$176,"mai")</f>
        <v>0</v>
      </c>
      <c r="H25" s="236">
        <f>SUMIFS('FACT - PEINTURE- SERRURERIE'!$V$5:$V$176,'FACT - PEINTURE- SERRURERIE'!$S$5:$S$176,"saserq",'FACT - PEINTURE- SERRURERIE'!$X$5:$X$176,"juin")</f>
        <v>0</v>
      </c>
      <c r="I25" s="236">
        <f>SUMIFS('FACT - PEINTURE- SERRURERIE'!$V$5:$V$176,'FACT - PEINTURE- SERRURERIE'!$S$5:$S$176,"saserq",'FACT - PEINTURE- SERRURERIE'!$X$5:$X$176,"juillet")</f>
        <v>0</v>
      </c>
      <c r="J25" s="236">
        <f>SUMIFS('FACT - PEINTURE- SERRURERIE'!$V$5:$V$176,'FACT - PEINTURE- SERRURERIE'!$S$5:$S$176,"saserq",'FACT - PEINTURE- SERRURERIE'!$X$5:$X$176,"aout")</f>
        <v>0</v>
      </c>
      <c r="K25" s="236">
        <f>SUMIFS('FACT - PEINTURE- SERRURERIE'!$V$5:$V$176,'FACT - PEINTURE- SERRURERIE'!$S$5:$S$176,"saserq",'FACT - PEINTURE- SERRURERIE'!$X$5:$X$176,"septembre")</f>
        <v>0</v>
      </c>
      <c r="L25" s="236">
        <f>SUMIFS('FACT - PEINTURE- SERRURERIE'!$V$5:$V$176,'FACT - PEINTURE- SERRURERIE'!$S$5:$S$176,"saserq",'FACT - PEINTURE- SERRURERIE'!$X$5:$X$176,"octobre")</f>
        <v>0</v>
      </c>
      <c r="M25" s="236">
        <f>SUMIFS('FACT - PEINTURE- SERRURERIE'!$V$5:$V$176,'FACT - PEINTURE- SERRURERIE'!$S$5:$S$176,"saserq",'FACT - PEINTURE- SERRURERIE'!$X$5:$X$176,"novembre")</f>
        <v>0</v>
      </c>
      <c r="N25" s="236">
        <f>SUMIFS('FACT - PEINTURE- SERRURERIE'!$V$5:$V$176,'FACT - PEINTURE- SERRURERIE'!$S$5:$S$176,"sopimat",'FACT - PEINTURE- SERRURERIE'!$X$5:$X$176,"decembre")</f>
        <v>0</v>
      </c>
      <c r="O25" s="127">
        <f t="shared" ref="O25:O31" si="3">SUM(C25:N25)</f>
        <v>0</v>
      </c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</row>
    <row r="26" spans="1:43" ht="30.65" customHeight="1" x14ac:dyDescent="0.35">
      <c r="B26" s="133" t="s">
        <v>125</v>
      </c>
      <c r="C26" s="236">
        <f>SUMIFS('FACT - PEINTURE- SERRURERIE'!$V$5:$V$176,'FACT - PEINTURE- SERRURERIE'!$S$5:$S$176,"equinox",'FACT - PEINTURE- SERRURERIE'!$X$5:$X$176,"janvier")+SUMIFS('FACT - PEINTURE- SERRURERIE'!$V$5:$V$176,'FACT - PEINTURE- SERRURERIE'!$S$5:$S$176,"zig zag",'FACT - PEINTURE- SERRURERIE'!$X$5:$X$176,"janvier")</f>
        <v>0</v>
      </c>
      <c r="D26" s="236">
        <f>SUMIFS('FACT - PEINTURE- SERRURERIE'!$V$5:$V$176,'FACT - PEINTURE- SERRURERIE'!$S$5:$S$176,"equinox",'FACT - PEINTURE- SERRURERIE'!$X$5:$X$176,"fevirer")+SUMIFS('FACT - PEINTURE- SERRURERIE'!$V$5:$V$176,'FACT - PEINTURE- SERRURERIE'!$S$5:$S$176,"zig zag",'FACT - PEINTURE- SERRURERIE'!$X$5:$X$176,"fevirer")</f>
        <v>0</v>
      </c>
      <c r="E26" s="236">
        <f>SUMIFS('FACT - PEINTURE- SERRURERIE'!$V$5:$V$176,'FACT - PEINTURE- SERRURERIE'!$S$5:$S$176,"equinox",'FACT - PEINTURE- SERRURERIE'!$X$5:$X$176,"mars")+SUMIFS('FACT - PEINTURE- SERRURERIE'!$V$5:$V$176,'FACT - PEINTURE- SERRURERIE'!$S$5:$S$176,"zig zag",'FACT - PEINTURE- SERRURERIE'!$X$5:$X$176,"mars")</f>
        <v>0</v>
      </c>
      <c r="F26" s="236">
        <f>SUMIFS('FACT - PEINTURE- SERRURERIE'!$V$5:$V$176,'FACT - PEINTURE- SERRURERIE'!$S$5:$S$176,"equinox",'FACT - PEINTURE- SERRURERIE'!$X$5:$X$176,"avril")+SUMIFS('FACT - PEINTURE- SERRURERIE'!$V$5:$V$176,'FACT - PEINTURE- SERRURERIE'!$S$5:$S$176,"zig zag",'FACT - PEINTURE- SERRURERIE'!$X$5:$X$176,"avril")</f>
        <v>0</v>
      </c>
      <c r="G26" s="236">
        <f>SUMIFS('FACT - PEINTURE- SERRURERIE'!$V$5:$V$176,'FACT - PEINTURE- SERRURERIE'!$S$5:$S$176,"equinox",'FACT - PEINTURE- SERRURERIE'!$X$5:$X$176,"mai")+SUMIFS('FACT - PEINTURE- SERRURERIE'!$V$5:$V$176,'FACT - PEINTURE- SERRURERIE'!$S$5:$S$176,"zig zag",'FACT - PEINTURE- SERRURERIE'!$X$5:$X$176,"mai")</f>
        <v>0</v>
      </c>
      <c r="H26" s="236">
        <f>SUMIFS('FACT - PEINTURE- SERRURERIE'!$V$5:$V$176,'FACT - PEINTURE- SERRURERIE'!$S$5:$S$176,"equinox",'FACT - PEINTURE- SERRURERIE'!$X$5:$X$176,"juin")+SUMIFS('FACT - PEINTURE- SERRURERIE'!$V$5:$V$176,'FACT - PEINTURE- SERRURERIE'!$S$5:$S$176,"zig zag",'FACT - PEINTURE- SERRURERIE'!$X$5:$X$176,"juin")</f>
        <v>0</v>
      </c>
      <c r="I26" s="236">
        <f>SUMIFS('FACT - PEINTURE- SERRURERIE'!$V$5:$V$176,'FACT - PEINTURE- SERRURERIE'!$S$5:$S$176,"equinox",'FACT - PEINTURE- SERRURERIE'!$X$5:$X$176,"juillet")+SUMIFS('FACT - PEINTURE- SERRURERIE'!$V$5:$V$176,'FACT - PEINTURE- SERRURERIE'!$S$5:$S$176,"zig zag",'FACT - PEINTURE- SERRURERIE'!$X$5:$X$176,"juillet")</f>
        <v>0</v>
      </c>
      <c r="J26" s="236">
        <f>SUMIFS('FACT - PEINTURE- SERRURERIE'!$V$5:$V$176,'FACT - PEINTURE- SERRURERIE'!$S$5:$S$176,"equinox",'FACT - PEINTURE- SERRURERIE'!$X$5:$X$176,"aout")+SUMIFS('FACT - PEINTURE- SERRURERIE'!$V$5:$V$176,'FACT - PEINTURE- SERRURERIE'!$S$5:$S$176,"zig zag",'FACT - PEINTURE- SERRURERIE'!$X$5:$X$176,"aout")</f>
        <v>0</v>
      </c>
      <c r="K26" s="236">
        <f>SUMIFS('FACT - PEINTURE- SERRURERIE'!$V$5:$V$176,'FACT - PEINTURE- SERRURERIE'!$S$5:$S$176,"equinox",'FACT - PEINTURE- SERRURERIE'!$X$5:$X$176,"septembre")+SUMIFS('FACT - PEINTURE- SERRURERIE'!$V$5:$V$176,'FACT - PEINTURE- SERRURERIE'!$S$5:$S$176,"zig zag",'FACT - PEINTURE- SERRURERIE'!$X$5:$X$176,"septembre")</f>
        <v>0</v>
      </c>
      <c r="L26" s="236">
        <f>SUMIFS('FACT - PEINTURE- SERRURERIE'!$V$5:$V$176,'FACT - PEINTURE- SERRURERIE'!$S$5:$S$176,"equinox",'FACT - PEINTURE- SERRURERIE'!$X$5:$X$176,"octobre")+SUMIFS('FACT - PEINTURE- SERRURERIE'!$V$5:$V$176,'FACT - PEINTURE- SERRURERIE'!$S$5:$S$176,"zig zag",'FACT - PEINTURE- SERRURERIE'!$X$5:$X$176,"octobre")</f>
        <v>0</v>
      </c>
      <c r="M26" s="236">
        <f>SUMIFS('FACT - PEINTURE- SERRURERIE'!$V$5:$V$176,'FACT - PEINTURE- SERRURERIE'!$S$5:$S$176,"equinox",'FACT - PEINTURE- SERRURERIE'!$X$5:$X$176,"novembre")+SUMIFS('FACT - PEINTURE- SERRURERIE'!$V$5:$V$176,'FACT - PEINTURE- SERRURERIE'!$S$5:$S$176,"zig zag",'FACT - PEINTURE- SERRURERIE'!$X$5:$X$176,"novembre")</f>
        <v>0</v>
      </c>
      <c r="N26" s="236">
        <f>SUMIFS('FACT - PEINTURE- SERRURERIE'!$V$5:$V$176,'FACT - PEINTURE- SERRURERIE'!$S$5:$S$176,"equinox",'FACT - PEINTURE- SERRURERIE'!$X$5:$X$176,"decembre")+SUMIFS('FACT - PEINTURE- SERRURERIE'!$V$5:$V$176,'FACT - PEINTURE- SERRURERIE'!$S$5:$S$176,"zig zag",'FACT - PEINTURE- SERRURERIE'!$X$5:$X$176,"decembre")</f>
        <v>0</v>
      </c>
      <c r="O26" s="127">
        <f t="shared" si="3"/>
        <v>0</v>
      </c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</row>
    <row r="27" spans="1:43" ht="15.5" x14ac:dyDescent="0.35">
      <c r="A27"/>
      <c r="B27" s="133" t="s">
        <v>20</v>
      </c>
      <c r="C27" s="236">
        <f>SUMIFS('FACT - PEINTURE- SERRURERIE'!$V$5:$V$176,'FACT - PEINTURE- SERRURERIE'!$S$5:$S$176,"ets pommez",'FACT - PEINTURE- SERRURERIE'!$X$5:$X$176,"janvier")+SUMIFS('FACT - PEINTURE- SERRURERIE'!$V$5:$V$176,'FACT - PEINTURE- SERRURERIE'!$S$5:$S$176,"quincaillerie saint jean",'FACT - PEINTURE- SERRURERIE'!$X$5:$X$176,"janvier")</f>
        <v>0</v>
      </c>
      <c r="D27" s="236">
        <f>SUMIFS('FACT - PEINTURE- SERRURERIE'!$V$5:$V$176,'FACT - PEINTURE- SERRURERIE'!$S$5:$S$176,"ets pommez",'FACT - PEINTURE- SERRURERIE'!$X$5:$X$176,"fevirer")+SUMIFS('FACT - PEINTURE- SERRURERIE'!$V$5:$V$176,'FACT - PEINTURE- SERRURERIE'!$S$5:$S$176,"quincaillerie saint jean",'FACT - PEINTURE- SERRURERIE'!$X$5:$X$176,"fevirer")</f>
        <v>0</v>
      </c>
      <c r="E27" s="236">
        <f>SUMIFS('FACT - PEINTURE- SERRURERIE'!$V$5:$V$176,'FACT - PEINTURE- SERRURERIE'!$S$5:$S$176,"ets pommez",'FACT - PEINTURE- SERRURERIE'!$X$5:$X$176,"mars")+SUMIFS('FACT - PEINTURE- SERRURERIE'!$V$5:$V$176,'FACT - PEINTURE- SERRURERIE'!$S$5:$S$176,"quincaillerie saint jean",'FACT - PEINTURE- SERRURERIE'!$X$5:$X$176,"mars")</f>
        <v>0</v>
      </c>
      <c r="F27" s="236">
        <f>SUMIFS('FACT - PEINTURE- SERRURERIE'!$V$5:$V$176,'FACT - PEINTURE- SERRURERIE'!$S$5:$S$176,"ets pommez",'FACT - PEINTURE- SERRURERIE'!$X$5:$X$176,"avril")+SUMIFS('FACT - PEINTURE- SERRURERIE'!$V$5:$V$176,'FACT - PEINTURE- SERRURERIE'!$S$5:$S$176,"quincaillerie saint jean",'FACT - PEINTURE- SERRURERIE'!$X$5:$X$176,"avril")</f>
        <v>0</v>
      </c>
      <c r="G27" s="236">
        <f>SUMIFS('FACT - PEINTURE- SERRURERIE'!$V$5:$V$176,'FACT - PEINTURE- SERRURERIE'!$S$5:$S$176,"ets pommez",'FACT - PEINTURE- SERRURERIE'!$X$5:$X$176,"mai")+SUMIFS('FACT - PEINTURE- SERRURERIE'!$V$5:$V$176,'FACT - PEINTURE- SERRURERIE'!$S$5:$S$176,"quincaillerie saint jean",'FACT - PEINTURE- SERRURERIE'!$X$5:$X$176,"mai")</f>
        <v>0</v>
      </c>
      <c r="H27" s="236">
        <f>SUMIFS('FACT - PEINTURE- SERRURERIE'!$V$5:$V$176,'FACT - PEINTURE- SERRURERIE'!$S$5:$S$176,"ets pommez",'FACT - PEINTURE- SERRURERIE'!$X$5:$X$176,"juin")+SUMIFS('FACT - PEINTURE- SERRURERIE'!$V$5:$V$176,'FACT - PEINTURE- SERRURERIE'!$S$5:$S$176,"quincaillerie saint jean",'FACT - PEINTURE- SERRURERIE'!$X$5:$X$176,"juin")</f>
        <v>0</v>
      </c>
      <c r="I27" s="236">
        <f>SUMIFS('FACT - PEINTURE- SERRURERIE'!$V$5:$V$176,'FACT - PEINTURE- SERRURERIE'!$S$5:$S$176,"ets pommez",'FACT - PEINTURE- SERRURERIE'!$X$5:$X$176,"juillet")+SUMIFS('FACT - PEINTURE- SERRURERIE'!$V$5:$V$176,'FACT - PEINTURE- SERRURERIE'!$S$5:$S$176,"quincaillerie saint jean",'FACT - PEINTURE- SERRURERIE'!$X$5:$X$176,"juillet")</f>
        <v>0</v>
      </c>
      <c r="J27" s="236">
        <f>SUMIFS('FACT - PEINTURE- SERRURERIE'!$V$5:$V$176,'FACT - PEINTURE- SERRURERIE'!$S$5:$S$176,"ets pommez",'FACT - PEINTURE- SERRURERIE'!$X$5:$X$176,"aout")+SUMIFS('FACT - PEINTURE- SERRURERIE'!$V$5:$V$176,'FACT - PEINTURE- SERRURERIE'!$S$5:$S$176,"quincaillerie saint jean",'FACT - PEINTURE- SERRURERIE'!$X$5:$X$176,"aout")</f>
        <v>0</v>
      </c>
      <c r="K27" s="236">
        <f>SUMIFS('FACT - PEINTURE- SERRURERIE'!$V$5:$V$176,'FACT - PEINTURE- SERRURERIE'!$S$5:$S$176,"ets pommez",'FACT - PEINTURE- SERRURERIE'!$X$5:$X$176,"septembre")+SUMIFS('FACT - PEINTURE- SERRURERIE'!$V$5:$V$176,'FACT - PEINTURE- SERRURERIE'!$S$5:$S$176,"quincaillerie saint jean",'FACT - PEINTURE- SERRURERIE'!$X$5:$X$176,"septembre")</f>
        <v>0</v>
      </c>
      <c r="L27" s="236">
        <f>SUMIFS('FACT - PEINTURE- SERRURERIE'!$V$5:$V$176,'FACT - PEINTURE- SERRURERIE'!$S$5:$S$176,"ets pommez",'FACT - PEINTURE- SERRURERIE'!$X$5:$X$176,"octobre")+SUMIFS('FACT - PEINTURE- SERRURERIE'!$V$5:$V$176,'FACT - PEINTURE- SERRURERIE'!$S$5:$S$176,"quincaillerie saint jean",'FACT - PEINTURE- SERRURERIE'!$X$5:$X$176,"octobre")</f>
        <v>0</v>
      </c>
      <c r="M27" s="236">
        <f>SUMIFS('FACT - PEINTURE- SERRURERIE'!$V$5:$V$176,'FACT - PEINTURE- SERRURERIE'!$S$5:$S$176,"ets pommez",'FACT - PEINTURE- SERRURERIE'!$X$5:$X$176,"novembre")+SUMIFS('FACT - PEINTURE- SERRURERIE'!$V$5:$V$176,'FACT - PEINTURE- SERRURERIE'!$S$5:$S$176,"quincaillerie saint jean",'FACT - PEINTURE- SERRURERIE'!$X$5:$X$176,"novembre")</f>
        <v>0</v>
      </c>
      <c r="N27" s="236">
        <f>SUMIFS('FACT - PEINTURE- SERRURERIE'!$V$5:$V$176,'FACT - PEINTURE- SERRURERIE'!$S$5:$S$176,"ets pommez",'FACT - PEINTURE- SERRURERIE'!$X$5:$X$176,"decembre")+SUMIFS('FACT - PEINTURE- SERRURERIE'!$V$5:$V$176,'FACT - PEINTURE- SERRURERIE'!$S$5:$S$176,"quincaillerie saint jean",'FACT - PEINTURE- SERRURERIE'!$X$5:$X$176,"decembre")</f>
        <v>0</v>
      </c>
      <c r="O27" s="127">
        <f t="shared" si="3"/>
        <v>0</v>
      </c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</row>
    <row r="28" spans="1:43" ht="15.5" x14ac:dyDescent="0.35">
      <c r="A28"/>
      <c r="B28" s="133" t="s">
        <v>46</v>
      </c>
      <c r="C28" s="236">
        <f>SUMIFS('FACT - PEINTURE- SERRURERIE'!$V$5:$V$176,'FACT - PEINTURE- SERRURERIE'!$S$5:$S$176,"chantiers audebert",'FACT - PEINTURE- SERRURERIE'!$X$5:$X$176,"janvier")</f>
        <v>0</v>
      </c>
      <c r="D28" s="236">
        <f>SUMIFS('FACT - PEINTURE- SERRURERIE'!$V$5:$V$176,'FACT - PEINTURE- SERRURERIE'!$S$5:$S$176,"chantiers audebert",'FACT - PEINTURE- SERRURERIE'!$X$5:$X$176,"fevrier")</f>
        <v>0</v>
      </c>
      <c r="E28" s="236">
        <f>SUMIFS('FACT - PEINTURE- SERRURERIE'!$V$5:$V$176,'FACT - PEINTURE- SERRURERIE'!$S$5:$S$176,"chantiers audebert",'FACT - PEINTURE- SERRURERIE'!$X$5:$X$176,"mars")</f>
        <v>0</v>
      </c>
      <c r="F28" s="236">
        <f>SUMIFS('FACT - PEINTURE- SERRURERIE'!$V$5:$V$176,'FACT - PEINTURE- SERRURERIE'!$S$5:$S$176,"chantiers audebert",'FACT - PEINTURE- SERRURERIE'!$X$5:$X$176,"avril")</f>
        <v>0</v>
      </c>
      <c r="G28" s="236">
        <f>SUMIFS('FACT - PEINTURE- SERRURERIE'!$V$5:$V$176,'FACT - PEINTURE- SERRURERIE'!$S$5:$S$176,"chantiers audebert",'FACT - PEINTURE- SERRURERIE'!$X$5:$X$176,"mai")</f>
        <v>0</v>
      </c>
      <c r="H28" s="236">
        <f>SUMIFS('FACT - PEINTURE- SERRURERIE'!$V$5:$V$176,'FACT - PEINTURE- SERRURERIE'!$S$5:$S$176,"chantiers audebert",'FACT - PEINTURE- SERRURERIE'!$X$5:$X$176,"juin")</f>
        <v>0</v>
      </c>
      <c r="I28" s="236">
        <f>SUMIFS('FACT - PEINTURE- SERRURERIE'!$V$5:$V$176,'FACT - PEINTURE- SERRURERIE'!$S$5:$S$176,"chantiers audebert",'FACT - PEINTURE- SERRURERIE'!$X$5:$X$176,"juillet")</f>
        <v>0</v>
      </c>
      <c r="J28" s="236">
        <f>SUMIFS('FACT - PEINTURE- SERRURERIE'!$V$5:$V$176,'FACT - PEINTURE- SERRURERIE'!$S$5:$S$176,"chantiers audebert",'FACT - PEINTURE- SERRURERIE'!$X$5:$X$176,"aout")</f>
        <v>0</v>
      </c>
      <c r="K28" s="236">
        <f>SUMIFS('FACT - PEINTURE- SERRURERIE'!$V$5:$V$176,'FACT - PEINTURE- SERRURERIE'!$S$5:$S$176,"chantiers audebert",'FACT - PEINTURE- SERRURERIE'!$X$5:$X$176,"septembre")</f>
        <v>0</v>
      </c>
      <c r="L28" s="236">
        <f>SUMIFS('FACT - PEINTURE- SERRURERIE'!$V$5:$V$176,'FACT - PEINTURE- SERRURERIE'!$S$5:$S$176,"chantiers audebert",'FACT - PEINTURE- SERRURERIE'!$X$5:$X$176,"octobre")</f>
        <v>0</v>
      </c>
      <c r="M28" s="236">
        <f>SUMIFS('FACT - PEINTURE- SERRURERIE'!$V$5:$V$176,'FACT - PEINTURE- SERRURERIE'!$S$5:$S$176,"chantiers audebert",'FACT - PEINTURE- SERRURERIE'!$X$5:$X$176,"novembre")</f>
        <v>0</v>
      </c>
      <c r="N28" s="236">
        <f>SUMIFS('FACT - PEINTURE- SERRURERIE'!$V$5:$V$176,'FACT - PEINTURE- SERRURERIE'!$S$5:$S$176,"chantiers audebert",'FACT - PEINTURE- SERRURERIE'!$X$5:$X$176,"decembre")</f>
        <v>0</v>
      </c>
      <c r="O28" s="127">
        <f t="shared" si="3"/>
        <v>0</v>
      </c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</row>
    <row r="29" spans="1:43" ht="15.5" x14ac:dyDescent="0.35">
      <c r="A29" s="5"/>
      <c r="B29" s="133" t="s">
        <v>17</v>
      </c>
      <c r="C29" s="236">
        <f>SUMIFS('FACT - PEINTURE- SERRURERIE'!$V$5:$V$176,'FACT - PEINTURE- SERRURERIE'!$S$5:$S$176,"outicoup",'FACT - PEINTURE- SERRURERIE'!$X$5:$X$176,"janvier")</f>
        <v>0</v>
      </c>
      <c r="D29" s="236">
        <f>SUMIFS('FACT - PEINTURE- SERRURERIE'!$V$5:$V$176,'FACT - PEINTURE- SERRURERIE'!$S$5:$S$176,"outicoup",'FACT - PEINTURE- SERRURERIE'!$X$5:$X$176,"fevrier")</f>
        <v>0</v>
      </c>
      <c r="E29" s="236">
        <f>SUMIFS('FACT - PEINTURE- SERRURERIE'!$V$5:$V$176,'FACT - PEINTURE- SERRURERIE'!$S$5:$S$176,"outicoup",'FACT - PEINTURE- SERRURERIE'!$X$5:$X$176,"mars")</f>
        <v>0</v>
      </c>
      <c r="F29" s="236">
        <f>SUMIFS('FACT - PEINTURE- SERRURERIE'!$V$5:$V$176,'FACT - PEINTURE- SERRURERIE'!$S$5:$S$176,"outicoup",'FACT - PEINTURE- SERRURERIE'!$X$5:$X$176,"avril")</f>
        <v>0</v>
      </c>
      <c r="G29" s="236">
        <f>SUMIFS('FACT - PEINTURE- SERRURERIE'!$V$5:$V$176,'FACT - PEINTURE- SERRURERIE'!$S$5:$S$176,"outicoup",'FACT - PEINTURE- SERRURERIE'!$X$5:$X$176,"mai")</f>
        <v>0</v>
      </c>
      <c r="H29" s="236">
        <f>SUMIFS('FACT - PEINTURE- SERRURERIE'!$V$5:$V$176,'FACT - PEINTURE- SERRURERIE'!$S$5:$S$176,"outicoup",'FACT - PEINTURE- SERRURERIE'!$X$5:$X$176,"juin")</f>
        <v>0</v>
      </c>
      <c r="I29" s="236">
        <f>SUMIFS('FACT - PEINTURE- SERRURERIE'!$V$5:$V$176,'FACT - PEINTURE- SERRURERIE'!$S$5:$S$176,"outicoup",'FACT - PEINTURE- SERRURERIE'!$X$5:$X$176,"juillet")</f>
        <v>0</v>
      </c>
      <c r="J29" s="236">
        <f>SUMIFS('FACT - PEINTURE- SERRURERIE'!$V$5:$V$176,'FACT - PEINTURE- SERRURERIE'!$S$5:$S$176,"outicoup",'FACT - PEINTURE- SERRURERIE'!$X$5:$X$176,"aout")</f>
        <v>0</v>
      </c>
      <c r="K29" s="236">
        <f>SUMIFS('FACT - PEINTURE- SERRURERIE'!$V$5:$V$176,'FACT - PEINTURE- SERRURERIE'!$S$5:$S$176,"outicoup",'FACT - PEINTURE- SERRURERIE'!$X$5:$X$176,"septembre")</f>
        <v>0</v>
      </c>
      <c r="L29" s="236">
        <f>SUMIFS('FACT - PEINTURE- SERRURERIE'!$V$5:$V$176,'FACT - PEINTURE- SERRURERIE'!$S$5:$S$176,"outicoup",'FACT - PEINTURE- SERRURERIE'!$X$5:$X$176,"octobre")</f>
        <v>0</v>
      </c>
      <c r="M29" s="236">
        <f>SUMIFS('FACT - PEINTURE- SERRURERIE'!$V$5:$V$176,'FACT - PEINTURE- SERRURERIE'!$S$5:$S$176,"outicoup",'FACT - PEINTURE- SERRURERIE'!$X$5:$X$176,"novembre")</f>
        <v>0</v>
      </c>
      <c r="N29" s="236">
        <f>SUMIFS('FACT - PEINTURE- SERRURERIE'!$V$5:$V$176,'FACT - PEINTURE- SERRURERIE'!$S$5:$S$176,"outicoup",'FACT - PEINTURE- SERRURERIE'!$X$5:$X$176,"decembre")</f>
        <v>0</v>
      </c>
      <c r="O29" s="127">
        <f t="shared" si="3"/>
        <v>0</v>
      </c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</row>
    <row r="30" spans="1:43" ht="15.5" x14ac:dyDescent="0.35">
      <c r="A30" s="5"/>
      <c r="B30" s="133" t="s">
        <v>174</v>
      </c>
      <c r="C30" s="236">
        <f>SUMIFS('FACT - PEINTURE- SERRURERIE'!$V$5:$V$176,'FACT - PEINTURE- SERRURERIE'!$S$5:$S$176,"TROPIC PROFIL GUADELOUPE",'FACT - PEINTURE- SERRURERIE'!$X$5:$X$176,"janvier")</f>
        <v>0</v>
      </c>
      <c r="D30" s="236">
        <f>SUMIFS('FACT - PEINTURE- SERRURERIE'!$V$5:$V$176,'FACT - PEINTURE- SERRURERIE'!$S$5:$S$176,"TROPIC PROFIL GUADELOUPE",'FACT - PEINTURE- SERRURERIE'!$X$5:$X$176,"fevrier")</f>
        <v>0</v>
      </c>
      <c r="E30" s="236">
        <f>SUMIFS('FACT - PEINTURE- SERRURERIE'!$V$5:$V$176,'FACT - PEINTURE- SERRURERIE'!$S$5:$S$176,"TROPIC PROFIL GUADELOUPE",'FACT - PEINTURE- SERRURERIE'!$X$5:$X$176,"mars")</f>
        <v>0</v>
      </c>
      <c r="F30" s="236">
        <f>SUMIFS('FACT - PEINTURE- SERRURERIE'!$V$5:$V$176,'FACT - PEINTURE- SERRURERIE'!$S$5:$S$176,"TROPIC PROFIL GUADELOUPE",'FACT - PEINTURE- SERRURERIE'!$X$5:$X$176,"avril")</f>
        <v>0</v>
      </c>
      <c r="G30" s="236">
        <f>SUMIFS('FACT - PEINTURE- SERRURERIE'!$V$5:$V$176,'FACT - PEINTURE- SERRURERIE'!$S$5:$S$176,"TROPIC PROFIL GUADELOUPE",'FACT - PEINTURE- SERRURERIE'!$X$5:$X$176,"mai")</f>
        <v>0</v>
      </c>
      <c r="H30" s="236">
        <f>SUMIFS('FACT - PEINTURE- SERRURERIE'!$V$5:$V$176,'FACT - PEINTURE- SERRURERIE'!$S$5:$S$176,"TROPIC PROFIL GUADELOUPE",'FACT - PEINTURE- SERRURERIE'!$X$5:$X$176,"juin")</f>
        <v>0</v>
      </c>
      <c r="I30" s="236">
        <f>SUMIFS('FACT - PEINTURE- SERRURERIE'!$V$5:$V$176,'FACT - PEINTURE- SERRURERIE'!$S$5:$S$176,"TROPIC PROFIL GUADELOUPE",'FACT - PEINTURE- SERRURERIE'!$X$5:$X$176,"juillet")</f>
        <v>0</v>
      </c>
      <c r="J30" s="236">
        <f>SUMIFS('FACT - PEINTURE- SERRURERIE'!$V$5:$V$176,'FACT - PEINTURE- SERRURERIE'!$S$5:$S$176,"TROPIC PROFIL GUADELOUPE",'FACT - PEINTURE- SERRURERIE'!$X$5:$X$176,"aout")</f>
        <v>0</v>
      </c>
      <c r="K30" s="236">
        <f>SUMIFS('FACT - PEINTURE- SERRURERIE'!$V$5:$V$176,'FACT - PEINTURE- SERRURERIE'!$S$5:$S$176,"TROPIC PROFIL GUADELOUPE",'FACT - PEINTURE- SERRURERIE'!$X$5:$X$176,"septembre")</f>
        <v>0</v>
      </c>
      <c r="L30" s="236">
        <f>SUMIFS('FACT - PEINTURE- SERRURERIE'!$V$5:$V$176,'FACT - PEINTURE- SERRURERIE'!$S$5:$S$176,"TROPIC PROFIL GUADELOUPE",'FACT - PEINTURE- SERRURERIE'!$X$5:$X$176,"octobre")</f>
        <v>0</v>
      </c>
      <c r="M30" s="236">
        <f>SUMIFS('FACT - PEINTURE- SERRURERIE'!$V$5:$V$176,'FACT - PEINTURE- SERRURERIE'!$S$5:$S$176,"TROPIC PROFIL GUADELOUPE",'FACT - PEINTURE- SERRURERIE'!$X$5:$X$176,"novembre")</f>
        <v>0</v>
      </c>
      <c r="N30" s="236">
        <f>SUMIFS('FACT - PEINTURE- SERRURERIE'!$V$5:$V$176,'FACT - PEINTURE- SERRURERIE'!$S$5:$S$176,"TROPIC PROFIL GUADELOUPE",'FACT - PEINTURE- SERRURERIE'!$X$5:$X$176,"decembre")</f>
        <v>0</v>
      </c>
      <c r="O30" s="127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</row>
    <row r="31" spans="1:43" ht="16" thickBot="1" x14ac:dyDescent="0.4">
      <c r="A31" s="4"/>
      <c r="B31" s="133" t="s">
        <v>126</v>
      </c>
      <c r="C31" s="236">
        <f>SUMIFS('FACT - PEINTURE- SERRURERIE'!$V$5:$V$176,'FACT - PEINTURE- SERRURERIE'!$S$5:$S$176,"lb technologies",'FACT - PEINTURE- SERRURERIE'!$X$5:$X$176,"janvier")</f>
        <v>0</v>
      </c>
      <c r="D31" s="236">
        <f>SUMIFS('FACT - PEINTURE- SERRURERIE'!$V$5:$V$176,'FACT - PEINTURE- SERRURERIE'!$S$5:$S$176,"lb technologies",'FACT - PEINTURE- SERRURERIE'!$X$5:$X$176,"fevrier")</f>
        <v>0</v>
      </c>
      <c r="E31" s="236">
        <f>SUMIFS('FACT - PEINTURE- SERRURERIE'!$V$5:$V$176,'FACT - PEINTURE- SERRURERIE'!$S$5:$S$176,"lb technologies",'FACT - PEINTURE- SERRURERIE'!$X$5:$X$176,"mars")</f>
        <v>0</v>
      </c>
      <c r="F31" s="236">
        <f>SUMIFS('FACT - PEINTURE- SERRURERIE'!$V$5:$V$176,'FACT - PEINTURE- SERRURERIE'!$S$5:$S$176,"lb technologies",'FACT - PEINTURE- SERRURERIE'!$X$5:$X$176,"avril")</f>
        <v>0</v>
      </c>
      <c r="G31" s="236">
        <f>SUMIFS('FACT - PEINTURE- SERRURERIE'!$V$5:$V$176,'FACT - PEINTURE- SERRURERIE'!$S$5:$S$176,"lb technologies",'FACT - PEINTURE- SERRURERIE'!$X$5:$X$176,"mai")</f>
        <v>0</v>
      </c>
      <c r="H31" s="236">
        <f>SUMIFS('FACT - PEINTURE- SERRURERIE'!$V$5:$V$176,'FACT - PEINTURE- SERRURERIE'!$S$5:$S$176,"lb technologies",'FACT - PEINTURE- SERRURERIE'!$X$5:$X$176,"juin")</f>
        <v>0</v>
      </c>
      <c r="I31" s="236">
        <f>SUMIFS('FACT - PEINTURE- SERRURERIE'!$V$5:$V$176,'FACT - PEINTURE- SERRURERIE'!$S$5:$S$176,"lb technologies",'FACT - PEINTURE- SERRURERIE'!$X$5:$X$176,"juillet")</f>
        <v>0</v>
      </c>
      <c r="J31" s="236">
        <f>SUMIFS('FACT - PEINTURE- SERRURERIE'!$V$5:$V$176,'FACT - PEINTURE- SERRURERIE'!$S$5:$S$176,"lb technologies",'FACT - PEINTURE- SERRURERIE'!$X$5:$X$176,"aout")</f>
        <v>0</v>
      </c>
      <c r="K31" s="236">
        <f>SUMIFS('FACT - PEINTURE- SERRURERIE'!$V$5:$V$176,'FACT - PEINTURE- SERRURERIE'!$S$5:$S$176,"lb technologies",'FACT - PEINTURE- SERRURERIE'!$X$5:$X$176,"septembre")</f>
        <v>0</v>
      </c>
      <c r="L31" s="236">
        <f>SUMIFS('FACT - PEINTURE- SERRURERIE'!$V$5:$V$176,'FACT - PEINTURE- SERRURERIE'!$S$5:$S$176,"lb technologies",'FACT - PEINTURE- SERRURERIE'!$X$5:$X$176,"octobre")</f>
        <v>0</v>
      </c>
      <c r="M31" s="236">
        <f>SUMIFS('FACT - PEINTURE- SERRURERIE'!$V$5:$V$176,'FACT - PEINTURE- SERRURERIE'!$S$5:$S$176,"lb technologies",'FACT - PEINTURE- SERRURERIE'!$X$5:$X$176,"novembre")</f>
        <v>0</v>
      </c>
      <c r="N31" s="236">
        <f>SUMIFS('FACT - PEINTURE- SERRURERIE'!$V$5:$V$176,'FACT - PEINTURE- SERRURERIE'!$S$5:$S$176,"lb technologies",'FACT - PEINTURE- SERRURERIE'!$X$5:$X$176,"decembre")</f>
        <v>0</v>
      </c>
      <c r="O31" s="127">
        <f t="shared" si="3"/>
        <v>0</v>
      </c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</row>
    <row r="32" spans="1:43" ht="19" thickBot="1" x14ac:dyDescent="0.4">
      <c r="A32" s="4"/>
      <c r="B32" s="125" t="s">
        <v>107</v>
      </c>
      <c r="C32" s="80">
        <f>SUM(C24:C31)</f>
        <v>0</v>
      </c>
      <c r="D32" s="80">
        <f t="shared" ref="D32:N32" si="4">SUM(D24:D31)</f>
        <v>0</v>
      </c>
      <c r="E32" s="80">
        <f t="shared" si="4"/>
        <v>0</v>
      </c>
      <c r="F32" s="80">
        <f t="shared" si="4"/>
        <v>0</v>
      </c>
      <c r="G32" s="80">
        <f t="shared" si="4"/>
        <v>0</v>
      </c>
      <c r="H32" s="80">
        <f t="shared" si="4"/>
        <v>0</v>
      </c>
      <c r="I32" s="80">
        <f t="shared" si="4"/>
        <v>0</v>
      </c>
      <c r="J32" s="80">
        <f t="shared" si="4"/>
        <v>0</v>
      </c>
      <c r="K32" s="80">
        <f t="shared" si="4"/>
        <v>0</v>
      </c>
      <c r="L32" s="80">
        <f t="shared" si="4"/>
        <v>0</v>
      </c>
      <c r="M32" s="80">
        <f t="shared" si="4"/>
        <v>0</v>
      </c>
      <c r="N32" s="101">
        <f t="shared" si="4"/>
        <v>0</v>
      </c>
      <c r="O32" s="131">
        <f>SUM(C32:N32)</f>
        <v>0</v>
      </c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</row>
    <row r="33" spans="1:43" ht="18.5" x14ac:dyDescent="0.45">
      <c r="A33" s="4"/>
      <c r="B33" s="346" t="s">
        <v>40</v>
      </c>
      <c r="C33" s="347"/>
      <c r="D33" s="347"/>
      <c r="E33" s="347"/>
      <c r="F33" s="347"/>
      <c r="G33" s="347"/>
      <c r="H33" s="347"/>
      <c r="I33" s="347"/>
      <c r="J33" s="347"/>
      <c r="K33" s="347"/>
      <c r="L33" s="347"/>
      <c r="M33" s="347"/>
      <c r="N33" s="348"/>
      <c r="O33" s="144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</row>
    <row r="34" spans="1:43" ht="15.5" x14ac:dyDescent="0.35">
      <c r="A34" s="4"/>
      <c r="B34" s="132" t="s">
        <v>21</v>
      </c>
      <c r="C34" s="84">
        <f>SUMIFS('FACT - PEINTURE- SERRURERIE'!$J$5:$J$176,'FACT - PEINTURE- SERRURERIE'!$G$5:$G$176,"sIAPOC",'FACT - PEINTURE- SERRURERIE'!$L$5:$L$176,"janvier")</f>
        <v>0</v>
      </c>
      <c r="D34" s="84">
        <f>SUMIFS('FACT - PEINTURE- SERRURERIE'!$J$5:$J$176,'FACT - PEINTURE- SERRURERIE'!$G$5:$G$176,"sIAPOC",'FACT - PEINTURE- SERRURERIE'!$L$5:$L$176,"fevrier")</f>
        <v>0</v>
      </c>
      <c r="E34" s="84">
        <f>SUMIFS('FACT - PEINTURE- SERRURERIE'!$J$5:$J$176,'FACT - PEINTURE- SERRURERIE'!$G$5:$G$176,"sIAPOC",'FACT - PEINTURE- SERRURERIE'!$L$5:$L$176,"mars")</f>
        <v>0</v>
      </c>
      <c r="F34" s="84">
        <f>SUMIFS('FACT - PEINTURE- SERRURERIE'!$J$5:$J$176,'FACT - PEINTURE- SERRURERIE'!$G$5:$G$176,"sIAPOC",'FACT - PEINTURE- SERRURERIE'!$L$5:$L$176,"avril")</f>
        <v>0</v>
      </c>
      <c r="G34" s="84">
        <f>SUMIFS('FACT - PEINTURE- SERRURERIE'!$J$5:$J$176,'FACT - PEINTURE- SERRURERIE'!$G$5:$G$176,"sIAPOC",'FACT - PEINTURE- SERRURERIE'!$L$5:$L$176,"mai")</f>
        <v>0</v>
      </c>
      <c r="H34" s="84">
        <f>SUMIFS('FACT - PEINTURE- SERRURERIE'!$J$5:$J$176,'FACT - PEINTURE- SERRURERIE'!$G$5:$G$176,"sIAPOC",'FACT - PEINTURE- SERRURERIE'!$L$5:$L$176,"juin")</f>
        <v>0</v>
      </c>
      <c r="I34" s="84">
        <f>SUMIFS('FACT - PEINTURE- SERRURERIE'!$J$5:$J$176,'FACT - PEINTURE- SERRURERIE'!$G$5:$G$176,"sIAPOC",'FACT - PEINTURE- SERRURERIE'!$L$5:$L$176,"juillet")</f>
        <v>0</v>
      </c>
      <c r="J34" s="84">
        <f>SUMIFS('FACT - PEINTURE- SERRURERIE'!$J$5:$J$176,'FACT - PEINTURE- SERRURERIE'!$G$5:$G$176,"sIAPOC",'FACT - PEINTURE- SERRURERIE'!$L$5:$L$176,"AOUT")</f>
        <v>0</v>
      </c>
      <c r="K34" s="84">
        <f>SUMIFS('FACT - PEINTURE- SERRURERIE'!$J$5:$J$176,'FACT - PEINTURE- SERRURERIE'!$G$5:$G$176,"sIAPOC",'FACT - PEINTURE- SERRURERIE'!$L$5:$L$176,"septembre")</f>
        <v>0</v>
      </c>
      <c r="L34" s="84">
        <f>SUMIFS('FACT - PEINTURE- SERRURERIE'!$J$5:$J$176,'FACT - PEINTURE- SERRURERIE'!$G$5:$G$176,"sIAPOC",'FACT - PEINTURE- SERRURERIE'!$L$5:$L$176,"octobre")</f>
        <v>0</v>
      </c>
      <c r="M34" s="84">
        <f>SUMIFS('FACT - PEINTURE- SERRURERIE'!$J$5:$J$176,'FACT - PEINTURE- SERRURERIE'!$G$5:$G$176,"sIAPOC",'FACT - PEINTURE- SERRURERIE'!$L$5:$L$176,"novembre")</f>
        <v>0</v>
      </c>
      <c r="N34" s="84">
        <f>SUMIFS('FACT - PEINTURE- SERRURERIE'!$J$5:$J$176,'FACT - PEINTURE- SERRURERIE'!$G$5:$G$176,"sIAPOC",'FACT - PEINTURE- SERRURERIE'!$L$5:$L$176,"decembre")</f>
        <v>0</v>
      </c>
      <c r="O34" s="129">
        <f>SUM(C34:N34)</f>
        <v>0</v>
      </c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</row>
    <row r="35" spans="1:43" ht="30" customHeight="1" x14ac:dyDescent="0.35">
      <c r="A35" s="4"/>
      <c r="B35" s="132" t="s">
        <v>22</v>
      </c>
      <c r="C35" s="84">
        <f>SUMIFS('FACT - PEINTURE- SERRURERIE'!$J$5:$J$176,'FACT - PEINTURE- SERRURERIE'!$G$5:$G$176,"CODIMA",'FACT - PEINTURE- SERRURERIE'!$L$5:$L$176,"janvier")</f>
        <v>0</v>
      </c>
      <c r="D35" s="84">
        <f>SUMIFS('FACT - PEINTURE- SERRURERIE'!$J$5:$J$176,'FACT - PEINTURE- SERRURERIE'!$G$5:$G$176,"CODIMA",'FACT - PEINTURE- SERRURERIE'!$L$5:$L$176,"fevrier")</f>
        <v>0</v>
      </c>
      <c r="E35" s="84">
        <f>SUMIFS('FACT - PEINTURE- SERRURERIE'!$J$5:$J$176,'FACT - PEINTURE- SERRURERIE'!$G$5:$G$176,"CODIMA",'FACT - PEINTURE- SERRURERIE'!$L$5:$L$176,"mars")</f>
        <v>0</v>
      </c>
      <c r="F35" s="84">
        <f>SUMIFS('FACT - PEINTURE- SERRURERIE'!$J$5:$J$176,'FACT - PEINTURE- SERRURERIE'!$G$5:$G$176,"CODIMA",'FACT - PEINTURE- SERRURERIE'!$L$5:$L$176,"avril")</f>
        <v>0</v>
      </c>
      <c r="G35" s="84">
        <f>SUMIFS('FACT - PEINTURE- SERRURERIE'!$J$5:$J$176,'FACT - PEINTURE- SERRURERIE'!$G$5:$G$176,"CODIMA",'FACT - PEINTURE- SERRURERIE'!$L$5:$L$176,"mai")</f>
        <v>0</v>
      </c>
      <c r="H35" s="84">
        <f>SUMIFS('FACT - PEINTURE- SERRURERIE'!$J$5:$J$176,'FACT - PEINTURE- SERRURERIE'!$G$5:$G$176,"CODIMA",'FACT - PEINTURE- SERRURERIE'!$L$5:$L$176,"juin")</f>
        <v>0</v>
      </c>
      <c r="I35" s="84">
        <f>SUMIFS('FACT - PEINTURE- SERRURERIE'!$J$5:$J$176,'FACT - PEINTURE- SERRURERIE'!$G$5:$G$176,"CODIMA",'FACT - PEINTURE- SERRURERIE'!$L$5:$L$176,"juillet")</f>
        <v>0</v>
      </c>
      <c r="J35" s="84">
        <f>SUMIFS('FACT - PEINTURE- SERRURERIE'!$J$5:$J$176,'FACT - PEINTURE- SERRURERIE'!$G$5:$G$176,"CODIMA",'FACT - PEINTURE- SERRURERIE'!$L$5:$L$176,"aout")</f>
        <v>0</v>
      </c>
      <c r="K35" s="84">
        <f>SUMIFS('FACT - PEINTURE- SERRURERIE'!$J$5:$J$176,'FACT - PEINTURE- SERRURERIE'!$G$5:$G$176,"CODIMA",'FACT - PEINTURE- SERRURERIE'!$L$5:$L$176,"septembre")</f>
        <v>0</v>
      </c>
      <c r="L35" s="84">
        <f>SUMIFS('FACT - PEINTURE- SERRURERIE'!$J$5:$J$176,'FACT - PEINTURE- SERRURERIE'!$G$5:$G$176,"CODIMA",'FACT - PEINTURE- SERRURERIE'!$L$5:$L$176,"octobre")</f>
        <v>0</v>
      </c>
      <c r="M35" s="84">
        <f>SUMIFS('FACT - PEINTURE- SERRURERIE'!$J$5:$J$176,'FACT - PEINTURE- SERRURERIE'!$G$5:$G$176,"CODIMA",'FACT - PEINTURE- SERRURERIE'!$L$5:$L$176,"novembre")</f>
        <v>0</v>
      </c>
      <c r="N35" s="84">
        <f>SUMIFS('FACT - PEINTURE- SERRURERIE'!$J$5:$J$176,'FACT - PEINTURE- SERRURERIE'!$G$5:$G$176,"CODIMA",'FACT - PEINTURE- SERRURERIE'!$L$5:$L$176,"decembre")</f>
        <v>0</v>
      </c>
      <c r="O35" s="129">
        <f t="shared" ref="O35:O39" si="5">SUM(C35:N35)</f>
        <v>0</v>
      </c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</row>
    <row r="36" spans="1:43" ht="24.65" customHeight="1" x14ac:dyDescent="0.35">
      <c r="A36" s="4"/>
      <c r="B36" s="132" t="s">
        <v>24</v>
      </c>
      <c r="C36" s="84">
        <f>SUMIFS('FACT - PEINTURE- SERRURERIE'!$J$5:$J$176,'FACT - PEINTURE- SERRURERIE'!$G$5:$G$176,"PEINTURE GAUTHIER",'FACT - PEINTURE- SERRURERIE'!$L$5:$L$176,"janvier")</f>
        <v>0</v>
      </c>
      <c r="D36" s="84">
        <f>SUMIFS('FACT - PEINTURE- SERRURERIE'!$J$5:$J$176,'FACT - PEINTURE- SERRURERIE'!$G$5:$G$176,"PEINTURE GAUTHIER",'FACT - PEINTURE- SERRURERIE'!$L$5:$L$176,"fevrier")</f>
        <v>0</v>
      </c>
      <c r="E36" s="84">
        <f>SUMIFS('FACT - PEINTURE- SERRURERIE'!$J$5:$J$176,'FACT - PEINTURE- SERRURERIE'!$G$5:$G$176,"PEINTURE GAUTHIER",'FACT - PEINTURE- SERRURERIE'!$L$5:$L$176,"mars")</f>
        <v>0</v>
      </c>
      <c r="F36" s="84">
        <f>SUMIFS('FACT - PEINTURE- SERRURERIE'!$J$5:$J$176,'FACT - PEINTURE- SERRURERIE'!$G$5:$G$176,"PEINTURE GAUTHIER",'FACT - PEINTURE- SERRURERIE'!$L$5:$L$176,"avril")</f>
        <v>0</v>
      </c>
      <c r="G36" s="84">
        <f>SUMIFS('FACT - PEINTURE- SERRURERIE'!$J$5:$J$176,'FACT - PEINTURE- SERRURERIE'!$G$5:$G$176,"PEINTURE GAUTHIER",'FACT - PEINTURE- SERRURERIE'!$L$5:$L$176,"mai")</f>
        <v>0</v>
      </c>
      <c r="H36" s="84">
        <f>SUMIFS('FACT - PEINTURE- SERRURERIE'!$J$5:$J$176,'FACT - PEINTURE- SERRURERIE'!$G$5:$G$176,"PEINTURE GAUTHIER",'FACT - PEINTURE- SERRURERIE'!$L$5:$L$176,"juin")</f>
        <v>0</v>
      </c>
      <c r="I36" s="84">
        <f>SUMIFS('FACT - PEINTURE- SERRURERIE'!$J$5:$J$176,'FACT - PEINTURE- SERRURERIE'!$G$5:$G$176,"PEINTURE GAUTHIER",'FACT - PEINTURE- SERRURERIE'!$L$5:$L$176,"juillet")</f>
        <v>0</v>
      </c>
      <c r="J36" s="84">
        <f>SUMIFS('FACT - PEINTURE- SERRURERIE'!$J$5:$J$176,'FACT - PEINTURE- SERRURERIE'!$G$5:$G$176,"PEINTURE GAUTHIER",'FACT - PEINTURE- SERRURERIE'!$L$5:$L$176,"aout")</f>
        <v>0</v>
      </c>
      <c r="K36" s="84">
        <f>SUMIFS('FACT - PEINTURE- SERRURERIE'!$J$5:$J$176,'FACT - PEINTURE- SERRURERIE'!$G$5:$G$176,"PEINTURE GAUTHIER",'FACT - PEINTURE- SERRURERIE'!$L$5:$L$176,"septembre")</f>
        <v>0</v>
      </c>
      <c r="L36" s="84">
        <f>SUMIFS('FACT - PEINTURE- SERRURERIE'!$J$5:$J$176,'FACT - PEINTURE- SERRURERIE'!$G$5:$G$176,"PEINTURE GAUTHIER",'FACT - PEINTURE- SERRURERIE'!$L$5:$L$176,"octobre")</f>
        <v>0</v>
      </c>
      <c r="M36" s="84">
        <f>SUMIFS('FACT - PEINTURE- SERRURERIE'!$J$5:$J$176,'FACT - PEINTURE- SERRURERIE'!$G$5:$G$176,"PEINTURE GAUTHIER",'FACT - PEINTURE- SERRURERIE'!$L$5:$L$176,"novembre")</f>
        <v>0</v>
      </c>
      <c r="N36" s="84">
        <f>SUMIFS('FACT - PEINTURE- SERRURERIE'!$J$5:$J$176,'FACT - PEINTURE- SERRURERIE'!$G$5:$G$176,"PEINTURE GAUTHIER",'FACT - PEINTURE- SERRURERIE'!$L$5:$L$176,"decembre")</f>
        <v>0</v>
      </c>
      <c r="O36" s="129">
        <f t="shared" si="5"/>
        <v>0</v>
      </c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</row>
    <row r="37" spans="1:43" ht="15.65" customHeight="1" x14ac:dyDescent="0.35">
      <c r="A37" s="5"/>
      <c r="B37" s="132" t="s">
        <v>25</v>
      </c>
      <c r="C37" s="84">
        <f>SUMIFS('FACT - PEINTURE- SERRURERIE'!$J$5:$J$176,'FACT - PEINTURE- SERRURERIE'!$G$5:$G$176,"PPG GUADELOUPE",'FACT - PEINTURE- SERRURERIE'!$L$5:$L$176,"janvier")</f>
        <v>0</v>
      </c>
      <c r="D37" s="84">
        <f>SUMIFS('FACT - PEINTURE- SERRURERIE'!$J$5:$J$176,'FACT - PEINTURE- SERRURERIE'!$G$5:$G$176,"PPG GUADELOUPE",'FACT - PEINTURE- SERRURERIE'!$L$5:$L$176,"fevrier")</f>
        <v>0</v>
      </c>
      <c r="E37" s="84">
        <f>SUMIFS('FACT - PEINTURE- SERRURERIE'!$J$5:$J$176,'FACT - PEINTURE- SERRURERIE'!$G$5:$G$176,"PPG GUADELOUPE",'FACT - PEINTURE- SERRURERIE'!$L$5:$L$176,"mars")</f>
        <v>0</v>
      </c>
      <c r="F37" s="84">
        <f>SUMIFS('FACT - PEINTURE- SERRURERIE'!$J$5:$J$176,'FACT - PEINTURE- SERRURERIE'!$G$5:$G$176,"PPG GUADELOUPE",'FACT - PEINTURE- SERRURERIE'!$L$5:$L$176,"avril")</f>
        <v>0</v>
      </c>
      <c r="G37" s="84">
        <f>SUMIFS('FACT - PEINTURE- SERRURERIE'!$J$5:$J$176,'FACT - PEINTURE- SERRURERIE'!$G$5:$G$176,"PPG GUADELOUPE",'FACT - PEINTURE- SERRURERIE'!$L$5:$L$176,"mai")</f>
        <v>0</v>
      </c>
      <c r="H37" s="84">
        <f>SUMIFS('FACT - PEINTURE- SERRURERIE'!$J$5:$J$176,'FACT - PEINTURE- SERRURERIE'!$G$5:$G$176,"PPG GUADELOUPE",'FACT - PEINTURE- SERRURERIE'!$L$5:$L$176,"juin")</f>
        <v>0</v>
      </c>
      <c r="I37" s="84">
        <f>SUMIFS('FACT - PEINTURE- SERRURERIE'!$J$5:$J$176,'FACT - PEINTURE- SERRURERIE'!$G$5:$G$176,"PPG GUADELOUPE",'FACT - PEINTURE- SERRURERIE'!$L$5:$L$176,"juillet")</f>
        <v>0</v>
      </c>
      <c r="J37" s="84">
        <f>SUMIFS('FACT - PEINTURE- SERRURERIE'!$J$5:$J$176,'FACT - PEINTURE- SERRURERIE'!$G$5:$G$176,"PPG GUADELOUPE",'FACT - PEINTURE- SERRURERIE'!$L$5:$L$176,"aout")</f>
        <v>0</v>
      </c>
      <c r="K37" s="84">
        <f>SUMIFS('FACT - PEINTURE- SERRURERIE'!$J$5:$J$176,'FACT - PEINTURE- SERRURERIE'!$G$5:$G$176,"PPG GUADELOUPE",'FACT - PEINTURE- SERRURERIE'!$L$5:$L$176,"septembre")</f>
        <v>0</v>
      </c>
      <c r="L37" s="84">
        <f>SUMIFS('FACT - PEINTURE- SERRURERIE'!$J$5:$J$176,'FACT - PEINTURE- SERRURERIE'!$G$5:$G$176,"PPG GUADELOUPE",'FACT - PEINTURE- SERRURERIE'!$L$5:$L$176,"octobre")</f>
        <v>0</v>
      </c>
      <c r="M37" s="84">
        <f>SUMIFS('FACT - PEINTURE- SERRURERIE'!$J$5:$J$176,'FACT - PEINTURE- SERRURERIE'!$G$5:$G$176,"PPG GUADELOUPE",'FACT - PEINTURE- SERRURERIE'!$L$5:$L$176,"novembre")</f>
        <v>0</v>
      </c>
      <c r="N37" s="84">
        <f>SUMIFS('FACT - PEINTURE- SERRURERIE'!$J$5:$J$176,'FACT - PEINTURE- SERRURERIE'!$G$5:$G$176,"PPG GUADELOUPE",'FACT - PEINTURE- SERRURERIE'!$L$5:$L$176,"decembre")</f>
        <v>0</v>
      </c>
      <c r="O37" s="129">
        <f t="shared" si="5"/>
        <v>0</v>
      </c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</row>
    <row r="38" spans="1:43" ht="15.65" customHeight="1" thickBot="1" x14ac:dyDescent="0.4">
      <c r="A38"/>
      <c r="B38" s="132" t="s">
        <v>41</v>
      </c>
      <c r="C38" s="84">
        <f>SUMIFS('FACT - PEINTURE- SERRURERIE'!$J$5:$J$176,'FACT - PEINTURE- SERRURERIE'!$G$5:$G$176,"ALLAMELOU",'FACT - PEINTURE- SERRURERIE'!$L$5:$L$176,"janvier")</f>
        <v>0</v>
      </c>
      <c r="D38" s="84">
        <f>SUMIFS('FACT - PEINTURE- SERRURERIE'!$J$5:$J$176,'FACT - PEINTURE- SERRURERIE'!$G$5:$G$176,"ALLAMELOU",'FACT - PEINTURE- SERRURERIE'!$L$5:$L$176,"fevrier")</f>
        <v>0</v>
      </c>
      <c r="E38" s="84">
        <f>SUMIFS('FACT - PEINTURE- SERRURERIE'!$J$5:$J$176,'FACT - PEINTURE- SERRURERIE'!$G$5:$G$176,"ALLAMELOU",'FACT - PEINTURE- SERRURERIE'!$L$5:$L$176,"mars")</f>
        <v>0</v>
      </c>
      <c r="F38" s="84">
        <f>SUMIFS('FACT - PEINTURE- SERRURERIE'!$J$5:$J$176,'FACT - PEINTURE- SERRURERIE'!$G$5:$G$176,"ALLAMELOU",'FACT - PEINTURE- SERRURERIE'!$L$5:$L$176,"avril")</f>
        <v>0</v>
      </c>
      <c r="G38" s="84">
        <f>SUMIFS('FACT - PEINTURE- SERRURERIE'!$J$5:$J$176,'FACT - PEINTURE- SERRURERIE'!$G$5:$G$176,"ALLAMELOU",'FACT - PEINTURE- SERRURERIE'!$L$5:$L$176,"mai")</f>
        <v>0</v>
      </c>
      <c r="H38" s="84">
        <f>SUMIFS('FACT - PEINTURE- SERRURERIE'!$J$5:$J$176,'FACT - PEINTURE- SERRURERIE'!$G$5:$G$176,"ALLAMELOU",'FACT - PEINTURE- SERRURERIE'!$L$5:$L$176,"juin")</f>
        <v>0</v>
      </c>
      <c r="I38" s="84">
        <f>SUMIFS('FACT - PEINTURE- SERRURERIE'!$J$5:$J$176,'FACT - PEINTURE- SERRURERIE'!$G$5:$G$176,"ALLAMELOU",'FACT - PEINTURE- SERRURERIE'!$L$5:$L$176,"juillet")</f>
        <v>0</v>
      </c>
      <c r="J38" s="84">
        <f>SUMIFS('FACT - PEINTURE- SERRURERIE'!$J$5:$J$176,'FACT - PEINTURE- SERRURERIE'!$G$5:$G$176,"ALLAMELOU",'FACT - PEINTURE- SERRURERIE'!$L$5:$L$176,"aout")</f>
        <v>0</v>
      </c>
      <c r="K38" s="84">
        <f>SUMIFS('FACT - PEINTURE- SERRURERIE'!$J$5:$J$176,'FACT - PEINTURE- SERRURERIE'!$G$5:$G$176,"ALLAMELOU",'FACT - PEINTURE- SERRURERIE'!$L$5:$L$176,"septembre")</f>
        <v>0</v>
      </c>
      <c r="L38" s="84">
        <f>SUMIFS('FACT - PEINTURE- SERRURERIE'!$J$5:$J$176,'FACT - PEINTURE- SERRURERIE'!$G$5:$G$176,"ALLAMELOU",'FACT - PEINTURE- SERRURERIE'!$L$5:$L$176,"octobre")</f>
        <v>0</v>
      </c>
      <c r="M38" s="84">
        <f>SUMIFS('FACT - PEINTURE- SERRURERIE'!$J$5:$J$176,'FACT - PEINTURE- SERRURERIE'!$G$5:$G$176,"ALLAMELOU",'FACT - PEINTURE- SERRURERIE'!$L$5:$L$176,"novembre")</f>
        <v>0</v>
      </c>
      <c r="N38" s="84">
        <f>SUMIFS('FACT - PEINTURE- SERRURERIE'!$J$5:$J$176,'FACT - PEINTURE- SERRURERIE'!$G$5:$G$176,"ALLAMELOU",'FACT - PEINTURE- SERRURERIE'!$L$5:$L$176,"decembre")</f>
        <v>0</v>
      </c>
      <c r="O38" s="129">
        <f>SUM(C38:N38)</f>
        <v>0</v>
      </c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</row>
    <row r="39" spans="1:43" ht="20.25" customHeight="1" thickBot="1" x14ac:dyDescent="0.4">
      <c r="A39" s="247"/>
      <c r="B39" s="126" t="s">
        <v>108</v>
      </c>
      <c r="C39" s="81">
        <f>SUM(C34:C38)</f>
        <v>0</v>
      </c>
      <c r="D39" s="81">
        <f>SUM(D34:D38)</f>
        <v>0</v>
      </c>
      <c r="E39" s="81">
        <f t="shared" ref="E39:N39" si="6">SUM(E34:E38)</f>
        <v>0</v>
      </c>
      <c r="F39" s="81">
        <f t="shared" si="6"/>
        <v>0</v>
      </c>
      <c r="G39" s="81">
        <f t="shared" si="6"/>
        <v>0</v>
      </c>
      <c r="H39" s="81">
        <f t="shared" si="6"/>
        <v>0</v>
      </c>
      <c r="I39" s="81">
        <f t="shared" si="6"/>
        <v>0</v>
      </c>
      <c r="J39" s="81">
        <f t="shared" si="6"/>
        <v>0</v>
      </c>
      <c r="K39" s="81">
        <f t="shared" si="6"/>
        <v>0</v>
      </c>
      <c r="L39" s="81">
        <f t="shared" si="6"/>
        <v>0</v>
      </c>
      <c r="M39" s="81">
        <f t="shared" si="6"/>
        <v>0</v>
      </c>
      <c r="N39" s="102">
        <f t="shared" si="6"/>
        <v>0</v>
      </c>
      <c r="O39" s="131">
        <f t="shared" si="5"/>
        <v>0</v>
      </c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</row>
    <row r="40" spans="1:43" ht="16" customHeight="1" thickBot="1" x14ac:dyDescent="0.4">
      <c r="A40" s="121" t="s">
        <v>84</v>
      </c>
      <c r="B40" s="343" t="s">
        <v>49</v>
      </c>
      <c r="C40" s="344"/>
      <c r="D40" s="344"/>
      <c r="E40" s="344"/>
      <c r="F40" s="344"/>
      <c r="G40" s="344"/>
      <c r="H40" s="344"/>
      <c r="I40" s="344"/>
      <c r="J40" s="344"/>
      <c r="K40" s="344"/>
      <c r="L40" s="344"/>
      <c r="M40" s="344"/>
      <c r="N40" s="345"/>
      <c r="O40" s="142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</row>
    <row r="41" spans="1:43" ht="15.5" x14ac:dyDescent="0.35">
      <c r="A41"/>
      <c r="B41" s="93" t="s">
        <v>26</v>
      </c>
      <c r="C41" s="86">
        <f>SUMIFS('FACT - ELECTRICITE'!$I$5:$I$92,'FACT - ELECTRICITE'!$F$5:$F$92,"soguadime",'FACT - ELECTRICITE'!$K$5:$K$92,"janvier")</f>
        <v>0</v>
      </c>
      <c r="D41" s="86">
        <f>SUMIFS('FACT - ELECTRICITE'!$I$5:$I$92,'FACT - ELECTRICITE'!$F$5:$F$92,"soguadime",'FACT - ELECTRICITE'!$K$5:$K$92,"fevrier")</f>
        <v>0</v>
      </c>
      <c r="E41" s="86">
        <f>SUMIFS('FACT - ELECTRICITE'!$I$5:$I$92,'FACT - ELECTRICITE'!$F$5:$F$92,"soguadime",'FACT - ELECTRICITE'!$K$5:$K$92,"mars")</f>
        <v>0</v>
      </c>
      <c r="F41" s="86">
        <f>SUMIFS('FACT - ELECTRICITE'!$I$5:$I$92,'FACT - ELECTRICITE'!$F$5:$F$92,"soguadime",'FACT - ELECTRICITE'!$K$5:$K$92,"avril")</f>
        <v>0</v>
      </c>
      <c r="G41" s="86">
        <f>SUMIFS('FACT - ELECTRICITE'!$I$5:$I$92,'FACT - ELECTRICITE'!$F$5:$F$92,"soguadime",'FACT - ELECTRICITE'!$K$5:$K$92,"mai")</f>
        <v>0</v>
      </c>
      <c r="H41" s="86">
        <f>SUMIFS('FACT - ELECTRICITE'!$I$5:$I$92,'FACT - ELECTRICITE'!$F$5:$F$92,"soguadime",'FACT - ELECTRICITE'!$K$5:$K$92,"juin")</f>
        <v>0</v>
      </c>
      <c r="I41" s="86">
        <f>SUMIFS('FACT - ELECTRICITE'!$I$5:$I$92,'FACT - ELECTRICITE'!$F$5:$F$92,"soguadime",'FACT - ELECTRICITE'!$K$5:$K$92,"juillet")</f>
        <v>0</v>
      </c>
      <c r="J41" s="86">
        <f>SUMIFS('FACT - ELECTRICITE'!$I$5:$I$92,'FACT - ELECTRICITE'!$F$5:$F$92,"soguadime",'FACT - ELECTRICITE'!$K$5:$K$92,"aout")</f>
        <v>0</v>
      </c>
      <c r="K41" s="86">
        <f>SUMIFS('FACT - ELECTRICITE'!$I$5:$I$92,'FACT - ELECTRICITE'!$F$5:$F$92,"soguadime",'FACT - ELECTRICITE'!$K$5:$K$92,"septembre")</f>
        <v>0</v>
      </c>
      <c r="L41" s="86">
        <f>SUMIFS('FACT - ELECTRICITE'!$I$5:$I$92,'FACT - ELECTRICITE'!$F$5:$F$92,"soguadime",'FACT - ELECTRICITE'!$K$5:$K$92,"octobre")</f>
        <v>0</v>
      </c>
      <c r="M41" s="86">
        <f>SUMIFS('FACT - ELECTRICITE'!$I$5:$I$92,'FACT - ELECTRICITE'!$F$5:$F$92,"soguadime",'FACT - ELECTRICITE'!$K$5:$K$92,"novembre")</f>
        <v>0</v>
      </c>
      <c r="N41" s="86">
        <f>SUMIFS('FACT - ELECTRICITE'!$I$5:$I$92,'FACT - ELECTRICITE'!$F$5:$F$92,"soguadime",'FACT - ELECTRICITE'!$K$5:$K$92,"decembre")</f>
        <v>0</v>
      </c>
      <c r="O41" s="129">
        <f>SUM(C41:N41)</f>
        <v>0</v>
      </c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</row>
    <row r="42" spans="1:43" s="44" customFormat="1" ht="30" customHeight="1" x14ac:dyDescent="0.35">
      <c r="A42" s="244"/>
      <c r="B42" s="132" t="s">
        <v>27</v>
      </c>
      <c r="C42" s="86">
        <f>SUMIFS('FACT - ELECTRICITE'!$I$5:$I$92,'FACT - ELECTRICITE'!$F$5:$F$92,"blandin",'FACT - ELECTRICITE'!$K$5:$K$92,"janvier")</f>
        <v>0</v>
      </c>
      <c r="D42" s="86">
        <f>SUMIFS('FACT - ELECTRICITE'!$I$5:$I$92,'FACT - ELECTRICITE'!$F$5:$F$92,"blandin",'FACT - ELECTRICITE'!$K$5:$K$92,"fevrier")</f>
        <v>0</v>
      </c>
      <c r="E42" s="86">
        <f>SUMIFS('FACT - ELECTRICITE'!$I$5:$I$92,'FACT - ELECTRICITE'!$F$5:$F$92,"blandin",'FACT - ELECTRICITE'!$K$5:$K$92,"mars")</f>
        <v>0</v>
      </c>
      <c r="F42" s="86">
        <f>SUMIFS('FACT - ELECTRICITE'!$I$5:$I$92,'FACT - ELECTRICITE'!$F$5:$F$92,"blandin",'FACT - ELECTRICITE'!$K$5:$K$92,"avril")</f>
        <v>0</v>
      </c>
      <c r="G42" s="86">
        <f>SUMIFS('FACT - ELECTRICITE'!$I$5:$I$92,'FACT - ELECTRICITE'!$F$5:$F$92,"blandin",'FACT - ELECTRICITE'!$K$5:$K$92,"mai")</f>
        <v>0</v>
      </c>
      <c r="H42" s="86">
        <f>SUMIFS('FACT - ELECTRICITE'!$I$5:$I$92,'FACT - ELECTRICITE'!$F$5:$F$92,"blandin",'FACT - ELECTRICITE'!$K$5:$K$92,"juin")</f>
        <v>0</v>
      </c>
      <c r="I42" s="86">
        <f>SUMIFS('FACT - ELECTRICITE'!$I$5:$I$92,'FACT - ELECTRICITE'!$F$5:$F$92,"blandin",'FACT - ELECTRICITE'!$K$5:$K$92,"juillet")</f>
        <v>0</v>
      </c>
      <c r="J42" s="86">
        <f>SUMIFS('FACT - ELECTRICITE'!$I$5:$I$92,'FACT - ELECTRICITE'!$F$5:$F$92,"blandin",'FACT - ELECTRICITE'!$K$5:$K$92,"aout")</f>
        <v>0</v>
      </c>
      <c r="K42" s="86">
        <f>SUMIFS('FACT - ELECTRICITE'!$I$5:$I$92,'FACT - ELECTRICITE'!$F$5:$F$92,"blandin",'FACT - ELECTRICITE'!$K$5:$K$92,"septembre")</f>
        <v>0</v>
      </c>
      <c r="L42" s="86">
        <f>SUMIFS('FACT - ELECTRICITE'!$I$5:$I$92,'FACT - ELECTRICITE'!$F$5:$F$92,"blandin",'FACT - ELECTRICITE'!$K$5:$K$92,"octobre")</f>
        <v>0</v>
      </c>
      <c r="M42" s="86">
        <f>SUMIFS('FACT - ELECTRICITE'!$I$5:$I$92,'FACT - ELECTRICITE'!$F$5:$F$92,"blandin",'FACT - ELECTRICITE'!$K$5:$K$92,"novembre")</f>
        <v>0</v>
      </c>
      <c r="N42" s="86">
        <f>SUMIFS('FACT - ELECTRICITE'!$I$5:$I$92,'FACT - ELECTRICITE'!$F$5:$F$92,"blandin",'FACT - ELECTRICITE'!$K$5:$K$92,"decembre")</f>
        <v>0</v>
      </c>
      <c r="O42" s="129">
        <f t="shared" ref="O42:O45" si="7">SUM(C42:N42)</f>
        <v>0</v>
      </c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</row>
    <row r="43" spans="1:43" ht="15.65" customHeight="1" x14ac:dyDescent="0.35">
      <c r="B43" s="93" t="s">
        <v>50</v>
      </c>
      <c r="C43" s="86">
        <f>SUMIFS('FACT - ELECTRICITE'!$I$5:$I$92,'FACT - ELECTRICITE'!$F$5:$F$92,"TEVAH SYSTEMES",'FACT - ELECTRICITE'!$K$5:$K$92,"janvier")</f>
        <v>0</v>
      </c>
      <c r="D43" s="86">
        <f>SUMIFS('FACT - ELECTRICITE'!$I$5:$I$92,'FACT - ELECTRICITE'!$F$5:$F$92,"TEVAH SYSTEMES",'FACT - ELECTRICITE'!$K$5:$K$92,"fevrier")</f>
        <v>0</v>
      </c>
      <c r="E43" s="86">
        <f>SUMIFS('FACT - ELECTRICITE'!$I$5:$I$92,'FACT - ELECTRICITE'!$F$5:$F$92,"TEVAH SYSTEMES",'FACT - ELECTRICITE'!$K$5:$K$92,"mars")</f>
        <v>0</v>
      </c>
      <c r="F43" s="86">
        <f>SUMIFS('FACT - ELECTRICITE'!$I$5:$I$92,'FACT - ELECTRICITE'!$F$5:$F$92,"TEVAH SYSTEMES",'FACT - ELECTRICITE'!$K$5:$K$92,"avril")</f>
        <v>0</v>
      </c>
      <c r="G43" s="86">
        <f>SUMIFS('FACT - ELECTRICITE'!$I$5:$I$92,'FACT - ELECTRICITE'!$F$5:$F$92,"TEVAH SYSTEMES",'FACT - ELECTRICITE'!$K$5:$K$92,"mai")</f>
        <v>0</v>
      </c>
      <c r="H43" s="86">
        <f>SUMIFS('FACT - ELECTRICITE'!$I$5:$I$92,'FACT - ELECTRICITE'!$F$5:$F$92,"TEVAH SYSTEMES",'FACT - ELECTRICITE'!$K$5:$K$92,"juin")</f>
        <v>0</v>
      </c>
      <c r="I43" s="86">
        <f>SUMIFS('FACT - ELECTRICITE'!$I$5:$I$92,'FACT - ELECTRICITE'!$F$5:$F$92,"TEVAH SYSTEMES",'FACT - ELECTRICITE'!$K$5:$K$92,"juillet")</f>
        <v>0</v>
      </c>
      <c r="J43" s="86">
        <f>SUMIFS('FACT - ELECTRICITE'!$I$5:$I$92,'FACT - ELECTRICITE'!$F$5:$F$92,"TEVAH SYSTEMES",'FACT - ELECTRICITE'!$K$5:$K$92,"aout")</f>
        <v>0</v>
      </c>
      <c r="K43" s="86">
        <f>SUMIFS('FACT - ELECTRICITE'!$I$5:$I$92,'FACT - ELECTRICITE'!$F$5:$F$92,"TEVAH SYSTEMES",'FACT - ELECTRICITE'!$K$5:$K$92,"septembre")</f>
        <v>0</v>
      </c>
      <c r="L43" s="86">
        <f>SUMIFS('FACT - ELECTRICITE'!$I$5:$I$92,'FACT - ELECTRICITE'!$F$5:$F$92,"TEVAH SYSTEMES",'FACT - ELECTRICITE'!$K$5:$K$92,"octobre")</f>
        <v>0</v>
      </c>
      <c r="M43" s="86">
        <f>SUMIFS('FACT - ELECTRICITE'!$I$5:$I$92,'FACT - ELECTRICITE'!$F$5:$F$92,"TEVAH SYSTEMES",'FACT - ELECTRICITE'!$K$5:$K$92,"novembre")</f>
        <v>0</v>
      </c>
      <c r="N43" s="86">
        <f>SUMIFS('FACT - ELECTRICITE'!$I$5:$I$92,'FACT - ELECTRICITE'!$F$5:$F$92,"TEVAH SYSTEMES",'FACT - ELECTRICITE'!$K$5:$K$92,"decembre")</f>
        <v>0</v>
      </c>
      <c r="O43" s="129">
        <f t="shared" si="7"/>
        <v>0</v>
      </c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</row>
    <row r="44" spans="1:43" ht="15.65" customHeight="1" x14ac:dyDescent="0.35">
      <c r="A44" s="97"/>
      <c r="B44" s="93" t="s">
        <v>28</v>
      </c>
      <c r="C44" s="86">
        <f>SUMIFS('FACT - ELECTRICITE'!$I$5:$I$92,'FACT - ELECTRICITE'!$F$5:$F$92,"GMC",'FACT - ELECTRICITE'!$K$5:$K$92,"janvier")</f>
        <v>0</v>
      </c>
      <c r="D44" s="86">
        <f>SUMIFS('FACT - ELECTRICITE'!$I$5:$I$92,'FACT - ELECTRICITE'!$F$5:$F$92,"GMC",'FACT - ELECTRICITE'!$K$5:$K$92,"fevrier")</f>
        <v>0</v>
      </c>
      <c r="E44" s="86">
        <f>SUMIFS('FACT - ELECTRICITE'!$I$5:$I$92,'FACT - ELECTRICITE'!$F$5:$F$92,"GMC",'FACT - ELECTRICITE'!$K$5:$K$92,"mars")</f>
        <v>0</v>
      </c>
      <c r="F44" s="86">
        <f>SUMIFS('FACT - ELECTRICITE'!$I$5:$I$92,'FACT - ELECTRICITE'!$F$5:$F$92,"GMC",'FACT - ELECTRICITE'!$K$5:$K$92,"avril")</f>
        <v>0</v>
      </c>
      <c r="G44" s="86">
        <f>SUMIFS('FACT - ELECTRICITE'!$I$5:$I$92,'FACT - ELECTRICITE'!$F$5:$F$92,"GMC",'FACT - ELECTRICITE'!$K$5:$K$92,"mai")</f>
        <v>0</v>
      </c>
      <c r="H44" s="86">
        <f>SUMIFS('FACT - ELECTRICITE'!$I$5:$I$92,'FACT - ELECTRICITE'!$F$5:$F$92,"GMC",'FACT - ELECTRICITE'!$K$5:$K$92,"juin")</f>
        <v>0</v>
      </c>
      <c r="I44" s="86">
        <f>SUMIFS('FACT - ELECTRICITE'!$I$5:$I$92,'FACT - ELECTRICITE'!$F$5:$F$92,"GMC",'FACT - ELECTRICITE'!$K$5:$K$92,"juillet")</f>
        <v>0</v>
      </c>
      <c r="J44" s="86">
        <f>SUMIFS('FACT - ELECTRICITE'!$I$5:$I$92,'FACT - ELECTRICITE'!$F$5:$F$92,"GMC",'FACT - ELECTRICITE'!$K$5:$K$92,"aout")</f>
        <v>0</v>
      </c>
      <c r="K44" s="86">
        <f>SUMIFS('FACT - ELECTRICITE'!$I$5:$I$92,'FACT - ELECTRICITE'!$F$5:$F$92,"GMC",'FACT - ELECTRICITE'!$K$5:$K$92,"septembre")</f>
        <v>0</v>
      </c>
      <c r="L44" s="86">
        <f>SUMIFS('FACT - ELECTRICITE'!$I$5:$I$92,'FACT - ELECTRICITE'!$F$5:$F$92,"GMC",'FACT - ELECTRICITE'!$K$5:$K$92,"octobre")</f>
        <v>0</v>
      </c>
      <c r="M44" s="86">
        <f>SUMIFS('FACT - ELECTRICITE'!$I$5:$I$92,'FACT - ELECTRICITE'!$F$5:$F$92,"GMC",'FACT - ELECTRICITE'!$K$5:$K$92,"novembre")</f>
        <v>0</v>
      </c>
      <c r="N44" s="86">
        <f>SUMIFS('FACT - ELECTRICITE'!$I$5:$I$92,'FACT - ELECTRICITE'!$F$5:$F$92,"GMC",'FACT - ELECTRICITE'!$K$5:$K$92,"decembre")</f>
        <v>0</v>
      </c>
      <c r="O44" s="129">
        <f t="shared" si="7"/>
        <v>0</v>
      </c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</row>
    <row r="45" spans="1:43" ht="15.65" customHeight="1" thickBot="1" x14ac:dyDescent="0.4">
      <c r="A45" s="5"/>
      <c r="B45" s="93" t="s">
        <v>127</v>
      </c>
      <c r="C45" s="86">
        <f>SUMIFS('FACT - ELECTRICITE'!$I$5:$I$92,'FACT - ELECTRICITE'!$F$5:$F$92,"YESS ELECTRIC",'FACT - ELECTRICITE'!$K$5:$K$92,"janvier")</f>
        <v>0</v>
      </c>
      <c r="D45" s="86">
        <f>SUMIFS('FACT - ELECTRICITE'!$I$5:$I$92,'FACT - ELECTRICITE'!$F$5:$F$92,"YESS ELECTRIC",'FACT - ELECTRICITE'!$K$5:$K$92,"fevrier")</f>
        <v>0</v>
      </c>
      <c r="E45" s="86">
        <f>SUMIFS('FACT - ELECTRICITE'!$I$5:$I$92,'FACT - ELECTRICITE'!$F$5:$F$92,"YESS ELECTRIC",'FACT - ELECTRICITE'!$K$5:$K$92,"mars")</f>
        <v>0</v>
      </c>
      <c r="F45" s="86">
        <f>SUMIFS('FACT - ELECTRICITE'!$I$5:$I$92,'FACT - ELECTRICITE'!$F$5:$F$92,"YESS ELECTRIC",'FACT - ELECTRICITE'!$K$5:$K$92,"avril")</f>
        <v>0</v>
      </c>
      <c r="G45" s="86">
        <f>SUMIFS('FACT - ELECTRICITE'!$I$5:$I$92,'FACT - ELECTRICITE'!$F$5:$F$92,"YESS ELECTRIC",'FACT - ELECTRICITE'!$K$5:$K$92,"mai")</f>
        <v>0</v>
      </c>
      <c r="H45" s="86">
        <f>SUMIFS('FACT - ELECTRICITE'!$I$5:$I$92,'FACT - ELECTRICITE'!$F$5:$F$92,"YESS ELECTRIC",'FACT - ELECTRICITE'!$K$5:$K$92,"juin")</f>
        <v>0</v>
      </c>
      <c r="I45" s="86">
        <f>SUMIFS('FACT - ELECTRICITE'!$I$5:$I$92,'FACT - ELECTRICITE'!$F$5:$F$92,"YESS ELECTRIC",'FACT - ELECTRICITE'!$K$5:$K$92,"juillet")</f>
        <v>0</v>
      </c>
      <c r="J45" s="86">
        <f>SUMIFS('FACT - ELECTRICITE'!$I$5:$I$92,'FACT - ELECTRICITE'!$F$5:$F$92,"YESS ELECTRIC",'FACT - ELECTRICITE'!$K$5:$K$92,"aout")</f>
        <v>0</v>
      </c>
      <c r="K45" s="86">
        <f>SUMIFS('FACT - ELECTRICITE'!$I$5:$I$92,'FACT - ELECTRICITE'!$F$5:$F$92,"YESS ELECTRIC",'FACT - ELECTRICITE'!$K$5:$K$92,"septembre")</f>
        <v>0</v>
      </c>
      <c r="L45" s="86">
        <f>SUMIFS('FACT - ELECTRICITE'!$I$5:$I$92,'FACT - ELECTRICITE'!$F$5:$F$92,"YESS ELECTRIC",'FACT - ELECTRICITE'!$K$5:$K$92,"octobre")</f>
        <v>0</v>
      </c>
      <c r="M45" s="86">
        <f>SUMIFS('FACT - ELECTRICITE'!$I$5:$I$92,'FACT - ELECTRICITE'!$F$5:$F$92,"YESS ELECTRIC",'FACT - ELECTRICITE'!$K$5:$K$92,"novembre")</f>
        <v>0</v>
      </c>
      <c r="N45" s="86">
        <f>SUMIFS('FACT - ELECTRICITE'!$I$5:$I$92,'FACT - ELECTRICITE'!$F$5:$F$92,"YESS ELECTRIC",'FACT - ELECTRICITE'!$K$5:$K$92,"decembre")</f>
        <v>0</v>
      </c>
      <c r="O45" s="129">
        <f t="shared" si="7"/>
        <v>0</v>
      </c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</row>
    <row r="46" spans="1:43" ht="19" thickBot="1" x14ac:dyDescent="0.4">
      <c r="A46" s="4"/>
      <c r="B46" s="125" t="s">
        <v>109</v>
      </c>
      <c r="C46" s="82">
        <f t="shared" ref="C46:N46" si="8">SUM(C41:C45)</f>
        <v>0</v>
      </c>
      <c r="D46" s="82">
        <f>SUM(D41:D45)</f>
        <v>0</v>
      </c>
      <c r="E46" s="80">
        <f>SUM(E41:E45)</f>
        <v>0</v>
      </c>
      <c r="F46" s="82">
        <f t="shared" si="8"/>
        <v>0</v>
      </c>
      <c r="G46" s="82">
        <f t="shared" si="8"/>
        <v>0</v>
      </c>
      <c r="H46" s="83">
        <f t="shared" si="8"/>
        <v>0</v>
      </c>
      <c r="I46" s="82">
        <f t="shared" si="8"/>
        <v>0</v>
      </c>
      <c r="J46" s="82">
        <f t="shared" si="8"/>
        <v>0</v>
      </c>
      <c r="K46" s="82">
        <f t="shared" si="8"/>
        <v>0</v>
      </c>
      <c r="L46" s="82">
        <f t="shared" si="8"/>
        <v>0</v>
      </c>
      <c r="M46" s="82">
        <f t="shared" si="8"/>
        <v>0</v>
      </c>
      <c r="N46" s="103">
        <f t="shared" si="8"/>
        <v>0</v>
      </c>
      <c r="O46" s="131">
        <f>SUM(C46:N46)</f>
        <v>0</v>
      </c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</row>
    <row r="47" spans="1:43" ht="19" thickBot="1" x14ac:dyDescent="0.4">
      <c r="A47" s="121" t="s">
        <v>97</v>
      </c>
      <c r="B47" s="357" t="s">
        <v>164</v>
      </c>
      <c r="C47" s="357"/>
      <c r="D47" s="357"/>
      <c r="E47" s="357"/>
      <c r="F47" s="357"/>
      <c r="G47" s="357"/>
      <c r="H47" s="357"/>
      <c r="I47" s="357"/>
      <c r="J47" s="357"/>
      <c r="K47" s="357"/>
      <c r="L47" s="357"/>
      <c r="M47" s="357"/>
      <c r="N47" s="358"/>
      <c r="O47" s="143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</row>
    <row r="48" spans="1:43" ht="15.5" x14ac:dyDescent="0.35">
      <c r="A48" s="4"/>
      <c r="B48" s="246" t="s">
        <v>150</v>
      </c>
      <c r="C48" s="86">
        <f>SUMIF('FACT - ACHAT DIVERS'!$L$5:$L$84,"janvier",'FACT - ACHAT DIVERS'!$J$5:$J$84)</f>
        <v>56</v>
      </c>
      <c r="D48" s="86">
        <f>SUMIF('FACT - ACHAT DIVERS'!$L$5:$L$84,"fevrier",'FACT - ACHAT DIVERS'!$J$5:$J$84)</f>
        <v>39.269999999999996</v>
      </c>
      <c r="E48" s="86">
        <f>SUMIF('FACT - ACHAT DIVERS'!$L$5:$L$84,"mars",'FACT - ACHAT DIVERS'!$J$5:$J$84)</f>
        <v>65.56</v>
      </c>
      <c r="F48" s="86">
        <f>SUMIF('FACT - ACHAT DIVERS'!$L$5:$L$84,"avril",'FACT - ACHAT DIVERS'!$J$5:$J$84)</f>
        <v>162.26</v>
      </c>
      <c r="G48" s="86">
        <f>SUMIF('FACT - ACHAT DIVERS'!$L$5:$L$84,"mai",'FACT - ACHAT DIVERS'!$J$5:$J$84)</f>
        <v>1793.4499999999998</v>
      </c>
      <c r="H48" s="86">
        <f>SUMIF('FACT - ACHAT DIVERS'!$L$5:$L$84,"juin",'FACT - ACHAT DIVERS'!$J$5:$J$84)</f>
        <v>34.950000000000003</v>
      </c>
      <c r="I48" s="86">
        <f>SUMIF('FACT - ACHAT DIVERS'!$L$5:$L$84,"juillet",'FACT - ACHAT DIVERS'!$J$5:$J$84)</f>
        <v>203.36</v>
      </c>
      <c r="J48" s="86">
        <f>SUMIF('FACT - ACHAT DIVERS'!$L$5:$L$84,"aout",'FACT - ACHAT DIVERS'!$J$5:$J$84)</f>
        <v>1070.98</v>
      </c>
      <c r="K48" s="86">
        <f>SUMIF('FACT - ACHAT DIVERS'!$L$5:$L$84,"septembre",'FACT - ACHAT DIVERS'!$J$5:$J$84)</f>
        <v>142.91</v>
      </c>
      <c r="L48" s="86">
        <f>SUMIF('FACT - ACHAT DIVERS'!$L$5:$L$84,"octobre",'FACT - ACHAT DIVERS'!$J$5:$J$84)</f>
        <v>0</v>
      </c>
      <c r="M48" s="86">
        <f>SUMIF('FACT - ACHAT DIVERS'!$L$5:$L$84,"novembre",'FACT - ACHAT DIVERS'!$J$5:$J$84)</f>
        <v>0</v>
      </c>
      <c r="N48" s="86">
        <f>SUMIF('FACT - ACHAT DIVERS'!$L$5:$L$84,"decembre",'FACT - ACHAT DIVERS'!$J$5:$J$84)</f>
        <v>0</v>
      </c>
      <c r="O48" s="104">
        <f>SUM(C48:N48)</f>
        <v>3568.74</v>
      </c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</row>
    <row r="49" spans="1:44" ht="16" thickBot="1" x14ac:dyDescent="0.4">
      <c r="A49"/>
      <c r="B49" s="132" t="s">
        <v>52</v>
      </c>
      <c r="C49" s="86">
        <f>SUMIF('FACT - ACHAT DIVERS'!$W$5:$W$84,"janvier",'FACT - ACHAT DIVERS'!$U$5:$U$84)</f>
        <v>0</v>
      </c>
      <c r="D49" s="86">
        <f>SUMIF('FACT - ACHAT DIVERS'!$W$5:$W$84,"fevrier",'FACT - ACHAT DIVERS'!$U$5:$U$84)</f>
        <v>0</v>
      </c>
      <c r="E49" s="86">
        <f>SUMIF('FACT - ACHAT DIVERS'!$W$5:$W$84,"mars",'FACT - ACHAT DIVERS'!$U$5:$U$84)</f>
        <v>0</v>
      </c>
      <c r="F49" s="86">
        <f>SUMIF('FACT - ACHAT DIVERS'!$W$5:$W$84,"avril",'FACT - ACHAT DIVERS'!$U$5:$U$84)</f>
        <v>0</v>
      </c>
      <c r="G49" s="86">
        <f>SUMIF('FACT - ACHAT DIVERS'!$W$5:$W$84,"mai",'FACT - ACHAT DIVERS'!$U$5:$U$84)</f>
        <v>0</v>
      </c>
      <c r="H49" s="86">
        <f>SUMIF('FACT - ACHAT DIVERS'!$W$5:$W$84,"juin",'FACT - ACHAT DIVERS'!$U$5:$U$84)</f>
        <v>0</v>
      </c>
      <c r="I49" s="86">
        <f>SUMIF('FACT - ACHAT DIVERS'!$W$5:$W$84,"juillet",'FACT - ACHAT DIVERS'!$U$5:$U$84)</f>
        <v>0</v>
      </c>
      <c r="J49" s="86">
        <f>SUMIF('FACT - ACHAT DIVERS'!$W$5:$W$84,"aout",'FACT - ACHAT DIVERS'!$U$5:$U$84)</f>
        <v>0</v>
      </c>
      <c r="K49" s="86">
        <f>SUMIF('FACT - ACHAT DIVERS'!$W$5:$W$84,"septembre",'FACT - ACHAT DIVERS'!$U$5:$U$84)</f>
        <v>0</v>
      </c>
      <c r="L49" s="86">
        <f>SUMIF('FACT - ACHAT DIVERS'!$W$5:$W$84,"octobre",'FACT - ACHAT DIVERS'!$U$5:$U$84)</f>
        <v>0</v>
      </c>
      <c r="M49" s="86">
        <f>SUMIF('FACT - ACHAT DIVERS'!$W$5:$W$84,"novembre",'FACT - ACHAT DIVERS'!$U$5:$U$84)</f>
        <v>0</v>
      </c>
      <c r="N49" s="86">
        <f>SUMIF('FACT - ACHAT DIVERS'!$W$5:$W$84,"decembre",'FACT - ACHAT DIVERS'!$U$5:$U$84)</f>
        <v>0</v>
      </c>
      <c r="O49" s="104">
        <f>SUM(C49:N49)</f>
        <v>0</v>
      </c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</row>
    <row r="50" spans="1:44" ht="19.5" thickTop="1" thickBot="1" x14ac:dyDescent="0.4">
      <c r="B50" s="132" t="s">
        <v>23</v>
      </c>
      <c r="C50" s="86">
        <f>SUMIF('FACT - ACHAT DIVERS'!$AW$5:$AW$84,"janvier",'FACT - ACHAT DIVERS'!$AU$5:$AU$84)</f>
        <v>0</v>
      </c>
      <c r="D50" s="86">
        <f>SUMIF('FACT - ACHAT DIVERS'!$AW$5:$AW$84,"fevrier",'FACT - ACHAT DIVERS'!$AU$5:$AU$84)</f>
        <v>0</v>
      </c>
      <c r="E50" s="86">
        <f>SUMIF('FACT - ACHAT DIVERS'!$AW$5:$AW$84,"mars",'FACT - ACHAT DIVERS'!$AU$5:$AU$84)</f>
        <v>0</v>
      </c>
      <c r="F50" s="86">
        <f>SUMIF('FACT - ACHAT DIVERS'!$AW$5:$AW$84,"avril",'FACT - ACHAT DIVERS'!$AU$5:$AU$84)</f>
        <v>0</v>
      </c>
      <c r="G50" s="86">
        <f>SUMIF('FACT - ACHAT DIVERS'!$AW$5:$AW$84,"mai",'FACT - ACHAT DIVERS'!$AU$5:$AU$84)</f>
        <v>0</v>
      </c>
      <c r="H50" s="86">
        <f>SUMIF('FACT - ACHAT DIVERS'!$AW$5:$AW$84,"juin",'FACT - ACHAT DIVERS'!$AU$5:$AU$84)</f>
        <v>0</v>
      </c>
      <c r="I50" s="86">
        <f>SUMIF('FACT - ACHAT DIVERS'!$AW$5:$AW$84,"juillet",'FACT - ACHAT DIVERS'!$AU$5:$AU$84)</f>
        <v>0</v>
      </c>
      <c r="J50" s="86">
        <f>SUMIF('FACT - ACHAT DIVERS'!$AW$5:$AW$84,"aout",'FACT - ACHAT DIVERS'!$AU$5:$AU$84)</f>
        <v>0</v>
      </c>
      <c r="K50" s="86">
        <f>SUMIF('FACT - ACHAT DIVERS'!$AW$5:$AW$84,"septembre",'FACT - ACHAT DIVERS'!$AU$5:$AU$84)</f>
        <v>0</v>
      </c>
      <c r="L50" s="86">
        <f>SUMIF('FACT - ACHAT DIVERS'!$AW$5:$AW$84,"octobre",'FACT - ACHAT DIVERS'!$AU$5:$AU$84)</f>
        <v>0</v>
      </c>
      <c r="M50" s="86">
        <f>SUMIF('FACT - ACHAT DIVERS'!$AW$5:$AW$84,"novembre",'FACT - ACHAT DIVERS'!$AU$5:$AU$84)</f>
        <v>0</v>
      </c>
      <c r="N50" s="86">
        <f>SUMIF('FACT - ACHAT DIVERS'!$AW$5:$AW$84,"decembre",'FACT - ACHAT DIVERS'!$AU$5:$AU$84)</f>
        <v>0</v>
      </c>
      <c r="O50" s="104">
        <f t="shared" ref="O50:O51" si="9">SUM(C50:N50)</f>
        <v>0</v>
      </c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M50" s="175" t="s">
        <v>95</v>
      </c>
      <c r="AN50" s="175" t="s">
        <v>43</v>
      </c>
      <c r="AO50" s="176" t="s">
        <v>40</v>
      </c>
      <c r="AP50" s="176" t="s">
        <v>49</v>
      </c>
      <c r="AQ50" s="176" t="s">
        <v>151</v>
      </c>
      <c r="AR50" s="176" t="s">
        <v>94</v>
      </c>
    </row>
    <row r="51" spans="1:44" ht="19.5" thickTop="1" thickBot="1" x14ac:dyDescent="0.4">
      <c r="A51" s="242"/>
      <c r="B51" s="132" t="s">
        <v>128</v>
      </c>
      <c r="C51" s="86">
        <f>SUMIF('FACT - ACHAT DIVERS'!$BI$5:$BI$84,"janvier",'FACT - ACHAT DIVERS'!$BG$5:$BG$84)</f>
        <v>0</v>
      </c>
      <c r="D51" s="86">
        <f>SUMIF('FACT - ACHAT DIVERS'!$BI$5:$BI$84,"fevrier",'FACT - ACHAT DIVERS'!$BG$5:$BG$84)</f>
        <v>0</v>
      </c>
      <c r="E51" s="86">
        <f>SUMIF('FACT - ACHAT DIVERS'!$BI$5:$BI$84,"mars",'FACT - ACHAT DIVERS'!$BG$5:$BG$84)</f>
        <v>0</v>
      </c>
      <c r="F51" s="86">
        <f>SUMIF('FACT - ACHAT DIVERS'!$BI$5:$BI$84,"avril",'FACT - ACHAT DIVERS'!$BG$5:$BG$84)</f>
        <v>0</v>
      </c>
      <c r="G51" s="86">
        <f>SUMIF('FACT - ACHAT DIVERS'!$BI$5:$BI$84,"mai",'FACT - ACHAT DIVERS'!$BG$5:$BG$84)</f>
        <v>0</v>
      </c>
      <c r="H51" s="86">
        <f>SUMIF('FACT - ACHAT DIVERS'!$BI$5:$BI$84,"juin",'FACT - ACHAT DIVERS'!$BG$5:$BG$84)</f>
        <v>0</v>
      </c>
      <c r="I51" s="86">
        <f>SUMIF('FACT - ACHAT DIVERS'!$BI$5:$BI$84,"juillet",'FACT - ACHAT DIVERS'!$BG$5:$BG$84)</f>
        <v>0</v>
      </c>
      <c r="J51" s="86">
        <f>SUMIF('FACT - ACHAT DIVERS'!$BI$5:$BI$84,"aout",'FACT - ACHAT DIVERS'!$BG$5:$BG$84)</f>
        <v>0</v>
      </c>
      <c r="K51" s="86">
        <f>SUMIF('FACT - ACHAT DIVERS'!$BI$5:$BI$84,"septembre",'FACT - ACHAT DIVERS'!$BG$5:$BG$84)</f>
        <v>0</v>
      </c>
      <c r="L51" s="86">
        <f>SUMIF('FACT - ACHAT DIVERS'!$BI$5:$BI$84,"octobre",'FACT - ACHAT DIVERS'!$BG$5:$BG$84)</f>
        <v>0</v>
      </c>
      <c r="M51" s="86">
        <f>SUMIF('FACT - ACHAT DIVERS'!$BI$5:$BI$84,"novembre",'FACT - ACHAT DIVERS'!$BG$5:$BG$84)</f>
        <v>0</v>
      </c>
      <c r="N51" s="86">
        <f>SUMIF('FACT - ACHAT DIVERS'!$BI$5:$BI$84,"decembre",'FACT - ACHAT DIVERS'!$BG$5:$BG$84)</f>
        <v>0</v>
      </c>
      <c r="O51" s="104">
        <f t="shared" si="9"/>
        <v>0</v>
      </c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M51" s="174">
        <f>SUM(O7:O21)</f>
        <v>0</v>
      </c>
      <c r="AN51" s="174">
        <f>SUM(O23:O31)</f>
        <v>0</v>
      </c>
      <c r="AO51" s="174">
        <f>SUM(O33:O38)</f>
        <v>0</v>
      </c>
      <c r="AP51" s="174">
        <f>SUM(O40:O45)</f>
        <v>0</v>
      </c>
      <c r="AQ51" s="174">
        <f ca="1">SUM(O47:O52)</f>
        <v>3568.74</v>
      </c>
      <c r="AR51" s="174">
        <f>SUM(O55:O62)</f>
        <v>0</v>
      </c>
    </row>
    <row r="52" spans="1:44" ht="16.5" thickTop="1" thickBot="1" x14ac:dyDescent="0.4">
      <c r="A52" s="4"/>
      <c r="B52" s="132" t="s">
        <v>71</v>
      </c>
      <c r="C52" s="86">
        <f ca="1">SUMIF('FACT - ACHAT DIVERS'!$AK$5:$AK$84,"janvier",'FACT - ACHAT DIVERS'!$AI$5:$AI$83)</f>
        <v>0</v>
      </c>
      <c r="D52" s="86">
        <f ca="1">SUMIF('FACT - ACHAT DIVERS'!$AK$5:$AK$84,"fevrier",'FACT - ACHAT DIVERS'!$AI$5:$AI$83)</f>
        <v>0</v>
      </c>
      <c r="E52" s="86">
        <f ca="1">SUMIF('FACT - ACHAT DIVERS'!$AK$5:$AK$84,"mars",'FACT - ACHAT DIVERS'!$AI$5:$AI$83)</f>
        <v>0</v>
      </c>
      <c r="F52" s="86">
        <f ca="1">SUMIF('FACT - ACHAT DIVERS'!$AK$5:$AK$84,"avril",'FACT - ACHAT DIVERS'!$AI$5:$AI$83)</f>
        <v>0</v>
      </c>
      <c r="G52" s="86">
        <f ca="1">SUMIF('FACT - ACHAT DIVERS'!$AK$5:$AK$84,"mai",'FACT - ACHAT DIVERS'!$AI$5:$AI$83)</f>
        <v>0</v>
      </c>
      <c r="H52" s="86">
        <f ca="1">SUMIF('FACT - ACHAT DIVERS'!$AK$5:$AK$84,"juin",'FACT - ACHAT DIVERS'!$AI$5:$AI$83)</f>
        <v>0</v>
      </c>
      <c r="I52" s="86">
        <f ca="1">SUMIF('FACT - ACHAT DIVERS'!$AK$5:$AK$84,"juillet",'FACT - ACHAT DIVERS'!$AI$5:$AI$83)</f>
        <v>0</v>
      </c>
      <c r="J52" s="86">
        <f ca="1">SUMIF('FACT - ACHAT DIVERS'!$AK$5:$AK$84,"aout",'FACT - ACHAT DIVERS'!$AI$5:$AI$83)</f>
        <v>0</v>
      </c>
      <c r="K52" s="86">
        <f ca="1">SUMIF('FACT - ACHAT DIVERS'!$AK$5:$AK$84,"septembre",'FACT - ACHAT DIVERS'!$AI$5:$AI$83)</f>
        <v>0</v>
      </c>
      <c r="L52" s="86">
        <f ca="1">SUMIF('FACT - ACHAT DIVERS'!$AK$5:$AK$84,"octobre",'FACT - ACHAT DIVERS'!$AI$5:$AI$83)</f>
        <v>0</v>
      </c>
      <c r="M52" s="86">
        <f ca="1">SUMIF('FACT - ACHAT DIVERS'!$AK$5:$AK$84,"novembre",'FACT - ACHAT DIVERS'!$AI$5:$AI$83)</f>
        <v>0</v>
      </c>
      <c r="N52" s="86">
        <f ca="1">SUMIF('FACT - ACHAT DIVERS'!$AK$5:$AK$84,"decembre",'FACT - ACHAT DIVERS'!$AI$5:$AI$83)</f>
        <v>0</v>
      </c>
      <c r="O52" s="130">
        <f ca="1">SUM(C52:N52)</f>
        <v>0</v>
      </c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R52"/>
    </row>
    <row r="53" spans="1:44" ht="19" thickBot="1" x14ac:dyDescent="0.4">
      <c r="A53" s="4"/>
      <c r="B53" s="125" t="s">
        <v>111</v>
      </c>
      <c r="C53" s="82">
        <f ca="1">SUM(C48:C52)</f>
        <v>56</v>
      </c>
      <c r="D53" s="82">
        <f t="shared" ref="D53:N53" ca="1" si="10">SUM(D48:D52)</f>
        <v>39.269999999999996</v>
      </c>
      <c r="E53" s="80">
        <f t="shared" ca="1" si="10"/>
        <v>65.56</v>
      </c>
      <c r="F53" s="82">
        <f t="shared" ca="1" si="10"/>
        <v>162.26</v>
      </c>
      <c r="G53" s="82">
        <f t="shared" ca="1" si="10"/>
        <v>1793.4499999999998</v>
      </c>
      <c r="H53" s="83">
        <f t="shared" ca="1" si="10"/>
        <v>34.950000000000003</v>
      </c>
      <c r="I53" s="82">
        <f t="shared" ca="1" si="10"/>
        <v>203.36</v>
      </c>
      <c r="J53" s="82">
        <f t="shared" ca="1" si="10"/>
        <v>1070.98</v>
      </c>
      <c r="K53" s="82">
        <f t="shared" ca="1" si="10"/>
        <v>142.91</v>
      </c>
      <c r="L53" s="82">
        <f t="shared" ca="1" si="10"/>
        <v>0</v>
      </c>
      <c r="M53" s="82">
        <f t="shared" ca="1" si="10"/>
        <v>0</v>
      </c>
      <c r="N53" s="103">
        <f t="shared" ca="1" si="10"/>
        <v>0</v>
      </c>
      <c r="O53" s="131">
        <f ca="1">SUM(C53:N53)</f>
        <v>3568.74</v>
      </c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N53"/>
      <c r="AO53"/>
      <c r="AP53"/>
      <c r="AQ53"/>
    </row>
    <row r="54" spans="1:44" ht="19" thickBot="1" x14ac:dyDescent="0.4">
      <c r="A54" s="121" t="s">
        <v>85</v>
      </c>
      <c r="B54" s="343" t="s">
        <v>94</v>
      </c>
      <c r="C54" s="344"/>
      <c r="D54" s="344"/>
      <c r="E54" s="344"/>
      <c r="F54" s="344"/>
      <c r="G54" s="344"/>
      <c r="H54" s="344"/>
      <c r="I54" s="344"/>
      <c r="J54" s="344"/>
      <c r="K54" s="344"/>
      <c r="L54" s="344"/>
      <c r="M54" s="344"/>
      <c r="N54" s="345"/>
      <c r="O54" s="142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N54"/>
      <c r="AO54"/>
      <c r="AP54"/>
      <c r="AQ54"/>
    </row>
    <row r="55" spans="1:44" s="44" customFormat="1" ht="15.5" x14ac:dyDescent="0.35">
      <c r="B55" s="93" t="s">
        <v>53</v>
      </c>
      <c r="C55" s="87">
        <f>SUMIF('FACT - FRAIS Généraux'!$M$5:$M$79,"janvier",'FACT - FRAIS Généraux'!$I$5:$I$79)</f>
        <v>0</v>
      </c>
      <c r="D55" s="87">
        <f>SUMIF('FACT - FRAIS Généraux'!$M$5:$M$79,"fevrier",'FACT - FRAIS Généraux'!$I$5:$I$79)</f>
        <v>0</v>
      </c>
      <c r="E55" s="87">
        <f>SUMIF('FACT - FRAIS Généraux'!$M$5:$M$79,"mars",'FACT - FRAIS Généraux'!$I$5:$I$79)</f>
        <v>0</v>
      </c>
      <c r="F55" s="87">
        <f>SUMIF('FACT - FRAIS Généraux'!$M$5:$M$79,"avril",'FACT - FRAIS Généraux'!$I$5:$I$79)</f>
        <v>0</v>
      </c>
      <c r="G55" s="87">
        <f>SUMIF('FACT - FRAIS Généraux'!$M$5:$M$79,"mai",'FACT - FRAIS Généraux'!$I$5:$I$79)</f>
        <v>0</v>
      </c>
      <c r="H55" s="87">
        <f>SUMIF('FACT - FRAIS Généraux'!$M$5:$M$79,"juin",'FACT - FRAIS Généraux'!$I$5:$I$79)</f>
        <v>0</v>
      </c>
      <c r="I55" s="87">
        <f>SUMIF('FACT - FRAIS Généraux'!$M$5:$M$79,"juillet",'FACT - FRAIS Généraux'!$I$5:$I$79)</f>
        <v>0</v>
      </c>
      <c r="J55" s="87">
        <f>SUMIF('FACT - FRAIS Généraux'!$M$5:$M$79,"aout",'FACT - FRAIS Généraux'!$I$5:$I$79)</f>
        <v>0</v>
      </c>
      <c r="K55" s="87">
        <f>SUMIF('FACT - FRAIS Généraux'!$M$5:$M$79,"septembre",'FACT - FRAIS Généraux'!$I$5:$I$79)</f>
        <v>0</v>
      </c>
      <c r="L55" s="87">
        <f>SUMIF('FACT - FRAIS Généraux'!$M$5:$M$79,"octobre",'FACT - FRAIS Généraux'!$I$5:$I$79)</f>
        <v>0</v>
      </c>
      <c r="M55" s="87">
        <f>SUMIF('FACT - FRAIS Généraux'!$M$5:$M$79,"novembre",'FACT - FRAIS Généraux'!$I$5:$I$79)</f>
        <v>0</v>
      </c>
      <c r="N55" s="87">
        <f>SUMIF('FACT - FRAIS Généraux'!$M$5:$M$79,"decembre",'FACT - FRAIS Généraux'!$I$5:$I$79)</f>
        <v>0</v>
      </c>
      <c r="O55" s="130">
        <f>SUM(C55:N55)</f>
        <v>0</v>
      </c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</row>
    <row r="56" spans="1:44" s="44" customFormat="1" ht="30" customHeight="1" x14ac:dyDescent="0.35">
      <c r="A56" s="243"/>
      <c r="B56" s="132" t="s">
        <v>16</v>
      </c>
      <c r="C56" s="86">
        <f>SUMIF('FACT - FRAIS Généraux'!$Y$5:$Y$80,"janvier",'FACT - FRAIS Généraux'!$U$5:$U$80)</f>
        <v>0</v>
      </c>
      <c r="D56" s="86">
        <f>SUMIF('FACT - FRAIS Généraux'!$Y$5:$Y$80,"fevrier",'FACT - FRAIS Généraux'!$U$5:$U$80)</f>
        <v>0</v>
      </c>
      <c r="E56" s="86">
        <f>SUMIF('FACT - FRAIS Généraux'!$Y$5:$Y$80,"mars",'FACT - FRAIS Généraux'!$U$5:$U$80)</f>
        <v>0</v>
      </c>
      <c r="F56" s="86">
        <f>SUMIF('FACT - FRAIS Généraux'!$Y$5:$Y$80,"avril",'FACT - FRAIS Généraux'!$U$5:$U$80)</f>
        <v>0</v>
      </c>
      <c r="G56" s="86">
        <f>SUMIF('FACT - FRAIS Généraux'!$Y$5:$Y$80,"mai",'FACT - FRAIS Généraux'!$U$5:$U$80)</f>
        <v>0</v>
      </c>
      <c r="H56" s="86">
        <f>SUMIF('FACT - FRAIS Généraux'!$Y$5:$Y$80,"juin",'FACT - FRAIS Généraux'!$U$5:$U$80)</f>
        <v>0</v>
      </c>
      <c r="I56" s="86">
        <f>SUMIF('FACT - FRAIS Généraux'!$Y$5:$Y$80,"juillet",'FACT - FRAIS Généraux'!$U$5:$U$80)</f>
        <v>0</v>
      </c>
      <c r="J56" s="86">
        <f>SUMIF('FACT - FRAIS Généraux'!$Y$5:$Y$80,"aout",'FACT - FRAIS Généraux'!$U$5:$U$80)</f>
        <v>0</v>
      </c>
      <c r="K56" s="86">
        <f>SUMIF('FACT - FRAIS Généraux'!$Y$5:$Y$80,"septembre",'FACT - FRAIS Généraux'!$U$5:$U$80)</f>
        <v>0</v>
      </c>
      <c r="L56" s="86">
        <f>SUMIF('FACT - FRAIS Généraux'!$Y$5:$Y$80,"octobre",'FACT - FRAIS Généraux'!$U$5:$U$80)</f>
        <v>0</v>
      </c>
      <c r="M56" s="86">
        <f>SUMIF('FACT - FRAIS Généraux'!$Y$5:$Y$80,"novembre",'FACT - FRAIS Généraux'!$U$5:$U$80)</f>
        <v>0</v>
      </c>
      <c r="N56" s="86">
        <f>SUMIF('FACT - FRAIS Généraux'!$Y$5:$Y$80,"decembre",'FACT - FRAIS Généraux'!$U$5:$U$80)</f>
        <v>0</v>
      </c>
      <c r="O56" s="130">
        <f t="shared" ref="O56:O60" si="11">SUM(C56:N56)</f>
        <v>0</v>
      </c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</row>
    <row r="57" spans="1:44" s="44" customFormat="1" ht="16.5" customHeight="1" x14ac:dyDescent="0.35">
      <c r="B57" s="93" t="s">
        <v>61</v>
      </c>
      <c r="C57" s="86">
        <f>SUMIF('FACT - FRAIS Généraux'!$AK$5:$AK$80,"janvier",'FACT - FRAIS Généraux'!$AG$5:$AG$80)</f>
        <v>0</v>
      </c>
      <c r="D57" s="86">
        <f>SUMIF('FACT - FRAIS Généraux'!$AK$5:$AK$80,"fevrier",'FACT - FRAIS Généraux'!$AG$5:$AG$80)</f>
        <v>0</v>
      </c>
      <c r="E57" s="86">
        <f>SUMIF('FACT - FRAIS Généraux'!$AK$5:$AK$80,"mars",'FACT - FRAIS Généraux'!$AG$5:$AG$80)</f>
        <v>0</v>
      </c>
      <c r="F57" s="86">
        <f>SUMIF('FACT - FRAIS Généraux'!$AK$5:$AK$80,"avril",'FACT - FRAIS Généraux'!$AG$5:$AG$80)</f>
        <v>0</v>
      </c>
      <c r="G57" s="86">
        <f>SUMIF('FACT - FRAIS Généraux'!$AK$5:$AK$80,"mai",'FACT - FRAIS Généraux'!$AG$5:$AG$80)</f>
        <v>0</v>
      </c>
      <c r="H57" s="86">
        <f>SUMIF('FACT - FRAIS Généraux'!$AK$5:$AK$80,"juin",'FACT - FRAIS Généraux'!$AG$5:$AG$80)</f>
        <v>0</v>
      </c>
      <c r="I57" s="86">
        <f>SUMIF('FACT - FRAIS Généraux'!$AK$5:$AK$80,"juillet",'FACT - FRAIS Généraux'!$AG$5:$AG$80)</f>
        <v>0</v>
      </c>
      <c r="J57" s="86">
        <f>SUMIF('FACT - FRAIS Généraux'!$AK$5:$AK$80,"aout",'FACT - FRAIS Généraux'!$AG$5:$AG$80)</f>
        <v>0</v>
      </c>
      <c r="K57" s="86">
        <f>SUMIF('FACT - FRAIS Généraux'!$AK$5:$AK$80,"septembre",'FACT - FRAIS Généraux'!$AG$5:$AG$80)</f>
        <v>0</v>
      </c>
      <c r="L57" s="86">
        <f>SUMIF('FACT - FRAIS Généraux'!$AK$5:$AK$80,"octobre",'FACT - FRAIS Généraux'!$AG$5:$AG$80)</f>
        <v>0</v>
      </c>
      <c r="M57" s="86">
        <f>SUMIF('FACT - FRAIS Généraux'!$AK$5:$AK$80,"novembre",'FACT - FRAIS Généraux'!$AG$5:$AG$80)</f>
        <v>0</v>
      </c>
      <c r="N57" s="86">
        <f>SUMIF('FACT - FRAIS Généraux'!$AK$5:$AK$80,"decembre",'FACT - FRAIS Généraux'!$AG$5:$AG$80)</f>
        <v>0</v>
      </c>
      <c r="O57" s="130">
        <f t="shared" si="11"/>
        <v>0</v>
      </c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</row>
    <row r="58" spans="1:44" ht="15.5" x14ac:dyDescent="0.35">
      <c r="A58" s="6"/>
      <c r="B58" s="93" t="s">
        <v>129</v>
      </c>
      <c r="C58" s="86">
        <f>SUMIF('FACT - FRAIS Généraux'!$AW$5:$AW$80,"janvier",'FACT - FRAIS Généraux'!$AS$5:$AS$80)</f>
        <v>0</v>
      </c>
      <c r="D58" s="86">
        <f>SUMIF('FACT - FRAIS Généraux'!$AW$5:$AW$80,"fevrier",'FACT - FRAIS Généraux'!$AS$5:$AS$80)</f>
        <v>0</v>
      </c>
      <c r="E58" s="86">
        <f>SUMIF('FACT - FRAIS Généraux'!$AW$5:$AW$80,"mars",'FACT - FRAIS Généraux'!$AS$5:$AS$80)</f>
        <v>0</v>
      </c>
      <c r="F58" s="86">
        <f>SUMIF('FACT - FRAIS Généraux'!$AW$5:$AW$80,"avril",'FACT - FRAIS Généraux'!$AS$5:$AS$80)</f>
        <v>0</v>
      </c>
      <c r="G58" s="86">
        <f>SUMIF('FACT - FRAIS Généraux'!$AW$5:$AW$80,"mai",'FACT - FRAIS Généraux'!$AS$5:$AS$80)</f>
        <v>0</v>
      </c>
      <c r="H58" s="86">
        <f>SUMIF('FACT - FRAIS Généraux'!$AW$5:$AW$80,"juin",'FACT - FRAIS Généraux'!$AS$5:$AS$80)</f>
        <v>0</v>
      </c>
      <c r="I58" s="86">
        <f>SUMIF('FACT - FRAIS Généraux'!$AW$5:$AW$80,"juillet",'FACT - FRAIS Généraux'!$AS$5:$AS$80)</f>
        <v>0</v>
      </c>
      <c r="J58" s="86">
        <f>SUMIF('FACT - FRAIS Généraux'!$AW$5:$AW$80,"aout",'FACT - FRAIS Généraux'!$AS$5:$AS$80)</f>
        <v>0</v>
      </c>
      <c r="K58" s="86">
        <f>SUMIF('FACT - FRAIS Généraux'!$AW$5:$AW$80,"septembre",'FACT - FRAIS Généraux'!$AS$5:$AS$80)</f>
        <v>0</v>
      </c>
      <c r="L58" s="86">
        <f>SUMIF('FACT - FRAIS Généraux'!$AW$5:$AW$80,"octobre",'FACT - FRAIS Généraux'!$AS$5:$AS$80)</f>
        <v>0</v>
      </c>
      <c r="M58" s="86">
        <f>SUMIF('FACT - FRAIS Généraux'!$AW$5:$AW$80,"novembre",'FACT - FRAIS Généraux'!$AS$5:$AS$80)</f>
        <v>0</v>
      </c>
      <c r="N58" s="86">
        <f>SUMIF('FACT - FRAIS Généraux'!$AW$5:$AW$80,"decembre",'FACT - FRAIS Généraux'!$AS$5:$AS$80)</f>
        <v>0</v>
      </c>
      <c r="O58" s="130">
        <f t="shared" si="11"/>
        <v>0</v>
      </c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</row>
    <row r="59" spans="1:44" ht="15.5" x14ac:dyDescent="0.35">
      <c r="A59" s="6"/>
      <c r="B59" s="93" t="s">
        <v>63</v>
      </c>
      <c r="C59" s="86">
        <f>SUMIF('FACT - FRAIS Généraux'!$BI$5:$BI$80,"janvier",'FACT - FRAIS Généraux'!$BG$5:$BG$80)</f>
        <v>0</v>
      </c>
      <c r="D59" s="86">
        <f>SUMIF('FACT - FRAIS Généraux'!$BI$5:$BI$80,"fevrier",'FACT - FRAIS Généraux'!$BG$5:$BG$80)</f>
        <v>0</v>
      </c>
      <c r="E59" s="86">
        <f>SUMIF('FACT - FRAIS Généraux'!$BI$5:$BI$80,"mars",'FACT - FRAIS Généraux'!$BG$5:$BG$80)</f>
        <v>0</v>
      </c>
      <c r="F59" s="86">
        <f>SUMIF('FACT - FRAIS Généraux'!$BI$5:$BI$80,"avril",'FACT - FRAIS Généraux'!$BG$5:$BG$80)</f>
        <v>0</v>
      </c>
      <c r="G59" s="86">
        <f>SUMIF('FACT - FRAIS Généraux'!$BI$5:$BI$80,"mai",'FACT - FRAIS Généraux'!$BG$5:$BG$80)</f>
        <v>0</v>
      </c>
      <c r="H59" s="86">
        <f>SUMIF('FACT - FRAIS Généraux'!$BI$5:$BI$80,"juin",'FACT - FRAIS Généraux'!$BG$5:$BG$80)</f>
        <v>0</v>
      </c>
      <c r="I59" s="86">
        <f>SUMIF('FACT - FRAIS Généraux'!$BI$5:$BI$80,"juillet",'FACT - FRAIS Généraux'!$BG$5:$BG$80)</f>
        <v>0</v>
      </c>
      <c r="J59" s="86">
        <f>SUMIF('FACT - FRAIS Généraux'!$BI$5:$BI$80,"aout",'FACT - FRAIS Généraux'!$BG$5:$BG$80)</f>
        <v>0</v>
      </c>
      <c r="K59" s="86">
        <f>SUMIF('FACT - FRAIS Généraux'!$BI$5:$BI$80,"septembre",'FACT - FRAIS Généraux'!$BG$5:$BG$80)</f>
        <v>0</v>
      </c>
      <c r="L59" s="86">
        <f>SUMIF('FACT - FRAIS Généraux'!$BI$5:$BI$80,"octobre",'FACT - FRAIS Généraux'!$BG$5:$BG$80)</f>
        <v>0</v>
      </c>
      <c r="M59" s="86">
        <f>SUMIF('FACT - FRAIS Généraux'!$BI$5:$BI$80,"novembre",'FACT - FRAIS Généraux'!$BG$5:$BG$80)</f>
        <v>0</v>
      </c>
      <c r="N59" s="86">
        <f>SUMIF('FACT - FRAIS Généraux'!$BI$5:$BI$80,"decembre",'FACT - FRAIS Généraux'!$BG$5:$BG$80)</f>
        <v>0</v>
      </c>
      <c r="O59" s="130">
        <f t="shared" si="11"/>
        <v>0</v>
      </c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</row>
    <row r="60" spans="1:44" ht="15.5" x14ac:dyDescent="0.35">
      <c r="A60" s="6"/>
      <c r="B60" s="93" t="s">
        <v>67</v>
      </c>
      <c r="C60" s="86">
        <f>SUMIF('FACT - FRAIS Généraux'!$BU$5:$BU$80,"janvier",'FACT - FRAIS Généraux'!$BQ$5:$BQ$80)</f>
        <v>0</v>
      </c>
      <c r="D60" s="86">
        <f>SUMIF('FACT - FRAIS Généraux'!$BU$5:$BU$80,"fevrier",'FACT - FRAIS Généraux'!$BQ$5:$BQ$80)</f>
        <v>0</v>
      </c>
      <c r="E60" s="86">
        <f>SUMIF('FACT - FRAIS Généraux'!$BU$5:$BU$80,"mars",'FACT - FRAIS Généraux'!$BQ$5:$BQ$80)</f>
        <v>0</v>
      </c>
      <c r="F60" s="86">
        <f>SUMIF('FACT - FRAIS Généraux'!$BU$5:$BU$80,"avril",'FACT - FRAIS Généraux'!$BQ$5:$BQ$80)</f>
        <v>0</v>
      </c>
      <c r="G60" s="86">
        <f>SUMIF('FACT - FRAIS Généraux'!$BU$5:$BU$80,"mai",'FACT - FRAIS Généraux'!$BQ$5:$BQ$80)</f>
        <v>0</v>
      </c>
      <c r="H60" s="86">
        <f>SUMIF('FACT - FRAIS Généraux'!$BU$5:$BU$80,"juin",'FACT - FRAIS Généraux'!$BQ$5:$BQ$80)</f>
        <v>0</v>
      </c>
      <c r="I60" s="86">
        <f>SUMIF('FACT - FRAIS Généraux'!$BU$5:$BU$80,"juillet",'FACT - FRAIS Généraux'!$BQ$5:$BQ$80)</f>
        <v>0</v>
      </c>
      <c r="J60" s="86">
        <f>SUMIF('FACT - FRAIS Généraux'!$BU$5:$BU$80,"aout",'FACT - FRAIS Généraux'!$BQ$5:$BQ$80)</f>
        <v>0</v>
      </c>
      <c r="K60" s="86">
        <f>SUMIF('FACT - FRAIS Généraux'!$BU$5:$BU$80,"septembre",'FACT - FRAIS Généraux'!$BQ$5:$BQ$80)</f>
        <v>0</v>
      </c>
      <c r="L60" s="86">
        <f>SUMIF('FACT - FRAIS Généraux'!$BU$5:$BU$80,"octobre",'FACT - FRAIS Généraux'!$BQ$5:$BQ$80)</f>
        <v>0</v>
      </c>
      <c r="M60" s="86">
        <f>SUMIF('FACT - FRAIS Généraux'!$BU$5:$BU$80,"novembre",'FACT - FRAIS Généraux'!$BQ$5:$BQ$80)</f>
        <v>0</v>
      </c>
      <c r="N60" s="86">
        <f>SUMIF('FACT - FRAIS Généraux'!$BU$5:$BU$80,"decembre",'FACT - FRAIS Généraux'!$BQ$5:$BQ$80)</f>
        <v>0</v>
      </c>
      <c r="O60" s="130">
        <f t="shared" si="11"/>
        <v>0</v>
      </c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</row>
    <row r="61" spans="1:44" ht="15.5" x14ac:dyDescent="0.35">
      <c r="A61"/>
      <c r="B61" s="93" t="s">
        <v>29</v>
      </c>
      <c r="C61" s="86">
        <f>SUMIF('FACT - FRAIS Généraux'!$CS$5:$CS$80,"janvier",'FACT - FRAIS Généraux'!$CO$5:$CO$80)</f>
        <v>0</v>
      </c>
      <c r="D61" s="86">
        <f>SUMIF('FACT - FRAIS Généraux'!$CS$5:$CS$80,"fevrier",'FACT - FRAIS Généraux'!$CO$5:$CO$80)</f>
        <v>0</v>
      </c>
      <c r="E61" s="86">
        <f>SUMIF('FACT - FRAIS Généraux'!$CS$5:$CS$80,"mars",'FACT - FRAIS Généraux'!$CO$5:$CO$80)</f>
        <v>0</v>
      </c>
      <c r="F61" s="86">
        <f>SUMIF('FACT - FRAIS Généraux'!$CS$5:$CS$80,"avril",'FACT - FRAIS Généraux'!$CO$5:$CO$80)</f>
        <v>0</v>
      </c>
      <c r="G61" s="86">
        <f>SUMIF('FACT - FRAIS Généraux'!$CS$5:$CS$80,"mai",'FACT - FRAIS Généraux'!$CO$5:$CO$80)</f>
        <v>0</v>
      </c>
      <c r="H61" s="86">
        <f>SUMIF('FACT - FRAIS Généraux'!$CS$5:$CS$80,"juin",'FACT - FRAIS Généraux'!$CO$5:$CO$80)</f>
        <v>0</v>
      </c>
      <c r="I61" s="86">
        <f>SUMIF('FACT - FRAIS Généraux'!$CS$5:$CS$80,"juillet",'FACT - FRAIS Généraux'!$CO$5:$CO$80)</f>
        <v>0</v>
      </c>
      <c r="J61" s="86">
        <f>SUMIF('FACT - FRAIS Généraux'!$CS$5:$CS$80,"aout",'FACT - FRAIS Généraux'!$CO$5:$CO$80)</f>
        <v>0</v>
      </c>
      <c r="K61" s="86">
        <f>SUMIF('FACT - FRAIS Généraux'!$CS$5:$CS$80,"septembre",'FACT - FRAIS Généraux'!$CO$5:$CO$80)</f>
        <v>0</v>
      </c>
      <c r="L61" s="86">
        <f>SUMIF('FACT - FRAIS Généraux'!$CS$5:$CS$80,"octobre",'FACT - FRAIS Généraux'!$CO$5:$CO$80)</f>
        <v>0</v>
      </c>
      <c r="M61" s="86">
        <f>SUMIF('FACT - FRAIS Généraux'!$CS$5:$CS$80,"novembre",'FACT - FRAIS Généraux'!$CO$5:$CO$80)</f>
        <v>0</v>
      </c>
      <c r="N61" s="86">
        <f>SUMIF('FACT - FRAIS Généraux'!$CS$5:$CS$80,"decembre",'FACT - FRAIS Généraux'!$CO$5:$CO$80)</f>
        <v>0</v>
      </c>
      <c r="O61" s="130">
        <f>SUM(C61:N61)</f>
        <v>0</v>
      </c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</row>
    <row r="62" spans="1:44" ht="15.5" x14ac:dyDescent="0.35">
      <c r="A62"/>
      <c r="B62" s="93" t="s">
        <v>130</v>
      </c>
      <c r="C62" s="86">
        <f>SUMIF('FACT - FRAIS Généraux'!$CG$5:$CG$80,"janvier",'FACT - FRAIS Généraux'!$CE$5:$CE$80)</f>
        <v>0</v>
      </c>
      <c r="D62" s="86">
        <f>SUMIF('FACT - FRAIS Généraux'!$CG$5:$CG$80,"fevrier",'FACT - FRAIS Généraux'!$CE$5:$CE$80)</f>
        <v>0</v>
      </c>
      <c r="E62" s="86">
        <f>SUMIF('FACT - FRAIS Généraux'!$CG$5:$CG$80,"mars",'FACT - FRAIS Généraux'!$CE$5:$CE$80)</f>
        <v>0</v>
      </c>
      <c r="F62" s="86">
        <f>SUMIF('FACT - FRAIS Généraux'!$CG$5:$CG$80,"avril",'FACT - FRAIS Généraux'!$CE$5:$CE$80)</f>
        <v>0</v>
      </c>
      <c r="G62" s="86">
        <f>SUMIF('FACT - FRAIS Généraux'!$CG$5:$CG$80,"mai",'FACT - FRAIS Généraux'!$CE$5:$CE$80)</f>
        <v>0</v>
      </c>
      <c r="H62" s="86">
        <f>SUMIF('FACT - FRAIS Généraux'!$CG$5:$CG$80,"juin",'FACT - FRAIS Généraux'!$CE$5:$CE$80)</f>
        <v>0</v>
      </c>
      <c r="I62" s="86">
        <f>SUMIF('FACT - FRAIS Généraux'!$CG$5:$CG$80,"juillet",'FACT - FRAIS Généraux'!$CE$5:$CE$80)</f>
        <v>0</v>
      </c>
      <c r="J62" s="86">
        <f>SUMIF('FACT - FRAIS Généraux'!$CG$5:$CG$80,"aout",'FACT - FRAIS Généraux'!$CE$5:$CE$80)</f>
        <v>0</v>
      </c>
      <c r="K62" s="86">
        <f>SUMIF('FACT - FRAIS Généraux'!$CG$5:$CG$80,"septembre",'FACT - FRAIS Généraux'!$CE$5:$CE$80)</f>
        <v>0</v>
      </c>
      <c r="L62" s="86">
        <f>SUMIF('FACT - FRAIS Généraux'!$CG$5:$CG$80,"octobre",'FACT - FRAIS Généraux'!$CE$5:$CE$80)</f>
        <v>0</v>
      </c>
      <c r="M62" s="86">
        <f>SUMIF('FACT - FRAIS Généraux'!$CG$5:$CG$80,"novembre",'FACT - FRAIS Généraux'!$CE$5:$CE$80)</f>
        <v>0</v>
      </c>
      <c r="N62" s="86">
        <f>SUMIF('FACT - FRAIS Généraux'!$CG$5:$CG$80,"decembre",'FACT - FRAIS Généraux'!$CE$5:$CE$80)</f>
        <v>0</v>
      </c>
      <c r="O62" s="130">
        <f>SUM(C62:N62)</f>
        <v>0</v>
      </c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</row>
    <row r="63" spans="1:44" ht="16" thickBot="1" x14ac:dyDescent="0.4">
      <c r="A63"/>
      <c r="B63" s="299" t="s">
        <v>166</v>
      </c>
      <c r="C63" s="86">
        <f>SUMIF('FACT - FRAIS Généraux'!$DE$5:$DE$133,"janvier",'FACT - FRAIS Généraux'!$DC$5:$DC$133)</f>
        <v>0</v>
      </c>
      <c r="D63" s="86">
        <f>SUMIF('FACT - FRAIS Généraux'!$DE$5:$DE$133,"fevrier",'FACT - FRAIS Généraux'!$DC$5:$DC$133)</f>
        <v>0</v>
      </c>
      <c r="E63" s="86">
        <f>SUMIF('FACT - FRAIS Généraux'!$DE$5:$DE$133,"mars",'FACT - FRAIS Généraux'!$DC$5:$DC$133)</f>
        <v>0</v>
      </c>
      <c r="F63" s="86">
        <f>SUMIF('FACT - FRAIS Généraux'!$DE$5:$DE$133,"avril",'FACT - FRAIS Généraux'!$DC$5:$DC$133)</f>
        <v>0</v>
      </c>
      <c r="G63" s="86">
        <f>SUMIF('FACT - FRAIS Généraux'!$DE$5:$DE$133,"mai",'FACT - FRAIS Généraux'!$DC$5:$DC$133)</f>
        <v>0</v>
      </c>
      <c r="H63" s="86">
        <f>SUMIF('FACT - FRAIS Généraux'!$DE$5:$DE$133,"juin",'FACT - FRAIS Généraux'!$DC$5:$DC$133)</f>
        <v>0</v>
      </c>
      <c r="I63" s="86">
        <f>SUMIF('FACT - FRAIS Généraux'!$DE$5:$DE$133,"juillet",'FACT - FRAIS Généraux'!$DC$5:$DC$133)</f>
        <v>0</v>
      </c>
      <c r="J63" s="86">
        <f>SUMIF('FACT - FRAIS Généraux'!$DE$5:$DE$133,"aout",'FACT - FRAIS Généraux'!$DC$5:$DC$133)</f>
        <v>0</v>
      </c>
      <c r="K63" s="86">
        <f>SUMIF('FACT - FRAIS Généraux'!$DE$5:$DE$133,"septembre",'FACT - FRAIS Généraux'!$DC$5:$DC$133)</f>
        <v>0</v>
      </c>
      <c r="L63" s="86">
        <f>SUMIF('FACT - FRAIS Généraux'!$DE$5:$DE$133,"octobre",'FACT - FRAIS Généraux'!$DC$5:$DC$133)</f>
        <v>0</v>
      </c>
      <c r="M63" s="86">
        <f>SUMIF('FACT - FRAIS Généraux'!$DE$5:$DE$133,"novembre",'FACT - FRAIS Généraux'!$DC$5:$DC$133)</f>
        <v>0</v>
      </c>
      <c r="N63" s="86">
        <f>SUMIF('FACT - FRAIS Généraux'!$DE$5:$DE$133,"decembre",'FACT - FRAIS Généraux'!$DC$5:$DC$133)</f>
        <v>0</v>
      </c>
      <c r="O63" s="300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</row>
    <row r="64" spans="1:44" ht="19" thickBot="1" x14ac:dyDescent="0.4">
      <c r="A64" s="4"/>
      <c r="B64" s="80" t="s">
        <v>110</v>
      </c>
      <c r="C64" s="80">
        <f t="shared" ref="C64:N64" si="12">SUM(C55:C62)</f>
        <v>0</v>
      </c>
      <c r="D64" s="80">
        <f t="shared" si="12"/>
        <v>0</v>
      </c>
      <c r="E64" s="80">
        <f t="shared" si="12"/>
        <v>0</v>
      </c>
      <c r="F64" s="80">
        <f t="shared" si="12"/>
        <v>0</v>
      </c>
      <c r="G64" s="80">
        <f t="shared" si="12"/>
        <v>0</v>
      </c>
      <c r="H64" s="80">
        <f t="shared" si="12"/>
        <v>0</v>
      </c>
      <c r="I64" s="80">
        <f t="shared" si="12"/>
        <v>0</v>
      </c>
      <c r="J64" s="80">
        <f t="shared" si="12"/>
        <v>0</v>
      </c>
      <c r="K64" s="80">
        <f t="shared" si="12"/>
        <v>0</v>
      </c>
      <c r="L64" s="80">
        <f t="shared" si="12"/>
        <v>0</v>
      </c>
      <c r="M64" s="80">
        <f t="shared" si="12"/>
        <v>0</v>
      </c>
      <c r="N64" s="101">
        <f t="shared" si="12"/>
        <v>0</v>
      </c>
      <c r="O64" s="131">
        <f>SUM(C64:N64)</f>
        <v>0</v>
      </c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</row>
    <row r="65" spans="1:43" x14ac:dyDescent="0.35">
      <c r="A65" s="4"/>
      <c r="B65"/>
      <c r="C65"/>
      <c r="D65"/>
      <c r="E65" s="3"/>
      <c r="F65"/>
      <c r="G65"/>
      <c r="H65" s="8"/>
      <c r="I65"/>
      <c r="J65"/>
      <c r="K65"/>
      <c r="L65"/>
      <c r="M65"/>
      <c r="N65"/>
      <c r="O65" s="3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Q65"/>
    </row>
    <row r="66" spans="1:43" s="173" customFormat="1" ht="15" thickBot="1" x14ac:dyDescent="0.4">
      <c r="A66" s="2"/>
      <c r="B66"/>
      <c r="C66"/>
      <c r="D66"/>
      <c r="E66" s="3"/>
      <c r="F66"/>
      <c r="G66"/>
      <c r="H66" s="8"/>
      <c r="I66"/>
      <c r="J66"/>
      <c r="K66"/>
      <c r="L66"/>
      <c r="M66"/>
      <c r="N66"/>
      <c r="O66" s="3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Q66" s="2"/>
    </row>
    <row r="67" spans="1:43" ht="29" thickBot="1" x14ac:dyDescent="0.4">
      <c r="A67" s="2"/>
      <c r="B67" s="238" t="s">
        <v>160</v>
      </c>
      <c r="C67" s="266">
        <f t="shared" ref="C67:N67" ca="1" si="13">C22+C32++C39+C46+C53+C64</f>
        <v>56</v>
      </c>
      <c r="D67" s="266">
        <f t="shared" ca="1" si="13"/>
        <v>39.269999999999996</v>
      </c>
      <c r="E67" s="266">
        <f t="shared" ca="1" si="13"/>
        <v>65.56</v>
      </c>
      <c r="F67" s="266">
        <f t="shared" ca="1" si="13"/>
        <v>162.26</v>
      </c>
      <c r="G67" s="266">
        <f t="shared" ca="1" si="13"/>
        <v>1793.4499999999998</v>
      </c>
      <c r="H67" s="266">
        <f t="shared" ca="1" si="13"/>
        <v>34.950000000000003</v>
      </c>
      <c r="I67" s="266">
        <f t="shared" ca="1" si="13"/>
        <v>203.36</v>
      </c>
      <c r="J67" s="266">
        <f t="shared" ca="1" si="13"/>
        <v>1070.98</v>
      </c>
      <c r="K67" s="267">
        <f t="shared" ca="1" si="13"/>
        <v>142.91</v>
      </c>
      <c r="L67" s="268">
        <f t="shared" ca="1" si="13"/>
        <v>0</v>
      </c>
      <c r="M67" s="266">
        <f t="shared" ca="1" si="13"/>
        <v>0</v>
      </c>
      <c r="N67" s="269">
        <f t="shared" ca="1" si="13"/>
        <v>0</v>
      </c>
      <c r="O67" s="237">
        <f ca="1">SUM(C67:N67)</f>
        <v>3568.74</v>
      </c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</row>
    <row r="68" spans="1:43" ht="23.5" x14ac:dyDescent="0.35">
      <c r="A68"/>
      <c r="B68" s="239" t="s">
        <v>92</v>
      </c>
      <c r="C68" s="241">
        <f ca="1">C22+C32+C39+C46+C53</f>
        <v>56</v>
      </c>
      <c r="D68" s="241">
        <f t="shared" ref="D68:N68" ca="1" si="14">D22+D32+D39+D46+D53</f>
        <v>39.269999999999996</v>
      </c>
      <c r="E68" s="241">
        <f t="shared" ca="1" si="14"/>
        <v>65.56</v>
      </c>
      <c r="F68" s="241">
        <f t="shared" ca="1" si="14"/>
        <v>162.26</v>
      </c>
      <c r="G68" s="241">
        <f t="shared" ca="1" si="14"/>
        <v>1793.4499999999998</v>
      </c>
      <c r="H68" s="241">
        <f ca="1">H22+H32+H39+H46+H53</f>
        <v>34.950000000000003</v>
      </c>
      <c r="I68" s="241">
        <f t="shared" ca="1" si="14"/>
        <v>203.36</v>
      </c>
      <c r="J68" s="241">
        <f t="shared" ca="1" si="14"/>
        <v>1070.98</v>
      </c>
      <c r="K68" s="241">
        <f t="shared" ca="1" si="14"/>
        <v>142.91</v>
      </c>
      <c r="L68" s="241">
        <f t="shared" ca="1" si="14"/>
        <v>0</v>
      </c>
      <c r="M68" s="241">
        <f t="shared" ca="1" si="14"/>
        <v>0</v>
      </c>
      <c r="N68" s="241">
        <f t="shared" ca="1" si="14"/>
        <v>0</v>
      </c>
      <c r="O68" s="240">
        <f ca="1">O53+O46+O39+O32+O22</f>
        <v>3568.74</v>
      </c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</row>
    <row r="69" spans="1:43" x14ac:dyDescent="0.35">
      <c r="A69"/>
      <c r="B69"/>
      <c r="C69"/>
      <c r="D69" s="1"/>
      <c r="E69" s="3"/>
      <c r="F69"/>
      <c r="G69"/>
      <c r="H69" s="8"/>
      <c r="I69"/>
      <c r="J69"/>
      <c r="K69"/>
      <c r="L69"/>
      <c r="M69"/>
      <c r="N69"/>
      <c r="O69" s="3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</row>
    <row r="70" spans="1:43" x14ac:dyDescent="0.35">
      <c r="A70"/>
      <c r="B70"/>
      <c r="C70"/>
      <c r="D70" s="1"/>
      <c r="E70" s="3"/>
      <c r="F70"/>
      <c r="G70"/>
      <c r="H70" s="8"/>
      <c r="I70"/>
      <c r="J70"/>
      <c r="K70"/>
      <c r="L70"/>
      <c r="M70"/>
      <c r="N70"/>
      <c r="O70" s="3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</row>
    <row r="71" spans="1:43" x14ac:dyDescent="0.35">
      <c r="A71"/>
      <c r="B71"/>
      <c r="C71"/>
      <c r="D71"/>
      <c r="E71" s="3"/>
      <c r="F71"/>
      <c r="G71"/>
      <c r="H71" s="8"/>
      <c r="I71"/>
      <c r="J71" t="s">
        <v>32</v>
      </c>
      <c r="K71"/>
      <c r="L71"/>
      <c r="M71"/>
      <c r="N71"/>
      <c r="O71" s="3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</row>
    <row r="72" spans="1:43" x14ac:dyDescent="0.35">
      <c r="A72"/>
      <c r="B72"/>
      <c r="C72"/>
      <c r="D72"/>
      <c r="E72" s="3"/>
      <c r="F72" s="1"/>
      <c r="G72"/>
      <c r="H72" s="8"/>
      <c r="I72"/>
      <c r="J72"/>
      <c r="K72"/>
      <c r="L72"/>
      <c r="M72"/>
      <c r="N72"/>
      <c r="O72" s="3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</row>
    <row r="73" spans="1:43" x14ac:dyDescent="0.35">
      <c r="A73"/>
      <c r="B73"/>
      <c r="C73"/>
      <c r="D73"/>
      <c r="E73" s="3"/>
      <c r="F73"/>
      <c r="G73"/>
      <c r="H73" s="8"/>
      <c r="I73"/>
      <c r="J73"/>
      <c r="K73"/>
      <c r="L73"/>
      <c r="M73"/>
      <c r="N73"/>
      <c r="O73" s="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</row>
    <row r="74" spans="1:43" x14ac:dyDescent="0.35">
      <c r="A74"/>
      <c r="B74"/>
      <c r="C74"/>
      <c r="D74"/>
      <c r="E74" s="3"/>
      <c r="F74"/>
      <c r="G74"/>
      <c r="H74" s="8"/>
      <c r="I74"/>
      <c r="J74"/>
      <c r="K74"/>
      <c r="L74"/>
      <c r="M74"/>
      <c r="N74"/>
      <c r="O74" s="3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</row>
    <row r="75" spans="1:43" ht="18.5" x14ac:dyDescent="0.35">
      <c r="A75" s="122"/>
      <c r="B75"/>
      <c r="C75"/>
      <c r="D75"/>
      <c r="E75" s="3"/>
      <c r="F75"/>
      <c r="G75"/>
      <c r="H75" s="8"/>
      <c r="I75"/>
      <c r="J75"/>
      <c r="K75"/>
      <c r="L75"/>
      <c r="M75"/>
      <c r="N75"/>
      <c r="O75" s="3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</row>
    <row r="76" spans="1:43" x14ac:dyDescent="0.35">
      <c r="A76"/>
      <c r="B76"/>
      <c r="C76"/>
      <c r="D76"/>
      <c r="E76" s="3"/>
      <c r="F76"/>
      <c r="G76"/>
      <c r="H76" s="8"/>
      <c r="I76"/>
      <c r="J76"/>
      <c r="K76"/>
      <c r="L76"/>
      <c r="M76"/>
      <c r="N76"/>
      <c r="O76" s="3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</row>
    <row r="77" spans="1:43" x14ac:dyDescent="0.35">
      <c r="A77"/>
      <c r="B77"/>
      <c r="C77"/>
      <c r="D77"/>
      <c r="E77" s="3"/>
      <c r="F77"/>
      <c r="G77"/>
      <c r="H77" s="8"/>
      <c r="I77"/>
      <c r="J77"/>
      <c r="K77"/>
      <c r="L77"/>
      <c r="M77"/>
      <c r="N77"/>
      <c r="O77" s="3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</row>
    <row r="78" spans="1:43" x14ac:dyDescent="0.35">
      <c r="A78"/>
      <c r="B78"/>
      <c r="C78"/>
      <c r="D78"/>
      <c r="E78" s="3"/>
      <c r="F78"/>
      <c r="G78"/>
      <c r="H78" s="8"/>
      <c r="I78"/>
      <c r="J78"/>
      <c r="K78"/>
      <c r="L78"/>
      <c r="M78"/>
      <c r="N78"/>
      <c r="O78" s="3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</row>
    <row r="79" spans="1:43" x14ac:dyDescent="0.35">
      <c r="A79"/>
      <c r="B79"/>
      <c r="C79"/>
      <c r="D79"/>
      <c r="E79" s="3"/>
      <c r="F79"/>
      <c r="G79"/>
      <c r="H79" s="8"/>
      <c r="I79"/>
      <c r="J79"/>
      <c r="K79"/>
      <c r="L79"/>
      <c r="M79"/>
      <c r="N79"/>
      <c r="O79" s="3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</row>
    <row r="80" spans="1:43" x14ac:dyDescent="0.35">
      <c r="A80"/>
      <c r="B80"/>
      <c r="C80"/>
      <c r="D80"/>
      <c r="E80" s="3"/>
      <c r="F80"/>
      <c r="G80"/>
      <c r="H80" s="8"/>
      <c r="I80"/>
      <c r="J80"/>
      <c r="K80"/>
      <c r="L80"/>
      <c r="M80"/>
      <c r="N80"/>
      <c r="O80" s="3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</row>
    <row r="81" spans="1:43" x14ac:dyDescent="0.35">
      <c r="A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</row>
    <row r="82" spans="1:43" x14ac:dyDescent="0.35">
      <c r="A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</row>
    <row r="83" spans="1:43" x14ac:dyDescent="0.35">
      <c r="A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</row>
    <row r="84" spans="1:43" x14ac:dyDescent="0.35">
      <c r="A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</row>
    <row r="85" spans="1:43" x14ac:dyDescent="0.35">
      <c r="A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</row>
    <row r="86" spans="1:43" x14ac:dyDescent="0.35">
      <c r="A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</row>
    <row r="87" spans="1:43" x14ac:dyDescent="0.35">
      <c r="A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</row>
    <row r="88" spans="1:43" x14ac:dyDescent="0.35">
      <c r="A88"/>
    </row>
  </sheetData>
  <mergeCells count="9">
    <mergeCell ref="A1:E1"/>
    <mergeCell ref="B47:N47"/>
    <mergeCell ref="B54:N54"/>
    <mergeCell ref="B23:N23"/>
    <mergeCell ref="B33:N33"/>
    <mergeCell ref="B40:N40"/>
    <mergeCell ref="S2:AB2"/>
    <mergeCell ref="B6:N6"/>
    <mergeCell ref="A2:D2"/>
  </mergeCell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abelle2"/>
  <dimension ref="A1:AH184"/>
  <sheetViews>
    <sheetView showGridLines="0" topLeftCell="D52" zoomScale="60" zoomScaleNormal="60" workbookViewId="0">
      <selection activeCell="S5" sqref="S5:S102"/>
    </sheetView>
  </sheetViews>
  <sheetFormatPr baseColWidth="10" defaultColWidth="10.81640625" defaultRowHeight="14.5" x14ac:dyDescent="0.35"/>
  <cols>
    <col min="1" max="1" width="37" customWidth="1"/>
    <col min="2" max="2" width="16.81640625" customWidth="1"/>
    <col min="3" max="3" width="20.1796875" customWidth="1"/>
    <col min="4" max="4" width="18.453125" customWidth="1"/>
    <col min="5" max="6" width="18.1796875" customWidth="1"/>
    <col min="7" max="7" width="34.1796875" customWidth="1"/>
    <col min="8" max="8" width="16.26953125" bestFit="1" customWidth="1"/>
    <col min="9" max="9" width="15" customWidth="1"/>
    <col min="10" max="10" width="14.81640625" customWidth="1"/>
    <col min="11" max="11" width="10.1796875" bestFit="1" customWidth="1"/>
    <col min="12" max="12" width="19.7265625" customWidth="1"/>
    <col min="13" max="13" width="19.1796875" customWidth="1"/>
    <col min="14" max="14" width="19.7265625" bestFit="1" customWidth="1"/>
    <col min="15" max="15" width="13.54296875" bestFit="1" customWidth="1"/>
    <col min="16" max="16" width="11.453125"/>
    <col min="17" max="17" width="19" customWidth="1"/>
    <col min="18" max="18" width="18.26953125" customWidth="1"/>
    <col min="19" max="19" width="28.26953125" customWidth="1"/>
    <col min="20" max="20" width="13" customWidth="1"/>
    <col min="21" max="21" width="15.26953125" customWidth="1"/>
    <col min="22" max="22" width="12.7265625" customWidth="1"/>
    <col min="23" max="23" width="12.26953125" customWidth="1"/>
    <col min="24" max="24" width="16.453125" customWidth="1"/>
    <col min="25" max="25" width="21" customWidth="1"/>
    <col min="26" max="26" width="14.1796875" customWidth="1"/>
    <col min="27" max="27" width="18.54296875" style="22" customWidth="1"/>
    <col min="28" max="16384" width="10.81640625" style="22"/>
  </cols>
  <sheetData>
    <row r="1" spans="1:34" customFormat="1" x14ac:dyDescent="0.35"/>
    <row r="2" spans="1:34" customFormat="1" ht="15" thickBot="1" x14ac:dyDescent="0.4">
      <c r="A2" s="58"/>
      <c r="B2" s="58"/>
      <c r="C2" s="58"/>
    </row>
    <row r="3" spans="1:34" ht="18.649999999999999" customHeight="1" thickBot="1" x14ac:dyDescent="0.5">
      <c r="A3" s="368" t="s">
        <v>48</v>
      </c>
      <c r="B3" s="369"/>
      <c r="C3" s="58"/>
      <c r="D3" s="21"/>
      <c r="E3" s="359" t="s">
        <v>40</v>
      </c>
      <c r="F3" s="360"/>
      <c r="G3" s="360"/>
      <c r="H3" s="360"/>
      <c r="I3" s="360"/>
      <c r="J3" s="360"/>
      <c r="K3" s="360"/>
      <c r="L3" s="360"/>
      <c r="M3" s="360"/>
      <c r="N3" s="360"/>
      <c r="O3" s="360"/>
      <c r="Q3" s="359" t="s">
        <v>43</v>
      </c>
      <c r="R3" s="360"/>
      <c r="S3" s="360"/>
      <c r="T3" s="360"/>
      <c r="U3" s="360"/>
      <c r="V3" s="360"/>
      <c r="W3" s="360"/>
      <c r="X3" s="360"/>
      <c r="Y3" s="360"/>
      <c r="Z3" s="360"/>
      <c r="AA3" s="360"/>
      <c r="AB3" s="304"/>
      <c r="AC3" s="304"/>
      <c r="AD3" s="304"/>
      <c r="AE3" s="304"/>
      <c r="AF3" s="304"/>
      <c r="AG3" s="304"/>
      <c r="AH3" s="304"/>
    </row>
    <row r="4" spans="1:34" s="330" customFormat="1" ht="42" customHeight="1" x14ac:dyDescent="0.35">
      <c r="A4" s="328" t="s">
        <v>22</v>
      </c>
      <c r="B4" s="364" t="s">
        <v>40</v>
      </c>
      <c r="C4" s="329"/>
      <c r="E4" s="303" t="s">
        <v>180</v>
      </c>
      <c r="F4" s="303" t="s">
        <v>181</v>
      </c>
      <c r="G4" s="71" t="s">
        <v>182</v>
      </c>
      <c r="H4" s="71" t="s">
        <v>34</v>
      </c>
      <c r="I4" s="71" t="s">
        <v>178</v>
      </c>
      <c r="J4" s="71" t="s">
        <v>179</v>
      </c>
      <c r="K4" s="71" t="s">
        <v>103</v>
      </c>
      <c r="L4" s="71" t="s">
        <v>37</v>
      </c>
      <c r="M4" s="71" t="s">
        <v>177</v>
      </c>
      <c r="N4" s="71" t="s">
        <v>44</v>
      </c>
      <c r="O4" s="71" t="s">
        <v>47</v>
      </c>
      <c r="P4" s="331"/>
      <c r="Q4" s="303" t="s">
        <v>180</v>
      </c>
      <c r="R4" s="303" t="s">
        <v>181</v>
      </c>
      <c r="S4" s="71" t="s">
        <v>182</v>
      </c>
      <c r="T4" s="71" t="s">
        <v>34</v>
      </c>
      <c r="U4" s="71" t="s">
        <v>178</v>
      </c>
      <c r="V4" s="71" t="s">
        <v>179</v>
      </c>
      <c r="W4" s="71" t="s">
        <v>103</v>
      </c>
      <c r="X4" s="71" t="s">
        <v>37</v>
      </c>
      <c r="Y4" s="71" t="s">
        <v>177</v>
      </c>
      <c r="Z4" s="71" t="s">
        <v>44</v>
      </c>
      <c r="AA4" s="71" t="s">
        <v>47</v>
      </c>
      <c r="AB4" s="41"/>
      <c r="AC4" s="41"/>
      <c r="AD4" s="41"/>
      <c r="AE4" s="41"/>
      <c r="AF4" s="41"/>
      <c r="AG4" s="41"/>
      <c r="AH4" s="41"/>
    </row>
    <row r="5" spans="1:34" ht="18.75" customHeight="1" x14ac:dyDescent="0.35">
      <c r="A5" s="209" t="s">
        <v>21</v>
      </c>
      <c r="B5" s="365"/>
      <c r="C5" s="58"/>
      <c r="E5" s="185">
        <v>43850</v>
      </c>
      <c r="F5" s="185"/>
      <c r="G5" s="163" t="s">
        <v>184</v>
      </c>
      <c r="H5" s="39">
        <v>631.65</v>
      </c>
      <c r="I5" s="39">
        <v>1.44</v>
      </c>
      <c r="J5" s="192">
        <f t="shared" ref="J5:J36" si="0">H5+I5</f>
        <v>633.09</v>
      </c>
      <c r="K5" s="39"/>
      <c r="L5" s="39" t="s">
        <v>1</v>
      </c>
      <c r="M5" s="39"/>
      <c r="N5" s="39" t="s">
        <v>45</v>
      </c>
      <c r="O5" s="89">
        <v>44022</v>
      </c>
      <c r="P5" s="13"/>
      <c r="Q5" s="185">
        <v>43838</v>
      </c>
      <c r="R5" s="73"/>
      <c r="S5" s="138" t="s">
        <v>226</v>
      </c>
      <c r="T5" s="186">
        <v>533.76</v>
      </c>
      <c r="U5" s="186">
        <v>31.79</v>
      </c>
      <c r="V5" s="186">
        <f t="shared" ref="V5:V36" si="1">T5+U5</f>
        <v>565.54999999999995</v>
      </c>
      <c r="W5" s="186"/>
      <c r="X5" s="138" t="s">
        <v>1</v>
      </c>
      <c r="Y5" s="73"/>
      <c r="Z5" s="138" t="s">
        <v>45</v>
      </c>
      <c r="AA5" s="185">
        <v>43962</v>
      </c>
      <c r="AB5" s="44"/>
      <c r="AC5" s="44"/>
      <c r="AD5" s="44"/>
      <c r="AE5" s="44"/>
      <c r="AF5" s="44"/>
      <c r="AG5" s="148"/>
      <c r="AH5" s="149"/>
    </row>
    <row r="6" spans="1:34" ht="18.75" customHeight="1" x14ac:dyDescent="0.35">
      <c r="A6" s="209" t="s">
        <v>78</v>
      </c>
      <c r="B6" s="365"/>
      <c r="C6" s="58"/>
      <c r="E6" s="185">
        <v>43850</v>
      </c>
      <c r="F6" s="185"/>
      <c r="G6" s="163" t="s">
        <v>185</v>
      </c>
      <c r="H6" s="39">
        <v>152.71</v>
      </c>
      <c r="I6" s="39"/>
      <c r="J6" s="192">
        <f t="shared" si="0"/>
        <v>152.71</v>
      </c>
      <c r="K6" s="39"/>
      <c r="L6" s="39" t="s">
        <v>1</v>
      </c>
      <c r="M6" s="39"/>
      <c r="N6" s="39" t="s">
        <v>45</v>
      </c>
      <c r="O6" s="89">
        <v>44022</v>
      </c>
      <c r="P6" s="13"/>
      <c r="Q6" s="185">
        <v>43857</v>
      </c>
      <c r="R6" s="73"/>
      <c r="S6" s="138" t="s">
        <v>227</v>
      </c>
      <c r="T6" s="39">
        <v>36.71</v>
      </c>
      <c r="U6" s="39"/>
      <c r="V6" s="186">
        <f t="shared" si="1"/>
        <v>36.71</v>
      </c>
      <c r="W6" s="39"/>
      <c r="X6" s="39" t="s">
        <v>1</v>
      </c>
      <c r="Y6" s="73"/>
      <c r="Z6" s="39" t="s">
        <v>45</v>
      </c>
      <c r="AA6" s="89">
        <v>43962</v>
      </c>
      <c r="AB6" s="44"/>
      <c r="AC6" s="44"/>
      <c r="AD6" s="44"/>
      <c r="AE6" s="44"/>
      <c r="AF6" s="44"/>
      <c r="AG6" s="148"/>
      <c r="AH6" s="149"/>
    </row>
    <row r="7" spans="1:34" ht="18.75" customHeight="1" x14ac:dyDescent="0.35">
      <c r="A7" s="209" t="s">
        <v>148</v>
      </c>
      <c r="B7" s="365"/>
      <c r="C7" s="58"/>
      <c r="E7" s="185">
        <v>43858</v>
      </c>
      <c r="F7" s="185"/>
      <c r="G7" s="163" t="s">
        <v>186</v>
      </c>
      <c r="H7" s="39">
        <v>76.39</v>
      </c>
      <c r="I7" s="39"/>
      <c r="J7" s="192">
        <f t="shared" si="0"/>
        <v>76.39</v>
      </c>
      <c r="K7" s="39"/>
      <c r="L7" s="39" t="s">
        <v>1</v>
      </c>
      <c r="M7" s="39"/>
      <c r="N7" s="39" t="s">
        <v>45</v>
      </c>
      <c r="O7" s="89">
        <v>44022</v>
      </c>
      <c r="P7" s="13"/>
      <c r="Q7" s="185">
        <v>43857</v>
      </c>
      <c r="R7" s="73"/>
      <c r="S7" s="138" t="s">
        <v>228</v>
      </c>
      <c r="T7" s="39">
        <v>185.5</v>
      </c>
      <c r="U7" s="39"/>
      <c r="V7" s="186">
        <f t="shared" si="1"/>
        <v>185.5</v>
      </c>
      <c r="W7" s="39"/>
      <c r="X7" s="138" t="s">
        <v>1</v>
      </c>
      <c r="Y7" s="73"/>
      <c r="Z7" s="39" t="s">
        <v>45</v>
      </c>
      <c r="AA7" s="89">
        <v>43962</v>
      </c>
      <c r="AB7" s="44"/>
      <c r="AC7" s="44"/>
      <c r="AD7" s="44"/>
      <c r="AE7" s="44"/>
      <c r="AF7" s="44"/>
      <c r="AG7" s="148"/>
      <c r="AH7" s="149"/>
    </row>
    <row r="8" spans="1:34" ht="18.75" customHeight="1" thickBot="1" x14ac:dyDescent="0.4">
      <c r="A8" s="210" t="s">
        <v>82</v>
      </c>
      <c r="B8" s="366"/>
      <c r="C8" s="58"/>
      <c r="E8" s="185">
        <v>43861</v>
      </c>
      <c r="F8" s="185"/>
      <c r="G8" s="163" t="s">
        <v>187</v>
      </c>
      <c r="H8" s="39">
        <v>1319.8</v>
      </c>
      <c r="I8" s="39"/>
      <c r="J8" s="186">
        <f t="shared" si="0"/>
        <v>1319.8</v>
      </c>
      <c r="K8" s="39"/>
      <c r="L8" s="39" t="s">
        <v>1</v>
      </c>
      <c r="M8" s="39"/>
      <c r="N8" s="39" t="s">
        <v>56</v>
      </c>
      <c r="O8" s="89">
        <v>43861</v>
      </c>
      <c r="P8" s="13"/>
      <c r="Q8" s="134">
        <v>43857</v>
      </c>
      <c r="R8" s="73"/>
      <c r="S8" s="138" t="s">
        <v>229</v>
      </c>
      <c r="T8" s="114">
        <v>-25.42</v>
      </c>
      <c r="U8" s="114"/>
      <c r="V8" s="40">
        <f t="shared" si="1"/>
        <v>-25.42</v>
      </c>
      <c r="W8" s="114"/>
      <c r="X8" s="114" t="s">
        <v>1</v>
      </c>
      <c r="Y8" s="73"/>
      <c r="Z8" s="114" t="s">
        <v>45</v>
      </c>
      <c r="AA8" s="89">
        <v>43962</v>
      </c>
      <c r="AB8" s="44"/>
      <c r="AC8" s="44"/>
      <c r="AD8" s="146"/>
      <c r="AE8" s="44"/>
      <c r="AF8" s="44"/>
      <c r="AG8" s="148"/>
      <c r="AH8" s="148"/>
    </row>
    <row r="9" spans="1:34" ht="18.75" customHeight="1" x14ac:dyDescent="0.35">
      <c r="A9" s="211" t="s">
        <v>18</v>
      </c>
      <c r="B9" s="361" t="s">
        <v>43</v>
      </c>
      <c r="C9" s="58"/>
      <c r="E9" s="134">
        <v>43861</v>
      </c>
      <c r="F9" s="134"/>
      <c r="G9" s="163" t="s">
        <v>188</v>
      </c>
      <c r="H9" s="40">
        <v>145.21</v>
      </c>
      <c r="I9" s="114">
        <v>12.34</v>
      </c>
      <c r="J9" s="40">
        <f t="shared" si="0"/>
        <v>157.55000000000001</v>
      </c>
      <c r="K9" s="114"/>
      <c r="L9" s="114" t="s">
        <v>1</v>
      </c>
      <c r="M9" s="114"/>
      <c r="N9" s="114" t="s">
        <v>45</v>
      </c>
      <c r="O9" s="177">
        <v>44039</v>
      </c>
      <c r="P9" s="13"/>
      <c r="Q9" s="185">
        <v>43858</v>
      </c>
      <c r="R9" s="73"/>
      <c r="S9" s="138" t="s">
        <v>230</v>
      </c>
      <c r="T9" s="186">
        <v>189.46</v>
      </c>
      <c r="U9" s="186">
        <v>16.100000000000001</v>
      </c>
      <c r="V9" s="186">
        <f t="shared" si="1"/>
        <v>205.56</v>
      </c>
      <c r="W9" s="186"/>
      <c r="X9" s="138" t="s">
        <v>1</v>
      </c>
      <c r="Y9" s="73"/>
      <c r="Z9" s="138" t="s">
        <v>45</v>
      </c>
      <c r="AA9" s="185">
        <v>43896</v>
      </c>
      <c r="AB9" s="44"/>
      <c r="AC9" s="44"/>
      <c r="AD9" s="146"/>
      <c r="AE9" s="44"/>
      <c r="AF9" s="44"/>
      <c r="AG9" s="148"/>
      <c r="AH9" s="148"/>
    </row>
    <row r="10" spans="1:34" ht="15" customHeight="1" x14ac:dyDescent="0.35">
      <c r="A10" s="209" t="s">
        <v>19</v>
      </c>
      <c r="B10" s="362"/>
      <c r="C10" s="58"/>
      <c r="E10" s="185">
        <v>43865</v>
      </c>
      <c r="F10" s="185"/>
      <c r="G10" s="163" t="s">
        <v>189</v>
      </c>
      <c r="H10" s="186">
        <v>46.05</v>
      </c>
      <c r="I10" s="186">
        <v>3.91</v>
      </c>
      <c r="J10" s="186">
        <f t="shared" si="0"/>
        <v>49.959999999999994</v>
      </c>
      <c r="K10" s="186"/>
      <c r="L10" s="138" t="s">
        <v>2</v>
      </c>
      <c r="M10" s="138"/>
      <c r="N10" s="138" t="s">
        <v>79</v>
      </c>
      <c r="O10" s="185">
        <v>43865</v>
      </c>
      <c r="P10" s="14"/>
      <c r="Q10" s="185">
        <v>43860</v>
      </c>
      <c r="R10" s="73"/>
      <c r="S10" s="138" t="s">
        <v>231</v>
      </c>
      <c r="T10" s="39">
        <v>13.92</v>
      </c>
      <c r="U10" s="39"/>
      <c r="V10" s="186">
        <f t="shared" si="1"/>
        <v>13.92</v>
      </c>
      <c r="W10" s="39"/>
      <c r="X10" s="138" t="s">
        <v>1</v>
      </c>
      <c r="Y10" s="73"/>
      <c r="Z10" s="39" t="s">
        <v>45</v>
      </c>
      <c r="AA10" s="89">
        <v>43962</v>
      </c>
      <c r="AB10" s="146"/>
      <c r="AC10" s="146"/>
      <c r="AD10" s="146"/>
      <c r="AE10" s="146"/>
      <c r="AF10" s="146"/>
      <c r="AG10" s="146"/>
      <c r="AH10" s="146"/>
    </row>
    <row r="11" spans="1:34" ht="15" customHeight="1" x14ac:dyDescent="0.35">
      <c r="A11" s="212" t="s">
        <v>46</v>
      </c>
      <c r="B11" s="362"/>
      <c r="C11" s="58"/>
      <c r="E11" s="185">
        <v>43865</v>
      </c>
      <c r="F11" s="185"/>
      <c r="G11" s="163" t="s">
        <v>190</v>
      </c>
      <c r="H11" s="39">
        <v>89.89</v>
      </c>
      <c r="I11" s="39"/>
      <c r="J11" s="186">
        <f t="shared" si="0"/>
        <v>89.89</v>
      </c>
      <c r="K11" s="39"/>
      <c r="L11" s="138" t="s">
        <v>2</v>
      </c>
      <c r="M11" s="138"/>
      <c r="N11" s="39" t="s">
        <v>79</v>
      </c>
      <c r="O11" s="89">
        <v>43865</v>
      </c>
      <c r="P11" s="15"/>
      <c r="Q11" s="185">
        <v>43861</v>
      </c>
      <c r="R11" s="73"/>
      <c r="S11" s="138" t="s">
        <v>232</v>
      </c>
      <c r="T11" s="40">
        <v>2098.67</v>
      </c>
      <c r="U11" s="40"/>
      <c r="V11" s="191">
        <f t="shared" si="1"/>
        <v>2098.67</v>
      </c>
      <c r="W11" s="39"/>
      <c r="X11" s="138" t="s">
        <v>1</v>
      </c>
      <c r="Y11" s="73"/>
      <c r="Z11" s="39" t="s">
        <v>45</v>
      </c>
      <c r="AA11" s="89">
        <v>43986</v>
      </c>
      <c r="AB11" s="146"/>
      <c r="AC11" s="151"/>
      <c r="AD11" s="146"/>
      <c r="AE11" s="151"/>
      <c r="AF11" s="150"/>
      <c r="AG11" s="150"/>
      <c r="AH11" s="152"/>
    </row>
    <row r="12" spans="1:34" ht="18.75" customHeight="1" x14ac:dyDescent="0.35">
      <c r="A12" s="209" t="s">
        <v>20</v>
      </c>
      <c r="B12" s="362"/>
      <c r="C12" s="58"/>
      <c r="E12" s="161">
        <v>43878</v>
      </c>
      <c r="F12" s="161"/>
      <c r="G12" s="163" t="s">
        <v>191</v>
      </c>
      <c r="H12" s="167">
        <v>-289.44</v>
      </c>
      <c r="I12" s="167"/>
      <c r="J12" s="162">
        <f t="shared" si="0"/>
        <v>-289.44</v>
      </c>
      <c r="K12" s="167"/>
      <c r="L12" s="95" t="s">
        <v>2</v>
      </c>
      <c r="M12" s="95"/>
      <c r="N12" s="167" t="s">
        <v>93</v>
      </c>
      <c r="O12" s="195">
        <v>44022</v>
      </c>
      <c r="P12" s="15"/>
      <c r="Q12" s="185">
        <v>43865</v>
      </c>
      <c r="R12" s="73"/>
      <c r="S12" s="138" t="s">
        <v>233</v>
      </c>
      <c r="T12" s="186">
        <v>38.630000000000003</v>
      </c>
      <c r="U12" s="186">
        <v>3.28</v>
      </c>
      <c r="V12" s="186">
        <f t="shared" si="1"/>
        <v>41.910000000000004</v>
      </c>
      <c r="W12" s="186"/>
      <c r="X12" s="138" t="s">
        <v>2</v>
      </c>
      <c r="Y12" s="73"/>
      <c r="Z12" s="138" t="s">
        <v>54</v>
      </c>
      <c r="AA12" s="185">
        <v>43962</v>
      </c>
      <c r="AB12" s="44"/>
      <c r="AC12" s="44"/>
      <c r="AD12" s="146"/>
      <c r="AE12" s="44"/>
      <c r="AF12" s="44"/>
      <c r="AG12" s="147"/>
      <c r="AH12" s="153"/>
    </row>
    <row r="13" spans="1:34" ht="18.75" customHeight="1" x14ac:dyDescent="0.35">
      <c r="A13" s="209" t="s">
        <v>17</v>
      </c>
      <c r="B13" s="362"/>
      <c r="C13" s="58"/>
      <c r="E13" s="185">
        <v>43889</v>
      </c>
      <c r="F13" s="185"/>
      <c r="G13" s="163" t="s">
        <v>192</v>
      </c>
      <c r="H13" s="39">
        <v>325.27</v>
      </c>
      <c r="I13" s="39"/>
      <c r="J13" s="191">
        <f t="shared" si="0"/>
        <v>325.27</v>
      </c>
      <c r="K13" s="39"/>
      <c r="L13" s="138" t="s">
        <v>2</v>
      </c>
      <c r="M13" s="138"/>
      <c r="N13" s="39" t="s">
        <v>45</v>
      </c>
      <c r="O13" s="89">
        <v>44022</v>
      </c>
      <c r="P13" s="15"/>
      <c r="Q13" s="185">
        <v>43866</v>
      </c>
      <c r="R13" s="73"/>
      <c r="S13" s="138" t="s">
        <v>234</v>
      </c>
      <c r="T13" s="39">
        <v>103.23</v>
      </c>
      <c r="U13" s="39"/>
      <c r="V13" s="186">
        <f t="shared" si="1"/>
        <v>103.23</v>
      </c>
      <c r="W13" s="39"/>
      <c r="X13" s="39" t="s">
        <v>2</v>
      </c>
      <c r="Y13" s="73"/>
      <c r="Z13" s="39" t="s">
        <v>54</v>
      </c>
      <c r="AA13" s="89">
        <v>43962</v>
      </c>
      <c r="AB13" s="146"/>
      <c r="AC13" s="154"/>
      <c r="AD13" s="146"/>
      <c r="AE13" s="154"/>
      <c r="AF13" s="153"/>
      <c r="AG13" s="150"/>
      <c r="AH13" s="153"/>
    </row>
    <row r="14" spans="1:34" ht="18.75" customHeight="1" x14ac:dyDescent="0.35">
      <c r="A14" s="212" t="s">
        <v>125</v>
      </c>
      <c r="B14" s="362"/>
      <c r="C14" s="58"/>
      <c r="E14" s="185">
        <v>43902</v>
      </c>
      <c r="F14" s="185"/>
      <c r="G14" s="163" t="s">
        <v>193</v>
      </c>
      <c r="H14" s="186">
        <v>20.05</v>
      </c>
      <c r="I14" s="186">
        <v>1.7</v>
      </c>
      <c r="J14" s="186">
        <f t="shared" si="0"/>
        <v>21.75</v>
      </c>
      <c r="K14" s="186"/>
      <c r="L14" s="138" t="s">
        <v>3</v>
      </c>
      <c r="M14" s="138"/>
      <c r="N14" s="138" t="s">
        <v>45</v>
      </c>
      <c r="O14" s="185">
        <v>43902</v>
      </c>
      <c r="P14" s="15"/>
      <c r="Q14" s="185">
        <v>43875</v>
      </c>
      <c r="R14" s="73"/>
      <c r="S14" s="138" t="s">
        <v>235</v>
      </c>
      <c r="T14" s="39">
        <v>9.44</v>
      </c>
      <c r="U14" s="39"/>
      <c r="V14" s="186">
        <f t="shared" si="1"/>
        <v>9.44</v>
      </c>
      <c r="W14" s="39"/>
      <c r="X14" s="39" t="s">
        <v>2</v>
      </c>
      <c r="Y14" s="73"/>
      <c r="Z14" s="39" t="s">
        <v>54</v>
      </c>
      <c r="AA14" s="89">
        <v>43962</v>
      </c>
      <c r="AB14" s="146"/>
      <c r="AC14" s="154"/>
      <c r="AD14" s="146"/>
      <c r="AE14" s="154"/>
      <c r="AF14" s="153"/>
      <c r="AG14" s="150"/>
      <c r="AH14" s="153"/>
    </row>
    <row r="15" spans="1:34" ht="18.75" customHeight="1" thickBot="1" x14ac:dyDescent="0.4">
      <c r="A15" s="210" t="s">
        <v>139</v>
      </c>
      <c r="B15" s="363"/>
      <c r="C15" s="58"/>
      <c r="E15" s="185">
        <v>43902</v>
      </c>
      <c r="F15" s="185"/>
      <c r="G15" s="163" t="s">
        <v>194</v>
      </c>
      <c r="H15" s="39">
        <v>646.65</v>
      </c>
      <c r="I15" s="39"/>
      <c r="J15" s="186">
        <f t="shared" si="0"/>
        <v>646.65</v>
      </c>
      <c r="K15" s="39"/>
      <c r="L15" s="39" t="s">
        <v>3</v>
      </c>
      <c r="M15" s="39"/>
      <c r="N15" s="39" t="s">
        <v>56</v>
      </c>
      <c r="O15" s="89">
        <v>43907</v>
      </c>
      <c r="P15" s="15"/>
      <c r="Q15" s="185">
        <v>43879</v>
      </c>
      <c r="R15" s="73"/>
      <c r="S15" s="138" t="s">
        <v>236</v>
      </c>
      <c r="T15" s="39">
        <v>10.98</v>
      </c>
      <c r="U15" s="39"/>
      <c r="V15" s="186">
        <f t="shared" si="1"/>
        <v>10.98</v>
      </c>
      <c r="W15" s="39"/>
      <c r="X15" s="39" t="s">
        <v>2</v>
      </c>
      <c r="Y15" s="73"/>
      <c r="Z15" s="39" t="s">
        <v>54</v>
      </c>
      <c r="AA15" s="89">
        <v>43962</v>
      </c>
      <c r="AB15" s="154"/>
      <c r="AC15" s="154"/>
      <c r="AD15" s="146"/>
      <c r="AE15" s="154"/>
      <c r="AF15" s="153"/>
      <c r="AG15" s="150"/>
      <c r="AH15" s="153"/>
    </row>
    <row r="16" spans="1:34" ht="15" customHeight="1" x14ac:dyDescent="0.35">
      <c r="A16" s="90"/>
      <c r="B16" s="213"/>
      <c r="C16" s="58"/>
      <c r="E16" s="18">
        <v>43956</v>
      </c>
      <c r="F16" s="18"/>
      <c r="G16" s="163" t="s">
        <v>195</v>
      </c>
      <c r="H16" s="17">
        <v>201.22</v>
      </c>
      <c r="I16" s="17">
        <v>17.100000000000001</v>
      </c>
      <c r="J16" s="17">
        <f t="shared" si="0"/>
        <v>218.32</v>
      </c>
      <c r="K16" s="17"/>
      <c r="L16" s="19" t="s">
        <v>13</v>
      </c>
      <c r="M16" s="19"/>
      <c r="N16" s="19" t="s">
        <v>45</v>
      </c>
      <c r="O16" s="18">
        <v>43956</v>
      </c>
      <c r="P16" s="15"/>
      <c r="Q16" s="134">
        <v>43882</v>
      </c>
      <c r="R16" s="73"/>
      <c r="S16" s="138" t="s">
        <v>237</v>
      </c>
      <c r="T16" s="114">
        <v>477.3</v>
      </c>
      <c r="U16" s="114">
        <v>8.76</v>
      </c>
      <c r="V16" s="40">
        <f t="shared" si="1"/>
        <v>486.06</v>
      </c>
      <c r="W16" s="114"/>
      <c r="X16" s="114" t="s">
        <v>2</v>
      </c>
      <c r="Y16" s="73"/>
      <c r="Z16" s="114" t="s">
        <v>45</v>
      </c>
      <c r="AA16" s="177">
        <v>43882</v>
      </c>
      <c r="AB16" s="146"/>
      <c r="AC16" s="154"/>
      <c r="AD16" s="146"/>
      <c r="AE16" s="154"/>
      <c r="AF16" s="153"/>
      <c r="AG16" s="150"/>
      <c r="AH16" s="153"/>
    </row>
    <row r="17" spans="1:34" ht="15.75" customHeight="1" x14ac:dyDescent="0.35">
      <c r="A17" s="58"/>
      <c r="B17" s="58"/>
      <c r="C17" s="58"/>
      <c r="E17" s="185">
        <v>43962</v>
      </c>
      <c r="F17" s="185"/>
      <c r="G17" s="163" t="s">
        <v>196</v>
      </c>
      <c r="H17" s="186">
        <v>24.78</v>
      </c>
      <c r="I17" s="186"/>
      <c r="J17" s="186">
        <f t="shared" si="0"/>
        <v>24.78</v>
      </c>
      <c r="K17" s="186"/>
      <c r="L17" s="138" t="s">
        <v>13</v>
      </c>
      <c r="M17" s="138"/>
      <c r="N17" s="138" t="s">
        <v>45</v>
      </c>
      <c r="O17" s="185">
        <v>43962</v>
      </c>
      <c r="P17" s="15"/>
      <c r="Q17" s="134">
        <v>43882</v>
      </c>
      <c r="R17" s="73"/>
      <c r="S17" s="138" t="s">
        <v>238</v>
      </c>
      <c r="T17" s="114">
        <v>137.19999999999999</v>
      </c>
      <c r="U17" s="114"/>
      <c r="V17" s="40">
        <f t="shared" si="1"/>
        <v>137.19999999999999</v>
      </c>
      <c r="W17" s="114"/>
      <c r="X17" s="114" t="s">
        <v>2</v>
      </c>
      <c r="Y17" s="73"/>
      <c r="Z17" s="114" t="s">
        <v>45</v>
      </c>
      <c r="AA17" s="177">
        <v>43882</v>
      </c>
      <c r="AB17" s="146"/>
      <c r="AC17" s="154"/>
      <c r="AD17" s="146"/>
      <c r="AE17" s="154"/>
      <c r="AF17" s="153"/>
      <c r="AG17" s="150"/>
      <c r="AH17" s="153"/>
    </row>
    <row r="18" spans="1:34" ht="15" customHeight="1" x14ac:dyDescent="0.35">
      <c r="A18" s="58"/>
      <c r="B18" s="58"/>
      <c r="C18" s="58"/>
      <c r="E18" s="185">
        <v>43965</v>
      </c>
      <c r="F18" s="185"/>
      <c r="G18" s="163" t="s">
        <v>197</v>
      </c>
      <c r="H18" s="186">
        <v>179.78</v>
      </c>
      <c r="I18" s="186"/>
      <c r="J18" s="186">
        <f t="shared" si="0"/>
        <v>179.78</v>
      </c>
      <c r="K18" s="186"/>
      <c r="L18" s="138" t="s">
        <v>13</v>
      </c>
      <c r="M18" s="138"/>
      <c r="N18" s="138" t="s">
        <v>45</v>
      </c>
      <c r="O18" s="185">
        <v>43965</v>
      </c>
      <c r="P18" s="15"/>
      <c r="Q18" s="185">
        <v>43883</v>
      </c>
      <c r="R18" s="73"/>
      <c r="S18" s="138" t="s">
        <v>239</v>
      </c>
      <c r="T18" s="39">
        <v>17.95</v>
      </c>
      <c r="U18" s="39">
        <v>0.65</v>
      </c>
      <c r="V18" s="186">
        <f t="shared" si="1"/>
        <v>18.599999999999998</v>
      </c>
      <c r="W18" s="39"/>
      <c r="X18" s="39" t="s">
        <v>2</v>
      </c>
      <c r="Y18" s="73"/>
      <c r="Z18" s="39" t="s">
        <v>54</v>
      </c>
      <c r="AA18" s="89">
        <v>43962</v>
      </c>
      <c r="AB18" s="146"/>
      <c r="AC18" s="154"/>
      <c r="AD18" s="146"/>
      <c r="AE18" s="154"/>
      <c r="AF18" s="153"/>
      <c r="AG18" s="150"/>
      <c r="AH18" s="153"/>
    </row>
    <row r="19" spans="1:34" ht="15" customHeight="1" x14ac:dyDescent="0.35">
      <c r="A19" s="117"/>
      <c r="B19" s="118" t="s">
        <v>86</v>
      </c>
      <c r="C19" s="58"/>
      <c r="E19" s="185">
        <v>43980</v>
      </c>
      <c r="F19" s="185"/>
      <c r="G19" s="163" t="s">
        <v>198</v>
      </c>
      <c r="H19" s="40">
        <v>0</v>
      </c>
      <c r="I19" s="40"/>
      <c r="J19" s="190">
        <f t="shared" si="0"/>
        <v>0</v>
      </c>
      <c r="K19" s="39"/>
      <c r="L19" s="138" t="s">
        <v>13</v>
      </c>
      <c r="M19" s="138"/>
      <c r="N19" s="39" t="s">
        <v>45</v>
      </c>
      <c r="O19" s="89">
        <v>44085</v>
      </c>
      <c r="P19" s="15"/>
      <c r="Q19" s="185">
        <v>43890</v>
      </c>
      <c r="R19" s="73"/>
      <c r="S19" s="138" t="s">
        <v>240</v>
      </c>
      <c r="T19" s="39">
        <v>547.96</v>
      </c>
      <c r="U19" s="39"/>
      <c r="V19" s="193">
        <f t="shared" si="1"/>
        <v>547.96</v>
      </c>
      <c r="W19" s="39"/>
      <c r="X19" s="39" t="s">
        <v>2</v>
      </c>
      <c r="Y19" s="73"/>
      <c r="Z19" s="39" t="s">
        <v>45</v>
      </c>
      <c r="AA19" s="89">
        <v>44001</v>
      </c>
      <c r="AB19" s="146"/>
      <c r="AC19" s="154"/>
      <c r="AD19" s="146"/>
      <c r="AE19" s="154"/>
      <c r="AF19" s="153"/>
      <c r="AG19" s="150"/>
      <c r="AH19" s="153"/>
    </row>
    <row r="20" spans="1:34" ht="15" customHeight="1" x14ac:dyDescent="0.35">
      <c r="A20" s="116"/>
      <c r="B20" s="118" t="s">
        <v>99</v>
      </c>
      <c r="C20" s="21"/>
      <c r="E20" s="185">
        <v>43980</v>
      </c>
      <c r="F20" s="185"/>
      <c r="G20" s="163" t="s">
        <v>199</v>
      </c>
      <c r="H20" s="40">
        <v>67.319999999999993</v>
      </c>
      <c r="I20" s="40"/>
      <c r="J20" s="190">
        <f t="shared" si="0"/>
        <v>67.319999999999993</v>
      </c>
      <c r="K20" s="39"/>
      <c r="L20" s="138" t="s">
        <v>13</v>
      </c>
      <c r="M20" s="138"/>
      <c r="N20" s="39" t="s">
        <v>45</v>
      </c>
      <c r="O20" s="89">
        <v>44085</v>
      </c>
      <c r="P20" s="15"/>
      <c r="Q20" s="134">
        <v>43894</v>
      </c>
      <c r="R20" s="73"/>
      <c r="S20" s="138" t="s">
        <v>241</v>
      </c>
      <c r="T20" s="114">
        <v>480</v>
      </c>
      <c r="U20" s="114"/>
      <c r="V20" s="194">
        <f t="shared" si="1"/>
        <v>480</v>
      </c>
      <c r="W20" s="114"/>
      <c r="X20" s="114" t="s">
        <v>3</v>
      </c>
      <c r="Y20" s="73"/>
      <c r="Z20" s="114" t="s">
        <v>45</v>
      </c>
      <c r="AA20" s="177">
        <v>44001</v>
      </c>
      <c r="AB20" s="146"/>
      <c r="AC20" s="154"/>
      <c r="AD20" s="146"/>
      <c r="AE20" s="154"/>
      <c r="AF20" s="153"/>
      <c r="AG20" s="150"/>
      <c r="AH20" s="153"/>
    </row>
    <row r="21" spans="1:34" ht="15.75" customHeight="1" x14ac:dyDescent="0.35">
      <c r="A21" s="170" t="s">
        <v>96</v>
      </c>
      <c r="C21" s="21"/>
      <c r="E21" s="18">
        <v>43981</v>
      </c>
      <c r="F21" s="18"/>
      <c r="G21" s="163" t="s">
        <v>200</v>
      </c>
      <c r="H21" s="17">
        <v>531.15</v>
      </c>
      <c r="I21" s="17"/>
      <c r="J21" s="17">
        <f t="shared" si="0"/>
        <v>531.15</v>
      </c>
      <c r="K21" s="17"/>
      <c r="L21" s="17" t="s">
        <v>13</v>
      </c>
      <c r="M21" s="17"/>
      <c r="N21" s="17" t="s">
        <v>45</v>
      </c>
      <c r="O21" s="18">
        <v>44039</v>
      </c>
      <c r="P21" s="15"/>
      <c r="Q21" s="252">
        <v>43894</v>
      </c>
      <c r="R21" s="73"/>
      <c r="S21" s="138" t="s">
        <v>242</v>
      </c>
      <c r="T21" s="253">
        <v>-240</v>
      </c>
      <c r="U21" s="116"/>
      <c r="V21" s="253">
        <f t="shared" si="1"/>
        <v>-240</v>
      </c>
      <c r="W21" s="116"/>
      <c r="X21" s="116" t="s">
        <v>3</v>
      </c>
      <c r="Y21" s="73"/>
      <c r="Z21" s="116" t="s">
        <v>161</v>
      </c>
      <c r="AA21" s="195">
        <v>44018</v>
      </c>
      <c r="AB21" s="146"/>
      <c r="AC21" s="154"/>
      <c r="AD21" s="146"/>
      <c r="AE21" s="154"/>
      <c r="AF21" s="153"/>
      <c r="AG21" s="150"/>
      <c r="AH21" s="153"/>
    </row>
    <row r="22" spans="1:34" ht="15" customHeight="1" x14ac:dyDescent="0.35">
      <c r="A22" s="113"/>
      <c r="B22" s="113"/>
      <c r="C22" s="113"/>
      <c r="E22" s="185">
        <v>43991</v>
      </c>
      <c r="F22" s="185"/>
      <c r="G22" s="163" t="s">
        <v>201</v>
      </c>
      <c r="H22" s="40">
        <v>2807.25</v>
      </c>
      <c r="I22" s="40"/>
      <c r="J22" s="186">
        <f t="shared" si="0"/>
        <v>2807.25</v>
      </c>
      <c r="K22" s="39"/>
      <c r="L22" s="138" t="s">
        <v>6</v>
      </c>
      <c r="M22" s="138"/>
      <c r="N22" s="39" t="s">
        <v>56</v>
      </c>
      <c r="O22" s="89">
        <v>43988</v>
      </c>
      <c r="P22" s="15"/>
      <c r="Q22" s="134">
        <v>43894</v>
      </c>
      <c r="R22" s="73"/>
      <c r="S22" s="138" t="s">
        <v>243</v>
      </c>
      <c r="T22" s="114">
        <v>36</v>
      </c>
      <c r="U22" s="114"/>
      <c r="V22" s="40">
        <f t="shared" si="1"/>
        <v>36</v>
      </c>
      <c r="W22" s="114"/>
      <c r="X22" s="114" t="s">
        <v>3</v>
      </c>
      <c r="Y22" s="73"/>
      <c r="Z22" s="114" t="s">
        <v>45</v>
      </c>
      <c r="AA22" s="177">
        <v>43894</v>
      </c>
      <c r="AB22" s="146"/>
      <c r="AC22" s="154"/>
      <c r="AD22" s="146"/>
      <c r="AE22" s="154"/>
      <c r="AF22" s="153"/>
      <c r="AG22" s="150"/>
      <c r="AH22" s="153"/>
    </row>
    <row r="23" spans="1:34" ht="15" customHeight="1" x14ac:dyDescent="0.35">
      <c r="A23" s="21"/>
      <c r="B23" s="21"/>
      <c r="C23" s="113"/>
      <c r="E23" s="185">
        <v>43998</v>
      </c>
      <c r="F23" s="185"/>
      <c r="G23" s="163" t="s">
        <v>202</v>
      </c>
      <c r="H23" s="40">
        <v>728.55</v>
      </c>
      <c r="I23" s="40"/>
      <c r="J23" s="186">
        <f t="shared" si="0"/>
        <v>728.55</v>
      </c>
      <c r="K23" s="39"/>
      <c r="L23" s="138" t="s">
        <v>6</v>
      </c>
      <c r="M23" s="138"/>
      <c r="N23" s="39" t="s">
        <v>45</v>
      </c>
      <c r="O23" s="89">
        <v>44039</v>
      </c>
      <c r="P23" s="15"/>
      <c r="Q23" s="134">
        <v>43899</v>
      </c>
      <c r="R23" s="73"/>
      <c r="S23" s="138" t="s">
        <v>244</v>
      </c>
      <c r="T23" s="114">
        <v>320.27</v>
      </c>
      <c r="U23" s="114"/>
      <c r="V23" s="194">
        <f t="shared" si="1"/>
        <v>320.27</v>
      </c>
      <c r="W23" s="114"/>
      <c r="X23" s="114" t="s">
        <v>3</v>
      </c>
      <c r="Y23" s="73"/>
      <c r="Z23" s="114" t="s">
        <v>45</v>
      </c>
      <c r="AA23" s="177">
        <v>44001</v>
      </c>
      <c r="AB23" s="146"/>
      <c r="AC23" s="154"/>
      <c r="AD23" s="146"/>
      <c r="AE23" s="154"/>
      <c r="AF23" s="153"/>
      <c r="AG23" s="150"/>
      <c r="AH23" s="153"/>
    </row>
    <row r="24" spans="1:34" ht="15" customHeight="1" x14ac:dyDescent="0.35">
      <c r="A24" s="24"/>
      <c r="B24" s="22"/>
      <c r="C24" s="21"/>
      <c r="E24" s="134">
        <v>43998</v>
      </c>
      <c r="F24" s="134"/>
      <c r="G24" s="163" t="s">
        <v>203</v>
      </c>
      <c r="H24" s="115">
        <v>364.27</v>
      </c>
      <c r="I24" s="115"/>
      <c r="J24" s="40">
        <f t="shared" si="0"/>
        <v>364.27</v>
      </c>
      <c r="K24" s="115"/>
      <c r="L24" s="114" t="s">
        <v>6</v>
      </c>
      <c r="M24" s="114"/>
      <c r="N24" s="114" t="s">
        <v>45</v>
      </c>
      <c r="O24" s="177">
        <v>44039</v>
      </c>
      <c r="P24" s="15"/>
      <c r="Q24" s="185">
        <v>43901</v>
      </c>
      <c r="R24" s="73"/>
      <c r="S24" s="138" t="s">
        <v>245</v>
      </c>
      <c r="T24" s="186">
        <v>229.7</v>
      </c>
      <c r="U24" s="40">
        <v>19.52</v>
      </c>
      <c r="V24" s="186">
        <f t="shared" si="1"/>
        <v>249.22</v>
      </c>
      <c r="W24" s="40"/>
      <c r="X24" s="138" t="s">
        <v>3</v>
      </c>
      <c r="Y24" s="73"/>
      <c r="Z24" s="138" t="s">
        <v>45</v>
      </c>
      <c r="AA24" s="185">
        <v>43998</v>
      </c>
      <c r="AB24" s="146"/>
      <c r="AC24" s="154"/>
      <c r="AD24" s="146"/>
      <c r="AE24" s="154"/>
      <c r="AF24" s="153"/>
      <c r="AG24" s="150"/>
      <c r="AH24" s="153"/>
    </row>
    <row r="25" spans="1:34" ht="15" customHeight="1" x14ac:dyDescent="0.35">
      <c r="A25" s="24"/>
      <c r="B25" s="22"/>
      <c r="C25" s="43"/>
      <c r="E25" s="134">
        <v>43998</v>
      </c>
      <c r="F25" s="134"/>
      <c r="G25" s="163" t="s">
        <v>204</v>
      </c>
      <c r="H25" s="136">
        <v>153.81</v>
      </c>
      <c r="I25" s="136">
        <v>13.07</v>
      </c>
      <c r="J25" s="40">
        <f t="shared" si="0"/>
        <v>166.88</v>
      </c>
      <c r="K25" s="136"/>
      <c r="L25" s="135" t="s">
        <v>6</v>
      </c>
      <c r="M25" s="135"/>
      <c r="N25" s="114" t="s">
        <v>45</v>
      </c>
      <c r="O25" s="177">
        <v>44039</v>
      </c>
      <c r="P25" s="15"/>
      <c r="Q25" s="185">
        <v>43901</v>
      </c>
      <c r="R25" s="73"/>
      <c r="S25" s="138" t="s">
        <v>246</v>
      </c>
      <c r="T25" s="39">
        <v>51.29</v>
      </c>
      <c r="U25" s="39">
        <v>2.17</v>
      </c>
      <c r="V25" s="186">
        <f t="shared" si="1"/>
        <v>53.46</v>
      </c>
      <c r="W25" s="39"/>
      <c r="X25" s="138" t="s">
        <v>3</v>
      </c>
      <c r="Y25" s="73"/>
      <c r="Z25" s="39" t="s">
        <v>45</v>
      </c>
      <c r="AA25" s="89">
        <v>43962</v>
      </c>
      <c r="AB25" s="146"/>
      <c r="AC25" s="154"/>
      <c r="AD25" s="146"/>
      <c r="AE25" s="154"/>
      <c r="AF25" s="153"/>
      <c r="AG25" s="150"/>
      <c r="AH25" s="153"/>
    </row>
    <row r="26" spans="1:34" ht="15" customHeight="1" x14ac:dyDescent="0.35">
      <c r="A26" s="24"/>
      <c r="B26" s="22"/>
      <c r="C26" s="43"/>
      <c r="E26" s="185">
        <v>43998</v>
      </c>
      <c r="F26" s="185"/>
      <c r="G26" s="163" t="s">
        <v>205</v>
      </c>
      <c r="H26" s="40">
        <v>46.05</v>
      </c>
      <c r="I26" s="114">
        <v>3.91</v>
      </c>
      <c r="J26" s="186">
        <f t="shared" si="0"/>
        <v>49.959999999999994</v>
      </c>
      <c r="K26" s="39"/>
      <c r="L26" s="39" t="s">
        <v>6</v>
      </c>
      <c r="M26" s="39"/>
      <c r="N26" s="39" t="s">
        <v>56</v>
      </c>
      <c r="O26" s="89">
        <v>43998</v>
      </c>
      <c r="P26" s="15"/>
      <c r="Q26" s="185">
        <v>43902</v>
      </c>
      <c r="R26" s="73"/>
      <c r="S26" s="138" t="s">
        <v>247</v>
      </c>
      <c r="T26" s="186">
        <v>42.32</v>
      </c>
      <c r="U26" s="186"/>
      <c r="V26" s="186">
        <f t="shared" si="1"/>
        <v>42.32</v>
      </c>
      <c r="W26" s="186"/>
      <c r="X26" s="138" t="s">
        <v>3</v>
      </c>
      <c r="Y26" s="73"/>
      <c r="Z26" s="138" t="s">
        <v>45</v>
      </c>
      <c r="AA26" s="185">
        <v>43998</v>
      </c>
      <c r="AB26" s="146"/>
      <c r="AC26" s="154"/>
      <c r="AD26" s="146"/>
      <c r="AE26" s="154"/>
      <c r="AF26" s="153"/>
      <c r="AG26" s="150"/>
      <c r="AH26" s="153"/>
    </row>
    <row r="27" spans="1:34" ht="15" customHeight="1" x14ac:dyDescent="0.35">
      <c r="A27" s="24"/>
      <c r="C27" s="43"/>
      <c r="E27" s="134">
        <v>43998</v>
      </c>
      <c r="F27" s="134"/>
      <c r="G27" s="163" t="s">
        <v>206</v>
      </c>
      <c r="H27" s="136">
        <v>47.1</v>
      </c>
      <c r="I27" s="136"/>
      <c r="J27" s="40">
        <f t="shared" si="0"/>
        <v>47.1</v>
      </c>
      <c r="K27" s="136"/>
      <c r="L27" s="135" t="s">
        <v>6</v>
      </c>
      <c r="M27" s="135"/>
      <c r="N27" s="114" t="s">
        <v>56</v>
      </c>
      <c r="O27" s="137">
        <v>43998</v>
      </c>
      <c r="P27" s="15"/>
      <c r="Q27" s="134">
        <v>43903</v>
      </c>
      <c r="R27" s="73"/>
      <c r="S27" s="138" t="s">
        <v>248</v>
      </c>
      <c r="T27" s="114">
        <v>1277.52</v>
      </c>
      <c r="U27" s="114"/>
      <c r="V27" s="194">
        <f t="shared" si="1"/>
        <v>1277.52</v>
      </c>
      <c r="W27" s="114"/>
      <c r="X27" s="114" t="s">
        <v>3</v>
      </c>
      <c r="Y27" s="73"/>
      <c r="Z27" s="114" t="s">
        <v>45</v>
      </c>
      <c r="AA27" s="177">
        <v>44001</v>
      </c>
      <c r="AB27" s="146"/>
      <c r="AC27" s="154"/>
      <c r="AD27" s="146"/>
      <c r="AE27" s="154"/>
      <c r="AF27" s="153"/>
      <c r="AG27" s="150"/>
      <c r="AH27" s="153"/>
    </row>
    <row r="28" spans="1:34" ht="15" customHeight="1" x14ac:dyDescent="0.35">
      <c r="A28" s="24"/>
      <c r="C28" s="43"/>
      <c r="E28" s="18">
        <v>44000</v>
      </c>
      <c r="F28" s="18"/>
      <c r="G28" s="163" t="s">
        <v>207</v>
      </c>
      <c r="H28" s="39">
        <v>1285.44</v>
      </c>
      <c r="I28" s="39"/>
      <c r="J28" s="254">
        <f t="shared" si="0"/>
        <v>1285.44</v>
      </c>
      <c r="K28" s="39"/>
      <c r="L28" s="39" t="s">
        <v>6</v>
      </c>
      <c r="M28" s="39"/>
      <c r="N28" s="39" t="s">
        <v>45</v>
      </c>
      <c r="O28" s="89">
        <v>44110</v>
      </c>
      <c r="P28" s="15"/>
      <c r="Q28" s="134">
        <v>43903</v>
      </c>
      <c r="R28" s="73"/>
      <c r="S28" s="138" t="s">
        <v>249</v>
      </c>
      <c r="T28" s="114">
        <v>10</v>
      </c>
      <c r="U28" s="114">
        <v>0.85</v>
      </c>
      <c r="V28" s="40">
        <f t="shared" si="1"/>
        <v>10.85</v>
      </c>
      <c r="W28" s="114"/>
      <c r="X28" s="114" t="s">
        <v>3</v>
      </c>
      <c r="Y28" s="73"/>
      <c r="Z28" s="114" t="s">
        <v>45</v>
      </c>
      <c r="AA28" s="177">
        <v>43991</v>
      </c>
      <c r="AB28" s="146"/>
      <c r="AC28" s="154"/>
      <c r="AD28" s="146"/>
      <c r="AE28" s="154"/>
      <c r="AF28" s="153"/>
      <c r="AG28" s="150"/>
      <c r="AH28" s="153"/>
    </row>
    <row r="29" spans="1:34" ht="15" customHeight="1" x14ac:dyDescent="0.35">
      <c r="A29" s="24"/>
      <c r="C29" s="44"/>
      <c r="E29" s="134">
        <v>44020</v>
      </c>
      <c r="F29" s="134"/>
      <c r="G29" s="163" t="s">
        <v>208</v>
      </c>
      <c r="H29" s="40">
        <v>1044.5999999999999</v>
      </c>
      <c r="I29" s="115"/>
      <c r="J29" s="40">
        <f t="shared" si="0"/>
        <v>1044.5999999999999</v>
      </c>
      <c r="K29" s="115"/>
      <c r="L29" s="114" t="s">
        <v>7</v>
      </c>
      <c r="M29" s="114"/>
      <c r="N29" s="114" t="s">
        <v>138</v>
      </c>
      <c r="O29" s="177">
        <v>44025</v>
      </c>
      <c r="P29" s="15"/>
      <c r="Q29" s="185">
        <v>43903</v>
      </c>
      <c r="R29" s="73"/>
      <c r="S29" s="138" t="s">
        <v>250</v>
      </c>
      <c r="T29" s="40">
        <v>95.29</v>
      </c>
      <c r="U29" s="40"/>
      <c r="V29" s="186">
        <f t="shared" si="1"/>
        <v>95.29</v>
      </c>
      <c r="W29" s="39"/>
      <c r="X29" s="138" t="s">
        <v>3</v>
      </c>
      <c r="Y29" s="73"/>
      <c r="Z29" s="39" t="s">
        <v>45</v>
      </c>
      <c r="AA29" s="89">
        <v>43962</v>
      </c>
      <c r="AB29" s="146"/>
      <c r="AC29" s="154"/>
      <c r="AD29" s="146"/>
      <c r="AE29" s="154"/>
      <c r="AF29" s="153"/>
      <c r="AG29" s="150"/>
      <c r="AH29" s="153"/>
    </row>
    <row r="30" spans="1:34" ht="15" customHeight="1" x14ac:dyDescent="0.35">
      <c r="A30" s="24"/>
      <c r="C30" s="44"/>
      <c r="E30" s="134">
        <v>44039</v>
      </c>
      <c r="F30" s="134"/>
      <c r="G30" s="163" t="s">
        <v>209</v>
      </c>
      <c r="H30" s="115">
        <v>474.59</v>
      </c>
      <c r="I30" s="115"/>
      <c r="J30" s="40">
        <f t="shared" si="0"/>
        <v>474.59</v>
      </c>
      <c r="K30" s="115"/>
      <c r="L30" s="114" t="s">
        <v>7</v>
      </c>
      <c r="M30" s="114"/>
      <c r="N30" s="114"/>
      <c r="O30" s="114"/>
      <c r="P30" s="15"/>
      <c r="Q30" s="185">
        <v>43906</v>
      </c>
      <c r="R30" s="73"/>
      <c r="S30" s="138" t="s">
        <v>251</v>
      </c>
      <c r="T30" s="40">
        <v>-67.89</v>
      </c>
      <c r="U30" s="40"/>
      <c r="V30" s="186">
        <f t="shared" si="1"/>
        <v>-67.89</v>
      </c>
      <c r="W30" s="39"/>
      <c r="X30" s="138" t="s">
        <v>3</v>
      </c>
      <c r="Y30" s="73"/>
      <c r="Z30" s="39" t="s">
        <v>45</v>
      </c>
      <c r="AA30" s="89">
        <v>43962</v>
      </c>
      <c r="AB30" s="146"/>
      <c r="AC30" s="154"/>
      <c r="AD30" s="146"/>
      <c r="AE30" s="154"/>
      <c r="AF30" s="153"/>
      <c r="AG30" s="150"/>
      <c r="AH30" s="153"/>
    </row>
    <row r="31" spans="1:34" ht="15" customHeight="1" x14ac:dyDescent="0.35">
      <c r="A31" s="24"/>
      <c r="E31" s="134">
        <v>44041</v>
      </c>
      <c r="F31" s="134"/>
      <c r="G31" s="163" t="s">
        <v>210</v>
      </c>
      <c r="H31" s="136">
        <v>179.78</v>
      </c>
      <c r="I31" s="136"/>
      <c r="J31" s="40">
        <f t="shared" si="0"/>
        <v>179.78</v>
      </c>
      <c r="K31" s="136"/>
      <c r="L31" s="135" t="s">
        <v>7</v>
      </c>
      <c r="M31" s="135"/>
      <c r="N31" s="114" t="s">
        <v>45</v>
      </c>
      <c r="O31" s="137">
        <v>44041</v>
      </c>
      <c r="P31" s="15"/>
      <c r="Q31" s="185">
        <v>43906</v>
      </c>
      <c r="R31" s="73"/>
      <c r="S31" s="138" t="s">
        <v>252</v>
      </c>
      <c r="T31" s="40">
        <v>121.1</v>
      </c>
      <c r="U31" s="40">
        <v>1.37</v>
      </c>
      <c r="V31" s="186">
        <f t="shared" si="1"/>
        <v>122.47</v>
      </c>
      <c r="W31" s="39"/>
      <c r="X31" s="138" t="s">
        <v>3</v>
      </c>
      <c r="Y31" s="73"/>
      <c r="Z31" s="39" t="s">
        <v>45</v>
      </c>
      <c r="AA31" s="89">
        <v>43962</v>
      </c>
      <c r="AB31" s="146"/>
      <c r="AC31" s="154"/>
      <c r="AD31" s="146"/>
      <c r="AE31" s="154"/>
      <c r="AF31" s="153"/>
      <c r="AG31" s="150"/>
      <c r="AH31" s="153"/>
    </row>
    <row r="32" spans="1:34" ht="15" customHeight="1" x14ac:dyDescent="0.35">
      <c r="A32" s="24"/>
      <c r="E32" s="134">
        <v>44043</v>
      </c>
      <c r="F32" s="134"/>
      <c r="G32" s="163" t="s">
        <v>211</v>
      </c>
      <c r="H32" s="136">
        <v>108.43</v>
      </c>
      <c r="I32" s="136"/>
      <c r="J32" s="194">
        <f t="shared" si="0"/>
        <v>108.43</v>
      </c>
      <c r="K32" s="136"/>
      <c r="L32" s="135" t="s">
        <v>7</v>
      </c>
      <c r="M32" s="135"/>
      <c r="N32" s="114" t="s">
        <v>45</v>
      </c>
      <c r="O32" s="137">
        <v>44110</v>
      </c>
      <c r="P32" s="15"/>
      <c r="Q32" s="134">
        <v>43942</v>
      </c>
      <c r="R32" s="73"/>
      <c r="S32" s="138" t="s">
        <v>253</v>
      </c>
      <c r="T32" s="114">
        <v>6.85</v>
      </c>
      <c r="U32" s="114"/>
      <c r="V32" s="40">
        <f t="shared" si="1"/>
        <v>6.85</v>
      </c>
      <c r="W32" s="114"/>
      <c r="X32" s="114" t="s">
        <v>4</v>
      </c>
      <c r="Y32" s="73"/>
      <c r="Z32" s="114" t="s">
        <v>45</v>
      </c>
      <c r="AA32" s="177">
        <v>43991</v>
      </c>
      <c r="AB32" s="146"/>
      <c r="AC32" s="154"/>
      <c r="AD32" s="146"/>
      <c r="AE32" s="154"/>
      <c r="AF32" s="153"/>
      <c r="AG32" s="150"/>
      <c r="AH32" s="153"/>
    </row>
    <row r="33" spans="1:34" ht="15" customHeight="1" x14ac:dyDescent="0.35">
      <c r="A33" s="24"/>
      <c r="E33" s="134">
        <v>44047</v>
      </c>
      <c r="F33" s="134"/>
      <c r="G33" s="163" t="s">
        <v>212</v>
      </c>
      <c r="H33" s="136">
        <v>115.06</v>
      </c>
      <c r="I33" s="136"/>
      <c r="J33" s="40">
        <f t="shared" si="0"/>
        <v>115.06</v>
      </c>
      <c r="K33" s="136"/>
      <c r="L33" s="135" t="s">
        <v>8</v>
      </c>
      <c r="M33" s="135"/>
      <c r="N33" s="114" t="s">
        <v>45</v>
      </c>
      <c r="O33" s="137">
        <v>44047</v>
      </c>
      <c r="P33" s="15"/>
      <c r="Q33" s="185">
        <v>43962</v>
      </c>
      <c r="R33" s="73"/>
      <c r="S33" s="138" t="s">
        <v>254</v>
      </c>
      <c r="T33" s="40">
        <v>49.9</v>
      </c>
      <c r="U33" s="40"/>
      <c r="V33" s="186">
        <f t="shared" si="1"/>
        <v>49.9</v>
      </c>
      <c r="W33" s="39"/>
      <c r="X33" s="186" t="s">
        <v>13</v>
      </c>
      <c r="Y33" s="73"/>
      <c r="Z33" s="39" t="s">
        <v>45</v>
      </c>
      <c r="AA33" s="89">
        <v>44051</v>
      </c>
      <c r="AB33" s="146"/>
      <c r="AC33" s="154"/>
      <c r="AD33" s="146"/>
      <c r="AE33" s="154"/>
      <c r="AF33" s="153"/>
      <c r="AG33" s="150"/>
      <c r="AH33" s="153"/>
    </row>
    <row r="34" spans="1:34" ht="29" x14ac:dyDescent="0.35">
      <c r="A34" s="24"/>
      <c r="E34" s="134">
        <v>44054</v>
      </c>
      <c r="F34" s="134"/>
      <c r="G34" s="163" t="s">
        <v>213</v>
      </c>
      <c r="H34" s="136">
        <v>1515.45</v>
      </c>
      <c r="I34" s="136"/>
      <c r="J34" s="40">
        <f t="shared" si="0"/>
        <v>1515.45</v>
      </c>
      <c r="K34" s="136"/>
      <c r="L34" s="135" t="s">
        <v>8</v>
      </c>
      <c r="M34" s="135"/>
      <c r="N34" s="114" t="s">
        <v>56</v>
      </c>
      <c r="O34" s="137">
        <v>44055</v>
      </c>
      <c r="P34" s="15"/>
      <c r="Q34" s="158">
        <v>43963</v>
      </c>
      <c r="R34" s="73"/>
      <c r="S34" s="138" t="s">
        <v>255</v>
      </c>
      <c r="T34" s="160">
        <v>425.06</v>
      </c>
      <c r="U34" s="160"/>
      <c r="V34" s="160">
        <f t="shared" si="1"/>
        <v>425.06</v>
      </c>
      <c r="W34" s="160"/>
      <c r="X34" s="159" t="s">
        <v>13</v>
      </c>
      <c r="Y34" s="73"/>
      <c r="Z34" s="159"/>
      <c r="AA34" s="339" t="s">
        <v>149</v>
      </c>
      <c r="AB34" s="146"/>
      <c r="AC34" s="154"/>
      <c r="AD34" s="146"/>
      <c r="AE34" s="154"/>
      <c r="AF34" s="153"/>
      <c r="AG34" s="150"/>
      <c r="AH34" s="153"/>
    </row>
    <row r="35" spans="1:34" ht="15" customHeight="1" x14ac:dyDescent="0.35">
      <c r="A35" s="24"/>
      <c r="E35" s="134">
        <v>44064</v>
      </c>
      <c r="F35" s="134"/>
      <c r="G35" s="163" t="s">
        <v>214</v>
      </c>
      <c r="H35" s="136">
        <v>383.18</v>
      </c>
      <c r="I35" s="136"/>
      <c r="J35" s="301">
        <f t="shared" si="0"/>
        <v>383.18</v>
      </c>
      <c r="K35" s="136"/>
      <c r="L35" s="135" t="s">
        <v>8</v>
      </c>
      <c r="M35" s="135"/>
      <c r="N35" s="114"/>
      <c r="O35" s="135"/>
      <c r="P35" s="15"/>
      <c r="Q35" s="185">
        <v>43964</v>
      </c>
      <c r="R35" s="73"/>
      <c r="S35" s="138" t="s">
        <v>256</v>
      </c>
      <c r="T35" s="186">
        <v>167.04</v>
      </c>
      <c r="U35" s="186"/>
      <c r="V35" s="251">
        <f t="shared" si="1"/>
        <v>167.04</v>
      </c>
      <c r="W35" s="186"/>
      <c r="X35" s="138" t="s">
        <v>13</v>
      </c>
      <c r="Y35" s="73"/>
      <c r="Z35" s="138" t="s">
        <v>45</v>
      </c>
      <c r="AA35" s="185">
        <v>44018</v>
      </c>
      <c r="AB35" s="146"/>
      <c r="AC35" s="154"/>
      <c r="AD35" s="146"/>
      <c r="AE35" s="154"/>
      <c r="AF35" s="153"/>
      <c r="AG35" s="150"/>
      <c r="AH35" s="153"/>
    </row>
    <row r="36" spans="1:34" ht="15" customHeight="1" x14ac:dyDescent="0.35">
      <c r="A36" s="24"/>
      <c r="E36" s="134">
        <v>44073</v>
      </c>
      <c r="F36" s="134"/>
      <c r="G36" s="163" t="s">
        <v>215</v>
      </c>
      <c r="H36" s="136">
        <v>28.71</v>
      </c>
      <c r="I36" s="136"/>
      <c r="J36" s="301">
        <f t="shared" si="0"/>
        <v>28.71</v>
      </c>
      <c r="K36" s="136"/>
      <c r="L36" s="135" t="s">
        <v>8</v>
      </c>
      <c r="M36" s="135"/>
      <c r="N36" s="114"/>
      <c r="O36" s="135"/>
      <c r="P36" s="15"/>
      <c r="Q36" s="134">
        <v>43964</v>
      </c>
      <c r="R36" s="73"/>
      <c r="S36" s="138" t="s">
        <v>257</v>
      </c>
      <c r="T36" s="114">
        <v>104.4</v>
      </c>
      <c r="U36" s="114"/>
      <c r="V36" s="251">
        <f t="shared" si="1"/>
        <v>104.4</v>
      </c>
      <c r="W36" s="114"/>
      <c r="X36" s="114" t="s">
        <v>13</v>
      </c>
      <c r="Y36" s="73"/>
      <c r="Z36" s="114" t="s">
        <v>45</v>
      </c>
      <c r="AA36" s="177">
        <v>44018</v>
      </c>
      <c r="AB36" s="146"/>
      <c r="AC36" s="154"/>
      <c r="AD36" s="146"/>
      <c r="AE36" s="154"/>
      <c r="AF36" s="153"/>
      <c r="AG36" s="150"/>
      <c r="AH36" s="153"/>
    </row>
    <row r="37" spans="1:34" ht="15" customHeight="1" x14ac:dyDescent="0.35">
      <c r="A37" s="24"/>
      <c r="E37" s="134">
        <v>44074</v>
      </c>
      <c r="F37" s="134"/>
      <c r="G37" s="163" t="s">
        <v>216</v>
      </c>
      <c r="H37" s="136">
        <v>237.15</v>
      </c>
      <c r="I37" s="136"/>
      <c r="J37" s="40">
        <f t="shared" ref="J37:J68" si="2">H37+I37</f>
        <v>237.15</v>
      </c>
      <c r="K37" s="136"/>
      <c r="L37" s="135" t="s">
        <v>8</v>
      </c>
      <c r="M37" s="135"/>
      <c r="N37" s="114"/>
      <c r="O37" s="135"/>
      <c r="P37" s="15"/>
      <c r="Q37" s="134">
        <v>43971</v>
      </c>
      <c r="R37" s="73"/>
      <c r="S37" s="138" t="s">
        <v>258</v>
      </c>
      <c r="T37" s="40">
        <v>139.78</v>
      </c>
      <c r="U37" s="40"/>
      <c r="V37" s="251">
        <f t="shared" ref="V37:V68" si="3">T37+U37</f>
        <v>139.78</v>
      </c>
      <c r="W37" s="40"/>
      <c r="X37" s="72" t="s">
        <v>13</v>
      </c>
      <c r="Y37" s="73"/>
      <c r="Z37" s="72" t="s">
        <v>45</v>
      </c>
      <c r="AA37" s="134">
        <v>44018</v>
      </c>
      <c r="AB37" s="146"/>
      <c r="AC37" s="154"/>
      <c r="AD37" s="146"/>
      <c r="AE37" s="154"/>
      <c r="AF37" s="153"/>
      <c r="AG37" s="150"/>
      <c r="AH37" s="153"/>
    </row>
    <row r="38" spans="1:34" ht="14.25" customHeight="1" x14ac:dyDescent="0.35">
      <c r="A38" s="24"/>
      <c r="E38" s="134">
        <v>44077</v>
      </c>
      <c r="F38" s="134"/>
      <c r="G38" s="163" t="s">
        <v>217</v>
      </c>
      <c r="H38" s="136">
        <v>21.7</v>
      </c>
      <c r="I38" s="136">
        <v>1.84</v>
      </c>
      <c r="J38" s="40">
        <f t="shared" si="2"/>
        <v>23.54</v>
      </c>
      <c r="K38" s="136"/>
      <c r="L38" s="135" t="s">
        <v>9</v>
      </c>
      <c r="M38" s="135"/>
      <c r="N38" s="114" t="s">
        <v>45</v>
      </c>
      <c r="O38" s="137">
        <v>44077</v>
      </c>
      <c r="P38" s="15"/>
      <c r="Q38" s="185">
        <v>43976</v>
      </c>
      <c r="R38" s="73"/>
      <c r="S38" s="138" t="s">
        <v>259</v>
      </c>
      <c r="T38" s="40">
        <v>39.909999999999997</v>
      </c>
      <c r="U38" s="114">
        <v>3.39</v>
      </c>
      <c r="V38" s="186">
        <f t="shared" si="3"/>
        <v>43.3</v>
      </c>
      <c r="W38" s="39"/>
      <c r="X38" s="39" t="s">
        <v>13</v>
      </c>
      <c r="Y38" s="73"/>
      <c r="Z38" s="39" t="s">
        <v>45</v>
      </c>
      <c r="AA38" s="89">
        <v>44051</v>
      </c>
      <c r="AB38" s="146"/>
      <c r="AC38" s="154"/>
      <c r="AD38" s="146"/>
      <c r="AE38" s="154"/>
      <c r="AF38" s="153"/>
      <c r="AG38" s="150"/>
      <c r="AH38" s="153"/>
    </row>
    <row r="39" spans="1:34" ht="14.25" customHeight="1" x14ac:dyDescent="0.35">
      <c r="A39" s="24"/>
      <c r="E39" s="134">
        <v>44076</v>
      </c>
      <c r="F39" s="134"/>
      <c r="G39" s="163" t="s">
        <v>218</v>
      </c>
      <c r="H39" s="136">
        <v>157.93</v>
      </c>
      <c r="I39" s="136"/>
      <c r="J39" s="40">
        <f t="shared" si="2"/>
        <v>157.93</v>
      </c>
      <c r="K39" s="136"/>
      <c r="L39" s="135" t="s">
        <v>9</v>
      </c>
      <c r="M39" s="135"/>
      <c r="N39" s="114"/>
      <c r="O39" s="135"/>
      <c r="P39" s="15"/>
      <c r="Q39" s="134">
        <v>43980</v>
      </c>
      <c r="R39" s="73"/>
      <c r="S39" s="138" t="s">
        <v>260</v>
      </c>
      <c r="T39" s="114">
        <v>15</v>
      </c>
      <c r="U39" s="114"/>
      <c r="V39" s="40">
        <f t="shared" si="3"/>
        <v>15</v>
      </c>
      <c r="W39" s="114"/>
      <c r="X39" s="114" t="s">
        <v>13</v>
      </c>
      <c r="Y39" s="73"/>
      <c r="Z39" s="114" t="s">
        <v>79</v>
      </c>
      <c r="AA39" s="177">
        <v>43980</v>
      </c>
      <c r="AB39" s="146"/>
      <c r="AC39" s="154"/>
      <c r="AD39" s="146"/>
      <c r="AE39" s="154"/>
      <c r="AF39" s="153"/>
      <c r="AG39" s="150"/>
      <c r="AH39" s="153"/>
    </row>
    <row r="40" spans="1:34" ht="14.25" customHeight="1" x14ac:dyDescent="0.35">
      <c r="A40" s="24"/>
      <c r="E40" s="134">
        <v>44085</v>
      </c>
      <c r="F40" s="134"/>
      <c r="G40" s="163" t="s">
        <v>219</v>
      </c>
      <c r="H40" s="136">
        <v>1725</v>
      </c>
      <c r="I40" s="136"/>
      <c r="J40" s="40">
        <f t="shared" si="2"/>
        <v>1725</v>
      </c>
      <c r="K40" s="136"/>
      <c r="L40" s="135" t="s">
        <v>9</v>
      </c>
      <c r="M40" s="135"/>
      <c r="N40" s="114" t="s">
        <v>56</v>
      </c>
      <c r="O40" s="137">
        <v>44092</v>
      </c>
      <c r="P40" s="15"/>
      <c r="Q40" s="161">
        <v>43982</v>
      </c>
      <c r="R40" s="73"/>
      <c r="S40" s="138" t="s">
        <v>261</v>
      </c>
      <c r="T40" s="167">
        <v>-236.9</v>
      </c>
      <c r="U40" s="167"/>
      <c r="V40" s="162">
        <f t="shared" si="3"/>
        <v>-236.9</v>
      </c>
      <c r="W40" s="167"/>
      <c r="X40" s="167" t="s">
        <v>13</v>
      </c>
      <c r="Y40" s="73"/>
      <c r="Z40" s="167" t="s">
        <v>93</v>
      </c>
      <c r="AA40" s="195">
        <v>44018</v>
      </c>
      <c r="AB40" s="146"/>
      <c r="AC40" s="154"/>
      <c r="AD40" s="146"/>
      <c r="AE40" s="154"/>
      <c r="AF40" s="153"/>
      <c r="AG40" s="150"/>
      <c r="AH40" s="153"/>
    </row>
    <row r="41" spans="1:34" ht="14.25" customHeight="1" x14ac:dyDescent="0.35">
      <c r="A41" s="182"/>
      <c r="B41" s="207"/>
      <c r="E41" s="134">
        <v>44093</v>
      </c>
      <c r="F41" s="134"/>
      <c r="G41" s="163" t="s">
        <v>220</v>
      </c>
      <c r="H41" s="136">
        <v>659.28</v>
      </c>
      <c r="I41" s="136">
        <v>1.45</v>
      </c>
      <c r="J41" s="40">
        <f t="shared" si="2"/>
        <v>660.73</v>
      </c>
      <c r="K41" s="136"/>
      <c r="L41" s="135" t="s">
        <v>9</v>
      </c>
      <c r="M41" s="135"/>
      <c r="N41" s="114" t="s">
        <v>45</v>
      </c>
      <c r="O41" s="137">
        <v>44093</v>
      </c>
      <c r="P41" s="15"/>
      <c r="Q41" s="134">
        <v>43986</v>
      </c>
      <c r="R41" s="73"/>
      <c r="S41" s="138" t="s">
        <v>262</v>
      </c>
      <c r="T41" s="114">
        <v>62.93</v>
      </c>
      <c r="U41" s="114">
        <v>1.77</v>
      </c>
      <c r="V41" s="40">
        <f t="shared" si="3"/>
        <v>64.7</v>
      </c>
      <c r="W41" s="114"/>
      <c r="X41" s="114" t="s">
        <v>6</v>
      </c>
      <c r="Y41" s="73"/>
      <c r="Z41" s="39" t="s">
        <v>45</v>
      </c>
      <c r="AA41" s="89">
        <v>44051</v>
      </c>
      <c r="AB41" s="146"/>
      <c r="AC41" s="154"/>
      <c r="AD41" s="146"/>
      <c r="AE41" s="154"/>
      <c r="AF41" s="153"/>
      <c r="AG41" s="150"/>
      <c r="AH41" s="153"/>
    </row>
    <row r="42" spans="1:34" s="23" customFormat="1" ht="14.25" customHeight="1" x14ac:dyDescent="0.35">
      <c r="A42" s="182"/>
      <c r="B42" s="207"/>
      <c r="C42" s="207"/>
      <c r="D42" s="207"/>
      <c r="E42" s="18">
        <v>44097</v>
      </c>
      <c r="F42" s="18"/>
      <c r="G42" s="163" t="s">
        <v>221</v>
      </c>
      <c r="H42" s="36">
        <v>90.22</v>
      </c>
      <c r="I42" s="36"/>
      <c r="J42" s="40">
        <f t="shared" si="2"/>
        <v>90.22</v>
      </c>
      <c r="K42" s="36"/>
      <c r="L42" s="11" t="s">
        <v>9</v>
      </c>
      <c r="M42" s="11"/>
      <c r="N42" s="39" t="s">
        <v>45</v>
      </c>
      <c r="O42" s="69">
        <v>44097</v>
      </c>
      <c r="P42" s="15"/>
      <c r="Q42" s="18">
        <v>43987</v>
      </c>
      <c r="R42" s="20"/>
      <c r="S42" s="138" t="s">
        <v>263</v>
      </c>
      <c r="T42" s="17">
        <v>1302.1500000000001</v>
      </c>
      <c r="U42" s="39"/>
      <c r="V42" s="191">
        <f t="shared" si="3"/>
        <v>1302.1500000000001</v>
      </c>
      <c r="W42" s="39"/>
      <c r="X42" s="39" t="s">
        <v>6</v>
      </c>
      <c r="Y42" s="20"/>
      <c r="Z42" s="39" t="s">
        <v>45</v>
      </c>
      <c r="AA42" s="89">
        <v>44089</v>
      </c>
      <c r="AB42" s="55"/>
      <c r="AC42" s="65"/>
      <c r="AD42" s="55"/>
      <c r="AE42" s="65"/>
      <c r="AF42" s="64"/>
      <c r="AG42" s="66"/>
      <c r="AH42" s="64"/>
    </row>
    <row r="43" spans="1:34" s="23" customFormat="1" ht="14.25" customHeight="1" x14ac:dyDescent="0.35">
      <c r="A43" s="182"/>
      <c r="B43" s="207"/>
      <c r="C43" s="207"/>
      <c r="D43" s="207"/>
      <c r="E43" s="18">
        <v>44096</v>
      </c>
      <c r="F43" s="18"/>
      <c r="G43" s="163" t="s">
        <v>222</v>
      </c>
      <c r="H43" s="36">
        <v>22.19</v>
      </c>
      <c r="I43" s="36">
        <v>1.89</v>
      </c>
      <c r="J43" s="40">
        <f t="shared" si="2"/>
        <v>24.080000000000002</v>
      </c>
      <c r="K43" s="36"/>
      <c r="L43" s="11" t="s">
        <v>9</v>
      </c>
      <c r="M43" s="11"/>
      <c r="N43" s="39" t="s">
        <v>45</v>
      </c>
      <c r="O43" s="69">
        <v>44096</v>
      </c>
      <c r="P43" s="15"/>
      <c r="Q43" s="46">
        <v>43991</v>
      </c>
      <c r="R43" s="20"/>
      <c r="S43" s="138" t="s">
        <v>264</v>
      </c>
      <c r="T43" s="248">
        <v>78</v>
      </c>
      <c r="U43" s="248">
        <v>6.63</v>
      </c>
      <c r="V43" s="248">
        <f t="shared" si="3"/>
        <v>84.63</v>
      </c>
      <c r="W43" s="163"/>
      <c r="X43" s="163" t="s">
        <v>136</v>
      </c>
      <c r="Y43" s="20"/>
      <c r="Z43" s="163" t="s">
        <v>45</v>
      </c>
      <c r="AA43" s="46">
        <v>44092</v>
      </c>
      <c r="AB43" s="55"/>
      <c r="AC43" s="65"/>
      <c r="AD43" s="55"/>
      <c r="AE43" s="65"/>
      <c r="AF43" s="64"/>
      <c r="AG43" s="66"/>
      <c r="AH43" s="64"/>
    </row>
    <row r="44" spans="1:34" s="23" customFormat="1" ht="14.25" customHeight="1" x14ac:dyDescent="0.35">
      <c r="A44" s="182"/>
      <c r="B44" s="207"/>
      <c r="C44" s="207"/>
      <c r="D44" s="207"/>
      <c r="E44" s="18">
        <v>44096</v>
      </c>
      <c r="F44" s="18"/>
      <c r="G44" s="163" t="s">
        <v>223</v>
      </c>
      <c r="H44" s="36">
        <v>94.56</v>
      </c>
      <c r="I44" s="36"/>
      <c r="J44" s="40">
        <f t="shared" si="2"/>
        <v>94.56</v>
      </c>
      <c r="K44" s="36"/>
      <c r="L44" s="11" t="s">
        <v>9</v>
      </c>
      <c r="M44" s="11"/>
      <c r="N44" s="39"/>
      <c r="O44" s="11"/>
      <c r="P44" s="15"/>
      <c r="Q44" s="134">
        <v>43993</v>
      </c>
      <c r="R44" s="20"/>
      <c r="S44" s="138" t="s">
        <v>265</v>
      </c>
      <c r="T44" s="114">
        <v>9.34</v>
      </c>
      <c r="U44" s="114"/>
      <c r="V44" s="40">
        <f t="shared" si="3"/>
        <v>9.34</v>
      </c>
      <c r="W44" s="114"/>
      <c r="X44" s="114" t="s">
        <v>6</v>
      </c>
      <c r="Y44" s="20"/>
      <c r="Z44" s="39" t="s">
        <v>45</v>
      </c>
      <c r="AA44" s="89">
        <v>44051</v>
      </c>
      <c r="AB44" s="55"/>
      <c r="AC44" s="65"/>
      <c r="AD44" s="55"/>
      <c r="AE44" s="65"/>
      <c r="AF44" s="64"/>
      <c r="AG44" s="66"/>
      <c r="AH44" s="64"/>
    </row>
    <row r="45" spans="1:34" s="23" customFormat="1" ht="14.25" customHeight="1" x14ac:dyDescent="0.35">
      <c r="A45" s="182"/>
      <c r="B45" s="207"/>
      <c r="C45" s="207"/>
      <c r="D45" s="207"/>
      <c r="E45" s="18">
        <v>44111</v>
      </c>
      <c r="F45" s="18"/>
      <c r="G45" s="163" t="s">
        <v>224</v>
      </c>
      <c r="H45" s="36">
        <v>51.01</v>
      </c>
      <c r="I45" s="36">
        <v>1.7</v>
      </c>
      <c r="J45" s="40">
        <f t="shared" si="2"/>
        <v>52.71</v>
      </c>
      <c r="K45" s="36"/>
      <c r="L45" s="11" t="s">
        <v>10</v>
      </c>
      <c r="M45" s="11"/>
      <c r="N45" s="39"/>
      <c r="O45" s="11"/>
      <c r="P45" s="15"/>
      <c r="Q45" s="134">
        <v>43997</v>
      </c>
      <c r="R45" s="20"/>
      <c r="S45" s="138" t="s">
        <v>266</v>
      </c>
      <c r="T45" s="114">
        <v>156</v>
      </c>
      <c r="U45" s="114">
        <v>13.26</v>
      </c>
      <c r="V45" s="40">
        <f t="shared" si="3"/>
        <v>169.26</v>
      </c>
      <c r="W45" s="114"/>
      <c r="X45" s="114" t="s">
        <v>6</v>
      </c>
      <c r="Y45" s="20"/>
      <c r="Z45" s="163" t="s">
        <v>45</v>
      </c>
      <c r="AA45" s="46">
        <v>44092</v>
      </c>
      <c r="AB45" s="55"/>
      <c r="AC45" s="65"/>
      <c r="AD45" s="55"/>
      <c r="AE45" s="65"/>
      <c r="AF45" s="64"/>
      <c r="AG45" s="66"/>
      <c r="AH45" s="64"/>
    </row>
    <row r="46" spans="1:34" s="23" customFormat="1" ht="14.25" customHeight="1" x14ac:dyDescent="0.35">
      <c r="A46" s="182"/>
      <c r="B46" s="207"/>
      <c r="C46" s="207"/>
      <c r="D46" s="207"/>
      <c r="E46" s="313">
        <v>44111</v>
      </c>
      <c r="F46" s="313"/>
      <c r="G46" s="163" t="s">
        <v>225</v>
      </c>
      <c r="H46" s="36">
        <v>339.95</v>
      </c>
      <c r="I46" s="20"/>
      <c r="J46" s="40">
        <f t="shared" si="2"/>
        <v>339.95</v>
      </c>
      <c r="K46" s="36"/>
      <c r="L46" s="11" t="s">
        <v>10</v>
      </c>
      <c r="M46" s="11"/>
      <c r="N46" s="39"/>
      <c r="O46" s="11"/>
      <c r="P46" s="15"/>
      <c r="Q46" s="134">
        <v>43998</v>
      </c>
      <c r="R46" s="20"/>
      <c r="S46" s="138" t="s">
        <v>267</v>
      </c>
      <c r="T46" s="114">
        <v>56</v>
      </c>
      <c r="U46" s="114"/>
      <c r="V46" s="40">
        <f t="shared" si="3"/>
        <v>56</v>
      </c>
      <c r="W46" s="114"/>
      <c r="X46" s="114" t="s">
        <v>6</v>
      </c>
      <c r="Y46" s="20"/>
      <c r="Z46" s="114" t="s">
        <v>45</v>
      </c>
      <c r="AA46" s="177">
        <v>43998</v>
      </c>
      <c r="AB46" s="55"/>
      <c r="AC46" s="65"/>
      <c r="AD46" s="55"/>
      <c r="AE46" s="65"/>
      <c r="AF46" s="64"/>
      <c r="AG46" s="66"/>
      <c r="AH46" s="64"/>
    </row>
    <row r="47" spans="1:34" s="23" customFormat="1" ht="14.25" customHeight="1" x14ac:dyDescent="0.35">
      <c r="A47" s="182"/>
      <c r="B47" s="207"/>
      <c r="C47" s="207"/>
      <c r="D47" s="207"/>
      <c r="E47" s="18"/>
      <c r="F47" s="18"/>
      <c r="G47" s="11"/>
      <c r="H47" s="36"/>
      <c r="I47" s="36"/>
      <c r="J47" s="40">
        <f t="shared" si="2"/>
        <v>0</v>
      </c>
      <c r="K47" s="36"/>
      <c r="L47" s="11"/>
      <c r="M47" s="11"/>
      <c r="N47" s="39"/>
      <c r="O47" s="11"/>
      <c r="P47" s="15"/>
      <c r="Q47" s="18">
        <v>43998</v>
      </c>
      <c r="R47" s="20"/>
      <c r="S47" s="138" t="s">
        <v>268</v>
      </c>
      <c r="T47" s="39">
        <v>462.96</v>
      </c>
      <c r="U47" s="39">
        <v>1.43</v>
      </c>
      <c r="V47" s="17">
        <f t="shared" si="3"/>
        <v>464.39</v>
      </c>
      <c r="W47" s="39"/>
      <c r="X47" s="39" t="s">
        <v>6</v>
      </c>
      <c r="Y47" s="20"/>
      <c r="Z47" s="39" t="s">
        <v>45</v>
      </c>
      <c r="AA47" s="89">
        <v>44051</v>
      </c>
      <c r="AB47" s="55"/>
      <c r="AC47" s="65"/>
      <c r="AD47" s="55"/>
      <c r="AE47" s="65"/>
      <c r="AF47" s="64"/>
      <c r="AG47" s="66"/>
      <c r="AH47" s="64"/>
    </row>
    <row r="48" spans="1:34" s="23" customFormat="1" ht="14.25" customHeight="1" x14ac:dyDescent="0.35">
      <c r="A48" s="182"/>
      <c r="B48" s="207"/>
      <c r="C48" s="207"/>
      <c r="D48" s="207"/>
      <c r="E48" s="18"/>
      <c r="F48" s="18"/>
      <c r="G48" s="11"/>
      <c r="H48" s="36"/>
      <c r="I48" s="36"/>
      <c r="J48" s="40">
        <f t="shared" si="2"/>
        <v>0</v>
      </c>
      <c r="K48" s="36"/>
      <c r="L48" s="11"/>
      <c r="M48" s="11"/>
      <c r="N48" s="39"/>
      <c r="O48" s="11"/>
      <c r="P48" s="15"/>
      <c r="Q48" s="185">
        <v>43998</v>
      </c>
      <c r="R48" s="20"/>
      <c r="S48" s="138" t="s">
        <v>269</v>
      </c>
      <c r="T48" s="186">
        <v>814.85</v>
      </c>
      <c r="U48" s="39">
        <v>31.39</v>
      </c>
      <c r="V48" s="186">
        <f t="shared" si="3"/>
        <v>846.24</v>
      </c>
      <c r="W48" s="39"/>
      <c r="X48" s="39" t="s">
        <v>6</v>
      </c>
      <c r="Y48" s="20"/>
      <c r="Z48" s="39"/>
      <c r="AA48" s="89"/>
      <c r="AB48" s="55"/>
      <c r="AC48" s="65"/>
      <c r="AD48" s="55"/>
      <c r="AE48" s="65"/>
      <c r="AF48" s="64"/>
      <c r="AG48" s="66"/>
      <c r="AH48" s="64"/>
    </row>
    <row r="49" spans="1:34" s="23" customFormat="1" ht="14.25" customHeight="1" x14ac:dyDescent="0.35">
      <c r="A49" s="182"/>
      <c r="B49" s="207"/>
      <c r="C49" s="207"/>
      <c r="D49" s="207"/>
      <c r="E49" s="18"/>
      <c r="F49" s="18"/>
      <c r="G49" s="11"/>
      <c r="H49" s="36"/>
      <c r="I49" s="36"/>
      <c r="J49" s="40">
        <f t="shared" si="2"/>
        <v>0</v>
      </c>
      <c r="K49" s="36"/>
      <c r="L49" s="11"/>
      <c r="M49" s="11"/>
      <c r="N49" s="39"/>
      <c r="O49" s="11"/>
      <c r="P49" s="15"/>
      <c r="Q49" s="18">
        <v>44004</v>
      </c>
      <c r="R49" s="20"/>
      <c r="S49" s="138" t="s">
        <v>270</v>
      </c>
      <c r="T49" s="88">
        <v>763.28</v>
      </c>
      <c r="U49" s="39"/>
      <c r="V49" s="191">
        <f t="shared" si="3"/>
        <v>763.28</v>
      </c>
      <c r="W49" s="39"/>
      <c r="X49" s="39" t="s">
        <v>6</v>
      </c>
      <c r="Y49" s="20"/>
      <c r="Z49" s="39" t="s">
        <v>45</v>
      </c>
      <c r="AA49" s="89">
        <v>44089</v>
      </c>
      <c r="AB49" s="55"/>
      <c r="AC49" s="65"/>
      <c r="AD49" s="55"/>
      <c r="AE49" s="65"/>
      <c r="AF49" s="64"/>
      <c r="AG49" s="66"/>
      <c r="AH49" s="64"/>
    </row>
    <row r="50" spans="1:34" s="23" customFormat="1" ht="14.25" customHeight="1" x14ac:dyDescent="0.35">
      <c r="A50" s="182"/>
      <c r="B50" s="207"/>
      <c r="C50" s="207"/>
      <c r="D50" s="207"/>
      <c r="E50" s="18"/>
      <c r="F50" s="18"/>
      <c r="G50" s="11"/>
      <c r="H50" s="36"/>
      <c r="I50" s="36"/>
      <c r="J50" s="40">
        <f t="shared" si="2"/>
        <v>0</v>
      </c>
      <c r="K50" s="36"/>
      <c r="L50" s="11"/>
      <c r="M50" s="11"/>
      <c r="N50" s="39"/>
      <c r="O50" s="11"/>
      <c r="P50" s="15"/>
      <c r="Q50" s="18">
        <v>44004</v>
      </c>
      <c r="R50" s="20"/>
      <c r="S50" s="138" t="s">
        <v>271</v>
      </c>
      <c r="T50" s="17">
        <v>104.5</v>
      </c>
      <c r="U50" s="17"/>
      <c r="V50" s="17">
        <f t="shared" si="3"/>
        <v>104.5</v>
      </c>
      <c r="W50" s="19"/>
      <c r="X50" s="19" t="s">
        <v>6</v>
      </c>
      <c r="Y50" s="20"/>
      <c r="Z50" s="39" t="s">
        <v>45</v>
      </c>
      <c r="AA50" s="89">
        <v>44051</v>
      </c>
      <c r="AB50" s="55"/>
      <c r="AC50" s="65"/>
      <c r="AD50" s="55"/>
      <c r="AE50" s="65"/>
      <c r="AF50" s="64"/>
      <c r="AG50" s="66"/>
      <c r="AH50" s="64"/>
    </row>
    <row r="51" spans="1:34" s="23" customFormat="1" ht="14.25" customHeight="1" x14ac:dyDescent="0.35">
      <c r="A51" s="182"/>
      <c r="B51" s="207"/>
      <c r="C51" s="207"/>
      <c r="D51" s="207"/>
      <c r="E51" s="18"/>
      <c r="F51" s="18"/>
      <c r="G51" s="11"/>
      <c r="H51" s="36"/>
      <c r="I51" s="36"/>
      <c r="J51" s="40">
        <f t="shared" si="2"/>
        <v>0</v>
      </c>
      <c r="K51" s="36"/>
      <c r="L51" s="11"/>
      <c r="M51" s="11"/>
      <c r="N51" s="39"/>
      <c r="O51" s="11"/>
      <c r="P51" s="15"/>
      <c r="Q51" s="161">
        <v>44012</v>
      </c>
      <c r="R51" s="20"/>
      <c r="S51" s="138" t="s">
        <v>272</v>
      </c>
      <c r="T51" s="167">
        <v>-219.2</v>
      </c>
      <c r="U51" s="167"/>
      <c r="V51" s="162">
        <f t="shared" si="3"/>
        <v>-219.2</v>
      </c>
      <c r="W51" s="167"/>
      <c r="X51" s="167" t="s">
        <v>6</v>
      </c>
      <c r="Y51" s="20"/>
      <c r="Z51" s="39" t="s">
        <v>165</v>
      </c>
      <c r="AA51" s="89">
        <v>44051</v>
      </c>
      <c r="AB51" s="55"/>
      <c r="AC51" s="65"/>
      <c r="AD51" s="55"/>
      <c r="AE51" s="65"/>
      <c r="AF51" s="64"/>
      <c r="AG51" s="66"/>
      <c r="AH51" s="64"/>
    </row>
    <row r="52" spans="1:34" s="23" customFormat="1" ht="14.25" customHeight="1" x14ac:dyDescent="0.35">
      <c r="A52" s="182"/>
      <c r="B52" s="207"/>
      <c r="C52" s="207"/>
      <c r="D52" s="207"/>
      <c r="E52" s="18"/>
      <c r="F52" s="18"/>
      <c r="G52" s="11"/>
      <c r="H52" s="36"/>
      <c r="I52" s="36"/>
      <c r="J52" s="40">
        <f t="shared" si="2"/>
        <v>0</v>
      </c>
      <c r="K52" s="36"/>
      <c r="L52" s="11"/>
      <c r="M52" s="11"/>
      <c r="N52" s="39"/>
      <c r="O52" s="11"/>
      <c r="P52" s="15"/>
      <c r="Q52" s="46">
        <v>44012</v>
      </c>
      <c r="R52" s="20"/>
      <c r="S52" s="138" t="s">
        <v>273</v>
      </c>
      <c r="T52" s="248">
        <v>241.46</v>
      </c>
      <c r="U52" s="248"/>
      <c r="V52" s="248">
        <f t="shared" si="3"/>
        <v>241.46</v>
      </c>
      <c r="W52" s="163"/>
      <c r="X52" s="163" t="s">
        <v>6</v>
      </c>
      <c r="Y52" s="20"/>
      <c r="Z52" s="39" t="s">
        <v>45</v>
      </c>
      <c r="AA52" s="89">
        <v>44051</v>
      </c>
      <c r="AB52" s="55"/>
      <c r="AC52" s="65"/>
      <c r="AD52" s="55"/>
      <c r="AE52" s="65"/>
      <c r="AF52" s="64"/>
      <c r="AG52" s="66"/>
      <c r="AH52" s="64"/>
    </row>
    <row r="53" spans="1:34" ht="14.25" customHeight="1" x14ac:dyDescent="0.35">
      <c r="A53" s="24"/>
      <c r="E53" s="134"/>
      <c r="F53" s="134"/>
      <c r="G53" s="135"/>
      <c r="H53" s="136"/>
      <c r="I53" s="136"/>
      <c r="J53" s="40">
        <f t="shared" si="2"/>
        <v>0</v>
      </c>
      <c r="K53" s="136"/>
      <c r="L53" s="135"/>
      <c r="M53" s="135"/>
      <c r="N53" s="114"/>
      <c r="O53" s="135"/>
      <c r="P53" s="15"/>
      <c r="Q53" s="134">
        <v>44013</v>
      </c>
      <c r="R53" s="73"/>
      <c r="S53" s="138" t="s">
        <v>274</v>
      </c>
      <c r="T53" s="114">
        <v>94.66</v>
      </c>
      <c r="U53" s="114"/>
      <c r="V53" s="40">
        <f t="shared" si="3"/>
        <v>94.66</v>
      </c>
      <c r="W53" s="114"/>
      <c r="X53" s="114" t="s">
        <v>7</v>
      </c>
      <c r="Y53" s="73"/>
      <c r="Z53" s="114" t="s">
        <v>45</v>
      </c>
      <c r="AA53" s="177">
        <v>44085</v>
      </c>
      <c r="AB53" s="146"/>
      <c r="AC53" s="154"/>
      <c r="AD53" s="146"/>
      <c r="AE53" s="154"/>
      <c r="AF53" s="153"/>
      <c r="AG53" s="150"/>
      <c r="AH53" s="153"/>
    </row>
    <row r="54" spans="1:34" ht="15" customHeight="1" x14ac:dyDescent="0.35">
      <c r="A54" s="23"/>
      <c r="E54" s="134"/>
      <c r="F54" s="134"/>
      <c r="G54" s="135"/>
      <c r="H54" s="136"/>
      <c r="I54" s="136"/>
      <c r="J54" s="40">
        <f t="shared" si="2"/>
        <v>0</v>
      </c>
      <c r="K54" s="136"/>
      <c r="L54" s="135"/>
      <c r="M54" s="135"/>
      <c r="N54" s="114"/>
      <c r="O54" s="135"/>
      <c r="P54" s="15"/>
      <c r="Q54" s="134">
        <v>44014</v>
      </c>
      <c r="R54" s="73"/>
      <c r="S54" s="138" t="s">
        <v>275</v>
      </c>
      <c r="T54" s="114">
        <v>21.6</v>
      </c>
      <c r="U54" s="114"/>
      <c r="V54" s="40">
        <f t="shared" si="3"/>
        <v>21.6</v>
      </c>
      <c r="W54" s="114"/>
      <c r="X54" s="114" t="s">
        <v>7</v>
      </c>
      <c r="Y54" s="73"/>
      <c r="Z54" s="114" t="s">
        <v>45</v>
      </c>
      <c r="AA54" s="177">
        <v>44014</v>
      </c>
      <c r="AB54" s="146"/>
      <c r="AC54" s="154"/>
      <c r="AD54" s="146"/>
      <c r="AE54" s="154"/>
      <c r="AF54" s="153"/>
      <c r="AG54" s="150"/>
      <c r="AH54" s="153"/>
    </row>
    <row r="55" spans="1:34" ht="15" customHeight="1" x14ac:dyDescent="0.35">
      <c r="E55" s="134"/>
      <c r="F55" s="134"/>
      <c r="G55" s="135"/>
      <c r="H55" s="136"/>
      <c r="I55" s="136"/>
      <c r="J55" s="40">
        <f t="shared" si="2"/>
        <v>0</v>
      </c>
      <c r="K55" s="136"/>
      <c r="L55" s="135"/>
      <c r="M55" s="135"/>
      <c r="N55" s="114"/>
      <c r="O55" s="135"/>
      <c r="P55" s="15"/>
      <c r="Q55" s="18">
        <v>44015</v>
      </c>
      <c r="R55" s="73"/>
      <c r="S55" s="138" t="s">
        <v>276</v>
      </c>
      <c r="T55" s="17">
        <v>275.8</v>
      </c>
      <c r="U55" s="17"/>
      <c r="V55" s="279">
        <f t="shared" si="3"/>
        <v>275.8</v>
      </c>
      <c r="W55" s="39"/>
      <c r="X55" s="19" t="s">
        <v>7</v>
      </c>
      <c r="Y55" s="73"/>
      <c r="Z55" s="39"/>
      <c r="AA55" s="89"/>
      <c r="AB55" s="146"/>
      <c r="AC55" s="154"/>
      <c r="AD55" s="146"/>
      <c r="AE55" s="154"/>
      <c r="AF55" s="153"/>
      <c r="AG55" s="150"/>
      <c r="AH55" s="153"/>
    </row>
    <row r="56" spans="1:34" ht="15" customHeight="1" x14ac:dyDescent="0.35">
      <c r="E56" s="134"/>
      <c r="F56" s="134"/>
      <c r="G56" s="135"/>
      <c r="H56" s="136"/>
      <c r="I56" s="136"/>
      <c r="J56" s="40">
        <f t="shared" si="2"/>
        <v>0</v>
      </c>
      <c r="K56" s="136"/>
      <c r="L56" s="135"/>
      <c r="M56" s="135"/>
      <c r="N56" s="114"/>
      <c r="O56" s="135"/>
      <c r="P56" s="15"/>
      <c r="Q56" s="18">
        <v>44019</v>
      </c>
      <c r="R56" s="73"/>
      <c r="S56" s="138" t="s">
        <v>277</v>
      </c>
      <c r="T56" s="17">
        <v>323.07</v>
      </c>
      <c r="U56" s="39"/>
      <c r="V56" s="17">
        <f t="shared" si="3"/>
        <v>323.07</v>
      </c>
      <c r="W56" s="39"/>
      <c r="X56" s="39" t="s">
        <v>7</v>
      </c>
      <c r="Y56" s="73"/>
      <c r="Z56" s="114" t="s">
        <v>45</v>
      </c>
      <c r="AA56" s="177">
        <v>44085</v>
      </c>
      <c r="AB56" s="146"/>
      <c r="AC56" s="155"/>
      <c r="AD56" s="146"/>
      <c r="AE56" s="155"/>
      <c r="AF56" s="153"/>
      <c r="AG56" s="150"/>
      <c r="AH56" s="153"/>
    </row>
    <row r="57" spans="1:34" ht="15" customHeight="1" x14ac:dyDescent="0.35">
      <c r="E57" s="134"/>
      <c r="F57" s="134"/>
      <c r="G57" s="135"/>
      <c r="H57" s="136"/>
      <c r="I57" s="136"/>
      <c r="J57" s="40">
        <f t="shared" si="2"/>
        <v>0</v>
      </c>
      <c r="K57" s="136"/>
      <c r="L57" s="135"/>
      <c r="M57" s="135"/>
      <c r="N57" s="114"/>
      <c r="O57" s="135"/>
      <c r="P57" s="16"/>
      <c r="Q57" s="185">
        <v>44019</v>
      </c>
      <c r="R57" s="73"/>
      <c r="S57" s="138" t="s">
        <v>278</v>
      </c>
      <c r="T57" s="40">
        <v>5.52</v>
      </c>
      <c r="U57" s="40"/>
      <c r="V57" s="186">
        <f t="shared" si="3"/>
        <v>5.52</v>
      </c>
      <c r="W57" s="39"/>
      <c r="X57" s="138" t="s">
        <v>7</v>
      </c>
      <c r="Y57" s="73"/>
      <c r="Z57" s="114" t="s">
        <v>45</v>
      </c>
      <c r="AA57" s="177">
        <v>44085</v>
      </c>
      <c r="AB57" s="156"/>
      <c r="AC57" s="156"/>
      <c r="AD57" s="156"/>
      <c r="AE57" s="156"/>
      <c r="AF57" s="157"/>
      <c r="AG57" s="156"/>
      <c r="AH57" s="156"/>
    </row>
    <row r="58" spans="1:34" ht="15" customHeight="1" x14ac:dyDescent="0.35">
      <c r="E58" s="134"/>
      <c r="F58" s="134"/>
      <c r="G58" s="135"/>
      <c r="H58" s="136"/>
      <c r="I58" s="136"/>
      <c r="J58" s="40">
        <f t="shared" si="2"/>
        <v>0</v>
      </c>
      <c r="K58" s="136"/>
      <c r="L58" s="135"/>
      <c r="M58" s="135"/>
      <c r="N58" s="114"/>
      <c r="O58" s="135"/>
      <c r="Q58" s="161">
        <v>44019</v>
      </c>
      <c r="R58" s="73"/>
      <c r="S58" s="138" t="s">
        <v>279</v>
      </c>
      <c r="T58" s="162">
        <v>-10.4</v>
      </c>
      <c r="U58" s="162"/>
      <c r="V58" s="162">
        <f t="shared" si="3"/>
        <v>-10.4</v>
      </c>
      <c r="W58" s="167"/>
      <c r="X58" s="95" t="s">
        <v>7</v>
      </c>
      <c r="Y58" s="73"/>
      <c r="Z58" s="114" t="s">
        <v>45</v>
      </c>
      <c r="AA58" s="177">
        <v>44085</v>
      </c>
      <c r="AB58" s="44"/>
      <c r="AC58" s="44"/>
      <c r="AD58" s="44"/>
      <c r="AE58" s="44"/>
      <c r="AF58" s="44"/>
      <c r="AG58" s="44"/>
      <c r="AH58" s="44"/>
    </row>
    <row r="59" spans="1:34" ht="15" customHeight="1" x14ac:dyDescent="0.35">
      <c r="E59" s="134"/>
      <c r="F59" s="134"/>
      <c r="G59" s="135"/>
      <c r="H59" s="136"/>
      <c r="I59" s="136"/>
      <c r="J59" s="40">
        <f t="shared" si="2"/>
        <v>0</v>
      </c>
      <c r="K59" s="136"/>
      <c r="L59" s="135"/>
      <c r="M59" s="135"/>
      <c r="N59" s="114"/>
      <c r="O59" s="135"/>
      <c r="Q59" s="185">
        <v>44020</v>
      </c>
      <c r="R59" s="73"/>
      <c r="S59" s="138" t="s">
        <v>280</v>
      </c>
      <c r="T59" s="186">
        <v>111.05</v>
      </c>
      <c r="U59" s="39"/>
      <c r="V59" s="186">
        <f t="shared" si="3"/>
        <v>111.05</v>
      </c>
      <c r="W59" s="39"/>
      <c r="X59" s="39" t="s">
        <v>7</v>
      </c>
      <c r="Y59" s="73"/>
      <c r="Z59" s="39" t="s">
        <v>80</v>
      </c>
      <c r="AA59" s="89">
        <v>44090</v>
      </c>
      <c r="AB59" s="44"/>
      <c r="AC59" s="44"/>
      <c r="AD59" s="44"/>
      <c r="AE59" s="44"/>
      <c r="AF59" s="44"/>
      <c r="AG59" s="44"/>
      <c r="AH59" s="44"/>
    </row>
    <row r="60" spans="1:34" ht="15.75" customHeight="1" x14ac:dyDescent="0.35">
      <c r="E60" s="134"/>
      <c r="F60" s="134"/>
      <c r="G60" s="135"/>
      <c r="H60" s="136"/>
      <c r="I60" s="136"/>
      <c r="J60" s="40">
        <f t="shared" si="2"/>
        <v>0</v>
      </c>
      <c r="K60" s="136"/>
      <c r="L60" s="135"/>
      <c r="M60" s="135"/>
      <c r="N60" s="114"/>
      <c r="O60" s="135"/>
      <c r="Q60" s="18">
        <v>44022</v>
      </c>
      <c r="R60" s="73"/>
      <c r="S60" s="138" t="s">
        <v>281</v>
      </c>
      <c r="T60" s="17">
        <v>39.9</v>
      </c>
      <c r="U60" s="39">
        <v>1.9</v>
      </c>
      <c r="V60" s="17">
        <f t="shared" si="3"/>
        <v>41.8</v>
      </c>
      <c r="W60" s="39"/>
      <c r="X60" s="39" t="s">
        <v>7</v>
      </c>
      <c r="Y60" s="73"/>
      <c r="Z60" s="114" t="s">
        <v>45</v>
      </c>
      <c r="AA60" s="177">
        <v>44085</v>
      </c>
      <c r="AB60" s="44"/>
      <c r="AC60" s="44"/>
      <c r="AD60" s="44"/>
      <c r="AE60" s="44"/>
      <c r="AF60" s="44"/>
      <c r="AG60" s="44"/>
      <c r="AH60" s="44"/>
    </row>
    <row r="61" spans="1:34" ht="15.75" customHeight="1" x14ac:dyDescent="0.35">
      <c r="E61" s="134"/>
      <c r="F61" s="134"/>
      <c r="G61" s="135"/>
      <c r="H61" s="136"/>
      <c r="I61" s="136"/>
      <c r="J61" s="40">
        <f t="shared" si="2"/>
        <v>0</v>
      </c>
      <c r="K61" s="136"/>
      <c r="L61" s="135"/>
      <c r="M61" s="135"/>
      <c r="N61" s="114"/>
      <c r="O61" s="135"/>
      <c r="Q61" s="161">
        <v>44022</v>
      </c>
      <c r="R61" s="73"/>
      <c r="S61" s="138" t="s">
        <v>282</v>
      </c>
      <c r="T61" s="162">
        <v>-167.44</v>
      </c>
      <c r="U61" s="167"/>
      <c r="V61" s="162">
        <f t="shared" si="3"/>
        <v>-167.44</v>
      </c>
      <c r="W61" s="167"/>
      <c r="X61" s="167" t="s">
        <v>7</v>
      </c>
      <c r="Y61" s="73"/>
      <c r="Z61" s="114" t="s">
        <v>45</v>
      </c>
      <c r="AA61" s="177">
        <v>44085</v>
      </c>
      <c r="AB61" s="44"/>
      <c r="AC61" s="44"/>
      <c r="AD61" s="44"/>
      <c r="AE61" s="44"/>
      <c r="AF61" s="44"/>
      <c r="AG61" s="44"/>
      <c r="AH61" s="44"/>
    </row>
    <row r="62" spans="1:34" ht="15.75" customHeight="1" x14ac:dyDescent="0.35">
      <c r="E62" s="134"/>
      <c r="F62" s="134"/>
      <c r="G62" s="135"/>
      <c r="H62" s="136"/>
      <c r="I62" s="136"/>
      <c r="J62" s="40">
        <f t="shared" si="2"/>
        <v>0</v>
      </c>
      <c r="K62" s="136"/>
      <c r="L62" s="135"/>
      <c r="M62" s="135"/>
      <c r="N62" s="114"/>
      <c r="O62" s="135"/>
      <c r="Q62" s="46">
        <v>44028</v>
      </c>
      <c r="R62" s="73"/>
      <c r="S62" s="138" t="s">
        <v>283</v>
      </c>
      <c r="T62" s="163">
        <v>18.87</v>
      </c>
      <c r="U62" s="163"/>
      <c r="V62" s="248">
        <f t="shared" si="3"/>
        <v>18.87</v>
      </c>
      <c r="W62" s="163"/>
      <c r="X62" s="163" t="s">
        <v>7</v>
      </c>
      <c r="Y62" s="73"/>
      <c r="Z62" s="114" t="s">
        <v>45</v>
      </c>
      <c r="AA62" s="177">
        <v>44085</v>
      </c>
      <c r="AB62" s="44"/>
      <c r="AC62" s="44"/>
      <c r="AD62" s="44"/>
      <c r="AE62" s="44"/>
      <c r="AF62" s="44"/>
      <c r="AG62" s="44"/>
      <c r="AH62" s="44"/>
    </row>
    <row r="63" spans="1:34" ht="15.75" customHeight="1" x14ac:dyDescent="0.35">
      <c r="E63" s="134"/>
      <c r="F63" s="134"/>
      <c r="G63" s="135"/>
      <c r="H63" s="136"/>
      <c r="I63" s="136"/>
      <c r="J63" s="40">
        <f t="shared" si="2"/>
        <v>0</v>
      </c>
      <c r="K63" s="136"/>
      <c r="L63" s="135"/>
      <c r="M63" s="135"/>
      <c r="N63" s="114"/>
      <c r="O63" s="135"/>
      <c r="Q63" s="280">
        <v>44029</v>
      </c>
      <c r="R63" s="73"/>
      <c r="S63" s="138" t="s">
        <v>284</v>
      </c>
      <c r="T63" s="281">
        <v>761.11</v>
      </c>
      <c r="U63" s="260"/>
      <c r="V63" s="282">
        <f t="shared" si="3"/>
        <v>761.11</v>
      </c>
      <c r="W63" s="260"/>
      <c r="X63" s="19" t="s">
        <v>7</v>
      </c>
      <c r="Y63" s="73"/>
      <c r="Z63" s="260"/>
      <c r="AA63" s="280"/>
      <c r="AB63" s="44"/>
      <c r="AC63" s="44"/>
      <c r="AD63" s="44"/>
      <c r="AE63" s="44"/>
      <c r="AF63" s="44"/>
      <c r="AG63" s="44"/>
      <c r="AH63" s="44"/>
    </row>
    <row r="64" spans="1:34" ht="15.75" customHeight="1" x14ac:dyDescent="0.35">
      <c r="E64" s="134"/>
      <c r="F64" s="134"/>
      <c r="G64" s="135"/>
      <c r="H64" s="136"/>
      <c r="I64" s="136"/>
      <c r="J64" s="40">
        <f t="shared" si="2"/>
        <v>0</v>
      </c>
      <c r="K64" s="136"/>
      <c r="L64" s="135"/>
      <c r="M64" s="135"/>
      <c r="N64" s="114"/>
      <c r="O64" s="135"/>
      <c r="Q64" s="46">
        <v>44035</v>
      </c>
      <c r="R64" s="73"/>
      <c r="S64" s="138" t="s">
        <v>285</v>
      </c>
      <c r="T64" s="248">
        <v>29.12</v>
      </c>
      <c r="U64" s="163"/>
      <c r="V64" s="248">
        <f t="shared" si="3"/>
        <v>29.12</v>
      </c>
      <c r="W64" s="163"/>
      <c r="X64" s="163" t="s">
        <v>7</v>
      </c>
      <c r="Y64" s="73"/>
      <c r="Z64" s="114" t="s">
        <v>45</v>
      </c>
      <c r="AA64" s="177">
        <v>44085</v>
      </c>
      <c r="AB64" s="44"/>
      <c r="AC64" s="44"/>
      <c r="AD64" s="44"/>
      <c r="AE64" s="44"/>
      <c r="AF64" s="44"/>
      <c r="AG64" s="44"/>
      <c r="AH64" s="44"/>
    </row>
    <row r="65" spans="5:34" ht="15.75" customHeight="1" x14ac:dyDescent="0.35">
      <c r="E65" s="134"/>
      <c r="F65" s="134"/>
      <c r="G65" s="135"/>
      <c r="H65" s="136"/>
      <c r="I65" s="136"/>
      <c r="J65" s="40">
        <f t="shared" si="2"/>
        <v>0</v>
      </c>
      <c r="K65" s="136"/>
      <c r="L65" s="135"/>
      <c r="M65" s="135"/>
      <c r="N65" s="114"/>
      <c r="O65" s="135"/>
      <c r="Q65" s="46">
        <v>44036</v>
      </c>
      <c r="R65" s="73"/>
      <c r="S65" s="138" t="s">
        <v>286</v>
      </c>
      <c r="T65" s="248">
        <v>97.05</v>
      </c>
      <c r="U65" s="163">
        <v>0.31</v>
      </c>
      <c r="V65" s="248">
        <f t="shared" si="3"/>
        <v>97.36</v>
      </c>
      <c r="W65" s="163"/>
      <c r="X65" s="163" t="s">
        <v>7</v>
      </c>
      <c r="Y65" s="73"/>
      <c r="Z65" s="114" t="s">
        <v>45</v>
      </c>
      <c r="AA65" s="177">
        <v>44085</v>
      </c>
      <c r="AB65" s="44"/>
      <c r="AC65" s="44"/>
      <c r="AD65" s="44"/>
      <c r="AE65" s="44"/>
      <c r="AF65" s="44"/>
      <c r="AG65" s="44"/>
      <c r="AH65" s="44"/>
    </row>
    <row r="66" spans="5:34" ht="15.75" customHeight="1" x14ac:dyDescent="0.35">
      <c r="E66" s="134"/>
      <c r="F66" s="134"/>
      <c r="G66" s="135"/>
      <c r="H66" s="136"/>
      <c r="I66" s="136"/>
      <c r="J66" s="40">
        <f t="shared" si="2"/>
        <v>0</v>
      </c>
      <c r="K66" s="136"/>
      <c r="L66" s="135"/>
      <c r="M66" s="135"/>
      <c r="N66" s="114"/>
      <c r="O66" s="135"/>
      <c r="Q66" s="46">
        <v>44042</v>
      </c>
      <c r="R66" s="73"/>
      <c r="S66" s="138" t="s">
        <v>287</v>
      </c>
      <c r="T66" s="248">
        <v>592.92999999999995</v>
      </c>
      <c r="U66" s="163"/>
      <c r="V66" s="282">
        <f t="shared" si="3"/>
        <v>592.92999999999995</v>
      </c>
      <c r="W66" s="163"/>
      <c r="X66" s="19" t="s">
        <v>7</v>
      </c>
      <c r="Y66" s="73"/>
      <c r="Z66" s="163"/>
      <c r="AA66" s="46"/>
      <c r="AB66" s="44"/>
      <c r="AC66" s="44"/>
      <c r="AD66" s="44"/>
      <c r="AE66" s="44"/>
      <c r="AF66" s="44"/>
      <c r="AG66" s="44"/>
      <c r="AH66" s="44"/>
    </row>
    <row r="67" spans="5:34" ht="15.75" customHeight="1" x14ac:dyDescent="0.35">
      <c r="E67" s="134"/>
      <c r="F67" s="134"/>
      <c r="G67" s="135"/>
      <c r="H67" s="136"/>
      <c r="I67" s="136"/>
      <c r="J67" s="40">
        <f t="shared" si="2"/>
        <v>0</v>
      </c>
      <c r="K67" s="136"/>
      <c r="L67" s="135"/>
      <c r="M67" s="135"/>
      <c r="N67" s="114"/>
      <c r="O67" s="135"/>
      <c r="Q67" s="46">
        <v>44042</v>
      </c>
      <c r="R67" s="73"/>
      <c r="S67" s="138" t="s">
        <v>288</v>
      </c>
      <c r="T67" s="248">
        <v>1324.21</v>
      </c>
      <c r="U67" s="163">
        <v>7.63</v>
      </c>
      <c r="V67" s="248">
        <f t="shared" si="3"/>
        <v>1331.8400000000001</v>
      </c>
      <c r="W67" s="163"/>
      <c r="X67" s="163" t="s">
        <v>7</v>
      </c>
      <c r="Y67" s="73"/>
      <c r="Z67" s="114" t="s">
        <v>45</v>
      </c>
      <c r="AA67" s="177">
        <v>44085</v>
      </c>
      <c r="AB67" s="44"/>
      <c r="AC67" s="44"/>
      <c r="AD67" s="44"/>
      <c r="AE67" s="44"/>
      <c r="AF67" s="44"/>
      <c r="AG67" s="44"/>
      <c r="AH67" s="44"/>
    </row>
    <row r="68" spans="5:34" ht="15.75" customHeight="1" x14ac:dyDescent="0.35">
      <c r="E68" s="134"/>
      <c r="F68" s="134"/>
      <c r="G68" s="135"/>
      <c r="H68" s="136"/>
      <c r="I68" s="136"/>
      <c r="J68" s="40">
        <f t="shared" si="2"/>
        <v>0</v>
      </c>
      <c r="K68" s="136"/>
      <c r="L68" s="135"/>
      <c r="M68" s="135"/>
      <c r="N68" s="114"/>
      <c r="O68" s="135"/>
      <c r="Q68" s="252">
        <v>44042</v>
      </c>
      <c r="R68" s="73"/>
      <c r="S68" s="138" t="s">
        <v>289</v>
      </c>
      <c r="T68" s="253">
        <v>-122</v>
      </c>
      <c r="U68" s="116"/>
      <c r="V68" s="253">
        <f t="shared" si="3"/>
        <v>-122</v>
      </c>
      <c r="W68" s="116"/>
      <c r="X68" s="116" t="s">
        <v>7</v>
      </c>
      <c r="Y68" s="73"/>
      <c r="Z68" s="116" t="s">
        <v>171</v>
      </c>
      <c r="AA68" s="252">
        <v>44092</v>
      </c>
      <c r="AB68" s="44"/>
      <c r="AC68" s="44"/>
      <c r="AD68" s="44"/>
      <c r="AE68" s="44"/>
      <c r="AF68" s="44"/>
      <c r="AG68" s="44"/>
      <c r="AH68" s="44"/>
    </row>
    <row r="69" spans="5:34" ht="15.75" customHeight="1" x14ac:dyDescent="0.35">
      <c r="E69" s="134"/>
      <c r="F69" s="134"/>
      <c r="G69" s="135"/>
      <c r="H69" s="136"/>
      <c r="I69" s="136"/>
      <c r="J69" s="40">
        <f t="shared" ref="J69:J100" si="4">H69+I69</f>
        <v>0</v>
      </c>
      <c r="K69" s="136"/>
      <c r="L69" s="135"/>
      <c r="M69" s="135"/>
      <c r="N69" s="114"/>
      <c r="O69" s="135"/>
      <c r="Q69" s="46">
        <v>44042</v>
      </c>
      <c r="R69" s="73"/>
      <c r="S69" s="138" t="s">
        <v>290</v>
      </c>
      <c r="T69" s="248">
        <v>761.4</v>
      </c>
      <c r="U69" s="163"/>
      <c r="V69" s="248">
        <f t="shared" ref="V69:V100" si="5">T69+U69</f>
        <v>761.4</v>
      </c>
      <c r="W69" s="163"/>
      <c r="X69" s="163" t="s">
        <v>7</v>
      </c>
      <c r="Y69" s="73"/>
      <c r="Z69" s="163" t="s">
        <v>45</v>
      </c>
      <c r="AA69" s="46">
        <v>44092</v>
      </c>
      <c r="AB69" s="44"/>
      <c r="AC69" s="44"/>
      <c r="AD69" s="44"/>
      <c r="AE69" s="44"/>
      <c r="AF69" s="44"/>
      <c r="AG69" s="44"/>
      <c r="AH69" s="44"/>
    </row>
    <row r="70" spans="5:34" ht="15.75" customHeight="1" x14ac:dyDescent="0.35">
      <c r="E70" s="134"/>
      <c r="F70" s="134"/>
      <c r="G70" s="135"/>
      <c r="H70" s="136"/>
      <c r="I70" s="136"/>
      <c r="J70" s="40">
        <f t="shared" si="4"/>
        <v>0</v>
      </c>
      <c r="K70" s="136"/>
      <c r="L70" s="135"/>
      <c r="M70" s="135"/>
      <c r="N70" s="114"/>
      <c r="O70" s="135"/>
      <c r="Q70" s="46">
        <v>44043</v>
      </c>
      <c r="R70" s="73"/>
      <c r="S70" s="138" t="s">
        <v>291</v>
      </c>
      <c r="T70" s="248">
        <v>368.63</v>
      </c>
      <c r="U70" s="163"/>
      <c r="V70" s="248">
        <f t="shared" si="5"/>
        <v>368.63</v>
      </c>
      <c r="W70" s="163"/>
      <c r="X70" s="163" t="s">
        <v>7</v>
      </c>
      <c r="Y70" s="73"/>
      <c r="Z70" s="114" t="s">
        <v>45</v>
      </c>
      <c r="AA70" s="177">
        <v>44085</v>
      </c>
      <c r="AB70" s="44"/>
      <c r="AC70" s="44"/>
      <c r="AD70" s="44"/>
      <c r="AE70" s="44"/>
      <c r="AF70" s="44"/>
      <c r="AG70" s="44"/>
      <c r="AH70" s="44"/>
    </row>
    <row r="71" spans="5:34" ht="15.75" customHeight="1" x14ac:dyDescent="0.35">
      <c r="E71" s="134"/>
      <c r="F71" s="134"/>
      <c r="G71" s="135"/>
      <c r="H71" s="136"/>
      <c r="I71" s="136"/>
      <c r="J71" s="40">
        <f t="shared" si="4"/>
        <v>0</v>
      </c>
      <c r="K71" s="136"/>
      <c r="L71" s="135"/>
      <c r="M71" s="135"/>
      <c r="N71" s="114"/>
      <c r="O71" s="135"/>
      <c r="Q71" s="46">
        <v>44043</v>
      </c>
      <c r="R71" s="73"/>
      <c r="S71" s="138" t="s">
        <v>292</v>
      </c>
      <c r="T71" s="248">
        <v>393.66</v>
      </c>
      <c r="U71" s="163"/>
      <c r="V71" s="282">
        <f t="shared" si="5"/>
        <v>393.66</v>
      </c>
      <c r="W71" s="260"/>
      <c r="X71" s="19" t="s">
        <v>7</v>
      </c>
      <c r="Y71" s="73"/>
      <c r="Z71" s="163"/>
      <c r="AA71" s="46"/>
      <c r="AB71" s="44"/>
      <c r="AC71" s="44"/>
      <c r="AD71" s="44"/>
      <c r="AE71" s="44"/>
      <c r="AF71" s="44"/>
      <c r="AG71" s="44"/>
      <c r="AH71" s="44"/>
    </row>
    <row r="72" spans="5:34" ht="15.75" customHeight="1" x14ac:dyDescent="0.35">
      <c r="E72" s="134"/>
      <c r="F72" s="134"/>
      <c r="G72" s="135"/>
      <c r="H72" s="136"/>
      <c r="I72" s="136"/>
      <c r="J72" s="40">
        <f t="shared" si="4"/>
        <v>0</v>
      </c>
      <c r="K72" s="136"/>
      <c r="L72" s="135"/>
      <c r="M72" s="135"/>
      <c r="N72" s="114"/>
      <c r="O72" s="135"/>
      <c r="Q72" s="252">
        <v>44046</v>
      </c>
      <c r="R72" s="73"/>
      <c r="S72" s="138" t="s">
        <v>293</v>
      </c>
      <c r="T72" s="253">
        <v>-86</v>
      </c>
      <c r="U72" s="116"/>
      <c r="V72" s="253">
        <f t="shared" si="5"/>
        <v>-86</v>
      </c>
      <c r="W72" s="116"/>
      <c r="X72" s="116" t="s">
        <v>8</v>
      </c>
      <c r="Y72" s="73"/>
      <c r="Z72" s="116"/>
      <c r="AA72" s="252"/>
      <c r="AB72" s="44"/>
      <c r="AC72" s="44"/>
      <c r="AD72" s="44"/>
      <c r="AE72" s="44"/>
      <c r="AF72" s="44"/>
      <c r="AG72" s="44"/>
      <c r="AH72" s="44"/>
    </row>
    <row r="73" spans="5:34" ht="15.75" customHeight="1" x14ac:dyDescent="0.35">
      <c r="E73" s="134"/>
      <c r="F73" s="134"/>
      <c r="G73" s="135"/>
      <c r="H73" s="136"/>
      <c r="I73" s="136"/>
      <c r="J73" s="40">
        <f t="shared" si="4"/>
        <v>0</v>
      </c>
      <c r="K73" s="136"/>
      <c r="L73" s="135"/>
      <c r="M73" s="135"/>
      <c r="N73" s="114"/>
      <c r="O73" s="135"/>
      <c r="Q73" s="46">
        <v>44046</v>
      </c>
      <c r="R73" s="73"/>
      <c r="S73" s="138" t="s">
        <v>294</v>
      </c>
      <c r="T73" s="248">
        <v>287.66000000000003</v>
      </c>
      <c r="U73" s="163"/>
      <c r="V73" s="298">
        <f t="shared" si="5"/>
        <v>287.66000000000003</v>
      </c>
      <c r="W73" s="163"/>
      <c r="X73" s="163" t="s">
        <v>8</v>
      </c>
      <c r="Y73" s="73"/>
      <c r="Z73" s="163"/>
      <c r="AA73" s="46"/>
      <c r="AB73" s="44"/>
      <c r="AC73" s="44"/>
      <c r="AD73" s="44"/>
      <c r="AE73" s="44"/>
      <c r="AF73" s="44"/>
      <c r="AG73" s="44"/>
      <c r="AH73" s="44"/>
    </row>
    <row r="74" spans="5:34" ht="15.75" customHeight="1" x14ac:dyDescent="0.35">
      <c r="E74" s="134"/>
      <c r="F74" s="134"/>
      <c r="G74" s="135"/>
      <c r="H74" s="136"/>
      <c r="I74" s="136"/>
      <c r="J74" s="40">
        <f t="shared" si="4"/>
        <v>0</v>
      </c>
      <c r="K74" s="136"/>
      <c r="L74" s="135"/>
      <c r="M74" s="135"/>
      <c r="N74" s="114"/>
      <c r="O74" s="135"/>
      <c r="Q74" s="252">
        <v>44046</v>
      </c>
      <c r="R74" s="73"/>
      <c r="S74" s="138" t="s">
        <v>295</v>
      </c>
      <c r="T74" s="253">
        <v>-153.66</v>
      </c>
      <c r="U74" s="116"/>
      <c r="V74" s="253">
        <f t="shared" si="5"/>
        <v>-153.66</v>
      </c>
      <c r="W74" s="116"/>
      <c r="X74" s="116" t="s">
        <v>8</v>
      </c>
      <c r="Y74" s="73"/>
      <c r="Z74" s="116"/>
      <c r="AA74" s="252"/>
      <c r="AB74" s="44"/>
      <c r="AC74" s="44"/>
      <c r="AD74" s="44"/>
      <c r="AE74" s="44"/>
      <c r="AF74" s="44"/>
      <c r="AG74" s="44"/>
      <c r="AH74" s="44"/>
    </row>
    <row r="75" spans="5:34" ht="15.75" customHeight="1" x14ac:dyDescent="0.35">
      <c r="E75" s="134"/>
      <c r="F75" s="134"/>
      <c r="G75" s="135"/>
      <c r="H75" s="136"/>
      <c r="I75" s="136"/>
      <c r="J75" s="40">
        <f t="shared" si="4"/>
        <v>0</v>
      </c>
      <c r="K75" s="136"/>
      <c r="L75" s="135"/>
      <c r="M75" s="135"/>
      <c r="N75" s="114"/>
      <c r="O75" s="135"/>
      <c r="Q75" s="46">
        <v>44051</v>
      </c>
      <c r="R75" s="73"/>
      <c r="S75" s="138" t="s">
        <v>296</v>
      </c>
      <c r="T75" s="248">
        <v>14.97</v>
      </c>
      <c r="U75" s="163">
        <v>1.27</v>
      </c>
      <c r="V75" s="248">
        <f t="shared" si="5"/>
        <v>16.240000000000002</v>
      </c>
      <c r="W75" s="163"/>
      <c r="X75" s="163" t="s">
        <v>8</v>
      </c>
      <c r="Y75" s="73"/>
      <c r="Z75" s="163"/>
      <c r="AA75" s="46"/>
      <c r="AB75" s="44"/>
      <c r="AC75" s="44"/>
      <c r="AD75" s="44"/>
      <c r="AE75" s="44"/>
      <c r="AF75" s="44"/>
      <c r="AG75" s="44"/>
      <c r="AH75" s="44"/>
    </row>
    <row r="76" spans="5:34" ht="15.75" customHeight="1" x14ac:dyDescent="0.35">
      <c r="E76" s="134"/>
      <c r="F76" s="134"/>
      <c r="G76" s="135"/>
      <c r="H76" s="136"/>
      <c r="I76" s="136"/>
      <c r="J76" s="40">
        <f t="shared" si="4"/>
        <v>0</v>
      </c>
      <c r="K76" s="136"/>
      <c r="L76" s="135"/>
      <c r="M76" s="135"/>
      <c r="N76" s="114"/>
      <c r="O76" s="135"/>
      <c r="Q76" s="46">
        <v>44053</v>
      </c>
      <c r="R76" s="73"/>
      <c r="S76" s="138" t="s">
        <v>297</v>
      </c>
      <c r="T76" s="248">
        <v>95.2</v>
      </c>
      <c r="U76" s="163"/>
      <c r="V76" s="298">
        <f t="shared" si="5"/>
        <v>95.2</v>
      </c>
      <c r="W76" s="163"/>
      <c r="X76" s="163" t="s">
        <v>8</v>
      </c>
      <c r="Y76" s="73"/>
      <c r="Z76" s="163"/>
      <c r="AA76" s="46"/>
      <c r="AB76" s="44"/>
      <c r="AC76" s="44"/>
      <c r="AD76" s="44"/>
      <c r="AE76" s="44"/>
      <c r="AF76" s="44"/>
      <c r="AG76" s="44"/>
      <c r="AH76" s="44"/>
    </row>
    <row r="77" spans="5:34" ht="15.75" customHeight="1" x14ac:dyDescent="0.35">
      <c r="E77" s="134"/>
      <c r="F77" s="134"/>
      <c r="G77" s="135"/>
      <c r="H77" s="136"/>
      <c r="I77" s="136"/>
      <c r="J77" s="40">
        <f t="shared" si="4"/>
        <v>0</v>
      </c>
      <c r="K77" s="136"/>
      <c r="L77" s="135"/>
      <c r="M77" s="135"/>
      <c r="N77" s="114"/>
      <c r="O77" s="135"/>
      <c r="Q77" s="46">
        <v>44055</v>
      </c>
      <c r="R77" s="73"/>
      <c r="S77" s="138" t="s">
        <v>298</v>
      </c>
      <c r="T77" s="248">
        <v>385.88</v>
      </c>
      <c r="U77" s="163"/>
      <c r="V77" s="298">
        <f t="shared" si="5"/>
        <v>385.88</v>
      </c>
      <c r="W77" s="163"/>
      <c r="X77" s="163" t="s">
        <v>8</v>
      </c>
      <c r="Y77" s="73"/>
      <c r="Z77" s="163"/>
      <c r="AA77" s="46"/>
      <c r="AB77" s="44"/>
      <c r="AC77" s="44"/>
      <c r="AD77" s="44"/>
      <c r="AE77" s="44"/>
      <c r="AF77" s="44"/>
      <c r="AG77" s="44"/>
      <c r="AH77" s="44"/>
    </row>
    <row r="78" spans="5:34" ht="15.75" customHeight="1" x14ac:dyDescent="0.35">
      <c r="E78" s="134"/>
      <c r="F78" s="134"/>
      <c r="G78" s="135"/>
      <c r="H78" s="136"/>
      <c r="I78" s="136"/>
      <c r="J78" s="40">
        <f t="shared" si="4"/>
        <v>0</v>
      </c>
      <c r="K78" s="136"/>
      <c r="L78" s="135"/>
      <c r="M78" s="135"/>
      <c r="N78" s="114"/>
      <c r="O78" s="135"/>
      <c r="Q78" s="46">
        <v>44055</v>
      </c>
      <c r="R78" s="73"/>
      <c r="S78" s="138" t="s">
        <v>299</v>
      </c>
      <c r="T78" s="248">
        <v>259</v>
      </c>
      <c r="U78" s="163"/>
      <c r="V78" s="248">
        <f t="shared" si="5"/>
        <v>259</v>
      </c>
      <c r="W78" s="163"/>
      <c r="X78" s="163" t="s">
        <v>8</v>
      </c>
      <c r="Y78" s="73"/>
      <c r="Z78" s="163"/>
      <c r="AA78" s="46"/>
      <c r="AB78" s="44"/>
      <c r="AC78" s="44"/>
      <c r="AD78" s="44"/>
      <c r="AE78" s="44"/>
      <c r="AF78" s="44"/>
      <c r="AG78" s="44"/>
      <c r="AH78" s="44"/>
    </row>
    <row r="79" spans="5:34" ht="15.75" customHeight="1" x14ac:dyDescent="0.35">
      <c r="E79" s="134"/>
      <c r="F79" s="134"/>
      <c r="G79" s="135"/>
      <c r="H79" s="136"/>
      <c r="I79" s="136"/>
      <c r="J79" s="40">
        <f t="shared" si="4"/>
        <v>0</v>
      </c>
      <c r="K79" s="136"/>
      <c r="L79" s="135"/>
      <c r="M79" s="135"/>
      <c r="N79" s="114"/>
      <c r="O79" s="135"/>
      <c r="Q79" s="46">
        <v>44057</v>
      </c>
      <c r="R79" s="73"/>
      <c r="S79" s="138" t="s">
        <v>300</v>
      </c>
      <c r="T79" s="248">
        <v>15</v>
      </c>
      <c r="U79" s="163"/>
      <c r="V79" s="248">
        <f t="shared" si="5"/>
        <v>15</v>
      </c>
      <c r="W79" s="163"/>
      <c r="X79" s="163" t="s">
        <v>8</v>
      </c>
      <c r="Y79" s="73"/>
      <c r="Z79" s="163" t="s">
        <v>45</v>
      </c>
      <c r="AA79" s="46">
        <v>44057</v>
      </c>
      <c r="AB79" s="44"/>
      <c r="AC79" s="44"/>
      <c r="AD79" s="44"/>
      <c r="AE79" s="44"/>
      <c r="AF79" s="44"/>
      <c r="AG79" s="44"/>
      <c r="AH79" s="44"/>
    </row>
    <row r="80" spans="5:34" ht="15.75" customHeight="1" x14ac:dyDescent="0.35">
      <c r="E80" s="134"/>
      <c r="F80" s="134"/>
      <c r="G80" s="135"/>
      <c r="H80" s="136"/>
      <c r="I80" s="136"/>
      <c r="J80" s="40">
        <f t="shared" si="4"/>
        <v>0</v>
      </c>
      <c r="K80" s="136"/>
      <c r="L80" s="135"/>
      <c r="M80" s="135"/>
      <c r="N80" s="114"/>
      <c r="O80" s="135"/>
      <c r="Q80" s="46">
        <v>44062</v>
      </c>
      <c r="R80" s="73"/>
      <c r="S80" s="138" t="s">
        <v>301</v>
      </c>
      <c r="T80" s="248">
        <v>696.4</v>
      </c>
      <c r="U80" s="163"/>
      <c r="V80" s="248">
        <f t="shared" si="5"/>
        <v>696.4</v>
      </c>
      <c r="W80" s="163"/>
      <c r="X80" s="163" t="s">
        <v>8</v>
      </c>
      <c r="Y80" s="73"/>
      <c r="Z80" s="163"/>
      <c r="AA80" s="46"/>
      <c r="AB80" s="44"/>
      <c r="AC80" s="44"/>
      <c r="AD80" s="44"/>
      <c r="AE80" s="44"/>
      <c r="AF80" s="44"/>
      <c r="AG80" s="44"/>
      <c r="AH80" s="44"/>
    </row>
    <row r="81" spans="5:34" ht="15.75" customHeight="1" x14ac:dyDescent="0.35">
      <c r="E81" s="134"/>
      <c r="F81" s="134"/>
      <c r="G81" s="135"/>
      <c r="H81" s="136"/>
      <c r="I81" s="136"/>
      <c r="J81" s="40">
        <f t="shared" si="4"/>
        <v>0</v>
      </c>
      <c r="K81" s="136"/>
      <c r="L81" s="135"/>
      <c r="M81" s="135"/>
      <c r="N81" s="114"/>
      <c r="O81" s="135"/>
      <c r="Q81" s="46">
        <v>44069</v>
      </c>
      <c r="R81" s="73"/>
      <c r="S81" s="138" t="s">
        <v>302</v>
      </c>
      <c r="T81" s="248">
        <v>87.79</v>
      </c>
      <c r="U81" s="163">
        <v>1.61</v>
      </c>
      <c r="V81" s="248">
        <f t="shared" si="5"/>
        <v>89.4</v>
      </c>
      <c r="W81" s="163"/>
      <c r="X81" s="163" t="s">
        <v>8</v>
      </c>
      <c r="Y81" s="73"/>
      <c r="Z81" s="163"/>
      <c r="AA81" s="46"/>
      <c r="AB81" s="44"/>
      <c r="AC81" s="44"/>
      <c r="AD81" s="44"/>
      <c r="AE81" s="44"/>
      <c r="AF81" s="44"/>
      <c r="AG81" s="44"/>
      <c r="AH81" s="44"/>
    </row>
    <row r="82" spans="5:34" ht="15.75" customHeight="1" x14ac:dyDescent="0.35">
      <c r="E82" s="134"/>
      <c r="F82" s="134"/>
      <c r="G82" s="135"/>
      <c r="H82" s="136"/>
      <c r="I82" s="136"/>
      <c r="J82" s="40">
        <f t="shared" si="4"/>
        <v>0</v>
      </c>
      <c r="K82" s="136"/>
      <c r="L82" s="135"/>
      <c r="M82" s="135"/>
      <c r="N82" s="114"/>
      <c r="O82" s="135"/>
      <c r="Q82" s="46">
        <v>44074</v>
      </c>
      <c r="R82" s="73"/>
      <c r="S82" s="138" t="s">
        <v>303</v>
      </c>
      <c r="T82" s="248">
        <v>457</v>
      </c>
      <c r="U82" s="163">
        <v>38.85</v>
      </c>
      <c r="V82" s="248">
        <f t="shared" si="5"/>
        <v>495.85</v>
      </c>
      <c r="W82" s="163"/>
      <c r="X82" s="163" t="s">
        <v>8</v>
      </c>
      <c r="Y82" s="73"/>
      <c r="Z82" s="163"/>
      <c r="AA82" s="46"/>
      <c r="AB82" s="44"/>
      <c r="AC82" s="44"/>
      <c r="AD82" s="44"/>
      <c r="AE82" s="44"/>
      <c r="AF82" s="44"/>
      <c r="AG82" s="44"/>
      <c r="AH82" s="44"/>
    </row>
    <row r="83" spans="5:34" ht="15.75" customHeight="1" x14ac:dyDescent="0.35">
      <c r="E83" s="134"/>
      <c r="F83" s="134"/>
      <c r="G83" s="135"/>
      <c r="H83" s="136"/>
      <c r="I83" s="136"/>
      <c r="J83" s="40">
        <f t="shared" si="4"/>
        <v>0</v>
      </c>
      <c r="K83" s="136"/>
      <c r="L83" s="135"/>
      <c r="M83" s="135"/>
      <c r="N83" s="114"/>
      <c r="O83" s="135"/>
      <c r="Q83" s="46">
        <v>44076</v>
      </c>
      <c r="R83" s="73"/>
      <c r="S83" s="138" t="s">
        <v>304</v>
      </c>
      <c r="T83" s="248">
        <v>20.190000000000001</v>
      </c>
      <c r="U83" s="163">
        <v>1.72</v>
      </c>
      <c r="V83" s="248">
        <f t="shared" si="5"/>
        <v>21.91</v>
      </c>
      <c r="W83" s="163"/>
      <c r="X83" s="163" t="s">
        <v>9</v>
      </c>
      <c r="Y83" s="73"/>
      <c r="Z83" s="163"/>
      <c r="AA83" s="46"/>
      <c r="AB83" s="44"/>
      <c r="AC83" s="44"/>
      <c r="AD83" s="44"/>
      <c r="AE83" s="44"/>
      <c r="AF83" s="44"/>
      <c r="AG83" s="44"/>
      <c r="AH83" s="44"/>
    </row>
    <row r="84" spans="5:34" ht="15.75" customHeight="1" x14ac:dyDescent="0.35">
      <c r="E84" s="134"/>
      <c r="F84" s="134"/>
      <c r="G84" s="135"/>
      <c r="H84" s="136"/>
      <c r="I84" s="136"/>
      <c r="J84" s="40">
        <f t="shared" si="4"/>
        <v>0</v>
      </c>
      <c r="K84" s="136"/>
      <c r="L84" s="135"/>
      <c r="M84" s="135"/>
      <c r="N84" s="114"/>
      <c r="O84" s="135"/>
      <c r="Q84" s="46">
        <v>44077</v>
      </c>
      <c r="R84" s="73"/>
      <c r="S84" s="138" t="s">
        <v>305</v>
      </c>
      <c r="T84" s="248">
        <v>176.19</v>
      </c>
      <c r="U84" s="163"/>
      <c r="V84" s="248">
        <f t="shared" si="5"/>
        <v>176.19</v>
      </c>
      <c r="W84" s="163"/>
      <c r="X84" s="163" t="s">
        <v>9</v>
      </c>
      <c r="Y84" s="73"/>
      <c r="Z84" s="163"/>
      <c r="AA84" s="46"/>
      <c r="AB84" s="44"/>
      <c r="AC84" s="44"/>
      <c r="AD84" s="44"/>
      <c r="AE84" s="44"/>
      <c r="AF84" s="44"/>
      <c r="AG84" s="44"/>
      <c r="AH84" s="44"/>
    </row>
    <row r="85" spans="5:34" ht="15.75" customHeight="1" x14ac:dyDescent="0.35">
      <c r="E85" s="134"/>
      <c r="F85" s="134"/>
      <c r="G85" s="135"/>
      <c r="H85" s="136"/>
      <c r="I85" s="136"/>
      <c r="J85" s="40">
        <f t="shared" si="4"/>
        <v>0</v>
      </c>
      <c r="K85" s="136"/>
      <c r="L85" s="135"/>
      <c r="M85" s="135"/>
      <c r="N85" s="114"/>
      <c r="O85" s="135"/>
      <c r="Q85" s="46">
        <v>44077</v>
      </c>
      <c r="R85" s="73"/>
      <c r="S85" s="138" t="s">
        <v>306</v>
      </c>
      <c r="T85" s="248">
        <v>691.88</v>
      </c>
      <c r="U85" s="163">
        <v>3.19</v>
      </c>
      <c r="V85" s="248">
        <f t="shared" si="5"/>
        <v>695.07</v>
      </c>
      <c r="W85" s="163"/>
      <c r="X85" s="163" t="s">
        <v>9</v>
      </c>
      <c r="Y85" s="73"/>
      <c r="Z85" s="163"/>
      <c r="AA85" s="46"/>
      <c r="AB85" s="44"/>
      <c r="AC85" s="44"/>
      <c r="AD85" s="44"/>
      <c r="AE85" s="44"/>
      <c r="AF85" s="44"/>
      <c r="AG85" s="44"/>
      <c r="AH85" s="44"/>
    </row>
    <row r="86" spans="5:34" ht="15.75" customHeight="1" x14ac:dyDescent="0.35">
      <c r="E86" s="134"/>
      <c r="F86" s="134"/>
      <c r="G86" s="135"/>
      <c r="H86" s="136"/>
      <c r="I86" s="136"/>
      <c r="J86" s="40">
        <f t="shared" si="4"/>
        <v>0</v>
      </c>
      <c r="K86" s="136"/>
      <c r="L86" s="135"/>
      <c r="M86" s="135"/>
      <c r="N86" s="114"/>
      <c r="O86" s="135"/>
      <c r="Q86" s="46">
        <v>44077</v>
      </c>
      <c r="R86" s="73"/>
      <c r="S86" s="138" t="s">
        <v>307</v>
      </c>
      <c r="T86" s="248">
        <v>33</v>
      </c>
      <c r="U86" s="163"/>
      <c r="V86" s="248">
        <f t="shared" si="5"/>
        <v>33</v>
      </c>
      <c r="W86" s="163"/>
      <c r="X86" s="163" t="s">
        <v>9</v>
      </c>
      <c r="Y86" s="73"/>
      <c r="Z86" s="163"/>
      <c r="AA86" s="46"/>
      <c r="AB86" s="44"/>
      <c r="AC86" s="44"/>
      <c r="AD86" s="44"/>
      <c r="AE86" s="44"/>
      <c r="AF86" s="44"/>
      <c r="AG86" s="44"/>
      <c r="AH86" s="44"/>
    </row>
    <row r="87" spans="5:34" ht="15.75" customHeight="1" x14ac:dyDescent="0.35">
      <c r="E87" s="134"/>
      <c r="F87" s="134"/>
      <c r="G87" s="135"/>
      <c r="H87" s="136"/>
      <c r="I87" s="136"/>
      <c r="J87" s="40">
        <f t="shared" si="4"/>
        <v>0</v>
      </c>
      <c r="K87" s="136"/>
      <c r="L87" s="135"/>
      <c r="M87" s="135"/>
      <c r="N87" s="114"/>
      <c r="O87" s="135"/>
      <c r="Q87" s="46">
        <v>44082</v>
      </c>
      <c r="R87" s="73"/>
      <c r="S87" s="138" t="s">
        <v>308</v>
      </c>
      <c r="T87" s="248">
        <v>251.74</v>
      </c>
      <c r="U87" s="163"/>
      <c r="V87" s="248">
        <f t="shared" si="5"/>
        <v>251.74</v>
      </c>
      <c r="W87" s="163"/>
      <c r="X87" s="163" t="s">
        <v>9</v>
      </c>
      <c r="Y87" s="73"/>
      <c r="Z87" s="163"/>
      <c r="AA87" s="46"/>
      <c r="AB87" s="44"/>
      <c r="AC87" s="44"/>
      <c r="AD87" s="44"/>
      <c r="AE87" s="44"/>
      <c r="AF87" s="44"/>
      <c r="AG87" s="44"/>
      <c r="AH87" s="44"/>
    </row>
    <row r="88" spans="5:34" ht="15.75" customHeight="1" x14ac:dyDescent="0.35">
      <c r="E88" s="134"/>
      <c r="F88" s="134"/>
      <c r="G88" s="135"/>
      <c r="H88" s="136"/>
      <c r="I88" s="136"/>
      <c r="J88" s="40">
        <f t="shared" si="4"/>
        <v>0</v>
      </c>
      <c r="K88" s="136"/>
      <c r="L88" s="135"/>
      <c r="M88" s="135"/>
      <c r="N88" s="114"/>
      <c r="O88" s="135"/>
      <c r="Q88" s="46">
        <v>44085</v>
      </c>
      <c r="R88" s="73"/>
      <c r="S88" s="138" t="s">
        <v>309</v>
      </c>
      <c r="T88" s="248">
        <v>3.26</v>
      </c>
      <c r="U88" s="163"/>
      <c r="V88" s="248">
        <f t="shared" si="5"/>
        <v>3.26</v>
      </c>
      <c r="W88" s="163"/>
      <c r="X88" s="163" t="s">
        <v>9</v>
      </c>
      <c r="Y88" s="73"/>
      <c r="Z88" s="163"/>
      <c r="AA88" s="46"/>
      <c r="AB88" s="44"/>
      <c r="AC88" s="44"/>
      <c r="AD88" s="44"/>
      <c r="AE88" s="44"/>
      <c r="AF88" s="44"/>
      <c r="AG88" s="44"/>
      <c r="AH88" s="44"/>
    </row>
    <row r="89" spans="5:34" ht="15.75" customHeight="1" x14ac:dyDescent="0.35">
      <c r="E89" s="134"/>
      <c r="F89" s="134"/>
      <c r="G89" s="135"/>
      <c r="H89" s="136"/>
      <c r="I89" s="136"/>
      <c r="J89" s="40">
        <f t="shared" si="4"/>
        <v>0</v>
      </c>
      <c r="K89" s="136"/>
      <c r="L89" s="135"/>
      <c r="M89" s="135"/>
      <c r="N89" s="114"/>
      <c r="O89" s="135"/>
      <c r="Q89" s="46">
        <v>44089</v>
      </c>
      <c r="R89" s="73"/>
      <c r="S89" s="138" t="s">
        <v>310</v>
      </c>
      <c r="T89" s="248">
        <v>11.91</v>
      </c>
      <c r="U89" s="163"/>
      <c r="V89" s="248">
        <f t="shared" si="5"/>
        <v>11.91</v>
      </c>
      <c r="W89" s="163"/>
      <c r="X89" s="163" t="s">
        <v>9</v>
      </c>
      <c r="Y89" s="73"/>
      <c r="Z89" s="163" t="s">
        <v>45</v>
      </c>
      <c r="AA89" s="46">
        <v>44089</v>
      </c>
      <c r="AB89" s="44"/>
      <c r="AC89" s="44"/>
      <c r="AD89" s="44"/>
      <c r="AE89" s="44"/>
      <c r="AF89" s="44"/>
      <c r="AG89" s="44"/>
      <c r="AH89" s="44"/>
    </row>
    <row r="90" spans="5:34" ht="15.75" customHeight="1" x14ac:dyDescent="0.35">
      <c r="E90" s="134"/>
      <c r="F90" s="134"/>
      <c r="G90" s="135"/>
      <c r="H90" s="136"/>
      <c r="I90" s="136"/>
      <c r="J90" s="40">
        <f t="shared" si="4"/>
        <v>0</v>
      </c>
      <c r="K90" s="136"/>
      <c r="L90" s="135"/>
      <c r="M90" s="135"/>
      <c r="N90" s="114"/>
      <c r="O90" s="135"/>
      <c r="Q90" s="46">
        <v>44089</v>
      </c>
      <c r="R90" s="73"/>
      <c r="S90" s="138" t="s">
        <v>311</v>
      </c>
      <c r="T90" s="248">
        <v>677.53</v>
      </c>
      <c r="U90" s="163"/>
      <c r="V90" s="248">
        <f t="shared" si="5"/>
        <v>677.53</v>
      </c>
      <c r="W90" s="163"/>
      <c r="X90" s="163" t="s">
        <v>9</v>
      </c>
      <c r="Y90" s="73"/>
      <c r="Z90" s="163"/>
      <c r="AA90" s="46"/>
      <c r="AB90" s="44"/>
      <c r="AC90" s="44"/>
      <c r="AD90" s="44"/>
      <c r="AE90" s="44"/>
      <c r="AF90" s="44"/>
      <c r="AG90" s="44"/>
      <c r="AH90" s="44"/>
    </row>
    <row r="91" spans="5:34" ht="15.75" customHeight="1" x14ac:dyDescent="0.35">
      <c r="E91" s="134"/>
      <c r="F91" s="134"/>
      <c r="G91" s="135"/>
      <c r="H91" s="136"/>
      <c r="I91" s="136"/>
      <c r="J91" s="40">
        <f t="shared" si="4"/>
        <v>0</v>
      </c>
      <c r="K91" s="136"/>
      <c r="L91" s="135"/>
      <c r="M91" s="135"/>
      <c r="N91" s="114"/>
      <c r="O91" s="135"/>
      <c r="Q91" s="46">
        <v>44089</v>
      </c>
      <c r="R91" s="73"/>
      <c r="S91" s="138" t="s">
        <v>312</v>
      </c>
      <c r="T91" s="248">
        <v>3.72</v>
      </c>
      <c r="U91" s="163">
        <v>0.32</v>
      </c>
      <c r="V91" s="248">
        <f t="shared" si="5"/>
        <v>4.04</v>
      </c>
      <c r="W91" s="163"/>
      <c r="X91" s="163" t="s">
        <v>9</v>
      </c>
      <c r="Y91" s="73"/>
      <c r="Z91" s="163"/>
      <c r="AA91" s="46"/>
      <c r="AB91" s="44"/>
      <c r="AC91" s="44"/>
      <c r="AD91" s="44"/>
      <c r="AE91" s="44"/>
      <c r="AF91" s="44"/>
      <c r="AG91" s="44"/>
      <c r="AH91" s="44"/>
    </row>
    <row r="92" spans="5:34" ht="15.75" customHeight="1" x14ac:dyDescent="0.35">
      <c r="E92" s="134"/>
      <c r="F92" s="134"/>
      <c r="G92" s="135"/>
      <c r="H92" s="136"/>
      <c r="I92" s="136"/>
      <c r="J92" s="40">
        <f t="shared" si="4"/>
        <v>0</v>
      </c>
      <c r="K92" s="136"/>
      <c r="L92" s="135"/>
      <c r="M92" s="135"/>
      <c r="N92" s="114"/>
      <c r="O92" s="135"/>
      <c r="Q92" s="134">
        <v>44092</v>
      </c>
      <c r="R92" s="73"/>
      <c r="S92" s="138" t="s">
        <v>313</v>
      </c>
      <c r="T92" s="136">
        <v>340</v>
      </c>
      <c r="U92" s="163"/>
      <c r="V92" s="248">
        <f t="shared" si="5"/>
        <v>340</v>
      </c>
      <c r="W92" s="163"/>
      <c r="X92" s="163" t="s">
        <v>9</v>
      </c>
      <c r="Y92" s="73"/>
      <c r="Z92" s="163"/>
      <c r="AA92" s="46"/>
      <c r="AB92" s="44"/>
      <c r="AC92" s="44"/>
      <c r="AD92" s="44"/>
      <c r="AE92" s="44"/>
      <c r="AF92" s="44"/>
      <c r="AG92" s="44"/>
      <c r="AH92" s="44"/>
    </row>
    <row r="93" spans="5:34" ht="15.75" customHeight="1" x14ac:dyDescent="0.35">
      <c r="E93" s="134"/>
      <c r="F93" s="134"/>
      <c r="G93" s="135"/>
      <c r="H93" s="136"/>
      <c r="I93" s="136"/>
      <c r="J93" s="40">
        <f t="shared" si="4"/>
        <v>0</v>
      </c>
      <c r="K93" s="136"/>
      <c r="L93" s="135"/>
      <c r="M93" s="135"/>
      <c r="N93" s="114"/>
      <c r="O93" s="135"/>
      <c r="Q93" s="46">
        <v>44091</v>
      </c>
      <c r="R93" s="73"/>
      <c r="S93" s="138" t="s">
        <v>314</v>
      </c>
      <c r="T93" s="248">
        <v>5.0599999999999996</v>
      </c>
      <c r="U93" s="163"/>
      <c r="V93" s="248">
        <f t="shared" si="5"/>
        <v>5.0599999999999996</v>
      </c>
      <c r="W93" s="163"/>
      <c r="X93" s="163" t="s">
        <v>9</v>
      </c>
      <c r="Y93" s="73"/>
      <c r="Z93" s="163"/>
      <c r="AA93" s="46"/>
      <c r="AB93" s="44"/>
      <c r="AC93" s="44"/>
      <c r="AD93" s="44"/>
      <c r="AE93" s="44"/>
      <c r="AF93" s="44"/>
      <c r="AG93" s="44"/>
      <c r="AH93" s="44"/>
    </row>
    <row r="94" spans="5:34" ht="15.75" customHeight="1" x14ac:dyDescent="0.35">
      <c r="E94" s="134"/>
      <c r="F94" s="134"/>
      <c r="G94" s="135"/>
      <c r="H94" s="136"/>
      <c r="I94" s="136"/>
      <c r="J94" s="40">
        <f t="shared" si="4"/>
        <v>0</v>
      </c>
      <c r="K94" s="136"/>
      <c r="L94" s="135"/>
      <c r="M94" s="135"/>
      <c r="N94" s="114"/>
      <c r="O94" s="135"/>
      <c r="Q94" s="46">
        <v>44096</v>
      </c>
      <c r="R94" s="73"/>
      <c r="S94" s="138" t="s">
        <v>315</v>
      </c>
      <c r="T94" s="248">
        <v>104.44</v>
      </c>
      <c r="U94" s="163"/>
      <c r="V94" s="248">
        <f t="shared" si="5"/>
        <v>104.44</v>
      </c>
      <c r="W94" s="163"/>
      <c r="X94" s="163" t="s">
        <v>9</v>
      </c>
      <c r="Y94" s="73"/>
      <c r="Z94" s="163"/>
      <c r="AA94" s="46"/>
      <c r="AB94" s="44"/>
      <c r="AC94" s="44"/>
      <c r="AD94" s="44"/>
      <c r="AE94" s="44"/>
      <c r="AF94" s="44"/>
      <c r="AG94" s="44"/>
      <c r="AH94" s="44"/>
    </row>
    <row r="95" spans="5:34" ht="15.75" customHeight="1" x14ac:dyDescent="0.35">
      <c r="E95" s="134"/>
      <c r="F95" s="134"/>
      <c r="G95" s="135"/>
      <c r="H95" s="136"/>
      <c r="I95" s="136"/>
      <c r="J95" s="40">
        <f t="shared" si="4"/>
        <v>0</v>
      </c>
      <c r="K95" s="136"/>
      <c r="L95" s="135"/>
      <c r="M95" s="135"/>
      <c r="N95" s="114"/>
      <c r="O95" s="135"/>
      <c r="Q95" s="46">
        <v>44096</v>
      </c>
      <c r="R95" s="73"/>
      <c r="S95" s="138" t="s">
        <v>316</v>
      </c>
      <c r="T95" s="248">
        <v>130.08000000000001</v>
      </c>
      <c r="U95" s="163"/>
      <c r="V95" s="248">
        <f t="shared" si="5"/>
        <v>130.08000000000001</v>
      </c>
      <c r="W95" s="163"/>
      <c r="X95" s="163" t="s">
        <v>9</v>
      </c>
      <c r="Y95" s="73"/>
      <c r="Z95" s="163"/>
      <c r="AA95" s="46"/>
      <c r="AB95" s="44"/>
      <c r="AC95" s="44"/>
      <c r="AD95" s="44"/>
      <c r="AE95" s="44"/>
      <c r="AF95" s="44"/>
      <c r="AG95" s="44"/>
      <c r="AH95" s="44"/>
    </row>
    <row r="96" spans="5:34" ht="15.75" customHeight="1" x14ac:dyDescent="0.35">
      <c r="E96" s="134"/>
      <c r="F96" s="134"/>
      <c r="G96" s="135"/>
      <c r="H96" s="136"/>
      <c r="I96" s="136"/>
      <c r="J96" s="40">
        <f t="shared" si="4"/>
        <v>0</v>
      </c>
      <c r="K96" s="136"/>
      <c r="L96" s="135"/>
      <c r="M96" s="135"/>
      <c r="N96" s="114"/>
      <c r="O96" s="135"/>
      <c r="Q96" s="46">
        <v>44099</v>
      </c>
      <c r="R96" s="73"/>
      <c r="S96" s="138" t="s">
        <v>317</v>
      </c>
      <c r="T96" s="248">
        <v>245.08</v>
      </c>
      <c r="U96" s="163"/>
      <c r="V96" s="248">
        <f t="shared" si="5"/>
        <v>245.08</v>
      </c>
      <c r="W96" s="163"/>
      <c r="X96" s="163" t="s">
        <v>9</v>
      </c>
      <c r="Y96" s="73"/>
      <c r="Z96" s="163"/>
      <c r="AA96" s="163"/>
      <c r="AB96" s="44"/>
      <c r="AC96" s="44"/>
      <c r="AD96" s="44"/>
      <c r="AE96" s="44"/>
      <c r="AF96" s="44"/>
      <c r="AG96" s="44"/>
      <c r="AH96" s="44"/>
    </row>
    <row r="97" spans="3:34" ht="15.75" customHeight="1" x14ac:dyDescent="0.35">
      <c r="E97" s="134"/>
      <c r="F97" s="134"/>
      <c r="G97" s="135"/>
      <c r="H97" s="136"/>
      <c r="I97" s="136"/>
      <c r="J97" s="40">
        <f t="shared" si="4"/>
        <v>0</v>
      </c>
      <c r="K97" s="136"/>
      <c r="L97" s="135"/>
      <c r="M97" s="135"/>
      <c r="N97" s="114"/>
      <c r="O97" s="135"/>
      <c r="Q97" s="46">
        <v>44074</v>
      </c>
      <c r="R97" s="73"/>
      <c r="S97" s="138" t="s">
        <v>318</v>
      </c>
      <c r="T97" s="248">
        <v>457</v>
      </c>
      <c r="U97" s="163">
        <v>38.85</v>
      </c>
      <c r="V97" s="248">
        <f t="shared" si="5"/>
        <v>495.85</v>
      </c>
      <c r="W97" s="163"/>
      <c r="X97" s="163" t="s">
        <v>8</v>
      </c>
      <c r="Y97" s="73"/>
      <c r="Z97" s="163"/>
      <c r="AA97" s="46"/>
      <c r="AB97" s="44"/>
      <c r="AC97" s="44"/>
      <c r="AD97" s="44"/>
      <c r="AE97" s="44"/>
      <c r="AF97" s="44"/>
      <c r="AG97" s="44"/>
      <c r="AH97" s="44"/>
    </row>
    <row r="98" spans="3:34" ht="15.75" customHeight="1" x14ac:dyDescent="0.35">
      <c r="E98" s="134"/>
      <c r="F98" s="134"/>
      <c r="G98" s="135"/>
      <c r="H98" s="136"/>
      <c r="I98" s="136"/>
      <c r="J98" s="40">
        <f t="shared" si="4"/>
        <v>0</v>
      </c>
      <c r="K98" s="136"/>
      <c r="L98" s="135"/>
      <c r="M98" s="135"/>
      <c r="N98" s="114"/>
      <c r="O98" s="135"/>
      <c r="Q98" s="46">
        <v>44098</v>
      </c>
      <c r="R98" s="73"/>
      <c r="S98" s="138" t="s">
        <v>319</v>
      </c>
      <c r="T98" s="248">
        <v>494.05</v>
      </c>
      <c r="U98" s="163"/>
      <c r="V98" s="248">
        <f t="shared" si="5"/>
        <v>494.05</v>
      </c>
      <c r="W98" s="163"/>
      <c r="X98" s="163" t="s">
        <v>9</v>
      </c>
      <c r="Y98" s="73"/>
      <c r="Z98" s="163"/>
      <c r="AA98" s="163"/>
      <c r="AB98" s="44"/>
      <c r="AC98" s="44"/>
      <c r="AD98" s="44"/>
      <c r="AE98" s="44"/>
      <c r="AF98" s="44"/>
      <c r="AG98" s="44"/>
      <c r="AH98" s="44"/>
    </row>
    <row r="99" spans="3:34" ht="15.75" customHeight="1" x14ac:dyDescent="0.35">
      <c r="E99" s="134"/>
      <c r="F99" s="134"/>
      <c r="G99" s="135"/>
      <c r="H99" s="136"/>
      <c r="I99" s="136"/>
      <c r="J99" s="40">
        <f t="shared" si="4"/>
        <v>0</v>
      </c>
      <c r="K99" s="136"/>
      <c r="L99" s="135"/>
      <c r="M99" s="135"/>
      <c r="N99" s="114"/>
      <c r="O99" s="135"/>
      <c r="Q99" s="46">
        <v>44102</v>
      </c>
      <c r="R99" s="73"/>
      <c r="S99" s="138" t="s">
        <v>320</v>
      </c>
      <c r="T99" s="248">
        <v>219.36</v>
      </c>
      <c r="U99" s="163">
        <v>18.649999999999999</v>
      </c>
      <c r="V99" s="248">
        <f t="shared" si="5"/>
        <v>238.01000000000002</v>
      </c>
      <c r="W99" s="163"/>
      <c r="X99" s="163" t="s">
        <v>9</v>
      </c>
      <c r="Y99" s="73"/>
      <c r="Z99" s="163"/>
      <c r="AA99" s="163"/>
      <c r="AB99" s="44"/>
      <c r="AC99" s="44"/>
      <c r="AD99" s="44"/>
      <c r="AE99" s="44"/>
      <c r="AF99" s="44"/>
      <c r="AG99" s="44"/>
      <c r="AH99" s="44"/>
    </row>
    <row r="100" spans="3:34" ht="15.75" customHeight="1" x14ac:dyDescent="0.35">
      <c r="E100" s="134"/>
      <c r="F100" s="134"/>
      <c r="G100" s="135"/>
      <c r="H100" s="136"/>
      <c r="I100" s="136"/>
      <c r="J100" s="40">
        <f t="shared" si="4"/>
        <v>0</v>
      </c>
      <c r="K100" s="136"/>
      <c r="L100" s="135"/>
      <c r="M100" s="135"/>
      <c r="N100" s="114"/>
      <c r="O100" s="135"/>
      <c r="Q100" s="46">
        <v>44106</v>
      </c>
      <c r="R100" s="73"/>
      <c r="S100" s="138" t="s">
        <v>321</v>
      </c>
      <c r="T100" s="248">
        <v>165.76</v>
      </c>
      <c r="U100" s="163"/>
      <c r="V100" s="248">
        <f t="shared" si="5"/>
        <v>165.76</v>
      </c>
      <c r="W100" s="163"/>
      <c r="X100" s="163" t="s">
        <v>10</v>
      </c>
      <c r="Y100" s="73"/>
      <c r="Z100" s="163"/>
      <c r="AA100" s="163"/>
      <c r="AB100" s="44"/>
      <c r="AC100" s="44"/>
      <c r="AD100" s="44"/>
      <c r="AE100" s="44"/>
      <c r="AF100" s="44"/>
      <c r="AG100" s="44"/>
      <c r="AH100" s="44"/>
    </row>
    <row r="101" spans="3:34" ht="15.75" customHeight="1" x14ac:dyDescent="0.35">
      <c r="E101" s="134"/>
      <c r="F101" s="134"/>
      <c r="G101" s="135"/>
      <c r="H101" s="136"/>
      <c r="I101" s="136"/>
      <c r="J101" s="40">
        <f t="shared" ref="J101:J175" si="6">H101+I101</f>
        <v>0</v>
      </c>
      <c r="K101" s="136"/>
      <c r="L101" s="135"/>
      <c r="M101" s="135"/>
      <c r="N101" s="114"/>
      <c r="O101" s="135"/>
      <c r="Q101" s="46">
        <v>44105</v>
      </c>
      <c r="R101" s="73"/>
      <c r="S101" s="138" t="s">
        <v>322</v>
      </c>
      <c r="T101" s="248">
        <v>271.83999999999997</v>
      </c>
      <c r="U101" s="163"/>
      <c r="V101" s="248">
        <f t="shared" ref="V101:V176" si="7">T101+U101</f>
        <v>271.83999999999997</v>
      </c>
      <c r="W101" s="163"/>
      <c r="X101" s="163" t="s">
        <v>10</v>
      </c>
      <c r="Y101" s="73"/>
      <c r="Z101" s="163"/>
      <c r="AA101" s="163"/>
      <c r="AB101" s="44"/>
      <c r="AC101" s="44"/>
      <c r="AD101" s="44"/>
      <c r="AE101" s="44"/>
      <c r="AF101" s="44"/>
      <c r="AG101" s="44"/>
      <c r="AH101" s="44"/>
    </row>
    <row r="102" spans="3:34" ht="15.75" customHeight="1" x14ac:dyDescent="0.35">
      <c r="E102" s="134"/>
      <c r="F102" s="134"/>
      <c r="G102" s="135"/>
      <c r="H102" s="136"/>
      <c r="I102" s="136"/>
      <c r="J102" s="40">
        <f t="shared" si="6"/>
        <v>0</v>
      </c>
      <c r="K102" s="136"/>
      <c r="L102" s="135"/>
      <c r="M102" s="135"/>
      <c r="N102" s="114"/>
      <c r="O102" s="135"/>
      <c r="Q102" s="46">
        <v>44109</v>
      </c>
      <c r="R102" s="73"/>
      <c r="S102" s="138" t="s">
        <v>323</v>
      </c>
      <c r="T102" s="248">
        <v>194.2</v>
      </c>
      <c r="U102" s="163"/>
      <c r="V102" s="248">
        <f t="shared" si="7"/>
        <v>194.2</v>
      </c>
      <c r="W102" s="163"/>
      <c r="X102" s="163" t="s">
        <v>10</v>
      </c>
      <c r="Y102" s="73"/>
      <c r="Z102" s="163"/>
      <c r="AA102" s="163"/>
      <c r="AB102" s="44"/>
      <c r="AC102" s="44"/>
      <c r="AD102" s="44"/>
      <c r="AE102" s="44"/>
      <c r="AF102" s="44"/>
      <c r="AG102" s="44"/>
      <c r="AH102" s="44"/>
    </row>
    <row r="103" spans="3:34" ht="15.75" customHeight="1" x14ac:dyDescent="0.35">
      <c r="E103" s="134"/>
      <c r="F103" s="134"/>
      <c r="G103" s="135"/>
      <c r="H103" s="136"/>
      <c r="I103" s="136"/>
      <c r="J103" s="40">
        <f t="shared" si="6"/>
        <v>0</v>
      </c>
      <c r="K103" s="136"/>
      <c r="L103" s="135"/>
      <c r="M103" s="135"/>
      <c r="N103" s="114"/>
      <c r="O103" s="135"/>
      <c r="Q103" s="163"/>
      <c r="R103" s="73"/>
      <c r="S103" s="163"/>
      <c r="T103" s="248"/>
      <c r="U103" s="163"/>
      <c r="V103" s="248">
        <f t="shared" si="7"/>
        <v>0</v>
      </c>
      <c r="W103" s="163"/>
      <c r="X103" s="163"/>
      <c r="Y103" s="73"/>
      <c r="Z103" s="163"/>
      <c r="AA103" s="163"/>
      <c r="AB103" s="44"/>
      <c r="AC103" s="44"/>
      <c r="AD103" s="44"/>
      <c r="AE103" s="44"/>
      <c r="AF103" s="44"/>
      <c r="AG103" s="44"/>
      <c r="AH103" s="44"/>
    </row>
    <row r="104" spans="3:34" ht="15.75" customHeight="1" x14ac:dyDescent="0.35">
      <c r="E104" s="134"/>
      <c r="F104" s="134"/>
      <c r="G104" s="135"/>
      <c r="H104" s="136"/>
      <c r="I104" s="136"/>
      <c r="J104" s="40">
        <f t="shared" si="6"/>
        <v>0</v>
      </c>
      <c r="K104" s="136"/>
      <c r="L104" s="135"/>
      <c r="M104" s="135"/>
      <c r="N104" s="114"/>
      <c r="O104" s="135"/>
      <c r="Q104" s="163"/>
      <c r="R104" s="73"/>
      <c r="S104" s="163"/>
      <c r="T104" s="248"/>
      <c r="U104" s="163"/>
      <c r="V104" s="248">
        <f t="shared" si="7"/>
        <v>0</v>
      </c>
      <c r="W104" s="163"/>
      <c r="X104" s="163"/>
      <c r="Y104" s="73"/>
      <c r="Z104" s="163"/>
      <c r="AA104" s="163"/>
      <c r="AB104" s="44"/>
      <c r="AC104" s="44"/>
      <c r="AD104" s="44"/>
      <c r="AE104" s="44"/>
      <c r="AF104" s="44"/>
      <c r="AG104" s="44"/>
      <c r="AH104" s="44"/>
    </row>
    <row r="105" spans="3:34" ht="15.75" customHeight="1" x14ac:dyDescent="0.35">
      <c r="E105" s="134"/>
      <c r="F105" s="134"/>
      <c r="G105" s="135"/>
      <c r="H105" s="136"/>
      <c r="I105" s="136"/>
      <c r="J105" s="40">
        <f t="shared" si="6"/>
        <v>0</v>
      </c>
      <c r="K105" s="136"/>
      <c r="L105" s="135"/>
      <c r="M105" s="135"/>
      <c r="N105" s="114"/>
      <c r="O105" s="135"/>
      <c r="Q105" s="163"/>
      <c r="R105" s="73"/>
      <c r="S105" s="163"/>
      <c r="T105" s="248"/>
      <c r="U105" s="163"/>
      <c r="V105" s="248">
        <f t="shared" si="7"/>
        <v>0</v>
      </c>
      <c r="W105" s="163"/>
      <c r="X105" s="163"/>
      <c r="Y105" s="73"/>
      <c r="Z105" s="163"/>
      <c r="AA105" s="163"/>
      <c r="AB105" s="44"/>
      <c r="AC105" s="44"/>
      <c r="AD105" s="44"/>
      <c r="AE105" s="44"/>
      <c r="AF105" s="44"/>
      <c r="AG105" s="44"/>
      <c r="AH105" s="44"/>
    </row>
    <row r="106" spans="3:34" ht="15.75" customHeight="1" x14ac:dyDescent="0.35">
      <c r="E106" s="134"/>
      <c r="F106" s="134"/>
      <c r="G106" s="135"/>
      <c r="H106" s="136"/>
      <c r="I106" s="136"/>
      <c r="J106" s="40">
        <f t="shared" si="6"/>
        <v>0</v>
      </c>
      <c r="K106" s="136"/>
      <c r="L106" s="135"/>
      <c r="M106" s="135"/>
      <c r="N106" s="114"/>
      <c r="O106" s="135"/>
      <c r="Q106" s="163"/>
      <c r="R106" s="73"/>
      <c r="S106" s="163"/>
      <c r="T106" s="248"/>
      <c r="U106" s="163"/>
      <c r="V106" s="248">
        <f t="shared" si="7"/>
        <v>0</v>
      </c>
      <c r="W106" s="163"/>
      <c r="X106" s="163"/>
      <c r="Y106" s="73"/>
      <c r="Z106" s="163"/>
      <c r="AA106" s="163"/>
      <c r="AB106" s="44"/>
      <c r="AC106" s="44"/>
      <c r="AD106" s="44"/>
      <c r="AE106" s="44"/>
      <c r="AF106" s="44"/>
      <c r="AG106" s="44"/>
      <c r="AH106" s="44"/>
    </row>
    <row r="107" spans="3:34" ht="15.75" customHeight="1" x14ac:dyDescent="0.35">
      <c r="C107" s="367"/>
      <c r="E107" s="134"/>
      <c r="F107" s="134"/>
      <c r="G107" s="135"/>
      <c r="H107" s="136"/>
      <c r="I107" s="136"/>
      <c r="J107" s="40">
        <f t="shared" si="6"/>
        <v>0</v>
      </c>
      <c r="K107" s="136"/>
      <c r="L107" s="135"/>
      <c r="M107" s="135"/>
      <c r="N107" s="114"/>
      <c r="O107" s="135"/>
      <c r="Q107" s="18"/>
      <c r="R107" s="73"/>
      <c r="S107" s="39"/>
      <c r="T107" s="88"/>
      <c r="U107" s="88"/>
      <c r="V107" s="248">
        <f t="shared" si="7"/>
        <v>0</v>
      </c>
      <c r="W107" s="88"/>
      <c r="X107" s="39"/>
      <c r="Y107" s="73"/>
      <c r="Z107" s="39"/>
      <c r="AA107" s="89"/>
    </row>
    <row r="108" spans="3:34" ht="15.75" customHeight="1" x14ac:dyDescent="0.35">
      <c r="C108" s="367"/>
      <c r="E108" s="134"/>
      <c r="F108" s="134"/>
      <c r="G108" s="135"/>
      <c r="H108" s="136"/>
      <c r="I108" s="136"/>
      <c r="J108" s="40">
        <f t="shared" si="6"/>
        <v>0</v>
      </c>
      <c r="K108" s="136"/>
      <c r="L108" s="135"/>
      <c r="M108" s="135"/>
      <c r="N108" s="114"/>
      <c r="O108" s="135"/>
      <c r="Q108" s="18"/>
      <c r="R108" s="73"/>
      <c r="S108" s="39"/>
      <c r="T108" s="88"/>
      <c r="U108" s="88"/>
      <c r="V108" s="248">
        <f t="shared" si="7"/>
        <v>0</v>
      </c>
      <c r="W108" s="88"/>
      <c r="X108" s="39"/>
      <c r="Y108" s="73"/>
      <c r="Z108" s="39"/>
      <c r="AA108" s="89"/>
    </row>
    <row r="109" spans="3:34" ht="15.75" customHeight="1" x14ac:dyDescent="0.35">
      <c r="C109" s="367"/>
      <c r="E109" s="134"/>
      <c r="F109" s="134"/>
      <c r="G109" s="135"/>
      <c r="H109" s="136"/>
      <c r="I109" s="136"/>
      <c r="J109" s="40">
        <f t="shared" si="6"/>
        <v>0</v>
      </c>
      <c r="K109" s="136"/>
      <c r="L109" s="135"/>
      <c r="M109" s="135"/>
      <c r="N109" s="114"/>
      <c r="O109" s="135"/>
      <c r="Q109" s="18"/>
      <c r="R109" s="73"/>
      <c r="S109" s="39"/>
      <c r="T109" s="88"/>
      <c r="U109" s="88"/>
      <c r="V109" s="248">
        <f t="shared" si="7"/>
        <v>0</v>
      </c>
      <c r="W109" s="88"/>
      <c r="X109" s="39"/>
      <c r="Y109" s="73"/>
      <c r="Z109" s="39"/>
      <c r="AA109" s="89"/>
    </row>
    <row r="110" spans="3:34" ht="15.75" customHeight="1" x14ac:dyDescent="0.35">
      <c r="C110" s="367"/>
      <c r="E110" s="134"/>
      <c r="F110" s="134"/>
      <c r="G110" s="135"/>
      <c r="H110" s="136"/>
      <c r="I110" s="136"/>
      <c r="J110" s="40">
        <f t="shared" si="6"/>
        <v>0</v>
      </c>
      <c r="K110" s="136"/>
      <c r="L110" s="135"/>
      <c r="M110" s="135"/>
      <c r="N110" s="114"/>
      <c r="O110" s="135"/>
      <c r="Q110" s="18"/>
      <c r="R110" s="73"/>
      <c r="S110" s="39"/>
      <c r="T110" s="88"/>
      <c r="U110" s="88"/>
      <c r="V110" s="248">
        <f t="shared" si="7"/>
        <v>0</v>
      </c>
      <c r="W110" s="88"/>
      <c r="X110" s="39"/>
      <c r="Y110" s="73"/>
      <c r="Z110" s="39"/>
      <c r="AA110" s="89"/>
    </row>
    <row r="111" spans="3:34" ht="15.75" customHeight="1" x14ac:dyDescent="0.35">
      <c r="C111" s="367"/>
      <c r="E111" s="134"/>
      <c r="F111" s="134"/>
      <c r="G111" s="135"/>
      <c r="H111" s="136"/>
      <c r="I111" s="136"/>
      <c r="J111" s="40">
        <f t="shared" si="6"/>
        <v>0</v>
      </c>
      <c r="K111" s="136"/>
      <c r="L111" s="135"/>
      <c r="M111" s="135"/>
      <c r="N111" s="114"/>
      <c r="O111" s="135"/>
      <c r="Q111" s="18"/>
      <c r="R111" s="73"/>
      <c r="S111" s="39"/>
      <c r="T111" s="88"/>
      <c r="U111" s="88"/>
      <c r="V111" s="248">
        <f t="shared" si="7"/>
        <v>0</v>
      </c>
      <c r="W111" s="88"/>
      <c r="X111" s="39"/>
      <c r="Y111" s="73"/>
      <c r="Z111" s="39"/>
      <c r="AA111" s="89"/>
    </row>
    <row r="112" spans="3:34" ht="15.75" customHeight="1" x14ac:dyDescent="0.35">
      <c r="C112" s="367"/>
      <c r="E112" s="134"/>
      <c r="F112" s="134"/>
      <c r="G112" s="135"/>
      <c r="H112" s="136"/>
      <c r="I112" s="136"/>
      <c r="J112" s="40">
        <f t="shared" si="6"/>
        <v>0</v>
      </c>
      <c r="K112" s="136"/>
      <c r="L112" s="135"/>
      <c r="M112" s="135"/>
      <c r="N112" s="114"/>
      <c r="O112" s="135"/>
      <c r="Q112" s="18"/>
      <c r="R112" s="73"/>
      <c r="S112" s="39"/>
      <c r="T112" s="88"/>
      <c r="U112" s="88"/>
      <c r="V112" s="248">
        <f t="shared" si="7"/>
        <v>0</v>
      </c>
      <c r="W112" s="88"/>
      <c r="X112" s="39"/>
      <c r="Y112" s="73"/>
      <c r="Z112" s="39"/>
      <c r="AA112" s="89"/>
    </row>
    <row r="113" spans="3:27" ht="15.75" customHeight="1" x14ac:dyDescent="0.35">
      <c r="C113" s="367"/>
      <c r="E113" s="134"/>
      <c r="F113" s="134"/>
      <c r="G113" s="135"/>
      <c r="H113" s="136"/>
      <c r="I113" s="136"/>
      <c r="J113" s="40">
        <f t="shared" si="6"/>
        <v>0</v>
      </c>
      <c r="K113" s="136"/>
      <c r="L113" s="135"/>
      <c r="M113" s="135"/>
      <c r="N113" s="114"/>
      <c r="O113" s="135"/>
      <c r="Q113" s="18"/>
      <c r="R113" s="73"/>
      <c r="S113" s="39"/>
      <c r="T113" s="88"/>
      <c r="U113" s="88"/>
      <c r="V113" s="248">
        <f t="shared" si="7"/>
        <v>0</v>
      </c>
      <c r="W113" s="88"/>
      <c r="X113" s="39"/>
      <c r="Y113" s="73"/>
      <c r="Z113" s="39"/>
      <c r="AA113" s="89"/>
    </row>
    <row r="114" spans="3:27" ht="15.75" customHeight="1" x14ac:dyDescent="0.35">
      <c r="C114" s="367"/>
      <c r="E114" s="134"/>
      <c r="F114" s="134"/>
      <c r="G114" s="135"/>
      <c r="H114" s="136"/>
      <c r="I114" s="136"/>
      <c r="J114" s="40">
        <f t="shared" si="6"/>
        <v>0</v>
      </c>
      <c r="K114" s="136"/>
      <c r="L114" s="135"/>
      <c r="M114" s="135"/>
      <c r="N114" s="114"/>
      <c r="O114" s="135"/>
      <c r="Q114" s="18"/>
      <c r="R114" s="73"/>
      <c r="S114" s="39"/>
      <c r="T114" s="88"/>
      <c r="U114" s="88"/>
      <c r="V114" s="248">
        <f t="shared" si="7"/>
        <v>0</v>
      </c>
      <c r="W114" s="88"/>
      <c r="X114" s="39"/>
      <c r="Y114" s="73"/>
      <c r="Z114" s="39"/>
      <c r="AA114" s="89"/>
    </row>
    <row r="115" spans="3:27" ht="15.75" customHeight="1" x14ac:dyDescent="0.35">
      <c r="C115" s="367"/>
      <c r="E115" s="134"/>
      <c r="F115" s="134"/>
      <c r="G115" s="135"/>
      <c r="H115" s="136"/>
      <c r="I115" s="136"/>
      <c r="J115" s="40">
        <f t="shared" si="6"/>
        <v>0</v>
      </c>
      <c r="K115" s="136"/>
      <c r="L115" s="135"/>
      <c r="M115" s="135"/>
      <c r="N115" s="114"/>
      <c r="O115" s="135"/>
      <c r="Q115" s="18"/>
      <c r="R115" s="73"/>
      <c r="S115" s="39"/>
      <c r="T115" s="88"/>
      <c r="U115" s="88"/>
      <c r="V115" s="248">
        <f t="shared" si="7"/>
        <v>0</v>
      </c>
      <c r="W115" s="88"/>
      <c r="X115" s="39"/>
      <c r="Y115" s="73"/>
      <c r="Z115" s="39"/>
      <c r="AA115" s="89"/>
    </row>
    <row r="116" spans="3:27" ht="15.75" customHeight="1" x14ac:dyDescent="0.35">
      <c r="C116" s="367"/>
      <c r="E116" s="134"/>
      <c r="F116" s="134"/>
      <c r="G116" s="135"/>
      <c r="H116" s="136"/>
      <c r="I116" s="136"/>
      <c r="J116" s="40">
        <f t="shared" si="6"/>
        <v>0</v>
      </c>
      <c r="K116" s="136"/>
      <c r="L116" s="135"/>
      <c r="M116" s="135"/>
      <c r="N116" s="114"/>
      <c r="O116" s="135"/>
      <c r="Q116" s="18"/>
      <c r="R116" s="73"/>
      <c r="S116" s="39"/>
      <c r="T116" s="88"/>
      <c r="U116" s="88"/>
      <c r="V116" s="248">
        <f t="shared" si="7"/>
        <v>0</v>
      </c>
      <c r="W116" s="88"/>
      <c r="X116" s="39"/>
      <c r="Y116" s="73"/>
      <c r="Z116" s="39"/>
      <c r="AA116" s="89"/>
    </row>
    <row r="117" spans="3:27" ht="15.75" customHeight="1" x14ac:dyDescent="0.35">
      <c r="C117" s="367"/>
      <c r="E117" s="134"/>
      <c r="F117" s="134"/>
      <c r="G117" s="135"/>
      <c r="H117" s="136"/>
      <c r="I117" s="136"/>
      <c r="J117" s="40">
        <f t="shared" si="6"/>
        <v>0</v>
      </c>
      <c r="K117" s="136"/>
      <c r="L117" s="135"/>
      <c r="M117" s="135"/>
      <c r="N117" s="114"/>
      <c r="O117" s="135"/>
      <c r="Q117" s="18"/>
      <c r="R117" s="73"/>
      <c r="S117" s="39"/>
      <c r="T117" s="88"/>
      <c r="U117" s="88"/>
      <c r="V117" s="248">
        <f t="shared" si="7"/>
        <v>0</v>
      </c>
      <c r="W117" s="88"/>
      <c r="X117" s="39"/>
      <c r="Y117" s="73"/>
      <c r="Z117" s="39"/>
      <c r="AA117" s="89"/>
    </row>
    <row r="118" spans="3:27" ht="15.75" customHeight="1" x14ac:dyDescent="0.35">
      <c r="C118" s="367"/>
      <c r="E118" s="134"/>
      <c r="F118" s="134"/>
      <c r="G118" s="135"/>
      <c r="H118" s="136"/>
      <c r="I118" s="136"/>
      <c r="J118" s="40">
        <f t="shared" si="6"/>
        <v>0</v>
      </c>
      <c r="K118" s="136"/>
      <c r="L118" s="135"/>
      <c r="M118" s="135"/>
      <c r="N118" s="114"/>
      <c r="O118" s="135"/>
      <c r="Q118" s="18"/>
      <c r="R118" s="73"/>
      <c r="S118" s="39"/>
      <c r="T118" s="88"/>
      <c r="U118" s="88"/>
      <c r="V118" s="248">
        <f t="shared" si="7"/>
        <v>0</v>
      </c>
      <c r="W118" s="88"/>
      <c r="X118" s="39"/>
      <c r="Y118" s="73"/>
      <c r="Z118" s="39"/>
      <c r="AA118" s="89"/>
    </row>
    <row r="119" spans="3:27" ht="15.75" customHeight="1" x14ac:dyDescent="0.35">
      <c r="C119" s="367"/>
      <c r="E119" s="134"/>
      <c r="F119" s="134"/>
      <c r="G119" s="135"/>
      <c r="H119" s="136"/>
      <c r="I119" s="136"/>
      <c r="J119" s="40">
        <f t="shared" si="6"/>
        <v>0</v>
      </c>
      <c r="K119" s="136"/>
      <c r="L119" s="135"/>
      <c r="M119" s="135"/>
      <c r="N119" s="114"/>
      <c r="O119" s="135"/>
      <c r="Q119" s="18"/>
      <c r="R119" s="73"/>
      <c r="S119" s="39"/>
      <c r="T119" s="88"/>
      <c r="U119" s="88"/>
      <c r="V119" s="248">
        <f t="shared" si="7"/>
        <v>0</v>
      </c>
      <c r="W119" s="88"/>
      <c r="X119" s="39"/>
      <c r="Y119" s="73"/>
      <c r="Z119" s="39"/>
      <c r="AA119" s="89"/>
    </row>
    <row r="120" spans="3:27" ht="15.75" customHeight="1" x14ac:dyDescent="0.35">
      <c r="C120" s="367"/>
      <c r="E120" s="134"/>
      <c r="F120" s="134"/>
      <c r="G120" s="135"/>
      <c r="H120" s="136"/>
      <c r="I120" s="136"/>
      <c r="J120" s="40">
        <f t="shared" si="6"/>
        <v>0</v>
      </c>
      <c r="K120" s="136"/>
      <c r="L120" s="135"/>
      <c r="M120" s="135"/>
      <c r="N120" s="114"/>
      <c r="O120" s="135"/>
      <c r="Q120" s="18"/>
      <c r="R120" s="73"/>
      <c r="S120" s="39"/>
      <c r="T120" s="88"/>
      <c r="U120" s="88"/>
      <c r="V120" s="248">
        <f t="shared" si="7"/>
        <v>0</v>
      </c>
      <c r="W120" s="88"/>
      <c r="X120" s="39"/>
      <c r="Y120" s="73"/>
      <c r="Z120" s="39"/>
      <c r="AA120" s="89"/>
    </row>
    <row r="121" spans="3:27" ht="15.75" customHeight="1" x14ac:dyDescent="0.35">
      <c r="C121" s="367"/>
      <c r="E121" s="134"/>
      <c r="F121" s="134"/>
      <c r="G121" s="135"/>
      <c r="H121" s="136"/>
      <c r="I121" s="136"/>
      <c r="J121" s="40">
        <f t="shared" si="6"/>
        <v>0</v>
      </c>
      <c r="K121" s="136"/>
      <c r="L121" s="135"/>
      <c r="M121" s="135"/>
      <c r="N121" s="114"/>
      <c r="O121" s="135"/>
      <c r="Q121" s="18"/>
      <c r="R121" s="73"/>
      <c r="S121" s="39"/>
      <c r="T121" s="88"/>
      <c r="U121" s="88"/>
      <c r="V121" s="248">
        <f t="shared" si="7"/>
        <v>0</v>
      </c>
      <c r="W121" s="88"/>
      <c r="X121" s="39"/>
      <c r="Y121" s="73"/>
      <c r="Z121" s="39"/>
      <c r="AA121" s="89"/>
    </row>
    <row r="122" spans="3:27" ht="15.75" customHeight="1" x14ac:dyDescent="0.35">
      <c r="C122" s="367"/>
      <c r="E122" s="134"/>
      <c r="F122" s="134"/>
      <c r="G122" s="135"/>
      <c r="H122" s="136"/>
      <c r="I122" s="136"/>
      <c r="J122" s="40">
        <f t="shared" si="6"/>
        <v>0</v>
      </c>
      <c r="K122" s="136"/>
      <c r="L122" s="135"/>
      <c r="M122" s="135"/>
      <c r="N122" s="114"/>
      <c r="O122" s="135"/>
      <c r="Q122" s="18"/>
      <c r="R122" s="73"/>
      <c r="S122" s="39"/>
      <c r="T122" s="88"/>
      <c r="U122" s="88"/>
      <c r="V122" s="248">
        <f t="shared" si="7"/>
        <v>0</v>
      </c>
      <c r="W122" s="88"/>
      <c r="X122" s="39"/>
      <c r="Y122" s="73"/>
      <c r="Z122" s="39"/>
      <c r="AA122" s="89"/>
    </row>
    <row r="123" spans="3:27" ht="15.75" customHeight="1" x14ac:dyDescent="0.35">
      <c r="C123" s="367"/>
      <c r="E123" s="134"/>
      <c r="F123" s="134"/>
      <c r="G123" s="135"/>
      <c r="H123" s="136"/>
      <c r="I123" s="136"/>
      <c r="J123" s="40">
        <f t="shared" si="6"/>
        <v>0</v>
      </c>
      <c r="K123" s="136"/>
      <c r="L123" s="135"/>
      <c r="M123" s="135"/>
      <c r="N123" s="114"/>
      <c r="O123" s="135"/>
      <c r="Q123" s="18"/>
      <c r="R123" s="73"/>
      <c r="S123" s="39"/>
      <c r="T123" s="88"/>
      <c r="U123" s="88"/>
      <c r="V123" s="248">
        <f t="shared" si="7"/>
        <v>0</v>
      </c>
      <c r="W123" s="88"/>
      <c r="X123" s="39"/>
      <c r="Y123" s="73"/>
      <c r="Z123" s="39"/>
      <c r="AA123" s="89"/>
    </row>
    <row r="124" spans="3:27" ht="15.75" customHeight="1" x14ac:dyDescent="0.35">
      <c r="C124" s="367"/>
      <c r="E124" s="134"/>
      <c r="F124" s="134"/>
      <c r="G124" s="135"/>
      <c r="H124" s="136"/>
      <c r="I124" s="136"/>
      <c r="J124" s="40">
        <f t="shared" si="6"/>
        <v>0</v>
      </c>
      <c r="K124" s="136"/>
      <c r="L124" s="135"/>
      <c r="M124" s="135"/>
      <c r="N124" s="114"/>
      <c r="O124" s="135"/>
      <c r="Q124" s="18"/>
      <c r="R124" s="73"/>
      <c r="S124" s="39"/>
      <c r="T124" s="88"/>
      <c r="U124" s="88"/>
      <c r="V124" s="248">
        <f t="shared" si="7"/>
        <v>0</v>
      </c>
      <c r="W124" s="88"/>
      <c r="X124" s="39"/>
      <c r="Y124" s="73"/>
      <c r="Z124" s="39"/>
      <c r="AA124" s="89"/>
    </row>
    <row r="125" spans="3:27" ht="15.75" customHeight="1" x14ac:dyDescent="0.35">
      <c r="C125" s="367"/>
      <c r="E125" s="134"/>
      <c r="F125" s="134"/>
      <c r="G125" s="135"/>
      <c r="H125" s="136"/>
      <c r="I125" s="136"/>
      <c r="J125" s="40">
        <f t="shared" si="6"/>
        <v>0</v>
      </c>
      <c r="K125" s="136"/>
      <c r="L125" s="135"/>
      <c r="M125" s="135"/>
      <c r="N125" s="114"/>
      <c r="O125" s="135"/>
      <c r="Q125" s="18"/>
      <c r="R125" s="73"/>
      <c r="S125" s="39"/>
      <c r="T125" s="88"/>
      <c r="U125" s="88"/>
      <c r="V125" s="248">
        <f t="shared" si="7"/>
        <v>0</v>
      </c>
      <c r="W125" s="88"/>
      <c r="X125" s="39"/>
      <c r="Y125" s="73"/>
      <c r="Z125" s="39"/>
      <c r="AA125" s="89"/>
    </row>
    <row r="126" spans="3:27" ht="15.75" customHeight="1" x14ac:dyDescent="0.35">
      <c r="C126" s="367"/>
      <c r="E126" s="134"/>
      <c r="F126" s="134"/>
      <c r="G126" s="135"/>
      <c r="H126" s="136"/>
      <c r="I126" s="136"/>
      <c r="J126" s="40">
        <f t="shared" si="6"/>
        <v>0</v>
      </c>
      <c r="K126" s="136"/>
      <c r="L126" s="135"/>
      <c r="M126" s="135"/>
      <c r="N126" s="114"/>
      <c r="O126" s="135"/>
      <c r="Q126" s="18"/>
      <c r="R126" s="73"/>
      <c r="S126" s="39"/>
      <c r="T126" s="88"/>
      <c r="U126" s="88"/>
      <c r="V126" s="248">
        <f t="shared" si="7"/>
        <v>0</v>
      </c>
      <c r="W126" s="88"/>
      <c r="X126" s="39"/>
      <c r="Y126" s="73"/>
      <c r="Z126" s="39"/>
      <c r="AA126" s="89"/>
    </row>
    <row r="127" spans="3:27" ht="15.75" customHeight="1" x14ac:dyDescent="0.35">
      <c r="C127" s="367"/>
      <c r="E127" s="134"/>
      <c r="F127" s="134"/>
      <c r="G127" s="135"/>
      <c r="H127" s="136"/>
      <c r="I127" s="136"/>
      <c r="J127" s="40">
        <f t="shared" si="6"/>
        <v>0</v>
      </c>
      <c r="K127" s="136"/>
      <c r="L127" s="135"/>
      <c r="M127" s="135"/>
      <c r="N127" s="114"/>
      <c r="O127" s="135"/>
      <c r="Q127" s="18"/>
      <c r="R127" s="73"/>
      <c r="S127" s="39"/>
      <c r="T127" s="88"/>
      <c r="U127" s="88"/>
      <c r="V127" s="248">
        <f t="shared" si="7"/>
        <v>0</v>
      </c>
      <c r="W127" s="88"/>
      <c r="X127" s="39"/>
      <c r="Y127" s="73"/>
      <c r="Z127" s="39"/>
      <c r="AA127" s="89"/>
    </row>
    <row r="128" spans="3:27" ht="15.75" customHeight="1" x14ac:dyDescent="0.35">
      <c r="C128" s="367"/>
      <c r="E128" s="134"/>
      <c r="F128" s="134"/>
      <c r="G128" s="135"/>
      <c r="H128" s="136"/>
      <c r="I128" s="136"/>
      <c r="J128" s="40">
        <f t="shared" si="6"/>
        <v>0</v>
      </c>
      <c r="K128" s="136"/>
      <c r="L128" s="135"/>
      <c r="M128" s="135"/>
      <c r="N128" s="114"/>
      <c r="O128" s="135"/>
      <c r="Q128" s="18"/>
      <c r="R128" s="73"/>
      <c r="S128" s="39"/>
      <c r="T128" s="88"/>
      <c r="U128" s="88"/>
      <c r="V128" s="248">
        <f t="shared" si="7"/>
        <v>0</v>
      </c>
      <c r="W128" s="88"/>
      <c r="X128" s="39"/>
      <c r="Y128" s="73"/>
      <c r="Z128" s="39"/>
      <c r="AA128" s="89"/>
    </row>
    <row r="129" spans="3:27" ht="15.75" customHeight="1" x14ac:dyDescent="0.35">
      <c r="C129" s="367"/>
      <c r="E129" s="134"/>
      <c r="F129" s="134"/>
      <c r="G129" s="135"/>
      <c r="H129" s="136"/>
      <c r="I129" s="136"/>
      <c r="J129" s="40">
        <f t="shared" si="6"/>
        <v>0</v>
      </c>
      <c r="K129" s="136"/>
      <c r="L129" s="135"/>
      <c r="M129" s="135"/>
      <c r="N129" s="114"/>
      <c r="O129" s="135"/>
      <c r="Q129" s="18"/>
      <c r="R129" s="73"/>
      <c r="S129" s="39"/>
      <c r="T129" s="88"/>
      <c r="U129" s="88"/>
      <c r="V129" s="248">
        <f t="shared" si="7"/>
        <v>0</v>
      </c>
      <c r="W129" s="88"/>
      <c r="X129" s="39"/>
      <c r="Y129" s="73"/>
      <c r="Z129" s="39"/>
      <c r="AA129" s="89"/>
    </row>
    <row r="130" spans="3:27" ht="15.75" customHeight="1" x14ac:dyDescent="0.35">
      <c r="C130" s="367"/>
      <c r="E130" s="134"/>
      <c r="F130" s="134"/>
      <c r="G130" s="135"/>
      <c r="H130" s="136"/>
      <c r="I130" s="136"/>
      <c r="J130" s="40">
        <f t="shared" si="6"/>
        <v>0</v>
      </c>
      <c r="K130" s="136"/>
      <c r="L130" s="135"/>
      <c r="M130" s="135"/>
      <c r="N130" s="114"/>
      <c r="O130" s="135"/>
      <c r="Q130" s="18"/>
      <c r="R130" s="73"/>
      <c r="S130" s="39"/>
      <c r="T130" s="88"/>
      <c r="U130" s="88"/>
      <c r="V130" s="248">
        <f t="shared" si="7"/>
        <v>0</v>
      </c>
      <c r="W130" s="88"/>
      <c r="X130" s="39"/>
      <c r="Y130" s="73"/>
      <c r="Z130" s="39"/>
      <c r="AA130" s="89"/>
    </row>
    <row r="131" spans="3:27" ht="15.75" customHeight="1" x14ac:dyDescent="0.35">
      <c r="C131" s="367"/>
      <c r="E131" s="134"/>
      <c r="F131" s="134"/>
      <c r="G131" s="135"/>
      <c r="H131" s="136"/>
      <c r="I131" s="136"/>
      <c r="J131" s="40">
        <f t="shared" si="6"/>
        <v>0</v>
      </c>
      <c r="K131" s="136"/>
      <c r="L131" s="135"/>
      <c r="M131" s="135"/>
      <c r="N131" s="114"/>
      <c r="O131" s="135"/>
      <c r="Q131" s="18"/>
      <c r="R131" s="73"/>
      <c r="S131" s="39"/>
      <c r="T131" s="88"/>
      <c r="U131" s="88"/>
      <c r="V131" s="248">
        <f t="shared" si="7"/>
        <v>0</v>
      </c>
      <c r="W131" s="88"/>
      <c r="X131" s="39"/>
      <c r="Y131" s="73"/>
      <c r="Z131" s="39"/>
      <c r="AA131" s="89"/>
    </row>
    <row r="132" spans="3:27" ht="15.75" customHeight="1" x14ac:dyDescent="0.35">
      <c r="C132" s="367"/>
      <c r="E132" s="134"/>
      <c r="F132" s="134"/>
      <c r="G132" s="135"/>
      <c r="H132" s="136"/>
      <c r="I132" s="136"/>
      <c r="J132" s="40">
        <f t="shared" si="6"/>
        <v>0</v>
      </c>
      <c r="K132" s="136"/>
      <c r="L132" s="135"/>
      <c r="M132" s="135"/>
      <c r="N132" s="114"/>
      <c r="O132" s="135"/>
      <c r="Q132" s="18"/>
      <c r="R132" s="73"/>
      <c r="S132" s="39"/>
      <c r="T132" s="88"/>
      <c r="U132" s="88"/>
      <c r="V132" s="248">
        <f t="shared" si="7"/>
        <v>0</v>
      </c>
      <c r="W132" s="88"/>
      <c r="X132" s="39"/>
      <c r="Y132" s="73"/>
      <c r="Z132" s="39"/>
      <c r="AA132" s="89"/>
    </row>
    <row r="133" spans="3:27" ht="15.75" customHeight="1" x14ac:dyDescent="0.35">
      <c r="C133" s="367"/>
      <c r="E133" s="134"/>
      <c r="F133" s="134"/>
      <c r="G133" s="135"/>
      <c r="H133" s="136"/>
      <c r="I133" s="136"/>
      <c r="J133" s="40">
        <f t="shared" si="6"/>
        <v>0</v>
      </c>
      <c r="K133" s="136"/>
      <c r="L133" s="135"/>
      <c r="M133" s="135"/>
      <c r="N133" s="114"/>
      <c r="O133" s="135"/>
      <c r="Q133" s="18"/>
      <c r="R133" s="73"/>
      <c r="S133" s="39"/>
      <c r="T133" s="88"/>
      <c r="U133" s="88"/>
      <c r="V133" s="248">
        <f t="shared" si="7"/>
        <v>0</v>
      </c>
      <c r="W133" s="88"/>
      <c r="X133" s="39"/>
      <c r="Y133" s="73"/>
      <c r="Z133" s="39"/>
      <c r="AA133" s="89"/>
    </row>
    <row r="134" spans="3:27" ht="15.75" customHeight="1" x14ac:dyDescent="0.35">
      <c r="C134" s="367"/>
      <c r="E134" s="134"/>
      <c r="F134" s="134"/>
      <c r="G134" s="135"/>
      <c r="H134" s="136"/>
      <c r="I134" s="136"/>
      <c r="J134" s="40">
        <f t="shared" si="6"/>
        <v>0</v>
      </c>
      <c r="K134" s="136"/>
      <c r="L134" s="135"/>
      <c r="M134" s="135"/>
      <c r="N134" s="114"/>
      <c r="O134" s="135"/>
      <c r="Q134" s="18"/>
      <c r="R134" s="73"/>
      <c r="S134" s="39"/>
      <c r="T134" s="88"/>
      <c r="U134" s="88"/>
      <c r="V134" s="248">
        <f t="shared" si="7"/>
        <v>0</v>
      </c>
      <c r="W134" s="88"/>
      <c r="X134" s="39"/>
      <c r="Y134" s="73"/>
      <c r="Z134" s="39"/>
      <c r="AA134" s="89"/>
    </row>
    <row r="135" spans="3:27" ht="15.75" customHeight="1" x14ac:dyDescent="0.35">
      <c r="C135" s="367"/>
      <c r="E135" s="134"/>
      <c r="F135" s="134"/>
      <c r="G135" s="135"/>
      <c r="H135" s="136"/>
      <c r="I135" s="136"/>
      <c r="J135" s="40">
        <f t="shared" si="6"/>
        <v>0</v>
      </c>
      <c r="K135" s="136"/>
      <c r="L135" s="135"/>
      <c r="M135" s="135"/>
      <c r="N135" s="114"/>
      <c r="O135" s="135"/>
      <c r="Q135" s="18"/>
      <c r="R135" s="73"/>
      <c r="S135" s="19"/>
      <c r="T135" s="17"/>
      <c r="U135" s="17"/>
      <c r="V135" s="248">
        <f t="shared" si="7"/>
        <v>0</v>
      </c>
      <c r="W135" s="17"/>
      <c r="X135" s="17"/>
      <c r="Y135" s="73"/>
      <c r="Z135" s="17"/>
      <c r="AA135" s="18"/>
    </row>
    <row r="136" spans="3:27" ht="15.75" customHeight="1" x14ac:dyDescent="0.35">
      <c r="C136" s="44"/>
      <c r="E136" s="134"/>
      <c r="F136" s="134"/>
      <c r="G136" s="135"/>
      <c r="H136" s="136"/>
      <c r="I136" s="136"/>
      <c r="J136" s="40">
        <f t="shared" si="6"/>
        <v>0</v>
      </c>
      <c r="K136" s="136"/>
      <c r="L136" s="135"/>
      <c r="M136" s="135"/>
      <c r="N136" s="114"/>
      <c r="O136" s="135"/>
      <c r="Q136" s="18"/>
      <c r="R136" s="73"/>
      <c r="S136" s="19"/>
      <c r="T136" s="17"/>
      <c r="U136" s="17"/>
      <c r="V136" s="248">
        <f t="shared" si="7"/>
        <v>0</v>
      </c>
      <c r="W136" s="17"/>
      <c r="X136" s="19"/>
      <c r="Y136" s="73"/>
      <c r="Z136" s="19"/>
      <c r="AA136" s="18"/>
    </row>
    <row r="137" spans="3:27" ht="15.75" customHeight="1" x14ac:dyDescent="0.35">
      <c r="C137" s="43"/>
      <c r="E137" s="134"/>
      <c r="F137" s="134"/>
      <c r="G137" s="135"/>
      <c r="H137" s="136"/>
      <c r="I137" s="136"/>
      <c r="J137" s="40">
        <f t="shared" si="6"/>
        <v>0</v>
      </c>
      <c r="K137" s="136"/>
      <c r="L137" s="135"/>
      <c r="M137" s="135"/>
      <c r="N137" s="114"/>
      <c r="O137" s="135"/>
      <c r="Q137" s="18"/>
      <c r="R137" s="73"/>
      <c r="S137" s="19"/>
      <c r="T137" s="17"/>
      <c r="U137" s="17"/>
      <c r="V137" s="248">
        <f t="shared" si="7"/>
        <v>0</v>
      </c>
      <c r="W137" s="17"/>
      <c r="X137" s="19"/>
      <c r="Y137" s="73"/>
      <c r="Z137" s="19"/>
      <c r="AA137" s="18"/>
    </row>
    <row r="138" spans="3:27" ht="15.75" customHeight="1" x14ac:dyDescent="0.35">
      <c r="C138" s="43"/>
      <c r="E138" s="134"/>
      <c r="F138" s="134"/>
      <c r="G138" s="135"/>
      <c r="H138" s="136"/>
      <c r="I138" s="136"/>
      <c r="J138" s="40">
        <f t="shared" si="6"/>
        <v>0</v>
      </c>
      <c r="K138" s="136"/>
      <c r="L138" s="135"/>
      <c r="M138" s="135"/>
      <c r="N138" s="114"/>
      <c r="O138" s="135"/>
      <c r="Q138" s="18"/>
      <c r="R138" s="73"/>
      <c r="S138" s="19"/>
      <c r="T138" s="17"/>
      <c r="U138" s="17"/>
      <c r="V138" s="248">
        <f t="shared" si="7"/>
        <v>0</v>
      </c>
      <c r="W138" s="17"/>
      <c r="X138" s="19"/>
      <c r="Y138" s="73"/>
      <c r="Z138" s="19"/>
      <c r="AA138" s="18"/>
    </row>
    <row r="139" spans="3:27" ht="15.75" customHeight="1" x14ac:dyDescent="0.35">
      <c r="C139" s="43"/>
      <c r="E139" s="134"/>
      <c r="F139" s="134"/>
      <c r="G139" s="135"/>
      <c r="H139" s="136"/>
      <c r="I139" s="136"/>
      <c r="J139" s="40">
        <f t="shared" si="6"/>
        <v>0</v>
      </c>
      <c r="K139" s="136"/>
      <c r="L139" s="135"/>
      <c r="M139" s="135"/>
      <c r="N139" s="114"/>
      <c r="O139" s="135"/>
      <c r="Q139" s="18"/>
      <c r="R139" s="73"/>
      <c r="S139" s="19"/>
      <c r="T139" s="17"/>
      <c r="U139" s="17"/>
      <c r="V139" s="248">
        <f t="shared" si="7"/>
        <v>0</v>
      </c>
      <c r="W139" s="17"/>
      <c r="X139" s="19"/>
      <c r="Y139" s="73"/>
      <c r="Z139" s="19"/>
      <c r="AA139" s="18"/>
    </row>
    <row r="140" spans="3:27" ht="15.75" customHeight="1" x14ac:dyDescent="0.35">
      <c r="C140" s="43"/>
      <c r="E140" s="134"/>
      <c r="F140" s="134"/>
      <c r="G140" s="135"/>
      <c r="H140" s="136"/>
      <c r="I140" s="136"/>
      <c r="J140" s="40">
        <f t="shared" si="6"/>
        <v>0</v>
      </c>
      <c r="K140" s="136"/>
      <c r="L140" s="135"/>
      <c r="M140" s="135"/>
      <c r="N140" s="114"/>
      <c r="O140" s="135"/>
      <c r="Q140" s="18"/>
      <c r="R140" s="73"/>
      <c r="S140" s="19"/>
      <c r="T140" s="17"/>
      <c r="U140" s="17"/>
      <c r="V140" s="248">
        <f t="shared" si="7"/>
        <v>0</v>
      </c>
      <c r="W140" s="17"/>
      <c r="X140" s="19"/>
      <c r="Y140" s="73"/>
      <c r="Z140" s="19"/>
      <c r="AA140" s="18"/>
    </row>
    <row r="141" spans="3:27" ht="15.75" customHeight="1" x14ac:dyDescent="0.35">
      <c r="C141" s="43"/>
      <c r="E141" s="134"/>
      <c r="F141" s="134"/>
      <c r="G141" s="135"/>
      <c r="H141" s="136"/>
      <c r="I141" s="136"/>
      <c r="J141" s="40">
        <f t="shared" si="6"/>
        <v>0</v>
      </c>
      <c r="K141" s="136"/>
      <c r="L141" s="135"/>
      <c r="M141" s="135"/>
      <c r="N141" s="114"/>
      <c r="O141" s="135"/>
      <c r="Q141" s="18"/>
      <c r="R141" s="73"/>
      <c r="S141" s="19"/>
      <c r="T141" s="17"/>
      <c r="U141" s="17"/>
      <c r="V141" s="248">
        <f t="shared" si="7"/>
        <v>0</v>
      </c>
      <c r="W141" s="17"/>
      <c r="X141" s="19"/>
      <c r="Y141" s="73"/>
      <c r="Z141" s="19"/>
      <c r="AA141" s="18"/>
    </row>
    <row r="142" spans="3:27" ht="15.75" customHeight="1" x14ac:dyDescent="0.35">
      <c r="C142" s="43"/>
      <c r="E142" s="134"/>
      <c r="F142" s="134"/>
      <c r="G142" s="135"/>
      <c r="H142" s="136"/>
      <c r="I142" s="136"/>
      <c r="J142" s="40">
        <f t="shared" si="6"/>
        <v>0</v>
      </c>
      <c r="K142" s="136"/>
      <c r="L142" s="135"/>
      <c r="M142" s="135"/>
      <c r="N142" s="114"/>
      <c r="O142" s="135"/>
      <c r="Q142" s="18"/>
      <c r="R142" s="73"/>
      <c r="S142" s="19"/>
      <c r="T142" s="17"/>
      <c r="U142" s="17"/>
      <c r="V142" s="248">
        <f t="shared" si="7"/>
        <v>0</v>
      </c>
      <c r="W142" s="17"/>
      <c r="X142" s="19"/>
      <c r="Y142" s="73"/>
      <c r="Z142" s="19"/>
      <c r="AA142" s="18"/>
    </row>
    <row r="143" spans="3:27" ht="15.75" customHeight="1" x14ac:dyDescent="0.35">
      <c r="C143" s="43"/>
      <c r="E143" s="134"/>
      <c r="F143" s="134"/>
      <c r="G143" s="135"/>
      <c r="H143" s="136"/>
      <c r="I143" s="136"/>
      <c r="J143" s="40">
        <f t="shared" si="6"/>
        <v>0</v>
      </c>
      <c r="K143" s="136"/>
      <c r="L143" s="135"/>
      <c r="M143" s="135"/>
      <c r="N143" s="114"/>
      <c r="O143" s="135"/>
      <c r="Q143" s="18"/>
      <c r="R143" s="73"/>
      <c r="S143" s="19"/>
      <c r="T143" s="17"/>
      <c r="U143" s="17"/>
      <c r="V143" s="248">
        <f t="shared" si="7"/>
        <v>0</v>
      </c>
      <c r="W143" s="17"/>
      <c r="X143" s="19"/>
      <c r="Y143" s="73"/>
      <c r="Z143" s="19"/>
      <c r="AA143" s="18"/>
    </row>
    <row r="144" spans="3:27" ht="15.75" customHeight="1" x14ac:dyDescent="0.35">
      <c r="C144" s="43"/>
      <c r="E144" s="134"/>
      <c r="F144" s="134"/>
      <c r="G144" s="135"/>
      <c r="H144" s="136"/>
      <c r="I144" s="136"/>
      <c r="J144" s="40">
        <f t="shared" si="6"/>
        <v>0</v>
      </c>
      <c r="K144" s="136"/>
      <c r="L144" s="135"/>
      <c r="M144" s="135"/>
      <c r="N144" s="114"/>
      <c r="O144" s="135"/>
      <c r="Q144" s="18"/>
      <c r="R144" s="73"/>
      <c r="S144" s="19"/>
      <c r="T144" s="17"/>
      <c r="U144" s="17"/>
      <c r="V144" s="248">
        <f t="shared" si="7"/>
        <v>0</v>
      </c>
      <c r="W144" s="17"/>
      <c r="X144" s="19"/>
      <c r="Y144" s="73"/>
      <c r="Z144" s="19"/>
      <c r="AA144" s="18"/>
    </row>
    <row r="145" spans="3:27" ht="15.75" customHeight="1" x14ac:dyDescent="0.35">
      <c r="C145" s="43"/>
      <c r="E145" s="134"/>
      <c r="F145" s="134"/>
      <c r="G145" s="135"/>
      <c r="H145" s="136"/>
      <c r="I145" s="136"/>
      <c r="J145" s="40">
        <f t="shared" si="6"/>
        <v>0</v>
      </c>
      <c r="K145" s="136"/>
      <c r="L145" s="135"/>
      <c r="M145" s="135"/>
      <c r="N145" s="114"/>
      <c r="O145" s="135"/>
      <c r="Q145" s="18"/>
      <c r="R145" s="73"/>
      <c r="S145" s="19"/>
      <c r="T145" s="17"/>
      <c r="U145" s="17"/>
      <c r="V145" s="248">
        <f t="shared" si="7"/>
        <v>0</v>
      </c>
      <c r="W145" s="17"/>
      <c r="X145" s="19"/>
      <c r="Y145" s="73"/>
      <c r="Z145" s="19"/>
      <c r="AA145" s="18"/>
    </row>
    <row r="146" spans="3:27" ht="15.75" customHeight="1" x14ac:dyDescent="0.35">
      <c r="C146" s="43"/>
      <c r="E146" s="134"/>
      <c r="F146" s="134"/>
      <c r="G146" s="135"/>
      <c r="H146" s="136"/>
      <c r="I146" s="136"/>
      <c r="J146" s="40">
        <f t="shared" si="6"/>
        <v>0</v>
      </c>
      <c r="K146" s="136"/>
      <c r="L146" s="135"/>
      <c r="M146" s="135"/>
      <c r="N146" s="114"/>
      <c r="O146" s="135"/>
      <c r="Q146" s="18"/>
      <c r="R146" s="73"/>
      <c r="S146" s="19"/>
      <c r="T146" s="17"/>
      <c r="U146" s="17"/>
      <c r="V146" s="248">
        <f t="shared" si="7"/>
        <v>0</v>
      </c>
      <c r="W146" s="17"/>
      <c r="X146" s="19"/>
      <c r="Y146" s="73"/>
      <c r="Z146" s="19"/>
      <c r="AA146" s="18"/>
    </row>
    <row r="147" spans="3:27" ht="15.75" customHeight="1" x14ac:dyDescent="0.35">
      <c r="C147" s="43"/>
      <c r="E147" s="134"/>
      <c r="F147" s="134"/>
      <c r="G147" s="135"/>
      <c r="H147" s="136"/>
      <c r="I147" s="136"/>
      <c r="J147" s="40">
        <f t="shared" si="6"/>
        <v>0</v>
      </c>
      <c r="K147" s="136"/>
      <c r="L147" s="135"/>
      <c r="M147" s="135"/>
      <c r="N147" s="114"/>
      <c r="O147" s="135"/>
      <c r="Q147" s="18"/>
      <c r="R147" s="73"/>
      <c r="S147" s="19"/>
      <c r="T147" s="17"/>
      <c r="U147" s="17"/>
      <c r="V147" s="248">
        <f t="shared" si="7"/>
        <v>0</v>
      </c>
      <c r="W147" s="17"/>
      <c r="X147" s="19"/>
      <c r="Y147" s="73"/>
      <c r="Z147" s="19"/>
      <c r="AA147" s="18"/>
    </row>
    <row r="148" spans="3:27" ht="15.75" customHeight="1" x14ac:dyDescent="0.35">
      <c r="C148" s="43"/>
      <c r="E148" s="134"/>
      <c r="F148" s="134"/>
      <c r="G148" s="135"/>
      <c r="H148" s="136"/>
      <c r="I148" s="136"/>
      <c r="J148" s="40">
        <f t="shared" si="6"/>
        <v>0</v>
      </c>
      <c r="K148" s="136"/>
      <c r="L148" s="135"/>
      <c r="M148" s="135"/>
      <c r="N148" s="114"/>
      <c r="O148" s="135"/>
      <c r="Q148" s="18"/>
      <c r="R148" s="73"/>
      <c r="S148" s="19"/>
      <c r="T148" s="17"/>
      <c r="U148" s="17"/>
      <c r="V148" s="248">
        <f t="shared" si="7"/>
        <v>0</v>
      </c>
      <c r="W148" s="17"/>
      <c r="X148" s="19"/>
      <c r="Y148" s="73"/>
      <c r="Z148" s="19"/>
      <c r="AA148" s="18"/>
    </row>
    <row r="149" spans="3:27" ht="15.75" customHeight="1" x14ac:dyDescent="0.35">
      <c r="C149" s="43"/>
      <c r="E149" s="134"/>
      <c r="F149" s="134"/>
      <c r="G149" s="135"/>
      <c r="H149" s="136"/>
      <c r="I149" s="136"/>
      <c r="J149" s="40">
        <f t="shared" si="6"/>
        <v>0</v>
      </c>
      <c r="K149" s="136"/>
      <c r="L149" s="135"/>
      <c r="M149" s="135"/>
      <c r="N149" s="114"/>
      <c r="O149" s="135"/>
      <c r="Q149" s="18"/>
      <c r="R149" s="73"/>
      <c r="S149" s="19"/>
      <c r="T149" s="17"/>
      <c r="U149" s="17"/>
      <c r="V149" s="248">
        <f t="shared" si="7"/>
        <v>0</v>
      </c>
      <c r="W149" s="17"/>
      <c r="X149" s="19"/>
      <c r="Y149" s="73"/>
      <c r="Z149" s="19"/>
      <c r="AA149" s="18"/>
    </row>
    <row r="150" spans="3:27" ht="15.75" customHeight="1" x14ac:dyDescent="0.35">
      <c r="C150" s="43"/>
      <c r="E150" s="134"/>
      <c r="F150" s="134"/>
      <c r="G150" s="135"/>
      <c r="H150" s="136"/>
      <c r="I150" s="136"/>
      <c r="J150" s="40">
        <f t="shared" si="6"/>
        <v>0</v>
      </c>
      <c r="K150" s="136"/>
      <c r="L150" s="135"/>
      <c r="M150" s="135"/>
      <c r="N150" s="114"/>
      <c r="O150" s="135"/>
      <c r="Q150" s="18"/>
      <c r="R150" s="73"/>
      <c r="S150" s="19"/>
      <c r="T150" s="17"/>
      <c r="U150" s="17"/>
      <c r="V150" s="248">
        <f t="shared" si="7"/>
        <v>0</v>
      </c>
      <c r="W150" s="17"/>
      <c r="X150" s="19"/>
      <c r="Y150" s="73"/>
      <c r="Z150" s="19"/>
      <c r="AA150" s="18"/>
    </row>
    <row r="151" spans="3:27" ht="15.75" customHeight="1" x14ac:dyDescent="0.35">
      <c r="C151" s="43"/>
      <c r="E151" s="134"/>
      <c r="F151" s="134"/>
      <c r="G151" s="135"/>
      <c r="H151" s="136"/>
      <c r="I151" s="136"/>
      <c r="J151" s="40">
        <f t="shared" si="6"/>
        <v>0</v>
      </c>
      <c r="K151" s="136"/>
      <c r="L151" s="135"/>
      <c r="M151" s="135"/>
      <c r="N151" s="114"/>
      <c r="O151" s="135"/>
      <c r="Q151" s="18"/>
      <c r="R151" s="73"/>
      <c r="S151" s="19"/>
      <c r="T151" s="17"/>
      <c r="U151" s="17"/>
      <c r="V151" s="248">
        <f t="shared" si="7"/>
        <v>0</v>
      </c>
      <c r="W151" s="17"/>
      <c r="X151" s="19"/>
      <c r="Y151" s="73"/>
      <c r="Z151" s="19"/>
      <c r="AA151" s="18"/>
    </row>
    <row r="152" spans="3:27" ht="15.75" customHeight="1" x14ac:dyDescent="0.35">
      <c r="C152" s="43"/>
      <c r="E152" s="134"/>
      <c r="F152" s="134"/>
      <c r="G152" s="135"/>
      <c r="H152" s="136"/>
      <c r="I152" s="136"/>
      <c r="J152" s="40">
        <f t="shared" si="6"/>
        <v>0</v>
      </c>
      <c r="K152" s="136"/>
      <c r="L152" s="135"/>
      <c r="M152" s="135"/>
      <c r="N152" s="114"/>
      <c r="O152" s="135"/>
      <c r="Q152" s="18"/>
      <c r="R152" s="73"/>
      <c r="S152" s="19"/>
      <c r="T152" s="17"/>
      <c r="U152" s="17"/>
      <c r="V152" s="248">
        <f t="shared" si="7"/>
        <v>0</v>
      </c>
      <c r="W152" s="17"/>
      <c r="X152" s="19"/>
      <c r="Y152" s="73"/>
      <c r="Z152" s="19"/>
      <c r="AA152" s="18"/>
    </row>
    <row r="153" spans="3:27" ht="15.75" customHeight="1" x14ac:dyDescent="0.35">
      <c r="C153" s="43"/>
      <c r="E153" s="134"/>
      <c r="F153" s="134"/>
      <c r="G153" s="135"/>
      <c r="H153" s="136"/>
      <c r="I153" s="136"/>
      <c r="J153" s="40">
        <f t="shared" si="6"/>
        <v>0</v>
      </c>
      <c r="K153" s="136"/>
      <c r="L153" s="135"/>
      <c r="M153" s="135"/>
      <c r="N153" s="114"/>
      <c r="O153" s="135"/>
      <c r="Q153" s="18"/>
      <c r="R153" s="73"/>
      <c r="S153" s="19"/>
      <c r="T153" s="17"/>
      <c r="U153" s="17"/>
      <c r="V153" s="248">
        <f t="shared" si="7"/>
        <v>0</v>
      </c>
      <c r="W153" s="17"/>
      <c r="X153" s="19"/>
      <c r="Y153" s="73"/>
      <c r="Z153" s="19"/>
      <c r="AA153" s="18"/>
    </row>
    <row r="154" spans="3:27" ht="15.75" customHeight="1" x14ac:dyDescent="0.35">
      <c r="C154" s="43"/>
      <c r="E154" s="134"/>
      <c r="F154" s="134"/>
      <c r="G154" s="135"/>
      <c r="H154" s="136"/>
      <c r="I154" s="136"/>
      <c r="J154" s="40">
        <f t="shared" si="6"/>
        <v>0</v>
      </c>
      <c r="K154" s="136"/>
      <c r="L154" s="135"/>
      <c r="M154" s="135"/>
      <c r="N154" s="114"/>
      <c r="O154" s="135"/>
      <c r="Q154" s="18"/>
      <c r="R154" s="73"/>
      <c r="S154" s="19"/>
      <c r="T154" s="17"/>
      <c r="U154" s="17"/>
      <c r="V154" s="248">
        <f t="shared" si="7"/>
        <v>0</v>
      </c>
      <c r="W154" s="17"/>
      <c r="X154" s="19"/>
      <c r="Y154" s="73"/>
      <c r="Z154" s="19"/>
      <c r="AA154" s="18"/>
    </row>
    <row r="155" spans="3:27" ht="15.75" customHeight="1" x14ac:dyDescent="0.35">
      <c r="C155" s="43"/>
      <c r="E155" s="134"/>
      <c r="F155" s="134"/>
      <c r="G155" s="135"/>
      <c r="H155" s="136"/>
      <c r="I155" s="136"/>
      <c r="J155" s="40">
        <f t="shared" si="6"/>
        <v>0</v>
      </c>
      <c r="K155" s="136"/>
      <c r="L155" s="135"/>
      <c r="M155" s="135"/>
      <c r="N155" s="114"/>
      <c r="O155" s="135"/>
      <c r="Q155" s="18"/>
      <c r="R155" s="73"/>
      <c r="S155" s="19"/>
      <c r="T155" s="17"/>
      <c r="U155" s="17"/>
      <c r="V155" s="248">
        <f t="shared" si="7"/>
        <v>0</v>
      </c>
      <c r="W155" s="17"/>
      <c r="X155" s="19"/>
      <c r="Y155" s="73"/>
      <c r="Z155" s="19"/>
      <c r="AA155" s="18"/>
    </row>
    <row r="156" spans="3:27" ht="15.75" customHeight="1" x14ac:dyDescent="0.35">
      <c r="C156" s="43"/>
      <c r="E156" s="134"/>
      <c r="F156" s="134"/>
      <c r="G156" s="135"/>
      <c r="H156" s="136"/>
      <c r="I156" s="136"/>
      <c r="J156" s="40">
        <f t="shared" si="6"/>
        <v>0</v>
      </c>
      <c r="K156" s="136"/>
      <c r="L156" s="135"/>
      <c r="M156" s="135"/>
      <c r="N156" s="114"/>
      <c r="O156" s="135"/>
      <c r="Q156" s="18"/>
      <c r="R156" s="73"/>
      <c r="S156" s="19"/>
      <c r="T156" s="17"/>
      <c r="U156" s="17"/>
      <c r="V156" s="248">
        <f t="shared" si="7"/>
        <v>0</v>
      </c>
      <c r="W156" s="17"/>
      <c r="X156" s="19"/>
      <c r="Y156" s="73"/>
      <c r="Z156" s="19"/>
      <c r="AA156" s="18"/>
    </row>
    <row r="157" spans="3:27" ht="15.75" customHeight="1" x14ac:dyDescent="0.35">
      <c r="C157" s="43"/>
      <c r="E157" s="134"/>
      <c r="F157" s="134"/>
      <c r="G157" s="135"/>
      <c r="H157" s="136"/>
      <c r="I157" s="136"/>
      <c r="J157" s="40">
        <f t="shared" si="6"/>
        <v>0</v>
      </c>
      <c r="K157" s="136"/>
      <c r="L157" s="135"/>
      <c r="M157" s="135"/>
      <c r="N157" s="114"/>
      <c r="O157" s="135"/>
      <c r="Q157" s="18"/>
      <c r="R157" s="73"/>
      <c r="S157" s="19"/>
      <c r="T157" s="17"/>
      <c r="U157" s="17"/>
      <c r="V157" s="248">
        <f t="shared" si="7"/>
        <v>0</v>
      </c>
      <c r="W157" s="17"/>
      <c r="X157" s="19"/>
      <c r="Y157" s="73"/>
      <c r="Z157" s="19"/>
      <c r="AA157" s="18"/>
    </row>
    <row r="158" spans="3:27" ht="15.75" customHeight="1" x14ac:dyDescent="0.35">
      <c r="C158" s="43"/>
      <c r="E158" s="134"/>
      <c r="F158" s="134"/>
      <c r="G158" s="135"/>
      <c r="H158" s="136"/>
      <c r="I158" s="136"/>
      <c r="J158" s="40">
        <f t="shared" si="6"/>
        <v>0</v>
      </c>
      <c r="K158" s="136"/>
      <c r="L158" s="135"/>
      <c r="M158" s="135"/>
      <c r="N158" s="114"/>
      <c r="O158" s="135"/>
      <c r="Q158" s="18"/>
      <c r="R158" s="73"/>
      <c r="S158" s="19"/>
      <c r="T158" s="17"/>
      <c r="U158" s="17"/>
      <c r="V158" s="248">
        <f t="shared" si="7"/>
        <v>0</v>
      </c>
      <c r="W158" s="17"/>
      <c r="X158" s="19"/>
      <c r="Y158" s="73"/>
      <c r="Z158" s="19"/>
      <c r="AA158" s="18"/>
    </row>
    <row r="159" spans="3:27" ht="15.75" customHeight="1" x14ac:dyDescent="0.35">
      <c r="C159" s="43"/>
      <c r="E159" s="134"/>
      <c r="F159" s="134"/>
      <c r="G159" s="135"/>
      <c r="H159" s="136"/>
      <c r="I159" s="136"/>
      <c r="J159" s="40">
        <f t="shared" si="6"/>
        <v>0</v>
      </c>
      <c r="K159" s="136"/>
      <c r="L159" s="135"/>
      <c r="M159" s="135"/>
      <c r="N159" s="114"/>
      <c r="O159" s="135"/>
      <c r="Q159" s="18"/>
      <c r="R159" s="73"/>
      <c r="S159" s="19"/>
      <c r="T159" s="17"/>
      <c r="U159" s="17"/>
      <c r="V159" s="248">
        <f t="shared" si="7"/>
        <v>0</v>
      </c>
      <c r="W159" s="17"/>
      <c r="X159" s="19"/>
      <c r="Y159" s="73"/>
      <c r="Z159" s="19"/>
      <c r="AA159" s="18"/>
    </row>
    <row r="160" spans="3:27" ht="15.75" customHeight="1" x14ac:dyDescent="0.35">
      <c r="C160" s="43"/>
      <c r="E160" s="134"/>
      <c r="F160" s="134"/>
      <c r="G160" s="135"/>
      <c r="H160" s="136"/>
      <c r="I160" s="136"/>
      <c r="J160" s="40">
        <f t="shared" si="6"/>
        <v>0</v>
      </c>
      <c r="K160" s="136"/>
      <c r="L160" s="135"/>
      <c r="M160" s="135"/>
      <c r="N160" s="114"/>
      <c r="O160" s="135"/>
      <c r="Q160" s="18"/>
      <c r="R160" s="73"/>
      <c r="S160" s="19"/>
      <c r="T160" s="17"/>
      <c r="U160" s="17"/>
      <c r="V160" s="248">
        <f t="shared" si="7"/>
        <v>0</v>
      </c>
      <c r="W160" s="17"/>
      <c r="X160" s="19"/>
      <c r="Y160" s="73"/>
      <c r="Z160" s="19"/>
      <c r="AA160" s="18"/>
    </row>
    <row r="161" spans="3:27" ht="15.75" customHeight="1" x14ac:dyDescent="0.35">
      <c r="C161" s="43"/>
      <c r="E161" s="134"/>
      <c r="F161" s="134"/>
      <c r="G161" s="135"/>
      <c r="H161" s="136"/>
      <c r="I161" s="136"/>
      <c r="J161" s="40">
        <f t="shared" si="6"/>
        <v>0</v>
      </c>
      <c r="K161" s="136"/>
      <c r="L161" s="135"/>
      <c r="M161" s="135"/>
      <c r="N161" s="114"/>
      <c r="O161" s="135"/>
      <c r="Q161" s="18"/>
      <c r="R161" s="73"/>
      <c r="S161" s="19"/>
      <c r="T161" s="17"/>
      <c r="U161" s="17"/>
      <c r="V161" s="248">
        <f t="shared" si="7"/>
        <v>0</v>
      </c>
      <c r="W161" s="17"/>
      <c r="X161" s="19"/>
      <c r="Y161" s="73"/>
      <c r="Z161" s="19"/>
      <c r="AA161" s="18"/>
    </row>
    <row r="162" spans="3:27" ht="15.75" customHeight="1" x14ac:dyDescent="0.35">
      <c r="C162" s="43"/>
      <c r="E162" s="134"/>
      <c r="F162" s="134"/>
      <c r="G162" s="135"/>
      <c r="H162" s="136"/>
      <c r="I162" s="136"/>
      <c r="J162" s="40">
        <f t="shared" si="6"/>
        <v>0</v>
      </c>
      <c r="K162" s="136"/>
      <c r="L162" s="135"/>
      <c r="M162" s="135"/>
      <c r="N162" s="114"/>
      <c r="O162" s="135"/>
      <c r="Q162" s="18"/>
      <c r="R162" s="73"/>
      <c r="S162" s="19"/>
      <c r="T162" s="17"/>
      <c r="U162" s="17"/>
      <c r="V162" s="248">
        <f t="shared" si="7"/>
        <v>0</v>
      </c>
      <c r="W162" s="17"/>
      <c r="X162" s="19"/>
      <c r="Y162" s="73"/>
      <c r="Z162" s="19"/>
      <c r="AA162" s="18"/>
    </row>
    <row r="163" spans="3:27" ht="15.75" customHeight="1" x14ac:dyDescent="0.35">
      <c r="C163" s="43"/>
      <c r="E163" s="134"/>
      <c r="F163" s="134"/>
      <c r="G163" s="135"/>
      <c r="H163" s="136"/>
      <c r="I163" s="136"/>
      <c r="J163" s="40">
        <f t="shared" si="6"/>
        <v>0</v>
      </c>
      <c r="K163" s="136"/>
      <c r="L163" s="135"/>
      <c r="M163" s="135"/>
      <c r="N163" s="114"/>
      <c r="O163" s="135"/>
      <c r="Q163" s="18"/>
      <c r="R163" s="73"/>
      <c r="S163" s="19"/>
      <c r="T163" s="17"/>
      <c r="U163" s="17"/>
      <c r="V163" s="248">
        <f t="shared" si="7"/>
        <v>0</v>
      </c>
      <c r="W163" s="17"/>
      <c r="X163" s="19"/>
      <c r="Y163" s="73"/>
      <c r="Z163" s="19"/>
      <c r="AA163" s="18"/>
    </row>
    <row r="164" spans="3:27" ht="15.75" customHeight="1" x14ac:dyDescent="0.35">
      <c r="C164" s="43"/>
      <c r="E164" s="134"/>
      <c r="F164" s="134"/>
      <c r="G164" s="135"/>
      <c r="H164" s="136"/>
      <c r="I164" s="136"/>
      <c r="J164" s="40">
        <f t="shared" si="6"/>
        <v>0</v>
      </c>
      <c r="K164" s="136"/>
      <c r="L164" s="135"/>
      <c r="M164" s="135"/>
      <c r="N164" s="114"/>
      <c r="O164" s="135"/>
      <c r="Q164" s="18"/>
      <c r="R164" s="73"/>
      <c r="S164" s="19"/>
      <c r="T164" s="17"/>
      <c r="U164" s="17"/>
      <c r="V164" s="248">
        <f t="shared" si="7"/>
        <v>0</v>
      </c>
      <c r="W164" s="17"/>
      <c r="X164" s="19"/>
      <c r="Y164" s="73"/>
      <c r="Z164" s="19"/>
      <c r="AA164" s="18"/>
    </row>
    <row r="165" spans="3:27" ht="15.75" customHeight="1" x14ac:dyDescent="0.35">
      <c r="C165" s="43"/>
      <c r="E165" s="134"/>
      <c r="F165" s="134"/>
      <c r="G165" s="135"/>
      <c r="H165" s="136"/>
      <c r="I165" s="136"/>
      <c r="J165" s="40">
        <f t="shared" si="6"/>
        <v>0</v>
      </c>
      <c r="K165" s="136"/>
      <c r="L165" s="135"/>
      <c r="M165" s="135"/>
      <c r="N165" s="114"/>
      <c r="O165" s="135"/>
      <c r="Q165" s="18"/>
      <c r="R165" s="73"/>
      <c r="S165" s="19"/>
      <c r="T165" s="17"/>
      <c r="U165" s="17"/>
      <c r="V165" s="248">
        <f t="shared" si="7"/>
        <v>0</v>
      </c>
      <c r="W165" s="17"/>
      <c r="X165" s="19"/>
      <c r="Y165" s="73"/>
      <c r="Z165" s="19"/>
      <c r="AA165" s="18"/>
    </row>
    <row r="166" spans="3:27" ht="15.75" customHeight="1" x14ac:dyDescent="0.35">
      <c r="C166" s="43"/>
      <c r="E166" s="134"/>
      <c r="F166" s="134"/>
      <c r="G166" s="135"/>
      <c r="H166" s="136"/>
      <c r="I166" s="136"/>
      <c r="J166" s="40">
        <f t="shared" si="6"/>
        <v>0</v>
      </c>
      <c r="K166" s="136"/>
      <c r="L166" s="135"/>
      <c r="M166" s="135"/>
      <c r="N166" s="114"/>
      <c r="O166" s="135"/>
      <c r="Q166" s="18"/>
      <c r="R166" s="73"/>
      <c r="S166" s="19"/>
      <c r="T166" s="17"/>
      <c r="U166" s="17"/>
      <c r="V166" s="248">
        <f t="shared" si="7"/>
        <v>0</v>
      </c>
      <c r="W166" s="17"/>
      <c r="X166" s="19"/>
      <c r="Y166" s="73"/>
      <c r="Z166" s="19"/>
      <c r="AA166" s="18"/>
    </row>
    <row r="167" spans="3:27" ht="15.75" customHeight="1" x14ac:dyDescent="0.35">
      <c r="C167" s="43"/>
      <c r="E167" s="134"/>
      <c r="F167" s="134"/>
      <c r="G167" s="135"/>
      <c r="H167" s="136"/>
      <c r="I167" s="136"/>
      <c r="J167" s="40">
        <f t="shared" si="6"/>
        <v>0</v>
      </c>
      <c r="K167" s="136"/>
      <c r="L167" s="135"/>
      <c r="M167" s="135"/>
      <c r="N167" s="114"/>
      <c r="O167" s="135"/>
      <c r="Q167" s="18"/>
      <c r="R167" s="73"/>
      <c r="S167" s="19"/>
      <c r="T167" s="17"/>
      <c r="U167" s="17"/>
      <c r="V167" s="248">
        <f t="shared" si="7"/>
        <v>0</v>
      </c>
      <c r="W167" s="17"/>
      <c r="X167" s="19"/>
      <c r="Y167" s="73"/>
      <c r="Z167" s="19"/>
      <c r="AA167" s="18"/>
    </row>
    <row r="168" spans="3:27" ht="15.75" customHeight="1" x14ac:dyDescent="0.35">
      <c r="C168" s="43"/>
      <c r="E168" s="134"/>
      <c r="F168" s="134"/>
      <c r="G168" s="135"/>
      <c r="H168" s="136"/>
      <c r="I168" s="136"/>
      <c r="J168" s="40">
        <f t="shared" si="6"/>
        <v>0</v>
      </c>
      <c r="K168" s="136"/>
      <c r="L168" s="135"/>
      <c r="M168" s="135"/>
      <c r="N168" s="114"/>
      <c r="O168" s="135"/>
      <c r="Q168" s="18"/>
      <c r="R168" s="73"/>
      <c r="S168" s="19"/>
      <c r="T168" s="17"/>
      <c r="U168" s="17"/>
      <c r="V168" s="248">
        <f t="shared" si="7"/>
        <v>0</v>
      </c>
      <c r="W168" s="17"/>
      <c r="X168" s="19"/>
      <c r="Y168" s="73"/>
      <c r="Z168" s="19"/>
      <c r="AA168" s="18"/>
    </row>
    <row r="169" spans="3:27" ht="15.75" customHeight="1" x14ac:dyDescent="0.35">
      <c r="C169" s="43"/>
      <c r="E169" s="134"/>
      <c r="F169" s="134"/>
      <c r="G169" s="135"/>
      <c r="H169" s="136"/>
      <c r="I169" s="136"/>
      <c r="J169" s="40">
        <f t="shared" si="6"/>
        <v>0</v>
      </c>
      <c r="K169" s="136"/>
      <c r="L169" s="135"/>
      <c r="M169" s="135"/>
      <c r="N169" s="114"/>
      <c r="O169" s="135"/>
      <c r="Q169" s="18"/>
      <c r="R169" s="73"/>
      <c r="S169" s="19"/>
      <c r="T169" s="17"/>
      <c r="U169" s="17"/>
      <c r="V169" s="248">
        <f t="shared" si="7"/>
        <v>0</v>
      </c>
      <c r="W169" s="17"/>
      <c r="X169" s="19"/>
      <c r="Y169" s="73"/>
      <c r="Z169" s="19"/>
      <c r="AA169" s="18"/>
    </row>
    <row r="170" spans="3:27" ht="15.75" customHeight="1" x14ac:dyDescent="0.35">
      <c r="C170" s="43"/>
      <c r="E170" s="134"/>
      <c r="F170" s="134"/>
      <c r="G170" s="135"/>
      <c r="H170" s="136"/>
      <c r="I170" s="136"/>
      <c r="J170" s="40">
        <f t="shared" si="6"/>
        <v>0</v>
      </c>
      <c r="K170" s="136"/>
      <c r="L170" s="135"/>
      <c r="M170" s="135"/>
      <c r="N170" s="114"/>
      <c r="O170" s="135"/>
      <c r="Q170" s="18"/>
      <c r="R170" s="73"/>
      <c r="S170" s="39"/>
      <c r="T170" s="17"/>
      <c r="U170" s="88"/>
      <c r="V170" s="248">
        <f t="shared" si="7"/>
        <v>0</v>
      </c>
      <c r="W170" s="88"/>
      <c r="X170" s="39"/>
      <c r="Y170" s="73"/>
      <c r="Z170" s="39"/>
      <c r="AA170" s="89"/>
    </row>
    <row r="171" spans="3:27" ht="15.75" customHeight="1" x14ac:dyDescent="0.35">
      <c r="E171" s="134"/>
      <c r="F171" s="134"/>
      <c r="G171" s="135"/>
      <c r="H171" s="136"/>
      <c r="I171" s="136"/>
      <c r="J171" s="40">
        <f t="shared" si="6"/>
        <v>0</v>
      </c>
      <c r="K171" s="136"/>
      <c r="L171" s="135"/>
      <c r="M171" s="135"/>
      <c r="N171" s="114"/>
      <c r="O171" s="135"/>
      <c r="Q171" s="18"/>
      <c r="R171" s="73"/>
      <c r="S171" s="19"/>
      <c r="T171" s="17"/>
      <c r="U171" s="17"/>
      <c r="V171" s="248">
        <f t="shared" si="7"/>
        <v>0</v>
      </c>
      <c r="W171" s="17"/>
      <c r="X171" s="19"/>
      <c r="Y171" s="73"/>
      <c r="Z171" s="19"/>
      <c r="AA171" s="18"/>
    </row>
    <row r="172" spans="3:27" ht="15.75" customHeight="1" x14ac:dyDescent="0.35">
      <c r="E172" s="134"/>
      <c r="F172" s="134"/>
      <c r="G172" s="135"/>
      <c r="H172" s="136"/>
      <c r="I172" s="136"/>
      <c r="J172" s="40">
        <f t="shared" si="6"/>
        <v>0</v>
      </c>
      <c r="K172" s="136"/>
      <c r="L172" s="135"/>
      <c r="M172" s="135"/>
      <c r="N172" s="114"/>
      <c r="O172" s="135"/>
      <c r="Q172" s="18"/>
      <c r="R172" s="73"/>
      <c r="S172" s="19"/>
      <c r="T172" s="17"/>
      <c r="U172" s="17"/>
      <c r="V172" s="248">
        <f t="shared" si="7"/>
        <v>0</v>
      </c>
      <c r="W172" s="17"/>
      <c r="X172" s="19"/>
      <c r="Y172" s="73"/>
      <c r="Z172" s="19"/>
      <c r="AA172" s="18"/>
    </row>
    <row r="173" spans="3:27" ht="15.75" customHeight="1" x14ac:dyDescent="0.35">
      <c r="E173" s="134"/>
      <c r="F173" s="134"/>
      <c r="G173" s="135"/>
      <c r="H173" s="136"/>
      <c r="I173" s="136"/>
      <c r="J173" s="40">
        <f t="shared" si="6"/>
        <v>0</v>
      </c>
      <c r="K173" s="136"/>
      <c r="L173" s="135"/>
      <c r="M173" s="135"/>
      <c r="N173" s="114"/>
      <c r="O173" s="135"/>
      <c r="Q173" s="18"/>
      <c r="R173" s="73"/>
      <c r="S173" s="37"/>
      <c r="T173" s="17"/>
      <c r="U173" s="17"/>
      <c r="V173" s="248">
        <f t="shared" si="7"/>
        <v>0</v>
      </c>
      <c r="W173" s="17"/>
      <c r="X173" s="17"/>
      <c r="Y173" s="73"/>
      <c r="Z173" s="17"/>
      <c r="AA173" s="18"/>
    </row>
    <row r="174" spans="3:27" ht="15.75" customHeight="1" x14ac:dyDescent="0.35">
      <c r="E174" s="72"/>
      <c r="F174" s="72"/>
      <c r="G174" s="135"/>
      <c r="H174" s="136"/>
      <c r="I174" s="136"/>
      <c r="J174" s="40">
        <f t="shared" si="6"/>
        <v>0</v>
      </c>
      <c r="K174" s="136"/>
      <c r="L174" s="135"/>
      <c r="M174" s="135"/>
      <c r="N174" s="114"/>
      <c r="O174" s="135"/>
      <c r="Q174" s="18"/>
      <c r="R174" s="73"/>
      <c r="S174" s="39"/>
      <c r="T174" s="17"/>
      <c r="U174" s="88"/>
      <c r="V174" s="248">
        <f t="shared" si="7"/>
        <v>0</v>
      </c>
      <c r="W174" s="88"/>
      <c r="X174" s="39"/>
      <c r="Y174" s="73"/>
      <c r="Z174" s="39"/>
      <c r="AA174" s="89"/>
    </row>
    <row r="175" spans="3:27" ht="15.75" customHeight="1" x14ac:dyDescent="0.35">
      <c r="E175" s="320"/>
      <c r="F175" s="320"/>
      <c r="G175" s="321"/>
      <c r="H175" s="145"/>
      <c r="I175" s="145"/>
      <c r="J175" s="322">
        <f t="shared" si="6"/>
        <v>0</v>
      </c>
      <c r="K175" s="145"/>
      <c r="L175" s="323"/>
      <c r="M175" s="323"/>
      <c r="N175" s="324"/>
      <c r="O175" s="323"/>
      <c r="Q175" s="163"/>
      <c r="R175" s="73"/>
      <c r="S175" s="163"/>
      <c r="T175" s="248"/>
      <c r="U175" s="163"/>
      <c r="V175" s="248">
        <f t="shared" si="7"/>
        <v>0</v>
      </c>
      <c r="W175" s="163"/>
      <c r="X175" s="163"/>
      <c r="Y175" s="73"/>
      <c r="Z175" s="163"/>
      <c r="AA175" s="46"/>
    </row>
    <row r="176" spans="3:27" ht="16.5" customHeight="1" x14ac:dyDescent="0.35">
      <c r="E176" s="310"/>
      <c r="F176" s="310"/>
      <c r="G176" s="310"/>
      <c r="H176" s="312">
        <f>SUBTOTAL(9,H5:H175)</f>
        <v>16849.740000000002</v>
      </c>
      <c r="I176" s="312">
        <f>SUBTOTAL(9,I5:I175)</f>
        <v>60.350000000000009</v>
      </c>
      <c r="J176" s="312">
        <f>SUBTOTAL(9,J5:J175)</f>
        <v>16910.090000000004</v>
      </c>
      <c r="K176" s="312">
        <f>SUBTOTAL(9,K5:K175)</f>
        <v>0</v>
      </c>
      <c r="L176" s="325"/>
      <c r="M176" s="325"/>
      <c r="N176" s="326"/>
      <c r="O176" s="326"/>
      <c r="Q176" s="314"/>
      <c r="R176" s="201"/>
      <c r="S176" s="314"/>
      <c r="T176" s="315"/>
      <c r="U176" s="314"/>
      <c r="V176" s="315">
        <f t="shared" si="7"/>
        <v>0</v>
      </c>
      <c r="W176" s="314"/>
      <c r="X176" s="314"/>
      <c r="Y176" s="73"/>
      <c r="Z176" s="314"/>
      <c r="AA176" s="316"/>
    </row>
    <row r="177" spans="9:27" ht="15" thickBot="1" x14ac:dyDescent="0.4">
      <c r="I177" s="22"/>
      <c r="Q177" s="310"/>
      <c r="R177" s="310"/>
      <c r="S177" s="310"/>
      <c r="T177" s="312">
        <f>SUBTOTAL(9,T5:T176)</f>
        <v>22748.47</v>
      </c>
      <c r="U177" s="312">
        <f>SUBTOTAL(9,U5:U176)</f>
        <v>256.66000000000003</v>
      </c>
      <c r="V177" s="312">
        <f>SUBTOTAL(9,V5:V176)</f>
        <v>23005.13</v>
      </c>
      <c r="W177" s="312">
        <f>SUBTOTAL(9,W5:W176)</f>
        <v>0</v>
      </c>
      <c r="X177" s="325"/>
      <c r="Y177" s="325"/>
      <c r="Z177" s="326"/>
      <c r="AA177" s="326"/>
    </row>
    <row r="178" spans="9:27" ht="15" thickTop="1" x14ac:dyDescent="0.35">
      <c r="S178" s="52"/>
      <c r="V178" s="182"/>
    </row>
    <row r="179" spans="9:27" x14ac:dyDescent="0.35">
      <c r="V179" s="182"/>
    </row>
    <row r="180" spans="9:27" x14ac:dyDescent="0.35">
      <c r="V180" s="182"/>
    </row>
    <row r="181" spans="9:27" x14ac:dyDescent="0.35">
      <c r="V181" s="182"/>
    </row>
    <row r="182" spans="9:27" x14ac:dyDescent="0.35">
      <c r="V182" s="182"/>
    </row>
    <row r="183" spans="9:27" x14ac:dyDescent="0.35">
      <c r="V183" s="182"/>
    </row>
    <row r="184" spans="9:27" x14ac:dyDescent="0.35">
      <c r="V184" s="33"/>
    </row>
  </sheetData>
  <autoFilter ref="E4:O175" xr:uid="{00000000-0009-0000-0000-000001000000}"/>
  <mergeCells count="6">
    <mergeCell ref="Q3:AA3"/>
    <mergeCell ref="B9:B15"/>
    <mergeCell ref="B4:B8"/>
    <mergeCell ref="C107:C135"/>
    <mergeCell ref="A3:B3"/>
    <mergeCell ref="E3:O3"/>
  </mergeCells>
  <phoneticPr fontId="38" type="noConversion"/>
  <conditionalFormatting sqref="E5:O175">
    <cfRule type="expression" dxfId="542" priority="2">
      <formula>$N5=""</formula>
    </cfRule>
  </conditionalFormatting>
  <conditionalFormatting sqref="Q5:AA176">
    <cfRule type="expression" dxfId="541" priority="1">
      <formula>$Z5=""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Tabelle3"/>
  <dimension ref="A1:AC86"/>
  <sheetViews>
    <sheetView showGridLines="0" topLeftCell="D1" zoomScale="80" zoomScaleNormal="80" workbookViewId="0">
      <selection activeCell="G5" sqref="G5:G56"/>
    </sheetView>
  </sheetViews>
  <sheetFormatPr baseColWidth="10" defaultRowHeight="14.5" x14ac:dyDescent="0.35"/>
  <cols>
    <col min="1" max="1" width="37" customWidth="1"/>
    <col min="2" max="2" width="17.453125" customWidth="1"/>
    <col min="3" max="3" width="20.1796875" customWidth="1"/>
    <col min="4" max="4" width="18.453125" customWidth="1"/>
    <col min="5" max="5" width="14.54296875" customWidth="1"/>
    <col min="6" max="6" width="17.81640625" bestFit="1" customWidth="1"/>
    <col min="7" max="7" width="19.453125" bestFit="1" customWidth="1"/>
    <col min="8" max="8" width="12.81640625" bestFit="1" customWidth="1"/>
    <col min="9" max="9" width="13.81640625" customWidth="1"/>
    <col min="10" max="11" width="12.81640625" bestFit="1" customWidth="1"/>
    <col min="12" max="12" width="13.453125" bestFit="1" customWidth="1"/>
    <col min="13" max="13" width="17.1796875" customWidth="1"/>
    <col min="14" max="14" width="10.81640625" bestFit="1" customWidth="1"/>
    <col min="15" max="15" width="13" bestFit="1" customWidth="1"/>
    <col min="16" max="16" width="12.81640625" bestFit="1" customWidth="1"/>
    <col min="17" max="17" width="17.7265625" bestFit="1" customWidth="1"/>
    <col min="18" max="18" width="23.54296875" customWidth="1"/>
    <col min="21" max="21" width="15.7265625" bestFit="1" customWidth="1"/>
  </cols>
  <sheetData>
    <row r="1" spans="1:29" x14ac:dyDescent="0.35"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</row>
    <row r="2" spans="1:29" ht="15" thickBot="1" x14ac:dyDescent="0.4"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</row>
    <row r="3" spans="1:29" ht="18.75" customHeight="1" thickBot="1" x14ac:dyDescent="0.5">
      <c r="A3" s="370" t="s">
        <v>48</v>
      </c>
      <c r="B3" s="369"/>
      <c r="D3" s="21"/>
      <c r="E3" s="359" t="s">
        <v>49</v>
      </c>
      <c r="F3" s="360"/>
      <c r="G3" s="360"/>
      <c r="H3" s="360"/>
      <c r="I3" s="360"/>
      <c r="J3" s="360"/>
      <c r="K3" s="360"/>
      <c r="L3" s="360"/>
      <c r="M3" s="360"/>
      <c r="N3" s="360"/>
      <c r="O3" s="360"/>
      <c r="P3" s="23"/>
      <c r="Q3" s="371"/>
      <c r="R3" s="371"/>
      <c r="S3" s="371"/>
      <c r="T3" s="371"/>
      <c r="U3" s="371"/>
      <c r="V3" s="371"/>
      <c r="W3" s="371"/>
      <c r="X3" s="371"/>
      <c r="Y3" s="371"/>
      <c r="Z3" s="23"/>
    </row>
    <row r="4" spans="1:29" ht="30.75" customHeight="1" thickBot="1" x14ac:dyDescent="0.4">
      <c r="A4" s="215" t="s">
        <v>27</v>
      </c>
      <c r="B4" s="372" t="s">
        <v>49</v>
      </c>
      <c r="D4" s="22"/>
      <c r="E4" s="303" t="s">
        <v>180</v>
      </c>
      <c r="F4" s="303" t="s">
        <v>181</v>
      </c>
      <c r="G4" s="71" t="s">
        <v>182</v>
      </c>
      <c r="H4" s="71" t="s">
        <v>34</v>
      </c>
      <c r="I4" s="71" t="s">
        <v>178</v>
      </c>
      <c r="J4" s="71" t="s">
        <v>179</v>
      </c>
      <c r="K4" s="71" t="s">
        <v>103</v>
      </c>
      <c r="L4" s="71" t="s">
        <v>37</v>
      </c>
      <c r="M4" s="71" t="s">
        <v>177</v>
      </c>
      <c r="N4" s="71" t="s">
        <v>44</v>
      </c>
      <c r="O4" s="71" t="s">
        <v>47</v>
      </c>
      <c r="P4" s="70"/>
      <c r="Q4" s="9"/>
      <c r="R4" s="9"/>
      <c r="S4" s="9"/>
      <c r="T4" s="9"/>
      <c r="U4" s="9"/>
      <c r="V4" s="9"/>
      <c r="W4" s="9"/>
      <c r="X4" s="70"/>
      <c r="Y4" s="70"/>
      <c r="Z4" s="23"/>
    </row>
    <row r="5" spans="1:29" ht="18.75" customHeight="1" thickBot="1" x14ac:dyDescent="0.4">
      <c r="A5" s="216" t="s">
        <v>26</v>
      </c>
      <c r="B5" s="372"/>
      <c r="E5" s="185">
        <v>43843</v>
      </c>
      <c r="F5" s="73"/>
      <c r="G5" s="11" t="s">
        <v>324</v>
      </c>
      <c r="H5" s="11">
        <v>1395</v>
      </c>
      <c r="I5" s="11"/>
      <c r="J5" s="186">
        <f t="shared" ref="J5:J7" si="0">H5+I5</f>
        <v>1395</v>
      </c>
      <c r="K5" s="11"/>
      <c r="L5" s="11" t="s">
        <v>1</v>
      </c>
      <c r="M5" s="73"/>
      <c r="N5" s="39" t="s">
        <v>45</v>
      </c>
      <c r="O5" s="69">
        <v>43986</v>
      </c>
      <c r="P5" s="61"/>
      <c r="Q5" s="59"/>
      <c r="R5" s="60"/>
      <c r="S5" s="55"/>
      <c r="T5" s="55"/>
      <c r="U5" s="55"/>
      <c r="V5" s="55"/>
      <c r="W5" s="60"/>
      <c r="X5" s="61"/>
      <c r="Y5" s="13"/>
      <c r="Z5" s="23"/>
    </row>
    <row r="6" spans="1:29" ht="18.75" customHeight="1" thickBot="1" x14ac:dyDescent="0.4">
      <c r="A6" s="217" t="s">
        <v>28</v>
      </c>
      <c r="B6" s="372"/>
      <c r="E6" s="185">
        <v>43846</v>
      </c>
      <c r="F6" s="73"/>
      <c r="G6" s="11" t="s">
        <v>325</v>
      </c>
      <c r="H6" s="11">
        <v>254.7</v>
      </c>
      <c r="I6" s="11"/>
      <c r="J6" s="186">
        <f t="shared" si="0"/>
        <v>254.7</v>
      </c>
      <c r="K6" s="11"/>
      <c r="L6" s="11" t="s">
        <v>1</v>
      </c>
      <c r="M6" s="73"/>
      <c r="N6" s="39" t="s">
        <v>45</v>
      </c>
      <c r="O6" s="69">
        <v>43986</v>
      </c>
      <c r="P6" s="61"/>
      <c r="Q6" s="59"/>
      <c r="R6" s="60"/>
      <c r="S6" s="55"/>
      <c r="T6" s="55"/>
      <c r="U6" s="55"/>
      <c r="V6" s="55"/>
      <c r="W6" s="60"/>
      <c r="X6" s="61"/>
      <c r="Y6" s="13"/>
      <c r="Z6" s="23"/>
    </row>
    <row r="7" spans="1:29" ht="18.75" customHeight="1" thickBot="1" x14ac:dyDescent="0.4">
      <c r="A7" s="216" t="s">
        <v>50</v>
      </c>
      <c r="B7" s="372"/>
      <c r="E7" s="134">
        <v>43847</v>
      </c>
      <c r="F7" s="73"/>
      <c r="G7" s="11" t="s">
        <v>326</v>
      </c>
      <c r="H7" s="135">
        <v>24879.53</v>
      </c>
      <c r="I7" s="135"/>
      <c r="J7" s="40">
        <f t="shared" si="0"/>
        <v>24879.53</v>
      </c>
      <c r="K7" s="135"/>
      <c r="L7" s="135" t="s">
        <v>1</v>
      </c>
      <c r="M7" s="73"/>
      <c r="N7" s="114" t="s">
        <v>56</v>
      </c>
      <c r="O7" s="137">
        <v>44018</v>
      </c>
      <c r="P7" s="61"/>
      <c r="Q7" s="59"/>
      <c r="R7" s="60"/>
      <c r="S7" s="55"/>
      <c r="T7" s="55"/>
      <c r="U7" s="55"/>
      <c r="V7" s="55"/>
      <c r="W7" s="60"/>
      <c r="X7" s="61"/>
      <c r="Y7" s="13"/>
      <c r="Z7" s="23"/>
    </row>
    <row r="8" spans="1:29" ht="18.75" customHeight="1" thickBot="1" x14ac:dyDescent="0.4">
      <c r="A8" s="218" t="s">
        <v>127</v>
      </c>
      <c r="B8" s="372"/>
      <c r="E8" s="185">
        <v>43851</v>
      </c>
      <c r="F8" s="73"/>
      <c r="G8" s="11" t="s">
        <v>327</v>
      </c>
      <c r="H8" s="186">
        <v>112.01</v>
      </c>
      <c r="I8" s="186"/>
      <c r="J8" s="186">
        <f t="shared" ref="J8:J45" si="1">H8+I8</f>
        <v>112.01</v>
      </c>
      <c r="K8" s="186"/>
      <c r="L8" s="138" t="s">
        <v>1</v>
      </c>
      <c r="M8" s="73"/>
      <c r="N8" s="196" t="s">
        <v>45</v>
      </c>
      <c r="O8" s="197">
        <v>43991</v>
      </c>
      <c r="P8" s="61"/>
      <c r="Q8" s="62"/>
      <c r="R8" s="60"/>
      <c r="S8" s="55"/>
      <c r="T8" s="55"/>
      <c r="U8" s="55"/>
      <c r="V8" s="55"/>
      <c r="W8" s="60"/>
      <c r="X8" s="23"/>
      <c r="Y8" s="13"/>
      <c r="Z8" s="23"/>
    </row>
    <row r="9" spans="1:29" ht="18.75" customHeight="1" x14ac:dyDescent="0.35">
      <c r="A9" s="90"/>
      <c r="B9" s="92"/>
      <c r="E9" s="185">
        <v>43851</v>
      </c>
      <c r="F9" s="73"/>
      <c r="G9" s="11" t="s">
        <v>328</v>
      </c>
      <c r="H9" s="11">
        <v>29.17</v>
      </c>
      <c r="I9" s="11"/>
      <c r="J9" s="186">
        <f t="shared" si="1"/>
        <v>29.17</v>
      </c>
      <c r="K9" s="11"/>
      <c r="L9" s="11" t="s">
        <v>1</v>
      </c>
      <c r="M9" s="73"/>
      <c r="N9" s="39" t="s">
        <v>45</v>
      </c>
      <c r="O9" s="69">
        <v>43986</v>
      </c>
      <c r="P9" s="61"/>
      <c r="Q9" s="59"/>
      <c r="R9" s="60"/>
      <c r="S9" s="55"/>
      <c r="T9" s="55"/>
      <c r="U9" s="55"/>
      <c r="V9" s="55"/>
      <c r="W9" s="60"/>
      <c r="X9" s="61"/>
      <c r="Y9" s="13"/>
      <c r="Z9" s="23"/>
    </row>
    <row r="10" spans="1:29" ht="15.75" customHeight="1" x14ac:dyDescent="0.35">
      <c r="A10" s="90"/>
      <c r="B10" s="92"/>
      <c r="C10" s="57"/>
      <c r="E10" s="185">
        <v>43852</v>
      </c>
      <c r="F10" s="73"/>
      <c r="G10" s="11" t="s">
        <v>329</v>
      </c>
      <c r="H10" s="186">
        <v>48.41</v>
      </c>
      <c r="I10" s="186"/>
      <c r="J10" s="186">
        <f t="shared" si="1"/>
        <v>48.41</v>
      </c>
      <c r="K10" s="186"/>
      <c r="L10" s="138" t="s">
        <v>1</v>
      </c>
      <c r="M10" s="73"/>
      <c r="N10" s="196" t="s">
        <v>45</v>
      </c>
      <c r="O10" s="197">
        <v>43991</v>
      </c>
      <c r="P10" s="55"/>
      <c r="Q10" s="59"/>
      <c r="R10" s="63"/>
      <c r="S10" s="55"/>
      <c r="T10" s="55"/>
      <c r="U10" s="55"/>
      <c r="V10" s="55"/>
      <c r="W10" s="55"/>
      <c r="X10" s="55"/>
      <c r="Y10" s="14"/>
      <c r="Z10" s="23"/>
    </row>
    <row r="11" spans="1:29" ht="18.5" x14ac:dyDescent="0.35">
      <c r="A11" s="182"/>
      <c r="B11" s="56"/>
      <c r="C11" s="57"/>
      <c r="E11" s="185">
        <v>43857</v>
      </c>
      <c r="F11" s="73"/>
      <c r="G11" s="11" t="s">
        <v>330</v>
      </c>
      <c r="H11" s="11">
        <v>255.25</v>
      </c>
      <c r="I11" s="11"/>
      <c r="J11" s="186">
        <f t="shared" si="1"/>
        <v>255.25</v>
      </c>
      <c r="K11" s="11"/>
      <c r="L11" s="11" t="s">
        <v>1</v>
      </c>
      <c r="M11" s="73"/>
      <c r="N11" s="39" t="s">
        <v>45</v>
      </c>
      <c r="O11" s="69">
        <v>43986</v>
      </c>
      <c r="P11" s="64"/>
      <c r="Q11" s="59"/>
      <c r="R11" s="64"/>
      <c r="S11" s="55"/>
      <c r="T11" s="65"/>
      <c r="U11" s="55"/>
      <c r="V11" s="65"/>
      <c r="W11" s="64"/>
      <c r="X11" s="66"/>
      <c r="Y11" s="15"/>
      <c r="Z11" s="23"/>
    </row>
    <row r="12" spans="1:29" ht="18.5" x14ac:dyDescent="0.35">
      <c r="A12" s="182"/>
      <c r="B12" s="56"/>
      <c r="C12" s="44"/>
      <c r="E12" s="185">
        <v>43867</v>
      </c>
      <c r="F12" s="73"/>
      <c r="G12" s="11" t="s">
        <v>331</v>
      </c>
      <c r="H12" s="11">
        <v>150.4</v>
      </c>
      <c r="I12" s="11"/>
      <c r="J12" s="186">
        <f t="shared" si="1"/>
        <v>150.4</v>
      </c>
      <c r="K12" s="11"/>
      <c r="L12" s="11" t="s">
        <v>2</v>
      </c>
      <c r="M12" s="73"/>
      <c r="N12" s="39" t="s">
        <v>45</v>
      </c>
      <c r="O12" s="69">
        <v>43867</v>
      </c>
      <c r="P12" s="64"/>
      <c r="Q12" s="59"/>
      <c r="R12" s="64"/>
      <c r="S12" s="55"/>
      <c r="T12" s="65"/>
      <c r="U12" s="55"/>
      <c r="V12" s="65"/>
      <c r="W12" s="64"/>
      <c r="X12" s="66"/>
      <c r="Y12" s="15"/>
      <c r="Z12" s="23"/>
      <c r="AA12" s="23"/>
      <c r="AB12" s="23"/>
      <c r="AC12" s="23"/>
    </row>
    <row r="13" spans="1:29" x14ac:dyDescent="0.35">
      <c r="A13" s="117"/>
      <c r="B13" s="118" t="s">
        <v>86</v>
      </c>
      <c r="C13" s="43"/>
      <c r="E13" s="185">
        <v>43868</v>
      </c>
      <c r="F13" s="73"/>
      <c r="G13" s="11" t="s">
        <v>332</v>
      </c>
      <c r="H13" s="11">
        <v>647.49</v>
      </c>
      <c r="I13" s="11"/>
      <c r="J13" s="186">
        <f t="shared" si="1"/>
        <v>647.49</v>
      </c>
      <c r="K13" s="11"/>
      <c r="L13" s="11" t="s">
        <v>2</v>
      </c>
      <c r="M13" s="73"/>
      <c r="N13" s="39" t="s">
        <v>45</v>
      </c>
      <c r="O13" s="69">
        <v>43986</v>
      </c>
      <c r="P13" s="64"/>
      <c r="Q13" s="59"/>
      <c r="R13" s="64"/>
      <c r="S13" s="55"/>
      <c r="T13" s="65"/>
      <c r="U13" s="55"/>
      <c r="V13" s="65"/>
      <c r="W13" s="64"/>
      <c r="X13" s="66"/>
      <c r="Y13" s="15"/>
      <c r="Z13" s="23"/>
      <c r="AA13" s="23"/>
      <c r="AB13" s="23"/>
      <c r="AC13" s="23"/>
    </row>
    <row r="14" spans="1:29" x14ac:dyDescent="0.35">
      <c r="A14" s="116"/>
      <c r="B14" s="118" t="s">
        <v>99</v>
      </c>
      <c r="C14" s="43"/>
      <c r="E14" s="185">
        <v>43871</v>
      </c>
      <c r="F14" s="73"/>
      <c r="G14" s="11" t="s">
        <v>333</v>
      </c>
      <c r="H14" s="11">
        <v>194.8</v>
      </c>
      <c r="I14" s="11"/>
      <c r="J14" s="186">
        <f t="shared" si="1"/>
        <v>194.8</v>
      </c>
      <c r="K14" s="11"/>
      <c r="L14" s="11" t="s">
        <v>2</v>
      </c>
      <c r="M14" s="73"/>
      <c r="N14" s="39" t="s">
        <v>45</v>
      </c>
      <c r="O14" s="69">
        <v>43986</v>
      </c>
      <c r="P14" s="64"/>
      <c r="Q14" s="59"/>
      <c r="R14" s="64"/>
      <c r="S14" s="55"/>
      <c r="T14" s="65"/>
      <c r="U14" s="55"/>
      <c r="V14" s="65"/>
      <c r="W14" s="64"/>
      <c r="X14" s="66"/>
      <c r="Y14" s="15"/>
      <c r="Z14" s="23"/>
      <c r="AA14" s="23"/>
      <c r="AB14" s="23"/>
      <c r="AC14" s="23"/>
    </row>
    <row r="15" spans="1:29" x14ac:dyDescent="0.35">
      <c r="A15" s="170" t="s">
        <v>96</v>
      </c>
      <c r="C15" s="43"/>
      <c r="E15" s="185">
        <v>43874</v>
      </c>
      <c r="F15" s="73"/>
      <c r="G15" s="11" t="s">
        <v>334</v>
      </c>
      <c r="H15" s="11">
        <v>150</v>
      </c>
      <c r="I15" s="11"/>
      <c r="J15" s="186">
        <f t="shared" si="1"/>
        <v>150</v>
      </c>
      <c r="K15" s="11"/>
      <c r="L15" s="11" t="s">
        <v>2</v>
      </c>
      <c r="M15" s="73"/>
      <c r="N15" s="39" t="s">
        <v>45</v>
      </c>
      <c r="O15" s="69">
        <v>43986</v>
      </c>
      <c r="P15" s="64"/>
      <c r="Q15" s="59"/>
      <c r="R15" s="64"/>
      <c r="S15" s="65"/>
      <c r="T15" s="65"/>
      <c r="U15" s="55"/>
      <c r="V15" s="65"/>
      <c r="W15" s="64"/>
      <c r="X15" s="66"/>
      <c r="Y15" s="15"/>
      <c r="Z15" s="23"/>
      <c r="AA15" s="23"/>
      <c r="AB15" s="23"/>
      <c r="AC15" s="23"/>
    </row>
    <row r="16" spans="1:29" x14ac:dyDescent="0.35">
      <c r="C16" s="43"/>
      <c r="E16" s="185">
        <v>43885</v>
      </c>
      <c r="F16" s="73"/>
      <c r="G16" s="11" t="s">
        <v>335</v>
      </c>
      <c r="H16" s="11">
        <v>54</v>
      </c>
      <c r="I16" s="11"/>
      <c r="J16" s="186">
        <f t="shared" si="1"/>
        <v>54</v>
      </c>
      <c r="K16" s="11"/>
      <c r="L16" s="11" t="s">
        <v>2</v>
      </c>
      <c r="M16" s="73"/>
      <c r="N16" s="39" t="s">
        <v>45</v>
      </c>
      <c r="O16" s="69">
        <v>43986</v>
      </c>
      <c r="P16" s="64"/>
      <c r="Q16" s="59"/>
      <c r="R16" s="64"/>
      <c r="S16" s="55"/>
      <c r="T16" s="65"/>
      <c r="U16" s="55"/>
      <c r="V16" s="65"/>
      <c r="W16" s="64"/>
      <c r="X16" s="66"/>
      <c r="Y16" s="15"/>
      <c r="Z16" s="23"/>
      <c r="AA16" s="23"/>
      <c r="AB16" s="23"/>
      <c r="AC16" s="23"/>
    </row>
    <row r="17" spans="1:29" x14ac:dyDescent="0.35">
      <c r="A17" s="182"/>
      <c r="C17" s="43"/>
      <c r="E17" s="185">
        <v>43892</v>
      </c>
      <c r="F17" s="73"/>
      <c r="G17" s="11" t="s">
        <v>336</v>
      </c>
      <c r="H17" s="186">
        <v>951.34</v>
      </c>
      <c r="I17" s="186"/>
      <c r="J17" s="186">
        <f t="shared" si="1"/>
        <v>951.34</v>
      </c>
      <c r="K17" s="186"/>
      <c r="L17" s="138" t="s">
        <v>3</v>
      </c>
      <c r="M17" s="73"/>
      <c r="N17" s="39" t="s">
        <v>45</v>
      </c>
      <c r="O17" s="69">
        <v>43986</v>
      </c>
      <c r="P17" s="64"/>
      <c r="Q17" s="59"/>
      <c r="R17" s="64"/>
      <c r="S17" s="55"/>
      <c r="T17" s="65"/>
      <c r="U17" s="55"/>
      <c r="V17" s="65"/>
      <c r="W17" s="64"/>
      <c r="X17" s="66"/>
      <c r="Y17" s="15"/>
      <c r="Z17" s="23"/>
      <c r="AA17" s="23"/>
      <c r="AB17" s="23"/>
      <c r="AC17" s="23"/>
    </row>
    <row r="18" spans="1:29" ht="15.5" x14ac:dyDescent="0.35">
      <c r="A18" s="24"/>
      <c r="C18" s="43"/>
      <c r="E18" s="185">
        <v>43892</v>
      </c>
      <c r="F18" s="73"/>
      <c r="G18" s="11" t="s">
        <v>337</v>
      </c>
      <c r="H18" s="186">
        <v>52.3</v>
      </c>
      <c r="I18" s="186">
        <v>0.01</v>
      </c>
      <c r="J18" s="186">
        <f t="shared" si="1"/>
        <v>52.309999999999995</v>
      </c>
      <c r="K18" s="186"/>
      <c r="L18" s="138" t="s">
        <v>3</v>
      </c>
      <c r="M18" s="73"/>
      <c r="N18" s="196" t="s">
        <v>45</v>
      </c>
      <c r="O18" s="197">
        <v>43991</v>
      </c>
      <c r="P18" s="64"/>
      <c r="Q18" s="59"/>
      <c r="R18" s="64"/>
      <c r="S18" s="55"/>
      <c r="T18" s="65"/>
      <c r="U18" s="55"/>
      <c r="V18" s="65"/>
      <c r="W18" s="64"/>
      <c r="X18" s="66"/>
      <c r="Y18" s="15"/>
      <c r="Z18" s="23"/>
      <c r="AA18" s="23"/>
      <c r="AB18" s="23"/>
      <c r="AC18" s="23"/>
    </row>
    <row r="19" spans="1:29" x14ac:dyDescent="0.35">
      <c r="A19" s="24"/>
      <c r="C19" s="43"/>
      <c r="E19" s="185">
        <v>43895</v>
      </c>
      <c r="F19" s="73"/>
      <c r="G19" s="11" t="s">
        <v>338</v>
      </c>
      <c r="H19" s="186">
        <v>92.4</v>
      </c>
      <c r="I19" s="186"/>
      <c r="J19" s="186">
        <f t="shared" si="1"/>
        <v>92.4</v>
      </c>
      <c r="K19" s="186"/>
      <c r="L19" s="138" t="s">
        <v>3</v>
      </c>
      <c r="M19" s="73"/>
      <c r="N19" s="39" t="s">
        <v>45</v>
      </c>
      <c r="O19" s="69">
        <v>43986</v>
      </c>
      <c r="P19" s="64"/>
      <c r="Q19" s="59"/>
      <c r="R19" s="64"/>
      <c r="S19" s="55"/>
      <c r="T19" s="65"/>
      <c r="U19" s="55"/>
      <c r="V19" s="65"/>
      <c r="W19" s="64"/>
      <c r="X19" s="66"/>
      <c r="Y19" s="15"/>
      <c r="Z19" s="23"/>
      <c r="AA19" s="23"/>
      <c r="AB19" s="23"/>
      <c r="AC19" s="23"/>
    </row>
    <row r="20" spans="1:29" x14ac:dyDescent="0.35">
      <c r="A20" s="24"/>
      <c r="C20" s="44"/>
      <c r="E20" s="185">
        <v>43923</v>
      </c>
      <c r="F20" s="73"/>
      <c r="G20" s="11" t="s">
        <v>339</v>
      </c>
      <c r="H20" s="186">
        <v>154.05000000000001</v>
      </c>
      <c r="I20" s="186"/>
      <c r="J20" s="186">
        <f t="shared" si="1"/>
        <v>154.05000000000001</v>
      </c>
      <c r="K20" s="186"/>
      <c r="L20" s="186" t="s">
        <v>4</v>
      </c>
      <c r="M20" s="73"/>
      <c r="N20" s="186" t="s">
        <v>45</v>
      </c>
      <c r="O20" s="185">
        <v>43923</v>
      </c>
      <c r="P20" s="64"/>
      <c r="Q20" s="59"/>
      <c r="R20" s="64"/>
      <c r="S20" s="55"/>
      <c r="T20" s="65"/>
      <c r="U20" s="55"/>
      <c r="V20" s="65"/>
      <c r="W20" s="64"/>
      <c r="X20" s="66"/>
      <c r="Y20" s="15"/>
      <c r="Z20" s="23"/>
      <c r="AA20" s="23"/>
      <c r="AB20" s="23"/>
      <c r="AC20" s="23"/>
    </row>
    <row r="21" spans="1:29" ht="15.5" x14ac:dyDescent="0.35">
      <c r="A21" s="24"/>
      <c r="C21" s="45"/>
      <c r="E21" s="185">
        <v>43986</v>
      </c>
      <c r="F21" s="73"/>
      <c r="G21" s="11" t="s">
        <v>340</v>
      </c>
      <c r="H21" s="11">
        <v>138.5</v>
      </c>
      <c r="I21" s="11"/>
      <c r="J21" s="186">
        <f t="shared" si="1"/>
        <v>138.5</v>
      </c>
      <c r="K21" s="11"/>
      <c r="L21" s="11" t="s">
        <v>6</v>
      </c>
      <c r="M21" s="73"/>
      <c r="N21" s="39" t="s">
        <v>45</v>
      </c>
      <c r="O21" s="69">
        <v>44098</v>
      </c>
      <c r="P21" s="64"/>
      <c r="Q21" s="59"/>
      <c r="R21" s="64"/>
      <c r="S21" s="55"/>
      <c r="T21" s="65"/>
      <c r="U21" s="55"/>
      <c r="V21" s="65"/>
      <c r="W21" s="64"/>
      <c r="X21" s="66"/>
      <c r="Y21" s="15"/>
      <c r="Z21" s="23"/>
      <c r="AA21" s="23"/>
      <c r="AB21" s="23"/>
      <c r="AC21" s="23"/>
    </row>
    <row r="22" spans="1:29" ht="15.5" x14ac:dyDescent="0.35">
      <c r="A22" s="182"/>
      <c r="C22" s="45"/>
      <c r="E22" s="185">
        <v>43987</v>
      </c>
      <c r="F22" s="73"/>
      <c r="G22" s="11" t="s">
        <v>341</v>
      </c>
      <c r="H22" s="11">
        <v>393.5</v>
      </c>
      <c r="I22" s="11"/>
      <c r="J22" s="186">
        <f t="shared" si="1"/>
        <v>393.5</v>
      </c>
      <c r="K22" s="11"/>
      <c r="L22" s="11" t="s">
        <v>6</v>
      </c>
      <c r="M22" s="73"/>
      <c r="N22" s="39" t="s">
        <v>45</v>
      </c>
      <c r="O22" s="69">
        <v>44098</v>
      </c>
      <c r="P22" s="64"/>
      <c r="Q22" s="59"/>
      <c r="R22" s="64"/>
      <c r="S22" s="55"/>
      <c r="T22" s="65"/>
      <c r="U22" s="55"/>
      <c r="V22" s="65"/>
      <c r="W22" s="64"/>
      <c r="X22" s="66"/>
      <c r="Y22" s="15"/>
      <c r="Z22" s="23"/>
      <c r="AA22" s="23"/>
      <c r="AB22" s="23"/>
      <c r="AC22" s="23"/>
    </row>
    <row r="23" spans="1:29" ht="15.5" x14ac:dyDescent="0.35">
      <c r="A23" s="182"/>
      <c r="C23" s="45"/>
      <c r="E23" s="185">
        <v>43991</v>
      </c>
      <c r="F23" s="73"/>
      <c r="G23" s="11" t="s">
        <v>342</v>
      </c>
      <c r="H23" s="11">
        <v>399</v>
      </c>
      <c r="I23" s="11"/>
      <c r="J23" s="186">
        <f t="shared" si="1"/>
        <v>399</v>
      </c>
      <c r="K23" s="11"/>
      <c r="L23" s="11" t="s">
        <v>6</v>
      </c>
      <c r="M23" s="73"/>
      <c r="N23" s="196" t="s">
        <v>176</v>
      </c>
      <c r="O23" s="69">
        <v>44074</v>
      </c>
      <c r="P23" s="64"/>
      <c r="Q23" s="59"/>
      <c r="R23" s="64"/>
      <c r="S23" s="55"/>
      <c r="T23" s="65"/>
      <c r="U23" s="55"/>
      <c r="V23" s="65"/>
      <c r="W23" s="64"/>
      <c r="X23" s="66"/>
      <c r="Y23" s="15"/>
      <c r="Z23" s="23"/>
      <c r="AA23" s="23"/>
      <c r="AB23" s="23"/>
      <c r="AC23" s="23"/>
    </row>
    <row r="24" spans="1:29" ht="15.5" x14ac:dyDescent="0.35">
      <c r="A24" s="182"/>
      <c r="C24" s="45"/>
      <c r="E24" s="185">
        <v>43991</v>
      </c>
      <c r="F24" s="73"/>
      <c r="G24" s="11" t="s">
        <v>343</v>
      </c>
      <c r="H24" s="11">
        <v>64.86</v>
      </c>
      <c r="I24" s="11"/>
      <c r="J24" s="186">
        <f t="shared" si="1"/>
        <v>64.86</v>
      </c>
      <c r="K24" s="11"/>
      <c r="L24" s="11" t="s">
        <v>6</v>
      </c>
      <c r="M24" s="73"/>
      <c r="N24" s="196" t="s">
        <v>45</v>
      </c>
      <c r="O24" s="69">
        <v>44074</v>
      </c>
      <c r="P24" s="64"/>
      <c r="Q24" s="59"/>
      <c r="R24" s="64"/>
      <c r="S24" s="55"/>
      <c r="T24" s="65"/>
      <c r="U24" s="55"/>
      <c r="V24" s="65"/>
      <c r="W24" s="64"/>
      <c r="X24" s="66"/>
      <c r="Y24" s="15"/>
      <c r="Z24" s="23"/>
      <c r="AA24" s="23"/>
      <c r="AB24" s="23"/>
      <c r="AC24" s="23"/>
    </row>
    <row r="25" spans="1:29" ht="15.5" x14ac:dyDescent="0.35">
      <c r="A25" s="182"/>
      <c r="C25" s="45"/>
      <c r="E25" s="185">
        <v>43997</v>
      </c>
      <c r="F25" s="73"/>
      <c r="G25" s="11" t="s">
        <v>344</v>
      </c>
      <c r="H25" s="11">
        <v>78</v>
      </c>
      <c r="I25" s="11"/>
      <c r="J25" s="186">
        <f t="shared" si="1"/>
        <v>78</v>
      </c>
      <c r="K25" s="11"/>
      <c r="L25" s="11" t="s">
        <v>6</v>
      </c>
      <c r="M25" s="73"/>
      <c r="N25" s="39" t="s">
        <v>45</v>
      </c>
      <c r="O25" s="69">
        <v>44098</v>
      </c>
      <c r="P25" s="64"/>
      <c r="Q25" s="59"/>
      <c r="R25" s="64"/>
      <c r="S25" s="55"/>
      <c r="T25" s="65"/>
      <c r="U25" s="55"/>
      <c r="V25" s="65"/>
      <c r="W25" s="64"/>
      <c r="X25" s="66"/>
      <c r="Y25" s="15"/>
      <c r="Z25" s="23"/>
      <c r="AA25" s="23"/>
      <c r="AB25" s="23"/>
      <c r="AC25" s="23"/>
    </row>
    <row r="26" spans="1:29" ht="15.5" x14ac:dyDescent="0.35">
      <c r="A26" s="182"/>
      <c r="C26" s="45"/>
      <c r="E26" s="185">
        <v>43998</v>
      </c>
      <c r="F26" s="73"/>
      <c r="G26" s="11" t="s">
        <v>345</v>
      </c>
      <c r="H26" s="11">
        <v>928</v>
      </c>
      <c r="I26" s="11"/>
      <c r="J26" s="186">
        <f t="shared" si="1"/>
        <v>928</v>
      </c>
      <c r="K26" s="11"/>
      <c r="L26" s="11" t="s">
        <v>6</v>
      </c>
      <c r="M26" s="73"/>
      <c r="N26" s="39" t="s">
        <v>45</v>
      </c>
      <c r="O26" s="69">
        <v>44098</v>
      </c>
      <c r="P26" s="64"/>
      <c r="Q26" s="59"/>
      <c r="R26" s="64"/>
      <c r="S26" s="55"/>
      <c r="T26" s="65"/>
      <c r="U26" s="55"/>
      <c r="V26" s="65"/>
      <c r="W26" s="64"/>
      <c r="X26" s="66"/>
      <c r="Y26" s="15"/>
      <c r="Z26" s="23"/>
      <c r="AA26" s="23"/>
      <c r="AB26" s="23"/>
      <c r="AC26" s="23"/>
    </row>
    <row r="27" spans="1:29" ht="15.5" x14ac:dyDescent="0.35">
      <c r="A27" s="182"/>
      <c r="C27" s="45"/>
      <c r="E27" s="185">
        <v>44006</v>
      </c>
      <c r="F27" s="73"/>
      <c r="G27" s="11" t="s">
        <v>346</v>
      </c>
      <c r="H27" s="11">
        <v>104</v>
      </c>
      <c r="I27" s="11"/>
      <c r="J27" s="186">
        <f t="shared" si="1"/>
        <v>104</v>
      </c>
      <c r="K27" s="11"/>
      <c r="L27" s="11" t="s">
        <v>6</v>
      </c>
      <c r="M27" s="73"/>
      <c r="N27" s="39" t="s">
        <v>45</v>
      </c>
      <c r="O27" s="69">
        <v>44098</v>
      </c>
      <c r="P27" s="64"/>
      <c r="Q27" s="59"/>
      <c r="R27" s="64"/>
      <c r="S27" s="55"/>
      <c r="T27" s="65"/>
      <c r="U27" s="55"/>
      <c r="V27" s="65"/>
      <c r="W27" s="64"/>
      <c r="X27" s="66"/>
      <c r="Y27" s="15"/>
      <c r="Z27" s="23"/>
      <c r="AA27" s="23"/>
      <c r="AB27" s="23"/>
      <c r="AC27" s="23"/>
    </row>
    <row r="28" spans="1:29" ht="15.5" x14ac:dyDescent="0.35">
      <c r="A28" s="182"/>
      <c r="C28" s="45"/>
      <c r="E28" s="185">
        <v>44006</v>
      </c>
      <c r="F28" s="73"/>
      <c r="G28" s="11" t="s">
        <v>347</v>
      </c>
      <c r="H28" s="11">
        <v>176</v>
      </c>
      <c r="I28" s="11"/>
      <c r="J28" s="186">
        <f t="shared" si="1"/>
        <v>176</v>
      </c>
      <c r="K28" s="11"/>
      <c r="L28" s="11" t="s">
        <v>6</v>
      </c>
      <c r="M28" s="73"/>
      <c r="N28" s="39" t="s">
        <v>45</v>
      </c>
      <c r="O28" s="69">
        <v>44098</v>
      </c>
      <c r="P28" s="64"/>
      <c r="Q28" s="59"/>
      <c r="R28" s="64"/>
      <c r="S28" s="55"/>
      <c r="T28" s="65"/>
      <c r="U28" s="55"/>
      <c r="V28" s="65"/>
      <c r="W28" s="64"/>
      <c r="X28" s="66"/>
      <c r="Y28" s="15"/>
      <c r="Z28" s="23"/>
      <c r="AA28" s="23"/>
      <c r="AB28" s="23"/>
      <c r="AC28" s="23"/>
    </row>
    <row r="29" spans="1:29" ht="15.5" x14ac:dyDescent="0.35">
      <c r="A29" s="182"/>
      <c r="C29" s="45"/>
      <c r="E29" s="185">
        <v>44012</v>
      </c>
      <c r="F29" s="73"/>
      <c r="G29" s="11" t="s">
        <v>348</v>
      </c>
      <c r="H29" s="11">
        <v>539.89</v>
      </c>
      <c r="I29" s="11"/>
      <c r="J29" s="186">
        <f t="shared" si="1"/>
        <v>539.89</v>
      </c>
      <c r="K29" s="11"/>
      <c r="L29" s="11" t="s">
        <v>6</v>
      </c>
      <c r="M29" s="73"/>
      <c r="N29" s="39"/>
      <c r="O29" s="11"/>
      <c r="P29" s="64"/>
      <c r="Q29" s="59"/>
      <c r="R29" s="64"/>
      <c r="S29" s="55"/>
      <c r="T29" s="65"/>
      <c r="U29" s="55"/>
      <c r="V29" s="65"/>
      <c r="W29" s="64"/>
      <c r="X29" s="66"/>
      <c r="Y29" s="15"/>
      <c r="Z29" s="23"/>
      <c r="AA29" s="23"/>
      <c r="AB29" s="23"/>
      <c r="AC29" s="23"/>
    </row>
    <row r="30" spans="1:29" ht="15.5" x14ac:dyDescent="0.35">
      <c r="A30" s="182"/>
      <c r="C30" s="45"/>
      <c r="E30" s="185">
        <v>44014</v>
      </c>
      <c r="F30" s="73"/>
      <c r="G30" s="11" t="s">
        <v>349</v>
      </c>
      <c r="H30" s="11">
        <v>147.13999999999999</v>
      </c>
      <c r="I30" s="11"/>
      <c r="J30" s="186">
        <f t="shared" si="1"/>
        <v>147.13999999999999</v>
      </c>
      <c r="K30" s="11"/>
      <c r="L30" s="11" t="s">
        <v>7</v>
      </c>
      <c r="M30" s="73"/>
      <c r="N30" s="39"/>
      <c r="O30" s="11"/>
      <c r="P30" s="64"/>
      <c r="Q30" s="59"/>
      <c r="R30" s="64"/>
      <c r="S30" s="55"/>
      <c r="T30" s="65"/>
      <c r="U30" s="55"/>
      <c r="V30" s="65"/>
      <c r="W30" s="64"/>
      <c r="X30" s="66"/>
      <c r="Y30" s="15"/>
      <c r="Z30" s="23"/>
      <c r="AA30" s="23"/>
      <c r="AB30" s="23"/>
      <c r="AC30" s="23"/>
    </row>
    <row r="31" spans="1:29" ht="15.5" x14ac:dyDescent="0.35">
      <c r="A31" s="182"/>
      <c r="C31" s="45"/>
      <c r="E31" s="185">
        <v>44014</v>
      </c>
      <c r="F31" s="73"/>
      <c r="G31" s="11" t="s">
        <v>350</v>
      </c>
      <c r="H31" s="11">
        <v>65.52</v>
      </c>
      <c r="I31" s="11"/>
      <c r="J31" s="186">
        <f t="shared" si="1"/>
        <v>65.52</v>
      </c>
      <c r="K31" s="11"/>
      <c r="L31" s="11" t="s">
        <v>7</v>
      </c>
      <c r="M31" s="73"/>
      <c r="N31" s="196"/>
      <c r="O31" s="69"/>
      <c r="P31" s="64"/>
      <c r="Q31" s="59"/>
      <c r="R31" s="64"/>
      <c r="S31" s="55"/>
      <c r="T31" s="65"/>
      <c r="U31" s="55"/>
      <c r="V31" s="65"/>
      <c r="W31" s="64"/>
      <c r="X31" s="66"/>
      <c r="Y31" s="15"/>
      <c r="Z31" s="23"/>
      <c r="AA31" s="23"/>
      <c r="AB31" s="23"/>
      <c r="AC31" s="23"/>
    </row>
    <row r="32" spans="1:29" ht="15.5" x14ac:dyDescent="0.35">
      <c r="A32" s="182"/>
      <c r="C32" s="45"/>
      <c r="E32" s="185">
        <v>44014</v>
      </c>
      <c r="F32" s="73"/>
      <c r="G32" s="11" t="s">
        <v>351</v>
      </c>
      <c r="H32" s="11">
        <v>865.2</v>
      </c>
      <c r="I32" s="11"/>
      <c r="J32" s="186">
        <f t="shared" si="1"/>
        <v>865.2</v>
      </c>
      <c r="K32" s="11"/>
      <c r="L32" s="11" t="s">
        <v>7</v>
      </c>
      <c r="M32" s="73"/>
      <c r="N32" s="39" t="s">
        <v>45</v>
      </c>
      <c r="O32" s="69">
        <v>44014</v>
      </c>
      <c r="P32" s="64"/>
      <c r="Q32" s="59"/>
      <c r="R32" s="64"/>
      <c r="S32" s="55"/>
      <c r="T32" s="65"/>
      <c r="U32" s="55"/>
      <c r="V32" s="65"/>
      <c r="W32" s="64"/>
      <c r="X32" s="66"/>
      <c r="Y32" s="15"/>
      <c r="Z32" s="23"/>
      <c r="AA32" s="23"/>
      <c r="AB32" s="23"/>
      <c r="AC32" s="23"/>
    </row>
    <row r="33" spans="1:29" ht="15.5" x14ac:dyDescent="0.35">
      <c r="A33" s="182"/>
      <c r="C33" s="45"/>
      <c r="E33" s="185">
        <v>44021</v>
      </c>
      <c r="F33" s="73"/>
      <c r="G33" s="11" t="s">
        <v>352</v>
      </c>
      <c r="H33" s="11">
        <v>23.19</v>
      </c>
      <c r="I33" s="11"/>
      <c r="J33" s="186">
        <f t="shared" si="1"/>
        <v>23.19</v>
      </c>
      <c r="K33" s="11"/>
      <c r="L33" s="11" t="s">
        <v>7</v>
      </c>
      <c r="M33" s="73"/>
      <c r="N33" s="39"/>
      <c r="O33" s="11"/>
      <c r="P33" s="64"/>
      <c r="Q33" s="59"/>
      <c r="R33" s="64"/>
      <c r="S33" s="55"/>
      <c r="T33" s="65"/>
      <c r="U33" s="55"/>
      <c r="V33" s="65"/>
      <c r="W33" s="64"/>
      <c r="X33" s="66"/>
      <c r="Y33" s="15"/>
      <c r="Z33" s="23"/>
      <c r="AA33" s="23"/>
      <c r="AB33" s="23"/>
      <c r="AC33" s="23"/>
    </row>
    <row r="34" spans="1:29" ht="15.5" x14ac:dyDescent="0.35">
      <c r="A34" s="182"/>
      <c r="C34" s="45"/>
      <c r="E34" s="185">
        <v>44034</v>
      </c>
      <c r="F34" s="73"/>
      <c r="G34" s="11" t="s">
        <v>353</v>
      </c>
      <c r="H34" s="11">
        <v>217.92</v>
      </c>
      <c r="I34" s="11"/>
      <c r="J34" s="17">
        <f t="shared" si="1"/>
        <v>217.92</v>
      </c>
      <c r="K34" s="11"/>
      <c r="L34" s="11" t="s">
        <v>7</v>
      </c>
      <c r="M34" s="73"/>
      <c r="N34" s="39"/>
      <c r="O34" s="69"/>
      <c r="P34" s="64"/>
      <c r="Q34" s="59"/>
      <c r="R34" s="64"/>
      <c r="S34" s="55"/>
      <c r="T34" s="65"/>
      <c r="U34" s="55"/>
      <c r="V34" s="65"/>
      <c r="W34" s="64"/>
      <c r="X34" s="66"/>
      <c r="Y34" s="15"/>
      <c r="Z34" s="23"/>
      <c r="AA34" s="23"/>
      <c r="AB34" s="23"/>
      <c r="AC34" s="23"/>
    </row>
    <row r="35" spans="1:29" ht="15.5" x14ac:dyDescent="0.35">
      <c r="A35" s="182"/>
      <c r="C35" s="45"/>
      <c r="E35" s="185">
        <v>44034</v>
      </c>
      <c r="F35" s="73"/>
      <c r="G35" s="11" t="s">
        <v>354</v>
      </c>
      <c r="H35" s="11">
        <v>205.82</v>
      </c>
      <c r="I35" s="11"/>
      <c r="J35" s="17">
        <f t="shared" si="1"/>
        <v>205.82</v>
      </c>
      <c r="K35" s="11"/>
      <c r="L35" s="11" t="s">
        <v>7</v>
      </c>
      <c r="M35" s="73"/>
      <c r="N35" s="39"/>
      <c r="O35" s="69"/>
      <c r="P35" s="64"/>
      <c r="Q35" s="59"/>
      <c r="R35" s="64"/>
      <c r="S35" s="55"/>
      <c r="T35" s="65"/>
      <c r="U35" s="55"/>
      <c r="V35" s="65"/>
      <c r="W35" s="64"/>
      <c r="X35" s="66"/>
      <c r="Y35" s="15"/>
      <c r="Z35" s="23"/>
      <c r="AA35" s="23"/>
      <c r="AB35" s="23"/>
      <c r="AC35" s="23"/>
    </row>
    <row r="36" spans="1:29" ht="15.5" x14ac:dyDescent="0.35">
      <c r="A36" s="182"/>
      <c r="C36" s="45"/>
      <c r="E36" s="185">
        <v>44039</v>
      </c>
      <c r="F36" s="73"/>
      <c r="G36" s="11" t="s">
        <v>355</v>
      </c>
      <c r="H36" s="11">
        <v>206</v>
      </c>
      <c r="I36" s="11"/>
      <c r="J36" s="17">
        <f t="shared" si="1"/>
        <v>206</v>
      </c>
      <c r="K36" s="11"/>
      <c r="L36" s="11" t="s">
        <v>7</v>
      </c>
      <c r="M36" s="73"/>
      <c r="N36" s="39"/>
      <c r="O36" s="69"/>
      <c r="P36" s="64"/>
      <c r="Q36" s="59"/>
      <c r="R36" s="64"/>
      <c r="S36" s="55"/>
      <c r="T36" s="65"/>
      <c r="U36" s="55"/>
      <c r="V36" s="65"/>
      <c r="W36" s="64"/>
      <c r="X36" s="66"/>
      <c r="Y36" s="15"/>
      <c r="Z36" s="23"/>
      <c r="AA36" s="23"/>
      <c r="AB36" s="23"/>
      <c r="AC36" s="23"/>
    </row>
    <row r="37" spans="1:29" ht="15.5" x14ac:dyDescent="0.35">
      <c r="A37" s="182"/>
      <c r="C37" s="45"/>
      <c r="E37" s="185">
        <v>44042</v>
      </c>
      <c r="F37" s="73"/>
      <c r="G37" s="11" t="s">
        <v>356</v>
      </c>
      <c r="H37" s="11">
        <v>344.64</v>
      </c>
      <c r="I37" s="11"/>
      <c r="J37" s="17">
        <f t="shared" si="1"/>
        <v>344.64</v>
      </c>
      <c r="K37" s="11"/>
      <c r="L37" s="11" t="s">
        <v>7</v>
      </c>
      <c r="M37" s="73"/>
      <c r="N37" s="39"/>
      <c r="O37" s="69"/>
      <c r="P37" s="64"/>
      <c r="Q37" s="59"/>
      <c r="R37" s="64"/>
      <c r="S37" s="55"/>
      <c r="T37" s="65"/>
      <c r="U37" s="55"/>
      <c r="V37" s="65"/>
      <c r="W37" s="64"/>
      <c r="X37" s="66"/>
      <c r="Y37" s="15"/>
      <c r="Z37" s="23"/>
      <c r="AA37" s="23"/>
      <c r="AB37" s="23"/>
      <c r="AC37" s="23"/>
    </row>
    <row r="38" spans="1:29" ht="15.5" x14ac:dyDescent="0.35">
      <c r="A38" s="182"/>
      <c r="C38" s="45"/>
      <c r="E38" s="185">
        <v>44056</v>
      </c>
      <c r="F38" s="73"/>
      <c r="G38" s="11" t="s">
        <v>357</v>
      </c>
      <c r="H38" s="11">
        <v>34.979999999999997</v>
      </c>
      <c r="I38" s="11"/>
      <c r="J38" s="17">
        <f t="shared" si="1"/>
        <v>34.979999999999997</v>
      </c>
      <c r="K38" s="11"/>
      <c r="L38" s="11" t="s">
        <v>8</v>
      </c>
      <c r="M38" s="73"/>
      <c r="N38" s="39"/>
      <c r="O38" s="69"/>
      <c r="P38" s="64"/>
      <c r="Q38" s="59"/>
      <c r="R38" s="64"/>
      <c r="S38" s="55"/>
      <c r="T38" s="65"/>
      <c r="U38" s="55"/>
      <c r="V38" s="65"/>
      <c r="W38" s="64"/>
      <c r="X38" s="66"/>
      <c r="Y38" s="15"/>
      <c r="Z38" s="23"/>
      <c r="AA38" s="23"/>
      <c r="AB38" s="23"/>
      <c r="AC38" s="23"/>
    </row>
    <row r="39" spans="1:29" ht="15.5" x14ac:dyDescent="0.35">
      <c r="A39" s="182"/>
      <c r="C39" s="45"/>
      <c r="E39" s="161">
        <v>44056</v>
      </c>
      <c r="F39" s="73"/>
      <c r="G39" s="11" t="s">
        <v>358</v>
      </c>
      <c r="H39" s="94">
        <v>-33</v>
      </c>
      <c r="I39" s="94"/>
      <c r="J39" s="162">
        <f t="shared" si="1"/>
        <v>-33</v>
      </c>
      <c r="K39" s="94"/>
      <c r="L39" s="94" t="s">
        <v>8</v>
      </c>
      <c r="M39" s="73"/>
      <c r="N39" s="167"/>
      <c r="O39" s="283"/>
      <c r="P39" s="64"/>
      <c r="Q39" s="59"/>
      <c r="R39" s="64"/>
      <c r="S39" s="55"/>
      <c r="T39" s="65"/>
      <c r="U39" s="55"/>
      <c r="V39" s="65"/>
      <c r="W39" s="64"/>
      <c r="X39" s="66"/>
      <c r="Y39" s="15"/>
      <c r="Z39" s="23"/>
      <c r="AA39" s="23"/>
      <c r="AB39" s="23"/>
      <c r="AC39" s="23"/>
    </row>
    <row r="40" spans="1:29" ht="15.5" x14ac:dyDescent="0.35">
      <c r="A40" s="182"/>
      <c r="C40" s="45"/>
      <c r="E40" s="185">
        <v>44063</v>
      </c>
      <c r="F40" s="73"/>
      <c r="G40" s="11" t="s">
        <v>359</v>
      </c>
      <c r="H40" s="11">
        <v>247.5</v>
      </c>
      <c r="I40" s="11"/>
      <c r="J40" s="17">
        <f t="shared" si="1"/>
        <v>247.5</v>
      </c>
      <c r="K40" s="11"/>
      <c r="L40" s="11" t="s">
        <v>8</v>
      </c>
      <c r="M40" s="73"/>
      <c r="N40" s="39"/>
      <c r="O40" s="69"/>
      <c r="P40" s="64"/>
      <c r="Q40" s="59"/>
      <c r="R40" s="64"/>
      <c r="S40" s="55"/>
      <c r="T40" s="65"/>
      <c r="U40" s="55"/>
      <c r="V40" s="65"/>
      <c r="W40" s="64"/>
      <c r="X40" s="66"/>
      <c r="Y40" s="15"/>
      <c r="Z40" s="23"/>
      <c r="AA40" s="23"/>
      <c r="AB40" s="23"/>
      <c r="AC40" s="23"/>
    </row>
    <row r="41" spans="1:29" ht="15.5" x14ac:dyDescent="0.35">
      <c r="A41" s="182"/>
      <c r="C41" s="45"/>
      <c r="E41" s="185">
        <v>44063</v>
      </c>
      <c r="F41" s="73"/>
      <c r="G41" s="11" t="s">
        <v>360</v>
      </c>
      <c r="H41" s="11">
        <v>141.75</v>
      </c>
      <c r="I41" s="11"/>
      <c r="J41" s="17">
        <f t="shared" si="1"/>
        <v>141.75</v>
      </c>
      <c r="K41" s="11"/>
      <c r="L41" s="11" t="s">
        <v>8</v>
      </c>
      <c r="M41" s="73"/>
      <c r="N41" s="39"/>
      <c r="O41" s="69"/>
      <c r="P41" s="64"/>
      <c r="Q41" s="59"/>
      <c r="R41" s="64"/>
      <c r="S41" s="55"/>
      <c r="T41" s="65"/>
      <c r="U41" s="55"/>
      <c r="V41" s="65"/>
      <c r="W41" s="64"/>
      <c r="X41" s="66"/>
      <c r="Y41" s="15"/>
      <c r="Z41" s="23"/>
      <c r="AA41" s="23"/>
      <c r="AB41" s="23"/>
      <c r="AC41" s="23"/>
    </row>
    <row r="42" spans="1:29" ht="15.5" x14ac:dyDescent="0.35">
      <c r="A42" s="182"/>
      <c r="C42" s="45"/>
      <c r="E42" s="185">
        <v>44074</v>
      </c>
      <c r="F42" s="73"/>
      <c r="G42" s="11" t="s">
        <v>361</v>
      </c>
      <c r="H42" s="11">
        <v>2.93</v>
      </c>
      <c r="I42" s="11"/>
      <c r="J42" s="17">
        <f t="shared" si="1"/>
        <v>2.93</v>
      </c>
      <c r="K42" s="11"/>
      <c r="L42" s="11" t="s">
        <v>8</v>
      </c>
      <c r="M42" s="73"/>
      <c r="N42" s="39"/>
      <c r="O42" s="69"/>
      <c r="P42" s="64"/>
      <c r="Q42" s="59"/>
      <c r="R42" s="64"/>
      <c r="S42" s="55"/>
      <c r="T42" s="65"/>
      <c r="U42" s="55"/>
      <c r="V42" s="65"/>
      <c r="W42" s="64"/>
      <c r="X42" s="66"/>
      <c r="Y42" s="15"/>
      <c r="Z42" s="23"/>
      <c r="AA42" s="23"/>
      <c r="AB42" s="23"/>
      <c r="AC42" s="23"/>
    </row>
    <row r="43" spans="1:29" ht="15.5" x14ac:dyDescent="0.35">
      <c r="A43" s="182"/>
      <c r="C43" s="45"/>
      <c r="E43" s="185">
        <v>44077</v>
      </c>
      <c r="F43" s="73"/>
      <c r="G43" s="11" t="s">
        <v>362</v>
      </c>
      <c r="H43" s="11">
        <v>376.92</v>
      </c>
      <c r="I43" s="11"/>
      <c r="J43" s="17">
        <f t="shared" si="1"/>
        <v>376.92</v>
      </c>
      <c r="K43" s="11"/>
      <c r="L43" s="11" t="s">
        <v>9</v>
      </c>
      <c r="M43" s="73"/>
      <c r="N43" s="39" t="s">
        <v>45</v>
      </c>
      <c r="O43" s="69">
        <v>44077</v>
      </c>
      <c r="P43" s="64"/>
      <c r="Q43" s="59"/>
      <c r="R43" s="64"/>
      <c r="S43" s="55"/>
      <c r="T43" s="65"/>
      <c r="U43" s="55"/>
      <c r="V43" s="65"/>
      <c r="W43" s="64"/>
      <c r="X43" s="66"/>
      <c r="Y43" s="15"/>
      <c r="Z43" s="23"/>
      <c r="AA43" s="23"/>
      <c r="AB43" s="23"/>
      <c r="AC43" s="23"/>
    </row>
    <row r="44" spans="1:29" ht="15.5" x14ac:dyDescent="0.35">
      <c r="A44" s="182"/>
      <c r="C44" s="45"/>
      <c r="E44" s="185">
        <v>44081</v>
      </c>
      <c r="F44" s="73"/>
      <c r="G44" s="11" t="s">
        <v>363</v>
      </c>
      <c r="H44" s="11">
        <v>97.3</v>
      </c>
      <c r="I44" s="11">
        <v>0.12</v>
      </c>
      <c r="J44" s="17">
        <f t="shared" si="1"/>
        <v>97.42</v>
      </c>
      <c r="K44" s="11"/>
      <c r="L44" s="11" t="s">
        <v>9</v>
      </c>
      <c r="M44" s="73"/>
      <c r="N44" s="39"/>
      <c r="O44" s="69"/>
      <c r="P44" s="64"/>
      <c r="Q44" s="59"/>
      <c r="R44" s="64"/>
      <c r="S44" s="55"/>
      <c r="T44" s="65"/>
      <c r="U44" s="55"/>
      <c r="V44" s="65"/>
      <c r="W44" s="64"/>
      <c r="X44" s="66"/>
      <c r="Y44" s="15"/>
      <c r="Z44" s="23"/>
      <c r="AA44" s="23"/>
      <c r="AB44" s="23"/>
      <c r="AC44" s="23"/>
    </row>
    <row r="45" spans="1:29" ht="15.5" x14ac:dyDescent="0.35">
      <c r="A45" s="182"/>
      <c r="C45" s="45"/>
      <c r="E45" s="185">
        <v>44042</v>
      </c>
      <c r="F45" s="73"/>
      <c r="G45" s="11" t="s">
        <v>364</v>
      </c>
      <c r="H45" s="11">
        <v>4958.32</v>
      </c>
      <c r="I45" s="11"/>
      <c r="J45" s="17">
        <f t="shared" si="1"/>
        <v>4958.32</v>
      </c>
      <c r="K45" s="11"/>
      <c r="L45" s="11" t="s">
        <v>9</v>
      </c>
      <c r="M45" s="73"/>
      <c r="N45" s="39"/>
      <c r="O45" s="69"/>
      <c r="P45" s="64"/>
      <c r="Q45" s="59"/>
      <c r="R45" s="64"/>
      <c r="S45" s="55"/>
      <c r="T45" s="65"/>
      <c r="U45" s="55"/>
      <c r="V45" s="65"/>
      <c r="W45" s="64"/>
      <c r="X45" s="66"/>
      <c r="Y45" s="15"/>
      <c r="Z45" s="23"/>
      <c r="AA45" s="23"/>
      <c r="AB45" s="23"/>
      <c r="AC45" s="23"/>
    </row>
    <row r="46" spans="1:29" ht="15.5" x14ac:dyDescent="0.35">
      <c r="A46" s="182"/>
      <c r="C46" s="45"/>
      <c r="E46" s="185">
        <v>44060</v>
      </c>
      <c r="F46" s="73"/>
      <c r="G46" s="11" t="s">
        <v>365</v>
      </c>
      <c r="H46" s="11">
        <v>1593</v>
      </c>
      <c r="I46" s="11"/>
      <c r="J46" s="17">
        <f t="shared" ref="J46:J73" si="2">H46+I46</f>
        <v>1593</v>
      </c>
      <c r="K46" s="11"/>
      <c r="L46" s="11" t="s">
        <v>8</v>
      </c>
      <c r="M46" s="73"/>
      <c r="N46" s="39"/>
      <c r="O46" s="69"/>
      <c r="P46" s="64"/>
      <c r="Q46" s="59"/>
      <c r="R46" s="64"/>
      <c r="S46" s="55"/>
      <c r="T46" s="65"/>
      <c r="U46" s="55"/>
      <c r="V46" s="65"/>
      <c r="W46" s="64"/>
      <c r="X46" s="66"/>
      <c r="Y46" s="15"/>
      <c r="Z46" s="23"/>
      <c r="AA46" s="23"/>
      <c r="AB46" s="23"/>
      <c r="AC46" s="23"/>
    </row>
    <row r="47" spans="1:29" ht="15.5" x14ac:dyDescent="0.35">
      <c r="A47" s="182"/>
      <c r="C47" s="45"/>
      <c r="E47" s="185">
        <v>44084</v>
      </c>
      <c r="F47" s="73"/>
      <c r="G47" s="11" t="s">
        <v>366</v>
      </c>
      <c r="H47" s="11">
        <v>117.3</v>
      </c>
      <c r="I47" s="11"/>
      <c r="J47" s="17">
        <f t="shared" si="2"/>
        <v>117.3</v>
      </c>
      <c r="K47" s="11"/>
      <c r="L47" s="11" t="s">
        <v>9</v>
      </c>
      <c r="M47" s="73"/>
      <c r="N47" s="39"/>
      <c r="O47" s="69"/>
      <c r="P47" s="64"/>
      <c r="Q47" s="59"/>
      <c r="R47" s="64"/>
      <c r="S47" s="55"/>
      <c r="T47" s="65"/>
      <c r="U47" s="55"/>
      <c r="V47" s="65"/>
      <c r="W47" s="64"/>
      <c r="X47" s="66"/>
      <c r="Y47" s="15"/>
      <c r="Z47" s="23"/>
      <c r="AA47" s="23"/>
      <c r="AB47" s="23"/>
      <c r="AC47" s="23"/>
    </row>
    <row r="48" spans="1:29" ht="15.5" x14ac:dyDescent="0.35">
      <c r="A48" s="182"/>
      <c r="C48" s="45"/>
      <c r="E48" s="185">
        <v>44084</v>
      </c>
      <c r="F48" s="73"/>
      <c r="G48" s="11" t="s">
        <v>367</v>
      </c>
      <c r="H48" s="11">
        <v>23.96</v>
      </c>
      <c r="I48" s="11"/>
      <c r="J48" s="17">
        <f t="shared" si="2"/>
        <v>23.96</v>
      </c>
      <c r="K48" s="11"/>
      <c r="L48" s="11" t="s">
        <v>9</v>
      </c>
      <c r="M48" s="73"/>
      <c r="N48" s="39" t="s">
        <v>79</v>
      </c>
      <c r="O48" s="69">
        <v>44084</v>
      </c>
      <c r="P48" s="64"/>
      <c r="Q48" s="59"/>
      <c r="R48" s="64"/>
      <c r="S48" s="55"/>
      <c r="T48" s="65"/>
      <c r="U48" s="55"/>
      <c r="V48" s="65"/>
      <c r="W48" s="64"/>
      <c r="X48" s="66"/>
      <c r="Y48" s="15"/>
      <c r="Z48" s="23"/>
      <c r="AA48" s="23"/>
      <c r="AB48" s="23"/>
      <c r="AC48" s="23"/>
    </row>
    <row r="49" spans="1:29" ht="15.5" x14ac:dyDescent="0.35">
      <c r="A49" s="182"/>
      <c r="C49" s="45"/>
      <c r="E49" s="185">
        <v>44089</v>
      </c>
      <c r="F49" s="73"/>
      <c r="G49" s="11" t="s">
        <v>368</v>
      </c>
      <c r="H49" s="11">
        <v>170</v>
      </c>
      <c r="I49" s="11"/>
      <c r="J49" s="17">
        <f t="shared" si="2"/>
        <v>170</v>
      </c>
      <c r="K49" s="11"/>
      <c r="L49" s="11" t="s">
        <v>9</v>
      </c>
      <c r="M49" s="73"/>
      <c r="N49" s="39"/>
      <c r="O49" s="69"/>
      <c r="P49" s="64"/>
      <c r="Q49" s="59"/>
      <c r="R49" s="64"/>
      <c r="S49" s="55"/>
      <c r="T49" s="65"/>
      <c r="U49" s="55"/>
      <c r="V49" s="65"/>
      <c r="W49" s="64"/>
      <c r="X49" s="66"/>
      <c r="Y49" s="15"/>
      <c r="Z49" s="23"/>
      <c r="AA49" s="23"/>
      <c r="AB49" s="23"/>
      <c r="AC49" s="23"/>
    </row>
    <row r="50" spans="1:29" ht="15.5" x14ac:dyDescent="0.35">
      <c r="A50" s="182"/>
      <c r="C50" s="45"/>
      <c r="E50" s="185">
        <v>44090</v>
      </c>
      <c r="F50" s="73"/>
      <c r="G50" s="11" t="s">
        <v>369</v>
      </c>
      <c r="H50" s="11">
        <v>69.03</v>
      </c>
      <c r="I50" s="11"/>
      <c r="J50" s="17">
        <f t="shared" si="2"/>
        <v>69.03</v>
      </c>
      <c r="K50" s="11"/>
      <c r="L50" s="11" t="s">
        <v>9</v>
      </c>
      <c r="M50" s="73"/>
      <c r="N50" s="39"/>
      <c r="O50" s="69"/>
      <c r="P50" s="64"/>
      <c r="Q50" s="59"/>
      <c r="R50" s="64"/>
      <c r="S50" s="55"/>
      <c r="T50" s="65"/>
      <c r="U50" s="55"/>
      <c r="V50" s="65"/>
      <c r="W50" s="64"/>
      <c r="X50" s="66"/>
      <c r="Y50" s="15"/>
      <c r="Z50" s="23"/>
      <c r="AA50" s="23"/>
      <c r="AB50" s="23"/>
      <c r="AC50" s="23"/>
    </row>
    <row r="51" spans="1:29" ht="15.5" x14ac:dyDescent="0.35">
      <c r="A51" s="182"/>
      <c r="C51" s="45"/>
      <c r="E51" s="185">
        <v>44100</v>
      </c>
      <c r="F51" s="73"/>
      <c r="G51" s="11" t="s">
        <v>370</v>
      </c>
      <c r="H51" s="11">
        <v>70</v>
      </c>
      <c r="I51" s="11"/>
      <c r="J51" s="17">
        <f t="shared" si="2"/>
        <v>70</v>
      </c>
      <c r="K51" s="11"/>
      <c r="L51" s="11" t="s">
        <v>9</v>
      </c>
      <c r="M51" s="73"/>
      <c r="N51" s="39"/>
      <c r="O51" s="69"/>
      <c r="P51" s="64"/>
      <c r="Q51" s="59"/>
      <c r="R51" s="64"/>
      <c r="S51" s="55"/>
      <c r="T51" s="65"/>
      <c r="U51" s="55"/>
      <c r="V51" s="65"/>
      <c r="W51" s="64"/>
      <c r="X51" s="66"/>
      <c r="Y51" s="15"/>
      <c r="Z51" s="23"/>
      <c r="AA51" s="23"/>
      <c r="AB51" s="23"/>
      <c r="AC51" s="23"/>
    </row>
    <row r="52" spans="1:29" ht="15.5" x14ac:dyDescent="0.35">
      <c r="A52" s="182"/>
      <c r="C52" s="45"/>
      <c r="E52" s="185">
        <v>44106</v>
      </c>
      <c r="F52" s="73"/>
      <c r="G52" s="11" t="s">
        <v>371</v>
      </c>
      <c r="H52" s="11">
        <v>170.51</v>
      </c>
      <c r="I52" s="11"/>
      <c r="J52" s="17">
        <f t="shared" si="2"/>
        <v>170.51</v>
      </c>
      <c r="K52" s="11"/>
      <c r="L52" s="11" t="s">
        <v>10</v>
      </c>
      <c r="M52" s="73"/>
      <c r="N52" s="39"/>
      <c r="O52" s="69"/>
      <c r="P52" s="64"/>
      <c r="Q52" s="59"/>
      <c r="R52" s="64"/>
      <c r="S52" s="55"/>
      <c r="T52" s="65"/>
      <c r="U52" s="55"/>
      <c r="V52" s="65"/>
      <c r="W52" s="64"/>
      <c r="X52" s="66"/>
      <c r="Y52" s="15"/>
      <c r="Z52" s="23"/>
      <c r="AA52" s="23"/>
      <c r="AB52" s="23"/>
      <c r="AC52" s="23"/>
    </row>
    <row r="53" spans="1:29" ht="15.5" x14ac:dyDescent="0.35">
      <c r="A53" s="182"/>
      <c r="C53" s="45"/>
      <c r="E53" s="185">
        <v>44095</v>
      </c>
      <c r="F53" s="73"/>
      <c r="G53" s="11" t="s">
        <v>372</v>
      </c>
      <c r="H53" s="11">
        <v>210</v>
      </c>
      <c r="I53" s="11"/>
      <c r="J53" s="17">
        <f t="shared" si="2"/>
        <v>210</v>
      </c>
      <c r="K53" s="11"/>
      <c r="L53" s="11" t="s">
        <v>9</v>
      </c>
      <c r="M53" s="73"/>
      <c r="N53" s="39"/>
      <c r="O53" s="69"/>
      <c r="P53" s="64"/>
      <c r="Q53" s="59"/>
      <c r="R53" s="64"/>
      <c r="S53" s="55"/>
      <c r="T53" s="65"/>
      <c r="U53" s="55"/>
      <c r="V53" s="65"/>
      <c r="W53" s="64"/>
      <c r="X53" s="66"/>
      <c r="Y53" s="15"/>
      <c r="Z53" s="23"/>
      <c r="AA53" s="23"/>
      <c r="AB53" s="23"/>
      <c r="AC53" s="23"/>
    </row>
    <row r="54" spans="1:29" ht="15.5" x14ac:dyDescent="0.35">
      <c r="A54" s="182"/>
      <c r="C54" s="45"/>
      <c r="E54" s="161">
        <v>44106</v>
      </c>
      <c r="F54" s="73"/>
      <c r="G54" s="11" t="s">
        <v>373</v>
      </c>
      <c r="H54" s="94">
        <v>-13.8</v>
      </c>
      <c r="I54" s="94"/>
      <c r="J54" s="162">
        <f t="shared" si="2"/>
        <v>-13.8</v>
      </c>
      <c r="K54" s="94"/>
      <c r="L54" s="94" t="s">
        <v>10</v>
      </c>
      <c r="M54" s="73"/>
      <c r="N54" s="167"/>
      <c r="O54" s="283"/>
      <c r="P54" s="64"/>
      <c r="Q54" s="59"/>
      <c r="R54" s="64"/>
      <c r="S54" s="55"/>
      <c r="T54" s="65"/>
      <c r="U54" s="55"/>
      <c r="V54" s="65"/>
      <c r="W54" s="64"/>
      <c r="X54" s="66"/>
      <c r="Y54" s="15"/>
      <c r="Z54" s="23"/>
      <c r="AA54" s="23"/>
      <c r="AB54" s="23"/>
      <c r="AC54" s="23"/>
    </row>
    <row r="55" spans="1:29" ht="15.5" x14ac:dyDescent="0.35">
      <c r="A55" s="182"/>
      <c r="C55" s="45"/>
      <c r="E55" s="185">
        <v>44098</v>
      </c>
      <c r="F55" s="73"/>
      <c r="G55" s="11" t="s">
        <v>374</v>
      </c>
      <c r="H55" s="11">
        <v>126.5</v>
      </c>
      <c r="I55" s="11">
        <v>10.75</v>
      </c>
      <c r="J55" s="17">
        <f t="shared" si="2"/>
        <v>137.25</v>
      </c>
      <c r="K55" s="11"/>
      <c r="L55" s="11" t="s">
        <v>9</v>
      </c>
      <c r="M55" s="73"/>
      <c r="N55" s="39" t="s">
        <v>45</v>
      </c>
      <c r="O55" s="69">
        <v>44098</v>
      </c>
      <c r="P55" s="64"/>
      <c r="Q55" s="59"/>
      <c r="R55" s="64"/>
      <c r="S55" s="55"/>
      <c r="T55" s="65"/>
      <c r="U55" s="55"/>
      <c r="V55" s="65"/>
      <c r="W55" s="64"/>
      <c r="X55" s="66"/>
      <c r="Y55" s="15"/>
      <c r="Z55" s="23"/>
      <c r="AA55" s="23"/>
      <c r="AB55" s="23"/>
      <c r="AC55" s="23"/>
    </row>
    <row r="56" spans="1:29" ht="15.5" x14ac:dyDescent="0.35">
      <c r="A56" s="182"/>
      <c r="C56" s="45"/>
      <c r="E56" s="185">
        <v>44098</v>
      </c>
      <c r="F56" s="73"/>
      <c r="G56" s="11" t="s">
        <v>375</v>
      </c>
      <c r="H56" s="11">
        <v>13.8</v>
      </c>
      <c r="I56" s="11"/>
      <c r="J56" s="17">
        <f t="shared" si="2"/>
        <v>13.8</v>
      </c>
      <c r="K56" s="11"/>
      <c r="L56" s="11" t="s">
        <v>9</v>
      </c>
      <c r="M56" s="73"/>
      <c r="N56" s="39" t="s">
        <v>45</v>
      </c>
      <c r="O56" s="69">
        <v>44098</v>
      </c>
      <c r="P56" s="64"/>
      <c r="Q56" s="59"/>
      <c r="R56" s="64"/>
      <c r="S56" s="55"/>
      <c r="T56" s="65"/>
      <c r="U56" s="55"/>
      <c r="V56" s="65"/>
      <c r="W56" s="64"/>
      <c r="X56" s="66"/>
      <c r="Y56" s="15"/>
      <c r="Z56" s="23"/>
      <c r="AA56" s="23"/>
      <c r="AB56" s="23"/>
      <c r="AC56" s="23"/>
    </row>
    <row r="57" spans="1:29" x14ac:dyDescent="0.35">
      <c r="A57" s="24"/>
      <c r="C57" s="43"/>
      <c r="E57" s="73"/>
      <c r="F57" s="73"/>
      <c r="G57" s="73"/>
      <c r="H57" s="73"/>
      <c r="I57" s="73"/>
      <c r="J57" s="17">
        <f t="shared" si="2"/>
        <v>0</v>
      </c>
      <c r="K57" s="73"/>
      <c r="L57" s="73"/>
      <c r="M57" s="73"/>
      <c r="N57" s="73"/>
      <c r="O57" s="73"/>
      <c r="P57" s="64"/>
      <c r="Q57" s="59"/>
      <c r="R57" s="64"/>
      <c r="S57" s="55"/>
      <c r="T57" s="65"/>
      <c r="U57" s="55"/>
      <c r="V57" s="65"/>
      <c r="W57" s="64"/>
      <c r="X57" s="66"/>
      <c r="Y57" s="15"/>
      <c r="Z57" s="23"/>
      <c r="AA57" s="23"/>
      <c r="AB57" s="23"/>
      <c r="AC57" s="23"/>
    </row>
    <row r="58" spans="1:29" x14ac:dyDescent="0.35">
      <c r="A58" s="24"/>
      <c r="C58" s="43"/>
      <c r="E58" s="73"/>
      <c r="F58" s="73"/>
      <c r="G58" s="73"/>
      <c r="H58" s="73"/>
      <c r="I58" s="73"/>
      <c r="J58" s="17">
        <f t="shared" si="2"/>
        <v>0</v>
      </c>
      <c r="K58" s="73"/>
      <c r="L58" s="73"/>
      <c r="M58" s="73"/>
      <c r="N58" s="73"/>
      <c r="O58" s="73"/>
      <c r="P58" s="64"/>
      <c r="Q58" s="59"/>
      <c r="R58" s="64"/>
      <c r="S58" s="55"/>
      <c r="T58" s="65"/>
      <c r="U58" s="55"/>
      <c r="V58" s="65"/>
      <c r="W58" s="64"/>
      <c r="X58" s="66"/>
      <c r="Y58" s="15"/>
      <c r="Z58" s="23"/>
      <c r="AA58" s="23"/>
      <c r="AB58" s="23"/>
      <c r="AC58" s="23"/>
    </row>
    <row r="59" spans="1:29" x14ac:dyDescent="0.35">
      <c r="A59" s="24"/>
      <c r="C59" s="43"/>
      <c r="E59" s="73"/>
      <c r="F59" s="73"/>
      <c r="G59" s="73"/>
      <c r="H59" s="73"/>
      <c r="I59" s="73"/>
      <c r="J59" s="17">
        <f t="shared" si="2"/>
        <v>0</v>
      </c>
      <c r="K59" s="73"/>
      <c r="L59" s="73"/>
      <c r="M59" s="73"/>
      <c r="N59" s="73"/>
      <c r="O59" s="73"/>
      <c r="P59" s="64"/>
      <c r="Q59" s="59"/>
      <c r="R59" s="64"/>
      <c r="S59" s="55"/>
      <c r="T59" s="65"/>
      <c r="U59" s="55"/>
      <c r="V59" s="65"/>
      <c r="W59" s="64"/>
      <c r="X59" s="66"/>
      <c r="Y59" s="15"/>
      <c r="Z59" s="23"/>
      <c r="AA59" s="23"/>
      <c r="AB59" s="23"/>
      <c r="AC59" s="23"/>
    </row>
    <row r="60" spans="1:29" x14ac:dyDescent="0.35">
      <c r="A60" s="24"/>
      <c r="C60" s="43"/>
      <c r="E60" s="73"/>
      <c r="F60" s="73"/>
      <c r="G60" s="73"/>
      <c r="H60" s="73"/>
      <c r="I60" s="73"/>
      <c r="J60" s="17">
        <f t="shared" si="2"/>
        <v>0</v>
      </c>
      <c r="K60" s="73"/>
      <c r="L60" s="73"/>
      <c r="M60" s="73"/>
      <c r="N60" s="73"/>
      <c r="O60" s="73"/>
      <c r="P60" s="15"/>
      <c r="Q60" s="59"/>
      <c r="R60" s="64"/>
      <c r="S60" s="55"/>
      <c r="T60" s="65"/>
      <c r="U60" s="55"/>
      <c r="V60" s="65"/>
      <c r="W60" s="64"/>
      <c r="X60" s="66"/>
      <c r="Y60" s="15"/>
      <c r="Z60" s="23"/>
      <c r="AA60" s="23"/>
      <c r="AB60" s="23"/>
      <c r="AC60" s="23"/>
    </row>
    <row r="61" spans="1:29" x14ac:dyDescent="0.35">
      <c r="A61" s="24"/>
      <c r="C61" s="43"/>
      <c r="E61" s="73"/>
      <c r="F61" s="73"/>
      <c r="G61" s="73"/>
      <c r="H61" s="73"/>
      <c r="I61" s="73"/>
      <c r="J61" s="17">
        <f t="shared" si="2"/>
        <v>0</v>
      </c>
      <c r="K61" s="73"/>
      <c r="L61" s="73"/>
      <c r="M61" s="73"/>
      <c r="N61" s="73"/>
      <c r="O61" s="73"/>
      <c r="P61" s="15"/>
      <c r="Q61" s="59"/>
      <c r="R61" s="64"/>
      <c r="S61" s="55"/>
      <c r="T61" s="65"/>
      <c r="U61" s="55"/>
      <c r="V61" s="65"/>
      <c r="W61" s="64"/>
      <c r="X61" s="66"/>
      <c r="Y61" s="15"/>
      <c r="Z61" s="23"/>
      <c r="AA61" s="23"/>
      <c r="AB61" s="23"/>
      <c r="AC61" s="23"/>
    </row>
    <row r="62" spans="1:29" x14ac:dyDescent="0.35">
      <c r="A62" s="24"/>
      <c r="C62" s="43"/>
      <c r="E62" s="73"/>
      <c r="F62" s="73"/>
      <c r="G62" s="73"/>
      <c r="H62" s="73"/>
      <c r="I62" s="73"/>
      <c r="J62" s="17">
        <f t="shared" si="2"/>
        <v>0</v>
      </c>
      <c r="K62" s="73"/>
      <c r="L62" s="73"/>
      <c r="M62" s="73"/>
      <c r="N62" s="73"/>
      <c r="O62" s="73"/>
      <c r="P62" s="15"/>
      <c r="Q62" s="59"/>
      <c r="R62" s="64"/>
      <c r="S62" s="55"/>
      <c r="T62" s="65"/>
      <c r="U62" s="55"/>
      <c r="V62" s="65"/>
      <c r="W62" s="64"/>
      <c r="X62" s="66"/>
      <c r="Y62" s="15"/>
      <c r="Z62" s="23"/>
      <c r="AA62" s="23"/>
      <c r="AB62" s="23"/>
      <c r="AC62" s="23"/>
    </row>
    <row r="63" spans="1:29" x14ac:dyDescent="0.35">
      <c r="A63" s="24"/>
      <c r="C63" s="43"/>
      <c r="E63" s="73"/>
      <c r="F63" s="73"/>
      <c r="G63" s="73"/>
      <c r="H63" s="73"/>
      <c r="I63" s="73"/>
      <c r="J63" s="17">
        <f t="shared" si="2"/>
        <v>0</v>
      </c>
      <c r="K63" s="73"/>
      <c r="L63" s="73"/>
      <c r="M63" s="73"/>
      <c r="N63" s="73"/>
      <c r="O63" s="73"/>
      <c r="P63" s="15"/>
      <c r="Q63" s="59"/>
      <c r="R63" s="64"/>
      <c r="S63" s="55"/>
      <c r="T63" s="65"/>
      <c r="U63" s="55"/>
      <c r="V63" s="65"/>
      <c r="W63" s="64"/>
      <c r="X63" s="66"/>
      <c r="Y63" s="15"/>
      <c r="Z63" s="23"/>
      <c r="AA63" s="23"/>
      <c r="AB63" s="23"/>
      <c r="AC63" s="23"/>
    </row>
    <row r="64" spans="1:29" x14ac:dyDescent="0.35">
      <c r="A64" s="24"/>
      <c r="C64" s="44"/>
      <c r="E64" s="73"/>
      <c r="F64" s="73"/>
      <c r="G64" s="73"/>
      <c r="H64" s="73"/>
      <c r="I64" s="73"/>
      <c r="J64" s="17">
        <f t="shared" si="2"/>
        <v>0</v>
      </c>
      <c r="K64" s="73"/>
      <c r="L64" s="73"/>
      <c r="M64" s="73"/>
      <c r="N64" s="73"/>
      <c r="O64" s="73"/>
      <c r="P64" s="15"/>
      <c r="Q64" s="59"/>
      <c r="R64" s="64"/>
      <c r="S64" s="55"/>
      <c r="T64" s="65"/>
      <c r="U64" s="55"/>
      <c r="V64" s="65"/>
      <c r="W64" s="64"/>
      <c r="X64" s="66"/>
      <c r="Y64" s="15"/>
      <c r="Z64" s="23"/>
      <c r="AA64" s="23"/>
      <c r="AB64" s="23"/>
      <c r="AC64" s="23"/>
    </row>
    <row r="65" spans="1:29" x14ac:dyDescent="0.35">
      <c r="A65" s="24"/>
      <c r="C65" s="44"/>
      <c r="E65" s="73"/>
      <c r="F65" s="73"/>
      <c r="G65" s="73"/>
      <c r="H65" s="73"/>
      <c r="I65" s="73"/>
      <c r="J65" s="17">
        <f t="shared" si="2"/>
        <v>0</v>
      </c>
      <c r="K65" s="73"/>
      <c r="L65" s="73"/>
      <c r="M65" s="73"/>
      <c r="N65" s="73"/>
      <c r="O65" s="73"/>
      <c r="P65" s="15"/>
      <c r="Q65" s="59"/>
      <c r="R65" s="64"/>
      <c r="S65" s="55"/>
      <c r="T65" s="65"/>
      <c r="U65" s="55"/>
      <c r="V65" s="65"/>
      <c r="W65" s="64"/>
      <c r="X65" s="66"/>
      <c r="Y65" s="15"/>
      <c r="Z65" s="23"/>
      <c r="AA65" s="23"/>
      <c r="AB65" s="23"/>
      <c r="AC65" s="23"/>
    </row>
    <row r="66" spans="1:29" x14ac:dyDescent="0.35">
      <c r="A66" s="24"/>
      <c r="E66" s="73"/>
      <c r="F66" s="73"/>
      <c r="G66" s="73"/>
      <c r="H66" s="73"/>
      <c r="I66" s="73"/>
      <c r="J66" s="17">
        <f t="shared" si="2"/>
        <v>0</v>
      </c>
      <c r="K66" s="73"/>
      <c r="L66" s="73"/>
      <c r="M66" s="73"/>
      <c r="N66" s="73"/>
      <c r="O66" s="73"/>
      <c r="P66" s="15"/>
      <c r="Q66" s="59"/>
      <c r="R66" s="64"/>
      <c r="S66" s="55"/>
      <c r="T66" s="65"/>
      <c r="U66" s="55"/>
      <c r="V66" s="65"/>
      <c r="W66" s="64"/>
      <c r="X66" s="66"/>
      <c r="Y66" s="15"/>
      <c r="Z66" s="23"/>
      <c r="AA66" s="23"/>
      <c r="AB66" s="23"/>
      <c r="AC66" s="23"/>
    </row>
    <row r="67" spans="1:29" x14ac:dyDescent="0.35">
      <c r="A67" s="24"/>
      <c r="E67" s="73"/>
      <c r="F67" s="73"/>
      <c r="G67" s="73"/>
      <c r="H67" s="73"/>
      <c r="I67" s="73"/>
      <c r="J67" s="17">
        <f t="shared" si="2"/>
        <v>0</v>
      </c>
      <c r="K67" s="73"/>
      <c r="L67" s="73"/>
      <c r="M67" s="73"/>
      <c r="N67" s="73"/>
      <c r="O67" s="73"/>
      <c r="P67" s="15"/>
      <c r="Q67" s="59"/>
      <c r="R67" s="64"/>
      <c r="S67" s="55"/>
      <c r="T67" s="65"/>
      <c r="U67" s="55"/>
      <c r="V67" s="65"/>
      <c r="W67" s="64"/>
      <c r="X67" s="66"/>
      <c r="Y67" s="15"/>
      <c r="Z67" s="23"/>
      <c r="AA67" s="23"/>
      <c r="AB67" s="23"/>
      <c r="AC67" s="23"/>
    </row>
    <row r="68" spans="1:29" x14ac:dyDescent="0.35">
      <c r="A68" s="24"/>
      <c r="E68" s="73"/>
      <c r="F68" s="73"/>
      <c r="G68" s="73"/>
      <c r="H68" s="73"/>
      <c r="I68" s="73"/>
      <c r="J68" s="17">
        <f t="shared" si="2"/>
        <v>0</v>
      </c>
      <c r="K68" s="73"/>
      <c r="L68" s="73"/>
      <c r="M68" s="73"/>
      <c r="N68" s="73"/>
      <c r="O68" s="73"/>
      <c r="P68" s="15"/>
      <c r="Q68" s="59"/>
      <c r="R68" s="64"/>
      <c r="S68" s="55"/>
      <c r="T68" s="65"/>
      <c r="U68" s="55"/>
      <c r="V68" s="65"/>
      <c r="W68" s="64"/>
      <c r="X68" s="66"/>
      <c r="Y68" s="15"/>
      <c r="Z68" s="23"/>
      <c r="AA68" s="23"/>
      <c r="AB68" s="23"/>
      <c r="AC68" s="23"/>
    </row>
    <row r="69" spans="1:29" x14ac:dyDescent="0.35">
      <c r="A69" s="24"/>
      <c r="E69" s="73"/>
      <c r="F69" s="73"/>
      <c r="G69" s="73"/>
      <c r="H69" s="73"/>
      <c r="I69" s="73"/>
      <c r="J69" s="17">
        <f t="shared" si="2"/>
        <v>0</v>
      </c>
      <c r="K69" s="73"/>
      <c r="L69" s="73"/>
      <c r="M69" s="73"/>
      <c r="N69" s="73"/>
      <c r="O69" s="73"/>
      <c r="P69" s="15"/>
      <c r="Q69" s="59"/>
      <c r="R69" s="64"/>
      <c r="S69" s="55"/>
      <c r="T69" s="65"/>
      <c r="U69" s="55"/>
      <c r="V69" s="65"/>
      <c r="W69" s="64"/>
      <c r="X69" s="66"/>
      <c r="Y69" s="15"/>
      <c r="Z69" s="23"/>
      <c r="AA69" s="23"/>
      <c r="AB69" s="23"/>
      <c r="AC69" s="23"/>
    </row>
    <row r="70" spans="1:29" x14ac:dyDescent="0.35">
      <c r="A70" s="24"/>
      <c r="E70" s="73"/>
      <c r="F70" s="73"/>
      <c r="G70" s="73"/>
      <c r="H70" s="73"/>
      <c r="I70" s="73"/>
      <c r="J70" s="17">
        <f t="shared" si="2"/>
        <v>0</v>
      </c>
      <c r="K70" s="73"/>
      <c r="L70" s="73"/>
      <c r="M70" s="73"/>
      <c r="N70" s="73"/>
      <c r="O70" s="73"/>
      <c r="P70" s="15"/>
      <c r="Q70" s="59"/>
      <c r="R70" s="64"/>
      <c r="S70" s="55"/>
      <c r="T70" s="65"/>
      <c r="U70" s="55"/>
      <c r="V70" s="65"/>
      <c r="W70" s="64"/>
      <c r="X70" s="66"/>
      <c r="Y70" s="15"/>
      <c r="Z70" s="23"/>
      <c r="AA70" s="23"/>
      <c r="AB70" s="23"/>
      <c r="AC70" s="23"/>
    </row>
    <row r="71" spans="1:29" x14ac:dyDescent="0.35">
      <c r="A71" s="24"/>
      <c r="E71" s="73"/>
      <c r="F71" s="73"/>
      <c r="G71" s="73"/>
      <c r="H71" s="73"/>
      <c r="I71" s="73"/>
      <c r="J71" s="17">
        <f t="shared" si="2"/>
        <v>0</v>
      </c>
      <c r="K71" s="73"/>
      <c r="L71" s="73"/>
      <c r="M71" s="73"/>
      <c r="N71" s="73"/>
      <c r="O71" s="73"/>
      <c r="P71" s="15"/>
      <c r="Q71" s="59"/>
      <c r="R71" s="64"/>
      <c r="S71" s="55"/>
      <c r="T71" s="65"/>
      <c r="U71" s="55"/>
      <c r="V71" s="65"/>
      <c r="W71" s="64"/>
      <c r="X71" s="66"/>
      <c r="Y71" s="15"/>
      <c r="Z71" s="23"/>
      <c r="AA71" s="23"/>
      <c r="AB71" s="23"/>
      <c r="AC71" s="23"/>
    </row>
    <row r="72" spans="1:29" x14ac:dyDescent="0.35">
      <c r="A72" s="24"/>
      <c r="E72" s="73"/>
      <c r="F72" s="73"/>
      <c r="G72" s="73"/>
      <c r="H72" s="73"/>
      <c r="I72" s="73"/>
      <c r="J72" s="17">
        <f t="shared" si="2"/>
        <v>0</v>
      </c>
      <c r="K72" s="73"/>
      <c r="L72" s="73"/>
      <c r="M72" s="73"/>
      <c r="N72" s="73"/>
      <c r="O72" s="73"/>
      <c r="P72" s="15"/>
      <c r="Q72" s="59"/>
      <c r="R72" s="64"/>
      <c r="S72" s="55"/>
      <c r="T72" s="65"/>
      <c r="U72" s="55"/>
      <c r="V72" s="65"/>
      <c r="W72" s="64"/>
      <c r="X72" s="66"/>
      <c r="Y72" s="15"/>
      <c r="Z72" s="23"/>
      <c r="AA72" s="23"/>
      <c r="AB72" s="23"/>
      <c r="AC72" s="23"/>
    </row>
    <row r="73" spans="1:29" x14ac:dyDescent="0.35">
      <c r="A73" s="24"/>
      <c r="E73" s="73"/>
      <c r="F73" s="73"/>
      <c r="G73" s="73"/>
      <c r="H73" s="73"/>
      <c r="I73" s="73"/>
      <c r="J73" s="17">
        <f t="shared" si="2"/>
        <v>0</v>
      </c>
      <c r="K73" s="73"/>
      <c r="L73" s="73"/>
      <c r="M73" s="73"/>
      <c r="N73" s="73"/>
      <c r="O73" s="73"/>
      <c r="P73" s="15"/>
      <c r="Q73" s="59"/>
      <c r="R73" s="64"/>
      <c r="S73" s="55"/>
      <c r="T73" s="65"/>
      <c r="U73" s="55"/>
      <c r="V73" s="65"/>
      <c r="W73" s="64"/>
      <c r="X73" s="66"/>
      <c r="Y73" s="15"/>
      <c r="Z73" s="23"/>
      <c r="AA73" s="23"/>
      <c r="AB73" s="23"/>
      <c r="AC73" s="23"/>
    </row>
    <row r="74" spans="1:29" x14ac:dyDescent="0.35">
      <c r="A74" s="24"/>
      <c r="E74" s="18"/>
      <c r="F74" s="73"/>
      <c r="G74" s="11"/>
      <c r="H74" s="36"/>
      <c r="I74" s="36"/>
      <c r="J74" s="17">
        <f t="shared" ref="J74:J84" si="3">H74+I74</f>
        <v>0</v>
      </c>
      <c r="K74" s="36"/>
      <c r="L74" s="11"/>
      <c r="M74" s="73"/>
      <c r="N74" s="39"/>
      <c r="O74" s="11"/>
      <c r="P74" s="15"/>
      <c r="Q74" s="59"/>
      <c r="R74" s="64"/>
      <c r="S74" s="55"/>
      <c r="T74" s="65"/>
      <c r="U74" s="55"/>
      <c r="V74" s="65"/>
      <c r="W74" s="64"/>
      <c r="X74" s="66"/>
      <c r="Y74" s="15"/>
      <c r="Z74" s="23"/>
      <c r="AA74" s="23"/>
      <c r="AB74" s="23"/>
      <c r="AC74" s="23"/>
    </row>
    <row r="75" spans="1:29" x14ac:dyDescent="0.35">
      <c r="A75" s="23"/>
      <c r="E75" s="18"/>
      <c r="F75" s="73"/>
      <c r="G75" s="11"/>
      <c r="H75" s="36"/>
      <c r="I75" s="36"/>
      <c r="J75" s="17">
        <f t="shared" si="3"/>
        <v>0</v>
      </c>
      <c r="K75" s="36"/>
      <c r="L75" s="11"/>
      <c r="M75" s="73"/>
      <c r="N75" s="39"/>
      <c r="O75" s="11"/>
      <c r="P75" s="15"/>
      <c r="Q75" s="60"/>
      <c r="R75" s="64"/>
      <c r="S75" s="55"/>
      <c r="T75" s="65"/>
      <c r="U75" s="55"/>
      <c r="V75" s="65"/>
      <c r="W75" s="64"/>
      <c r="X75" s="66"/>
      <c r="Y75" s="15"/>
      <c r="Z75" s="23"/>
      <c r="AA75" s="23"/>
      <c r="AB75" s="23"/>
      <c r="AC75" s="23"/>
    </row>
    <row r="76" spans="1:29" ht="18.5" x14ac:dyDescent="0.45">
      <c r="E76" s="18"/>
      <c r="F76" s="73"/>
      <c r="G76" s="11"/>
      <c r="H76" s="36"/>
      <c r="I76" s="36"/>
      <c r="J76" s="17">
        <f t="shared" si="3"/>
        <v>0</v>
      </c>
      <c r="K76" s="36"/>
      <c r="L76" s="11"/>
      <c r="M76" s="73"/>
      <c r="N76" s="39"/>
      <c r="O76" s="11"/>
      <c r="P76" s="15"/>
      <c r="Q76" s="67"/>
      <c r="R76" s="25"/>
      <c r="S76" s="55"/>
      <c r="T76" s="68"/>
      <c r="U76" s="55"/>
      <c r="V76" s="68"/>
      <c r="W76" s="64"/>
      <c r="X76" s="66"/>
      <c r="Y76" s="15"/>
      <c r="Z76" s="35"/>
      <c r="AA76" s="23"/>
      <c r="AB76" s="23"/>
      <c r="AC76" s="23"/>
    </row>
    <row r="77" spans="1:29" x14ac:dyDescent="0.35">
      <c r="E77" s="18"/>
      <c r="F77" s="73"/>
      <c r="G77" s="11"/>
      <c r="H77" s="36"/>
      <c r="I77" s="36"/>
      <c r="J77" s="17">
        <f t="shared" si="3"/>
        <v>0</v>
      </c>
      <c r="K77" s="36"/>
      <c r="L77" s="11"/>
      <c r="M77" s="73"/>
      <c r="N77" s="39"/>
      <c r="O77" s="11"/>
      <c r="P77" s="16"/>
      <c r="Q77" s="74"/>
      <c r="R77" s="75"/>
      <c r="S77" s="16"/>
      <c r="T77" s="16"/>
      <c r="U77" s="16"/>
      <c r="V77" s="16"/>
      <c r="W77" s="34"/>
      <c r="X77" s="16"/>
      <c r="Y77" s="16"/>
      <c r="Z77" s="27"/>
      <c r="AA77" s="23"/>
      <c r="AB77" s="23"/>
      <c r="AC77" s="23"/>
    </row>
    <row r="78" spans="1:29" x14ac:dyDescent="0.35">
      <c r="E78" s="18"/>
      <c r="F78" s="73"/>
      <c r="G78" s="11"/>
      <c r="H78" s="36"/>
      <c r="I78" s="36"/>
      <c r="J78" s="17">
        <f t="shared" si="3"/>
        <v>0</v>
      </c>
      <c r="K78" s="36"/>
      <c r="L78" s="11"/>
      <c r="M78" s="73"/>
      <c r="N78" s="39"/>
      <c r="O78" s="11"/>
      <c r="P78" s="23"/>
      <c r="Q78" s="28"/>
      <c r="R78" s="28"/>
      <c r="S78" s="25"/>
      <c r="T78" s="29"/>
      <c r="U78" s="30"/>
      <c r="V78" s="30"/>
      <c r="W78" s="30"/>
      <c r="X78" s="23"/>
      <c r="Y78" s="23"/>
      <c r="Z78" s="31"/>
      <c r="AA78" s="23"/>
      <c r="AB78" s="23"/>
      <c r="AC78" s="23"/>
    </row>
    <row r="79" spans="1:29" x14ac:dyDescent="0.35">
      <c r="E79" s="18"/>
      <c r="F79" s="73"/>
      <c r="G79" s="11"/>
      <c r="H79" s="36"/>
      <c r="I79" s="36"/>
      <c r="J79" s="17">
        <f t="shared" si="3"/>
        <v>0</v>
      </c>
      <c r="K79" s="36"/>
      <c r="L79" s="11"/>
      <c r="M79" s="73"/>
      <c r="N79" s="39"/>
      <c r="O79" s="11"/>
      <c r="P79" s="23"/>
      <c r="Q79" s="32"/>
      <c r="R79" s="30"/>
      <c r="S79" s="28"/>
      <c r="T79" s="29"/>
      <c r="U79" s="30"/>
      <c r="V79" s="30"/>
      <c r="W79" s="30"/>
      <c r="X79" s="23"/>
      <c r="Y79" s="23"/>
      <c r="Z79" s="31"/>
      <c r="AA79" s="23"/>
      <c r="AB79" s="23"/>
      <c r="AC79" s="23"/>
    </row>
    <row r="80" spans="1:29" x14ac:dyDescent="0.35">
      <c r="E80" s="18"/>
      <c r="F80" s="73"/>
      <c r="G80" s="11"/>
      <c r="H80" s="36"/>
      <c r="I80" s="36"/>
      <c r="J80" s="17">
        <f t="shared" si="3"/>
        <v>0</v>
      </c>
      <c r="K80" s="36"/>
      <c r="L80" s="11"/>
      <c r="M80" s="73"/>
      <c r="N80" s="39"/>
      <c r="O80" s="11"/>
      <c r="P80" s="23"/>
      <c r="Q80" s="25"/>
      <c r="R80" s="25"/>
      <c r="S80" s="25"/>
      <c r="T80" s="26"/>
      <c r="U80" s="25"/>
      <c r="V80" s="25"/>
      <c r="W80" s="25"/>
      <c r="X80" s="23"/>
      <c r="Y80" s="23"/>
      <c r="Z80" s="27"/>
      <c r="AA80" s="23"/>
      <c r="AB80" s="23"/>
      <c r="AC80" s="23"/>
    </row>
    <row r="81" spans="5:29" x14ac:dyDescent="0.35">
      <c r="E81" s="18"/>
      <c r="F81" s="73"/>
      <c r="G81" s="11"/>
      <c r="H81" s="36"/>
      <c r="I81" s="36"/>
      <c r="J81" s="17">
        <f t="shared" si="3"/>
        <v>0</v>
      </c>
      <c r="K81" s="36"/>
      <c r="L81" s="11"/>
      <c r="M81" s="73"/>
      <c r="N81" s="39"/>
      <c r="O81" s="11"/>
      <c r="Q81" s="25"/>
      <c r="R81" s="25"/>
      <c r="S81" s="25"/>
      <c r="T81" s="26"/>
      <c r="U81" s="25"/>
      <c r="V81" s="25"/>
      <c r="W81" s="25"/>
      <c r="Z81" s="27"/>
      <c r="AA81" s="23"/>
      <c r="AB81" s="23"/>
      <c r="AC81" s="23"/>
    </row>
    <row r="82" spans="5:29" x14ac:dyDescent="0.35">
      <c r="E82" s="18"/>
      <c r="F82" s="73"/>
      <c r="G82" s="11"/>
      <c r="H82" s="36"/>
      <c r="I82" s="36"/>
      <c r="J82" s="17">
        <f t="shared" si="3"/>
        <v>0</v>
      </c>
      <c r="K82" s="36"/>
      <c r="L82" s="11"/>
      <c r="M82" s="73"/>
      <c r="N82" s="39"/>
      <c r="O82" s="11"/>
      <c r="Q82" s="25"/>
      <c r="R82" s="25"/>
      <c r="S82" s="25"/>
      <c r="T82" s="26"/>
      <c r="U82" s="25"/>
      <c r="V82" s="25"/>
      <c r="W82" s="25"/>
      <c r="Z82" s="27"/>
      <c r="AA82" s="23"/>
      <c r="AB82" s="23"/>
      <c r="AC82" s="23"/>
    </row>
    <row r="83" spans="5:29" x14ac:dyDescent="0.35">
      <c r="E83" s="19"/>
      <c r="F83" s="73"/>
      <c r="G83" s="11"/>
      <c r="H83" s="36"/>
      <c r="I83" s="36"/>
      <c r="J83" s="17">
        <f t="shared" si="3"/>
        <v>0</v>
      </c>
      <c r="K83" s="36"/>
      <c r="L83" s="11"/>
      <c r="M83" s="73"/>
      <c r="N83" s="39"/>
      <c r="O83" s="11"/>
      <c r="Q83" s="25"/>
      <c r="R83" s="25"/>
      <c r="S83" s="25"/>
      <c r="T83" s="26"/>
      <c r="U83" s="25"/>
      <c r="V83" s="25"/>
      <c r="W83" s="25"/>
      <c r="Z83" s="27"/>
      <c r="AA83" s="23"/>
      <c r="AB83" s="23"/>
      <c r="AC83" s="23"/>
    </row>
    <row r="84" spans="5:29" x14ac:dyDescent="0.35">
      <c r="E84" s="20"/>
      <c r="F84" s="73"/>
      <c r="G84" s="10"/>
      <c r="H84" s="317"/>
      <c r="I84" s="317"/>
      <c r="J84" s="17">
        <f t="shared" si="3"/>
        <v>0</v>
      </c>
      <c r="K84" s="317"/>
      <c r="L84" s="11"/>
      <c r="M84" s="73"/>
      <c r="N84" s="39"/>
      <c r="O84" s="11"/>
      <c r="Q84" s="34"/>
      <c r="R84" s="34"/>
      <c r="S84" s="34"/>
      <c r="T84" s="34"/>
      <c r="U84" s="34"/>
      <c r="V84" s="34"/>
      <c r="W84" s="34"/>
      <c r="Z84" s="34"/>
      <c r="AA84" s="23"/>
      <c r="AB84" s="23"/>
      <c r="AC84" s="23"/>
    </row>
    <row r="85" spans="5:29" ht="15" thickBot="1" x14ac:dyDescent="0.4">
      <c r="E85" s="310"/>
      <c r="F85" s="310"/>
      <c r="G85" s="310"/>
      <c r="H85" s="312">
        <f>SUBTOTAL(9,H5:H84)</f>
        <v>42695.030000000006</v>
      </c>
      <c r="I85" s="312">
        <f>SUBTOTAL(9,I5:I84)</f>
        <v>10.88</v>
      </c>
      <c r="J85" s="312">
        <f>SUBTOTAL(9,J5:J84)</f>
        <v>42705.91</v>
      </c>
      <c r="K85" s="312">
        <f>SUM(K10:K83)</f>
        <v>0</v>
      </c>
      <c r="L85" s="325"/>
      <c r="M85" s="325"/>
      <c r="N85" s="326"/>
      <c r="O85" s="326"/>
    </row>
    <row r="86" spans="5:29" ht="15" thickTop="1" x14ac:dyDescent="0.35">
      <c r="H86" s="52"/>
    </row>
  </sheetData>
  <autoFilter ref="E4:M84" xr:uid="{00000000-0009-0000-0000-000002000000}">
    <sortState xmlns:xlrd2="http://schemas.microsoft.com/office/spreadsheetml/2017/richdata2" ref="E8:M44">
      <sortCondition ref="E4:E76"/>
    </sortState>
  </autoFilter>
  <mergeCells count="4">
    <mergeCell ref="A3:B3"/>
    <mergeCell ref="Q3:Y3"/>
    <mergeCell ref="B4:B8"/>
    <mergeCell ref="E3:O3"/>
  </mergeCells>
  <phoneticPr fontId="38" type="noConversion"/>
  <conditionalFormatting sqref="N5:O84 E5:E84 G5:L84">
    <cfRule type="expression" dxfId="540" priority="1127">
      <formula>$N5=""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Tabelle4"/>
  <dimension ref="A2:BM86"/>
  <sheetViews>
    <sheetView showGridLines="0" topLeftCell="C1" zoomScale="80" zoomScaleNormal="80" workbookViewId="0">
      <selection activeCell="G5" sqref="G5:G41"/>
    </sheetView>
  </sheetViews>
  <sheetFormatPr baseColWidth="10" defaultRowHeight="14.5" x14ac:dyDescent="0.35"/>
  <cols>
    <col min="1" max="1" width="53.7265625" bestFit="1" customWidth="1"/>
    <col min="2" max="2" width="17.453125" customWidth="1"/>
    <col min="3" max="3" width="20.1796875" customWidth="1"/>
    <col min="4" max="4" width="18.453125" customWidth="1"/>
    <col min="5" max="5" width="17.7265625" bestFit="1" customWidth="1"/>
    <col min="6" max="6" width="16.7265625" customWidth="1"/>
    <col min="7" max="7" width="44.81640625" customWidth="1"/>
    <col min="8" max="8" width="12.81640625" bestFit="1" customWidth="1"/>
    <col min="9" max="9" width="19.453125" customWidth="1"/>
    <col min="11" max="11" width="15.81640625" customWidth="1"/>
    <col min="13" max="13" width="14.81640625" customWidth="1"/>
    <col min="15" max="15" width="15" bestFit="1" customWidth="1"/>
    <col min="17" max="17" width="12.54296875" customWidth="1"/>
    <col min="18" max="18" width="20.1796875" bestFit="1" customWidth="1"/>
    <col min="19" max="19" width="19" customWidth="1"/>
    <col min="20" max="20" width="10.54296875" bestFit="1" customWidth="1"/>
    <col min="21" max="21" width="20.453125" bestFit="1" customWidth="1"/>
    <col min="22" max="22" width="10.453125" bestFit="1" customWidth="1"/>
    <col min="23" max="23" width="9.453125" bestFit="1" customWidth="1"/>
    <col min="24" max="24" width="9.453125" customWidth="1"/>
    <col min="25" max="25" width="12.7265625" customWidth="1"/>
    <col min="26" max="26" width="13.7265625" bestFit="1" customWidth="1"/>
    <col min="27" max="27" width="13.26953125" bestFit="1" customWidth="1"/>
    <col min="29" max="29" width="12.7265625" customWidth="1"/>
    <col min="30" max="30" width="16.1796875" customWidth="1"/>
    <col min="31" max="31" width="16.26953125" customWidth="1"/>
    <col min="32" max="32" width="10.453125" customWidth="1"/>
    <col min="33" max="33" width="11" bestFit="1" customWidth="1"/>
    <col min="34" max="34" width="9.54296875" bestFit="1" customWidth="1"/>
    <col min="35" max="35" width="20.453125" bestFit="1" customWidth="1"/>
    <col min="36" max="36" width="10.453125" bestFit="1" customWidth="1"/>
    <col min="37" max="37" width="12" customWidth="1"/>
    <col min="38" max="38" width="13.7265625" bestFit="1" customWidth="1"/>
    <col min="39" max="39" width="13.26953125" bestFit="1" customWidth="1"/>
    <col min="43" max="43" width="13.81640625" customWidth="1"/>
    <col min="44" max="44" width="14.453125" customWidth="1"/>
    <col min="45" max="45" width="14.81640625" customWidth="1"/>
    <col min="46" max="46" width="9.54296875" bestFit="1" customWidth="1"/>
    <col min="47" max="47" width="11.7265625" customWidth="1"/>
    <col min="48" max="48" width="10.453125" bestFit="1" customWidth="1"/>
    <col min="49" max="49" width="7.54296875" bestFit="1" customWidth="1"/>
    <col min="50" max="50" width="9.7265625" customWidth="1"/>
    <col min="51" max="51" width="13.54296875" customWidth="1"/>
    <col min="52" max="52" width="12.54296875" customWidth="1"/>
    <col min="55" max="55" width="14.453125" customWidth="1"/>
    <col min="56" max="56" width="16.453125" customWidth="1"/>
    <col min="57" max="57" width="31" customWidth="1"/>
    <col min="58" max="58" width="11.54296875" customWidth="1"/>
    <col min="59" max="59" width="12.1796875" customWidth="1"/>
    <col min="60" max="60" width="11.81640625" customWidth="1"/>
    <col min="61" max="61" width="10.81640625" bestFit="1" customWidth="1"/>
    <col min="62" max="62" width="13.7265625" bestFit="1" customWidth="1"/>
    <col min="63" max="63" width="13.26953125" bestFit="1" customWidth="1"/>
  </cols>
  <sheetData>
    <row r="2" spans="1:65" ht="15" customHeight="1" thickBot="1" x14ac:dyDescent="0.4"/>
    <row r="3" spans="1:65" ht="18.75" customHeight="1" thickBot="1" x14ac:dyDescent="0.5">
      <c r="A3" s="370" t="s">
        <v>48</v>
      </c>
      <c r="B3" s="369"/>
      <c r="D3" s="21"/>
      <c r="E3" s="359" t="s">
        <v>135</v>
      </c>
      <c r="F3" s="360"/>
      <c r="G3" s="360"/>
      <c r="H3" s="360"/>
      <c r="I3" s="360"/>
      <c r="J3" s="360"/>
      <c r="K3" s="360"/>
      <c r="L3" s="360"/>
      <c r="M3" s="360"/>
      <c r="N3" s="360"/>
      <c r="O3" s="360"/>
      <c r="Q3" s="359" t="s">
        <v>52</v>
      </c>
      <c r="R3" s="360"/>
      <c r="S3" s="360"/>
      <c r="T3" s="360"/>
      <c r="U3" s="360"/>
      <c r="V3" s="360"/>
      <c r="W3" s="360"/>
      <c r="X3" s="360"/>
      <c r="Y3" s="360"/>
      <c r="Z3" s="360"/>
      <c r="AA3" s="360"/>
      <c r="AB3" s="183"/>
      <c r="AC3" s="359" t="s">
        <v>71</v>
      </c>
      <c r="AD3" s="360"/>
      <c r="AE3" s="360"/>
      <c r="AF3" s="360"/>
      <c r="AG3" s="360"/>
      <c r="AH3" s="360"/>
      <c r="AI3" s="360"/>
      <c r="AJ3" s="360"/>
      <c r="AK3" s="360"/>
      <c r="AL3" s="360"/>
      <c r="AM3" s="360"/>
      <c r="AQ3" s="359" t="s">
        <v>23</v>
      </c>
      <c r="AR3" s="360"/>
      <c r="AS3" s="360"/>
      <c r="AT3" s="360"/>
      <c r="AU3" s="360"/>
      <c r="AV3" s="360"/>
      <c r="AW3" s="360"/>
      <c r="AX3" s="360"/>
      <c r="AY3" s="360"/>
      <c r="AZ3" s="360"/>
      <c r="BA3" s="360"/>
      <c r="BC3" s="359" t="s">
        <v>131</v>
      </c>
      <c r="BD3" s="360"/>
      <c r="BE3" s="360"/>
      <c r="BF3" s="360"/>
      <c r="BG3" s="360"/>
      <c r="BH3" s="360"/>
      <c r="BI3" s="360"/>
      <c r="BJ3" s="360"/>
      <c r="BK3" s="360"/>
      <c r="BL3" s="360"/>
      <c r="BM3" s="360"/>
    </row>
    <row r="4" spans="1:65" ht="25.5" customHeight="1" x14ac:dyDescent="0.35">
      <c r="A4" s="219" t="s">
        <v>42</v>
      </c>
      <c r="B4" s="373" t="s">
        <v>51</v>
      </c>
      <c r="D4" s="22"/>
      <c r="E4" s="303" t="s">
        <v>180</v>
      </c>
      <c r="F4" s="303" t="s">
        <v>181</v>
      </c>
      <c r="G4" s="71" t="s">
        <v>182</v>
      </c>
      <c r="H4" s="71" t="s">
        <v>34</v>
      </c>
      <c r="I4" s="71" t="s">
        <v>178</v>
      </c>
      <c r="J4" s="71" t="s">
        <v>179</v>
      </c>
      <c r="K4" s="71" t="s">
        <v>103</v>
      </c>
      <c r="L4" s="71" t="s">
        <v>37</v>
      </c>
      <c r="M4" s="71" t="s">
        <v>177</v>
      </c>
      <c r="N4" s="71" t="s">
        <v>44</v>
      </c>
      <c r="O4" s="71" t="s">
        <v>47</v>
      </c>
      <c r="P4" s="12"/>
      <c r="Q4" s="303" t="s">
        <v>180</v>
      </c>
      <c r="R4" s="303" t="s">
        <v>181</v>
      </c>
      <c r="S4" s="71" t="s">
        <v>182</v>
      </c>
      <c r="T4" s="71" t="s">
        <v>34</v>
      </c>
      <c r="U4" s="71" t="s">
        <v>178</v>
      </c>
      <c r="V4" s="71" t="s">
        <v>179</v>
      </c>
      <c r="W4" s="71" t="s">
        <v>103</v>
      </c>
      <c r="X4" s="71" t="s">
        <v>37</v>
      </c>
      <c r="Y4" s="71" t="s">
        <v>177</v>
      </c>
      <c r="Z4" s="71" t="s">
        <v>44</v>
      </c>
      <c r="AA4" s="71" t="s">
        <v>47</v>
      </c>
      <c r="AB4" s="184"/>
      <c r="AC4" s="303" t="s">
        <v>180</v>
      </c>
      <c r="AD4" s="303" t="s">
        <v>181</v>
      </c>
      <c r="AE4" s="71" t="s">
        <v>182</v>
      </c>
      <c r="AF4" s="71" t="s">
        <v>34</v>
      </c>
      <c r="AG4" s="71" t="s">
        <v>178</v>
      </c>
      <c r="AH4" s="71" t="s">
        <v>179</v>
      </c>
      <c r="AI4" s="71" t="s">
        <v>103</v>
      </c>
      <c r="AJ4" s="71" t="s">
        <v>37</v>
      </c>
      <c r="AK4" s="71" t="s">
        <v>177</v>
      </c>
      <c r="AL4" s="71" t="s">
        <v>44</v>
      </c>
      <c r="AM4" s="71" t="s">
        <v>47</v>
      </c>
      <c r="AQ4" s="54" t="s">
        <v>180</v>
      </c>
      <c r="AR4" s="54" t="s">
        <v>181</v>
      </c>
      <c r="AS4" s="54" t="s">
        <v>182</v>
      </c>
      <c r="AT4" s="54" t="s">
        <v>34</v>
      </c>
      <c r="AU4" s="54" t="s">
        <v>178</v>
      </c>
      <c r="AV4" s="54" t="s">
        <v>179</v>
      </c>
      <c r="AW4" s="54" t="s">
        <v>103</v>
      </c>
      <c r="AX4" s="54" t="s">
        <v>37</v>
      </c>
      <c r="AY4" s="71" t="s">
        <v>177</v>
      </c>
      <c r="AZ4" s="54" t="s">
        <v>44</v>
      </c>
      <c r="BA4" s="54" t="s">
        <v>47</v>
      </c>
      <c r="BC4" s="54" t="s">
        <v>180</v>
      </c>
      <c r="BD4" s="54" t="s">
        <v>181</v>
      </c>
      <c r="BE4" s="54" t="s">
        <v>182</v>
      </c>
      <c r="BF4" s="54" t="s">
        <v>34</v>
      </c>
      <c r="BG4" s="54" t="s">
        <v>178</v>
      </c>
      <c r="BH4" s="54" t="s">
        <v>179</v>
      </c>
      <c r="BI4" s="54" t="s">
        <v>103</v>
      </c>
      <c r="BJ4" s="54" t="s">
        <v>37</v>
      </c>
      <c r="BK4" s="54" t="s">
        <v>183</v>
      </c>
      <c r="BL4" s="54" t="s">
        <v>44</v>
      </c>
      <c r="BM4" s="54" t="s">
        <v>47</v>
      </c>
    </row>
    <row r="5" spans="1:65" ht="18.75" customHeight="1" x14ac:dyDescent="0.35">
      <c r="A5" s="219" t="s">
        <v>52</v>
      </c>
      <c r="B5" s="365"/>
      <c r="E5" s="185">
        <v>43843</v>
      </c>
      <c r="F5" s="73"/>
      <c r="G5" s="11" t="s">
        <v>376</v>
      </c>
      <c r="H5" s="11">
        <v>56</v>
      </c>
      <c r="I5" s="11"/>
      <c r="J5" s="186">
        <f t="shared" ref="J5:J18" si="0">H5+I5</f>
        <v>56</v>
      </c>
      <c r="K5" s="11"/>
      <c r="L5" s="11" t="s">
        <v>1</v>
      </c>
      <c r="M5" s="69"/>
      <c r="N5" s="69" t="s">
        <v>45</v>
      </c>
      <c r="O5" s="69">
        <v>43843</v>
      </c>
      <c r="P5" s="13"/>
      <c r="Q5" s="185">
        <v>43903</v>
      </c>
      <c r="R5" s="73"/>
      <c r="S5" s="11" t="s">
        <v>52</v>
      </c>
      <c r="T5" s="11">
        <v>172.53</v>
      </c>
      <c r="U5" s="11">
        <v>14.67</v>
      </c>
      <c r="V5" s="186">
        <f>T5+U5</f>
        <v>187.2</v>
      </c>
      <c r="W5" s="11"/>
      <c r="X5" s="11" t="s">
        <v>3</v>
      </c>
      <c r="Y5" s="11"/>
      <c r="Z5" s="69" t="s">
        <v>45</v>
      </c>
      <c r="AA5" s="69">
        <v>43903</v>
      </c>
      <c r="AB5" s="187"/>
      <c r="AC5" s="185">
        <v>43969</v>
      </c>
      <c r="AD5" s="185"/>
      <c r="AE5" s="138" t="s">
        <v>71</v>
      </c>
      <c r="AF5" s="186">
        <v>65</v>
      </c>
      <c r="AG5" s="186">
        <v>5.53</v>
      </c>
      <c r="AH5" s="186">
        <f>AF5+AG5</f>
        <v>70.53</v>
      </c>
      <c r="AJ5" s="138" t="s">
        <v>13</v>
      </c>
      <c r="AL5" s="138" t="s">
        <v>80</v>
      </c>
      <c r="AM5" s="185">
        <v>43969</v>
      </c>
      <c r="AQ5" s="185">
        <v>43956</v>
      </c>
      <c r="AS5" s="39" t="s">
        <v>23</v>
      </c>
      <c r="AT5" s="39">
        <v>79.819999999999993</v>
      </c>
      <c r="AU5" s="39">
        <v>6.78</v>
      </c>
      <c r="AV5" s="186">
        <f>AT5+AU5</f>
        <v>86.6</v>
      </c>
      <c r="AW5" s="73"/>
      <c r="AX5" s="39" t="s">
        <v>13</v>
      </c>
      <c r="AY5" s="73"/>
      <c r="AZ5" s="39" t="s">
        <v>45</v>
      </c>
      <c r="BA5" s="89">
        <v>43956</v>
      </c>
      <c r="BC5" s="185">
        <v>44015</v>
      </c>
      <c r="BD5" s="73"/>
      <c r="BE5" s="11" t="s">
        <v>169</v>
      </c>
      <c r="BF5" s="11">
        <v>625</v>
      </c>
      <c r="BG5" s="11"/>
      <c r="BH5" s="186">
        <f t="shared" ref="BH5:BH12" si="1">BF5+BG5</f>
        <v>625</v>
      </c>
      <c r="BI5" s="11"/>
      <c r="BJ5" s="11" t="s">
        <v>7</v>
      </c>
      <c r="BK5" s="73"/>
      <c r="BL5" s="69" t="s">
        <v>80</v>
      </c>
      <c r="BM5" s="69">
        <v>44018</v>
      </c>
    </row>
    <row r="6" spans="1:65" ht="18.75" customHeight="1" x14ac:dyDescent="0.35">
      <c r="A6" s="219" t="s">
        <v>71</v>
      </c>
      <c r="B6" s="365"/>
      <c r="E6" s="185">
        <v>43865</v>
      </c>
      <c r="F6" s="73"/>
      <c r="G6" s="11" t="s">
        <v>377</v>
      </c>
      <c r="H6" s="39">
        <v>36.19</v>
      </c>
      <c r="I6" s="39">
        <v>3.08</v>
      </c>
      <c r="J6" s="186">
        <f t="shared" si="0"/>
        <v>39.269999999999996</v>
      </c>
      <c r="K6" s="39"/>
      <c r="L6" s="39" t="s">
        <v>2</v>
      </c>
      <c r="M6" s="39"/>
      <c r="N6" s="39" t="s">
        <v>79</v>
      </c>
      <c r="O6" s="89">
        <v>43865</v>
      </c>
      <c r="P6" s="13"/>
      <c r="Q6" s="185">
        <v>44098</v>
      </c>
      <c r="R6" s="73"/>
      <c r="S6" s="11" t="s">
        <v>52</v>
      </c>
      <c r="T6" s="11">
        <v>6.64</v>
      </c>
      <c r="U6" s="11">
        <v>0.56000000000000005</v>
      </c>
      <c r="V6" s="186">
        <f>T6+U6</f>
        <v>7.1999999999999993</v>
      </c>
      <c r="W6" s="11"/>
      <c r="X6" s="11" t="s">
        <v>9</v>
      </c>
      <c r="Y6" s="11"/>
      <c r="Z6" s="69" t="s">
        <v>79</v>
      </c>
      <c r="AA6" s="69">
        <v>44098</v>
      </c>
      <c r="AB6" s="187"/>
      <c r="AC6" s="185"/>
      <c r="AD6" s="185"/>
      <c r="AE6" s="185"/>
      <c r="AF6" s="11"/>
      <c r="AG6" s="11"/>
      <c r="AH6" s="11"/>
      <c r="AI6" s="186">
        <f t="shared" ref="AI6:AI68" si="2">AG6+AH6</f>
        <v>0</v>
      </c>
      <c r="AJ6" s="11"/>
      <c r="AK6" s="11"/>
      <c r="AL6" s="69"/>
      <c r="AM6" s="69"/>
      <c r="AQ6" s="185"/>
      <c r="AR6" s="11"/>
      <c r="AS6" s="11"/>
      <c r="AT6" s="11"/>
      <c r="AU6" s="186">
        <f t="shared" ref="AU6:AU69" si="3">AS6+AT6</f>
        <v>0</v>
      </c>
      <c r="AV6" s="11"/>
      <c r="AW6" s="11"/>
      <c r="AX6" s="69"/>
      <c r="AY6" s="69"/>
      <c r="AZ6" s="73"/>
      <c r="BA6" s="73"/>
      <c r="BC6" s="185">
        <v>44010</v>
      </c>
      <c r="BD6" s="73"/>
      <c r="BE6" s="11" t="s">
        <v>132</v>
      </c>
      <c r="BF6" s="11">
        <v>249.55</v>
      </c>
      <c r="BG6" s="11"/>
      <c r="BH6" s="186">
        <f t="shared" si="1"/>
        <v>249.55</v>
      </c>
      <c r="BI6" s="11"/>
      <c r="BJ6" s="11" t="s">
        <v>6</v>
      </c>
      <c r="BK6" s="73"/>
      <c r="BL6" s="69" t="s">
        <v>79</v>
      </c>
      <c r="BM6" s="69">
        <v>44012</v>
      </c>
    </row>
    <row r="7" spans="1:65" ht="18.75" customHeight="1" x14ac:dyDescent="0.35">
      <c r="A7" s="219" t="s">
        <v>23</v>
      </c>
      <c r="B7" s="365"/>
      <c r="E7" s="185">
        <v>43899</v>
      </c>
      <c r="F7" s="73"/>
      <c r="G7" s="11" t="s">
        <v>378</v>
      </c>
      <c r="H7" s="11">
        <v>60.98</v>
      </c>
      <c r="I7" s="11">
        <v>4.58</v>
      </c>
      <c r="J7" s="186">
        <f t="shared" si="0"/>
        <v>65.56</v>
      </c>
      <c r="K7" s="11"/>
      <c r="L7" s="11" t="s">
        <v>3</v>
      </c>
      <c r="M7" s="39"/>
      <c r="N7" s="39" t="s">
        <v>79</v>
      </c>
      <c r="O7" s="69">
        <v>43899</v>
      </c>
      <c r="P7" s="13"/>
      <c r="Q7" s="185"/>
      <c r="R7" s="11"/>
      <c r="S7" s="11"/>
      <c r="T7" s="11"/>
      <c r="U7" s="186">
        <f t="shared" ref="U7:U69" si="4">S7+T7</f>
        <v>0</v>
      </c>
      <c r="V7" s="11"/>
      <c r="W7" s="11"/>
      <c r="X7" s="11"/>
      <c r="Y7" s="11"/>
      <c r="Z7" s="69"/>
      <c r="AA7" s="69"/>
      <c r="AB7" s="187"/>
      <c r="AC7" s="185"/>
      <c r="AD7" s="185"/>
      <c r="AE7" s="185"/>
      <c r="AF7" s="11"/>
      <c r="AG7" s="11"/>
      <c r="AH7" s="11"/>
      <c r="AI7" s="186">
        <f t="shared" si="2"/>
        <v>0</v>
      </c>
      <c r="AJ7" s="11"/>
      <c r="AK7" s="11"/>
      <c r="AL7" s="69"/>
      <c r="AM7" s="69"/>
      <c r="AQ7" s="185"/>
      <c r="AR7" s="11"/>
      <c r="AS7" s="11"/>
      <c r="AT7" s="11"/>
      <c r="AU7" s="186">
        <f t="shared" si="3"/>
        <v>0</v>
      </c>
      <c r="AV7" s="11"/>
      <c r="AW7" s="11"/>
      <c r="AX7" s="69"/>
      <c r="AY7" s="69"/>
      <c r="AZ7" s="73"/>
      <c r="BA7" s="73"/>
      <c r="BC7" s="185">
        <v>44005</v>
      </c>
      <c r="BD7" s="73"/>
      <c r="BE7" s="11" t="s">
        <v>133</v>
      </c>
      <c r="BF7" s="11">
        <v>1676</v>
      </c>
      <c r="BG7" s="11">
        <v>142.46</v>
      </c>
      <c r="BH7" s="186">
        <f t="shared" si="1"/>
        <v>1818.46</v>
      </c>
      <c r="BI7" s="11"/>
      <c r="BJ7" s="11" t="s">
        <v>6</v>
      </c>
      <c r="BK7" s="73"/>
      <c r="BL7" s="69" t="s">
        <v>134</v>
      </c>
      <c r="BM7" s="69">
        <v>44021</v>
      </c>
    </row>
    <row r="8" spans="1:65" ht="18.75" customHeight="1" x14ac:dyDescent="0.35">
      <c r="A8" s="219" t="s">
        <v>128</v>
      </c>
      <c r="B8" s="365"/>
      <c r="E8" s="185">
        <v>43923</v>
      </c>
      <c r="F8" s="73"/>
      <c r="G8" s="11" t="s">
        <v>379</v>
      </c>
      <c r="H8" s="186">
        <v>100.41</v>
      </c>
      <c r="I8" s="186">
        <v>5.08</v>
      </c>
      <c r="J8" s="186">
        <f t="shared" si="0"/>
        <v>105.49</v>
      </c>
      <c r="K8" s="186"/>
      <c r="L8" s="138" t="s">
        <v>4</v>
      </c>
      <c r="M8" s="69"/>
      <c r="N8" s="69" t="s">
        <v>45</v>
      </c>
      <c r="O8" s="69">
        <v>43923</v>
      </c>
      <c r="P8" s="13"/>
      <c r="Q8" s="185"/>
      <c r="R8" s="138"/>
      <c r="S8" s="186"/>
      <c r="T8" s="186"/>
      <c r="U8" s="186">
        <f t="shared" si="4"/>
        <v>0</v>
      </c>
      <c r="V8" s="186"/>
      <c r="W8" s="138"/>
      <c r="X8" s="138"/>
      <c r="Y8" s="138"/>
      <c r="Z8" s="69"/>
      <c r="AA8" s="69"/>
      <c r="AC8" s="185"/>
      <c r="AD8" s="185"/>
      <c r="AE8" s="185"/>
      <c r="AF8" s="138"/>
      <c r="AG8" s="186"/>
      <c r="AH8" s="186"/>
      <c r="AI8" s="186">
        <f t="shared" si="2"/>
        <v>0</v>
      </c>
      <c r="AJ8" s="186"/>
      <c r="AK8" s="138"/>
      <c r="AL8" s="69"/>
      <c r="AM8" s="69"/>
      <c r="AQ8" s="185"/>
      <c r="AR8" s="138"/>
      <c r="AS8" s="186"/>
      <c r="AT8" s="186"/>
      <c r="AU8" s="186">
        <f t="shared" si="3"/>
        <v>0</v>
      </c>
      <c r="AV8" s="186"/>
      <c r="AW8" s="138"/>
      <c r="AX8" s="69"/>
      <c r="AY8" s="69"/>
      <c r="AZ8" s="73"/>
      <c r="BA8" s="73"/>
      <c r="BC8" s="185">
        <v>44039</v>
      </c>
      <c r="BD8" s="73"/>
      <c r="BE8" s="11" t="s">
        <v>169</v>
      </c>
      <c r="BF8" s="186">
        <v>500</v>
      </c>
      <c r="BG8" s="186"/>
      <c r="BH8" s="186">
        <f t="shared" si="1"/>
        <v>500</v>
      </c>
      <c r="BI8" s="186"/>
      <c r="BJ8" s="138" t="s">
        <v>7</v>
      </c>
      <c r="BK8" s="73"/>
      <c r="BL8" s="69" t="s">
        <v>80</v>
      </c>
      <c r="BM8" s="69">
        <v>44019</v>
      </c>
    </row>
    <row r="9" spans="1:65" ht="18.75" customHeight="1" x14ac:dyDescent="0.35">
      <c r="A9" s="216"/>
      <c r="B9" s="365"/>
      <c r="E9" s="185">
        <v>43928</v>
      </c>
      <c r="F9" s="73"/>
      <c r="G9" s="11" t="s">
        <v>380</v>
      </c>
      <c r="H9" s="11">
        <v>28.71</v>
      </c>
      <c r="I9" s="11">
        <v>2.44</v>
      </c>
      <c r="J9" s="186">
        <f t="shared" si="0"/>
        <v>31.150000000000002</v>
      </c>
      <c r="K9" s="11"/>
      <c r="L9" s="11" t="s">
        <v>4</v>
      </c>
      <c r="M9" s="69"/>
      <c r="N9" s="69" t="s">
        <v>45</v>
      </c>
      <c r="O9" s="69">
        <v>43928</v>
      </c>
      <c r="P9" s="13"/>
      <c r="Q9" s="185"/>
      <c r="R9" s="11"/>
      <c r="S9" s="11"/>
      <c r="T9" s="11"/>
      <c r="U9" s="186">
        <f t="shared" si="4"/>
        <v>0</v>
      </c>
      <c r="V9" s="11"/>
      <c r="W9" s="11"/>
      <c r="X9" s="11"/>
      <c r="Y9" s="11"/>
      <c r="Z9" s="69"/>
      <c r="AA9" s="69"/>
      <c r="AB9" s="187"/>
      <c r="AC9" s="185"/>
      <c r="AD9" s="185"/>
      <c r="AE9" s="185"/>
      <c r="AF9" s="11"/>
      <c r="AG9" s="11"/>
      <c r="AH9" s="11"/>
      <c r="AI9" s="186">
        <f t="shared" si="2"/>
        <v>0</v>
      </c>
      <c r="AJ9" s="11"/>
      <c r="AK9" s="11"/>
      <c r="AL9" s="69"/>
      <c r="AM9" s="69"/>
      <c r="AQ9" s="185"/>
      <c r="AR9" s="11"/>
      <c r="AS9" s="11"/>
      <c r="AT9" s="11"/>
      <c r="AU9" s="186">
        <f t="shared" si="3"/>
        <v>0</v>
      </c>
      <c r="AV9" s="11"/>
      <c r="AW9" s="11"/>
      <c r="AX9" s="69"/>
      <c r="AY9" s="69"/>
      <c r="AZ9" s="73"/>
      <c r="BA9" s="73"/>
      <c r="BC9" s="185">
        <v>44056</v>
      </c>
      <c r="BD9" s="73"/>
      <c r="BE9" s="11" t="s">
        <v>163</v>
      </c>
      <c r="BF9" s="11">
        <v>803.32</v>
      </c>
      <c r="BG9" s="11">
        <v>68.28</v>
      </c>
      <c r="BH9" s="186">
        <f t="shared" si="1"/>
        <v>871.6</v>
      </c>
      <c r="BI9" s="11"/>
      <c r="BJ9" s="11" t="s">
        <v>8</v>
      </c>
      <c r="BK9" s="73"/>
      <c r="BL9" s="69" t="s">
        <v>79</v>
      </c>
      <c r="BM9" s="69">
        <v>44057</v>
      </c>
    </row>
    <row r="10" spans="1:65" ht="15.75" customHeight="1" thickBot="1" x14ac:dyDescent="0.4">
      <c r="A10" s="220"/>
      <c r="B10" s="366"/>
      <c r="C10" s="57"/>
      <c r="E10" s="185">
        <v>43941</v>
      </c>
      <c r="F10" s="73"/>
      <c r="G10" s="11" t="s">
        <v>381</v>
      </c>
      <c r="H10" s="11">
        <v>24.38</v>
      </c>
      <c r="I10" s="11">
        <v>1.24</v>
      </c>
      <c r="J10" s="186">
        <f t="shared" si="0"/>
        <v>25.619999999999997</v>
      </c>
      <c r="K10" s="11"/>
      <c r="L10" s="11" t="s">
        <v>4</v>
      </c>
      <c r="M10" s="69"/>
      <c r="N10" s="69" t="s">
        <v>45</v>
      </c>
      <c r="O10" s="69">
        <v>43941</v>
      </c>
      <c r="P10" s="14"/>
      <c r="Q10" s="185"/>
      <c r="R10" s="138"/>
      <c r="S10" s="186"/>
      <c r="T10" s="186"/>
      <c r="U10" s="186">
        <f t="shared" si="4"/>
        <v>0</v>
      </c>
      <c r="V10" s="186"/>
      <c r="W10" s="138"/>
      <c r="X10" s="138"/>
      <c r="Y10" s="138"/>
      <c r="Z10" s="69"/>
      <c r="AA10" s="69"/>
      <c r="AB10" s="188"/>
      <c r="AC10" s="185"/>
      <c r="AD10" s="185"/>
      <c r="AE10" s="185"/>
      <c r="AF10" s="138"/>
      <c r="AG10" s="186"/>
      <c r="AH10" s="186"/>
      <c r="AI10" s="186">
        <f t="shared" si="2"/>
        <v>0</v>
      </c>
      <c r="AJ10" s="186"/>
      <c r="AK10" s="138"/>
      <c r="AL10" s="69"/>
      <c r="AM10" s="69"/>
      <c r="AQ10" s="185"/>
      <c r="AR10" s="138"/>
      <c r="AS10" s="186"/>
      <c r="AT10" s="186"/>
      <c r="AU10" s="186">
        <f t="shared" si="3"/>
        <v>0</v>
      </c>
      <c r="AV10" s="186"/>
      <c r="AW10" s="138"/>
      <c r="AX10" s="69"/>
      <c r="AY10" s="69"/>
      <c r="AZ10" s="73"/>
      <c r="BA10" s="73"/>
      <c r="BC10" s="185">
        <v>44079</v>
      </c>
      <c r="BD10" s="73"/>
      <c r="BE10" s="11" t="s">
        <v>169</v>
      </c>
      <c r="BF10" s="186">
        <v>425</v>
      </c>
      <c r="BG10" s="186"/>
      <c r="BH10" s="186">
        <f t="shared" si="1"/>
        <v>425</v>
      </c>
      <c r="BI10" s="186"/>
      <c r="BJ10" s="138" t="s">
        <v>9</v>
      </c>
      <c r="BK10" s="73"/>
      <c r="BL10" s="69" t="s">
        <v>80</v>
      </c>
      <c r="BM10" s="69">
        <v>44084</v>
      </c>
    </row>
    <row r="11" spans="1:65" ht="18.649999999999999" customHeight="1" x14ac:dyDescent="0.35">
      <c r="A11" s="182"/>
      <c r="B11" s="56"/>
      <c r="C11" s="57"/>
      <c r="E11" s="185">
        <v>43969</v>
      </c>
      <c r="F11" s="73"/>
      <c r="G11" s="11" t="s">
        <v>382</v>
      </c>
      <c r="H11" s="11">
        <v>1569.25</v>
      </c>
      <c r="I11" s="11">
        <v>149.08000000000001</v>
      </c>
      <c r="J11" s="186">
        <f t="shared" si="0"/>
        <v>1718.33</v>
      </c>
      <c r="K11" s="11"/>
      <c r="L11" s="11" t="s">
        <v>13</v>
      </c>
      <c r="M11" s="69"/>
      <c r="N11" s="69" t="s">
        <v>45</v>
      </c>
      <c r="O11" s="69">
        <v>43969</v>
      </c>
      <c r="P11" s="15"/>
      <c r="Q11" s="185"/>
      <c r="R11" s="11"/>
      <c r="S11" s="11"/>
      <c r="T11" s="11"/>
      <c r="U11" s="186">
        <f t="shared" si="4"/>
        <v>0</v>
      </c>
      <c r="V11" s="11"/>
      <c r="W11" s="11"/>
      <c r="X11" s="11"/>
      <c r="Y11" s="11"/>
      <c r="Z11" s="69"/>
      <c r="AA11" s="69"/>
      <c r="AB11" s="66"/>
      <c r="AC11" s="185"/>
      <c r="AD11" s="185"/>
      <c r="AE11" s="185"/>
      <c r="AF11" s="11"/>
      <c r="AG11" s="11"/>
      <c r="AH11" s="11"/>
      <c r="AI11" s="186">
        <f t="shared" si="2"/>
        <v>0</v>
      </c>
      <c r="AJ11" s="11"/>
      <c r="AK11" s="11"/>
      <c r="AL11" s="69"/>
      <c r="AM11" s="69"/>
      <c r="AQ11" s="185"/>
      <c r="AR11" s="11"/>
      <c r="AS11" s="11"/>
      <c r="AT11" s="11"/>
      <c r="AU11" s="186">
        <f t="shared" si="3"/>
        <v>0</v>
      </c>
      <c r="AV11" s="11"/>
      <c r="AW11" s="11"/>
      <c r="AX11" s="69"/>
      <c r="AY11" s="69"/>
      <c r="AZ11" s="73"/>
      <c r="BA11" s="73"/>
      <c r="BC11" s="185">
        <v>43831</v>
      </c>
      <c r="BD11" s="73"/>
      <c r="BE11" s="11" t="s">
        <v>170</v>
      </c>
      <c r="BF11" s="11">
        <v>400</v>
      </c>
      <c r="BG11" s="11">
        <v>34</v>
      </c>
      <c r="BH11" s="186">
        <f t="shared" si="1"/>
        <v>434</v>
      </c>
      <c r="BI11" s="11"/>
      <c r="BJ11" s="11" t="s">
        <v>1</v>
      </c>
      <c r="BK11" s="73"/>
      <c r="BL11" s="69" t="s">
        <v>80</v>
      </c>
      <c r="BM11" s="69">
        <v>44086</v>
      </c>
    </row>
    <row r="12" spans="1:65" ht="14.5" customHeight="1" x14ac:dyDescent="0.35">
      <c r="A12" s="117"/>
      <c r="B12" s="118" t="s">
        <v>86</v>
      </c>
      <c r="C12" s="44"/>
      <c r="E12" s="185">
        <v>43969</v>
      </c>
      <c r="F12" s="73"/>
      <c r="G12" s="11" t="s">
        <v>383</v>
      </c>
      <c r="H12" s="186">
        <v>58.19</v>
      </c>
      <c r="I12" s="186">
        <v>3.09</v>
      </c>
      <c r="J12" s="186">
        <f t="shared" si="0"/>
        <v>61.28</v>
      </c>
      <c r="K12" s="186"/>
      <c r="L12" s="138" t="s">
        <v>13</v>
      </c>
      <c r="M12" s="69"/>
      <c r="N12" s="69" t="s">
        <v>45</v>
      </c>
      <c r="O12" s="69">
        <v>43969</v>
      </c>
      <c r="P12" s="15"/>
      <c r="Q12" s="185"/>
      <c r="R12" s="11"/>
      <c r="S12" s="11"/>
      <c r="T12" s="11"/>
      <c r="U12" s="186">
        <f t="shared" si="4"/>
        <v>0</v>
      </c>
      <c r="V12" s="11"/>
      <c r="W12" s="11"/>
      <c r="X12" s="11"/>
      <c r="Y12" s="11"/>
      <c r="Z12" s="69"/>
      <c r="AA12" s="69"/>
      <c r="AB12" s="66"/>
      <c r="AC12" s="185"/>
      <c r="AD12" s="185"/>
      <c r="AE12" s="185"/>
      <c r="AF12" s="11"/>
      <c r="AG12" s="11"/>
      <c r="AH12" s="11"/>
      <c r="AI12" s="186">
        <f t="shared" si="2"/>
        <v>0</v>
      </c>
      <c r="AJ12" s="11"/>
      <c r="AK12" s="11"/>
      <c r="AL12" s="69"/>
      <c r="AM12" s="69"/>
      <c r="AQ12" s="185"/>
      <c r="AR12" s="11"/>
      <c r="AS12" s="11"/>
      <c r="AT12" s="11"/>
      <c r="AU12" s="186">
        <f t="shared" si="3"/>
        <v>0</v>
      </c>
      <c r="AV12" s="11"/>
      <c r="AW12" s="11"/>
      <c r="AX12" s="69"/>
      <c r="AY12" s="69"/>
      <c r="AZ12" s="73"/>
      <c r="BA12" s="73"/>
      <c r="BC12" s="185">
        <v>44070</v>
      </c>
      <c r="BD12" s="73"/>
      <c r="BE12" s="11" t="s">
        <v>172</v>
      </c>
      <c r="BF12" s="11">
        <v>370</v>
      </c>
      <c r="BG12" s="11">
        <v>31.45</v>
      </c>
      <c r="BH12" s="186">
        <f t="shared" si="1"/>
        <v>401.45</v>
      </c>
      <c r="BI12" s="11"/>
      <c r="BJ12" s="11" t="s">
        <v>8</v>
      </c>
      <c r="BK12" s="73"/>
      <c r="BL12" s="69" t="s">
        <v>56</v>
      </c>
      <c r="BM12" s="69">
        <v>44091</v>
      </c>
    </row>
    <row r="13" spans="1:65" ht="14.5" customHeight="1" x14ac:dyDescent="0.35">
      <c r="A13" s="116"/>
      <c r="B13" s="118" t="s">
        <v>87</v>
      </c>
      <c r="C13" s="43"/>
      <c r="E13" s="185">
        <v>43969</v>
      </c>
      <c r="F13" s="73"/>
      <c r="G13" s="11" t="s">
        <v>384</v>
      </c>
      <c r="H13" s="11">
        <v>6.99</v>
      </c>
      <c r="I13" s="11"/>
      <c r="J13" s="186">
        <f t="shared" si="0"/>
        <v>6.99</v>
      </c>
      <c r="K13" s="11"/>
      <c r="L13" s="11" t="s">
        <v>13</v>
      </c>
      <c r="M13" s="69"/>
      <c r="N13" s="69" t="s">
        <v>79</v>
      </c>
      <c r="O13" s="69">
        <v>43969</v>
      </c>
      <c r="P13" s="15"/>
      <c r="Q13" s="185"/>
      <c r="R13" s="11"/>
      <c r="S13" s="11"/>
      <c r="T13" s="11"/>
      <c r="U13" s="186">
        <f t="shared" si="4"/>
        <v>0</v>
      </c>
      <c r="V13" s="11"/>
      <c r="W13" s="11"/>
      <c r="X13" s="11"/>
      <c r="Y13" s="11"/>
      <c r="Z13" s="69"/>
      <c r="AA13" s="69"/>
      <c r="AB13" s="66"/>
      <c r="AC13" s="185"/>
      <c r="AD13" s="185"/>
      <c r="AE13" s="185"/>
      <c r="AF13" s="11"/>
      <c r="AG13" s="11"/>
      <c r="AH13" s="11"/>
      <c r="AI13" s="186">
        <f t="shared" si="2"/>
        <v>0</v>
      </c>
      <c r="AJ13" s="11"/>
      <c r="AK13" s="11"/>
      <c r="AL13" s="69"/>
      <c r="AM13" s="69"/>
      <c r="AQ13" s="185"/>
      <c r="AR13" s="11"/>
      <c r="AS13" s="11"/>
      <c r="AT13" s="11"/>
      <c r="AU13" s="186">
        <f t="shared" si="3"/>
        <v>0</v>
      </c>
      <c r="AV13" s="11"/>
      <c r="AW13" s="11"/>
      <c r="AX13" s="69"/>
      <c r="AY13" s="69"/>
      <c r="AZ13" s="73"/>
      <c r="BA13" s="73"/>
      <c r="BC13" s="185"/>
      <c r="BD13" s="11"/>
      <c r="BE13" s="11"/>
      <c r="BF13" s="11"/>
      <c r="BG13" s="186">
        <f t="shared" ref="BG13:BG68" si="5">BE13+BF13</f>
        <v>0</v>
      </c>
      <c r="BH13" s="11"/>
      <c r="BI13" s="11"/>
      <c r="BJ13" s="69"/>
      <c r="BK13" s="69"/>
      <c r="BL13" s="73"/>
      <c r="BM13" s="73"/>
    </row>
    <row r="14" spans="1:65" x14ac:dyDescent="0.35">
      <c r="A14" s="170" t="s">
        <v>96</v>
      </c>
      <c r="C14" s="43"/>
      <c r="E14" s="185">
        <v>43976</v>
      </c>
      <c r="F14" s="73"/>
      <c r="G14" s="11" t="s">
        <v>385</v>
      </c>
      <c r="H14" s="11">
        <v>6.85</v>
      </c>
      <c r="I14" s="11"/>
      <c r="J14" s="186">
        <f t="shared" si="0"/>
        <v>6.85</v>
      </c>
      <c r="K14" s="11"/>
      <c r="L14" s="11" t="s">
        <v>13</v>
      </c>
      <c r="M14" s="69"/>
      <c r="N14" s="69" t="s">
        <v>79</v>
      </c>
      <c r="O14" s="69">
        <v>43976</v>
      </c>
      <c r="P14" s="15"/>
      <c r="Q14" s="185"/>
      <c r="R14" s="11"/>
      <c r="S14" s="11"/>
      <c r="T14" s="11"/>
      <c r="U14" s="186">
        <f t="shared" si="4"/>
        <v>0</v>
      </c>
      <c r="V14" s="11"/>
      <c r="W14" s="11"/>
      <c r="X14" s="11"/>
      <c r="Y14" s="11"/>
      <c r="Z14" s="39"/>
      <c r="AA14" s="69"/>
      <c r="AB14" s="66"/>
      <c r="AC14" s="185"/>
      <c r="AD14" s="185"/>
      <c r="AE14" s="185"/>
      <c r="AF14" s="11"/>
      <c r="AG14" s="11"/>
      <c r="AH14" s="11"/>
      <c r="AI14" s="186">
        <f t="shared" si="2"/>
        <v>0</v>
      </c>
      <c r="AJ14" s="11"/>
      <c r="AK14" s="11"/>
      <c r="AL14" s="39"/>
      <c r="AM14" s="69"/>
      <c r="AQ14" s="185"/>
      <c r="AR14" s="11"/>
      <c r="AS14" s="11"/>
      <c r="AT14" s="11"/>
      <c r="AU14" s="186">
        <f t="shared" si="3"/>
        <v>0</v>
      </c>
      <c r="AV14" s="11"/>
      <c r="AW14" s="11"/>
      <c r="AX14" s="39"/>
      <c r="AY14" s="69"/>
      <c r="AZ14" s="73"/>
      <c r="BA14" s="73"/>
      <c r="BC14" s="185"/>
      <c r="BD14" s="11"/>
      <c r="BE14" s="11"/>
      <c r="BF14" s="11"/>
      <c r="BG14" s="186">
        <f t="shared" si="5"/>
        <v>0</v>
      </c>
      <c r="BH14" s="11"/>
      <c r="BI14" s="11"/>
      <c r="BJ14" s="39"/>
      <c r="BK14" s="69"/>
      <c r="BL14" s="73"/>
      <c r="BM14" s="73"/>
    </row>
    <row r="15" spans="1:65" ht="18.649999999999999" customHeight="1" x14ac:dyDescent="0.35">
      <c r="A15" s="182"/>
      <c r="B15" s="56"/>
      <c r="C15" s="43"/>
      <c r="E15" s="185">
        <v>44001</v>
      </c>
      <c r="F15" s="73"/>
      <c r="G15" s="11" t="s">
        <v>386</v>
      </c>
      <c r="H15" s="186">
        <v>34.950000000000003</v>
      </c>
      <c r="I15" s="186"/>
      <c r="J15" s="186">
        <f t="shared" si="0"/>
        <v>34.950000000000003</v>
      </c>
      <c r="K15" s="186"/>
      <c r="L15" s="138" t="s">
        <v>6</v>
      </c>
      <c r="M15" s="39"/>
      <c r="N15" s="39" t="s">
        <v>79</v>
      </c>
      <c r="O15" s="69">
        <v>44001</v>
      </c>
      <c r="P15" s="15"/>
      <c r="Q15" s="185"/>
      <c r="R15" s="138"/>
      <c r="S15" s="186"/>
      <c r="T15" s="186"/>
      <c r="U15" s="186">
        <f t="shared" si="4"/>
        <v>0</v>
      </c>
      <c r="V15" s="186"/>
      <c r="W15" s="138"/>
      <c r="X15" s="138"/>
      <c r="Y15" s="138"/>
      <c r="Z15" s="138"/>
      <c r="AA15" s="185"/>
      <c r="AB15" s="66"/>
      <c r="AC15" s="185"/>
      <c r="AD15" s="185"/>
      <c r="AE15" s="185"/>
      <c r="AF15" s="138"/>
      <c r="AG15" s="186"/>
      <c r="AH15" s="186"/>
      <c r="AI15" s="186">
        <f t="shared" si="2"/>
        <v>0</v>
      </c>
      <c r="AJ15" s="186"/>
      <c r="AK15" s="138"/>
      <c r="AL15" s="138"/>
      <c r="AM15" s="185"/>
      <c r="AQ15" s="185"/>
      <c r="AR15" s="138"/>
      <c r="AS15" s="186"/>
      <c r="AT15" s="186"/>
      <c r="AU15" s="186">
        <f t="shared" si="3"/>
        <v>0</v>
      </c>
      <c r="AV15" s="186"/>
      <c r="AW15" s="138"/>
      <c r="AX15" s="138"/>
      <c r="AY15" s="185"/>
      <c r="AZ15" s="73"/>
      <c r="BA15" s="73"/>
      <c r="BC15" s="185"/>
      <c r="BD15" s="138"/>
      <c r="BE15" s="186"/>
      <c r="BF15" s="186"/>
      <c r="BG15" s="186">
        <f t="shared" si="5"/>
        <v>0</v>
      </c>
      <c r="BH15" s="186"/>
      <c r="BI15" s="138"/>
      <c r="BJ15" s="138"/>
      <c r="BK15" s="185"/>
      <c r="BL15" s="73"/>
      <c r="BM15" s="73"/>
    </row>
    <row r="16" spans="1:65" ht="18.649999999999999" customHeight="1" x14ac:dyDescent="0.35">
      <c r="C16" s="43"/>
      <c r="E16" s="185">
        <v>44014</v>
      </c>
      <c r="F16" s="73"/>
      <c r="G16" s="11" t="s">
        <v>387</v>
      </c>
      <c r="H16" s="11">
        <v>39</v>
      </c>
      <c r="I16" s="11"/>
      <c r="J16" s="186">
        <f t="shared" si="0"/>
        <v>39</v>
      </c>
      <c r="K16" s="11"/>
      <c r="L16" s="11" t="s">
        <v>7</v>
      </c>
      <c r="M16" s="39"/>
      <c r="N16" s="39" t="s">
        <v>137</v>
      </c>
      <c r="O16" s="69">
        <v>44014</v>
      </c>
      <c r="P16" s="15"/>
      <c r="Q16" s="185"/>
      <c r="R16" s="11"/>
      <c r="S16" s="11"/>
      <c r="T16" s="11"/>
      <c r="U16" s="186">
        <f t="shared" si="4"/>
        <v>0</v>
      </c>
      <c r="V16" s="11"/>
      <c r="W16" s="11"/>
      <c r="X16" s="11"/>
      <c r="Y16" s="11"/>
      <c r="Z16" s="39"/>
      <c r="AA16" s="69"/>
      <c r="AB16" s="66"/>
      <c r="AC16" s="185"/>
      <c r="AD16" s="185"/>
      <c r="AE16" s="185"/>
      <c r="AF16" s="11"/>
      <c r="AG16" s="11"/>
      <c r="AH16" s="11"/>
      <c r="AI16" s="186">
        <f t="shared" si="2"/>
        <v>0</v>
      </c>
      <c r="AJ16" s="11"/>
      <c r="AK16" s="11"/>
      <c r="AL16" s="39"/>
      <c r="AM16" s="69"/>
      <c r="AQ16" s="185"/>
      <c r="AR16" s="11"/>
      <c r="AS16" s="11"/>
      <c r="AT16" s="11"/>
      <c r="AU16" s="186">
        <f t="shared" si="3"/>
        <v>0</v>
      </c>
      <c r="AV16" s="11"/>
      <c r="AW16" s="11"/>
      <c r="AX16" s="39"/>
      <c r="AY16" s="69"/>
      <c r="AZ16" s="73"/>
      <c r="BA16" s="73"/>
      <c r="BC16" s="185"/>
      <c r="BD16" s="11"/>
      <c r="BE16" s="11"/>
      <c r="BF16" s="11"/>
      <c r="BG16" s="186">
        <f t="shared" si="5"/>
        <v>0</v>
      </c>
      <c r="BH16" s="11"/>
      <c r="BI16" s="11"/>
      <c r="BJ16" s="39"/>
      <c r="BK16" s="69"/>
      <c r="BL16" s="73"/>
      <c r="BM16" s="73"/>
    </row>
    <row r="17" spans="1:65" ht="14.5" customHeight="1" x14ac:dyDescent="0.35">
      <c r="A17" s="24"/>
      <c r="C17" s="43"/>
      <c r="E17" s="185">
        <v>44025</v>
      </c>
      <c r="F17" s="73"/>
      <c r="G17" s="11" t="s">
        <v>388</v>
      </c>
      <c r="H17" s="11">
        <v>16.86</v>
      </c>
      <c r="I17" s="11"/>
      <c r="J17" s="186">
        <f t="shared" si="0"/>
        <v>16.86</v>
      </c>
      <c r="K17" s="11"/>
      <c r="L17" s="11" t="s">
        <v>7</v>
      </c>
      <c r="M17" s="39"/>
      <c r="N17" s="39" t="s">
        <v>45</v>
      </c>
      <c r="O17" s="69">
        <v>44025</v>
      </c>
      <c r="P17" s="15"/>
      <c r="Q17" s="185"/>
      <c r="R17" s="39"/>
      <c r="S17" s="39"/>
      <c r="T17" s="39"/>
      <c r="U17" s="186">
        <f t="shared" si="4"/>
        <v>0</v>
      </c>
      <c r="V17" s="39"/>
      <c r="W17" s="39"/>
      <c r="X17" s="39"/>
      <c r="Y17" s="39"/>
      <c r="Z17" s="39"/>
      <c r="AA17" s="89"/>
      <c r="AB17" s="66"/>
      <c r="AC17" s="185"/>
      <c r="AD17" s="185"/>
      <c r="AE17" s="185"/>
      <c r="AF17" s="39"/>
      <c r="AG17" s="39"/>
      <c r="AH17" s="39"/>
      <c r="AI17" s="186">
        <f t="shared" si="2"/>
        <v>0</v>
      </c>
      <c r="AJ17" s="39"/>
      <c r="AK17" s="39"/>
      <c r="AL17" s="39"/>
      <c r="AM17" s="89"/>
      <c r="AQ17" s="185"/>
      <c r="AR17" s="39"/>
      <c r="AS17" s="39"/>
      <c r="AT17" s="39"/>
      <c r="AU17" s="186">
        <f t="shared" si="3"/>
        <v>0</v>
      </c>
      <c r="AV17" s="39"/>
      <c r="AW17" s="39"/>
      <c r="AX17" s="39"/>
      <c r="AY17" s="89"/>
      <c r="AZ17" s="73"/>
      <c r="BA17" s="73"/>
      <c r="BC17" s="185"/>
      <c r="BD17" s="39"/>
      <c r="BE17" s="39"/>
      <c r="BF17" s="39"/>
      <c r="BG17" s="186">
        <f t="shared" si="5"/>
        <v>0</v>
      </c>
      <c r="BH17" s="39"/>
      <c r="BI17" s="39"/>
      <c r="BJ17" s="39"/>
      <c r="BK17" s="89"/>
      <c r="BL17" s="73"/>
      <c r="BM17" s="73"/>
    </row>
    <row r="18" spans="1:65" ht="14.5" customHeight="1" x14ac:dyDescent="0.35">
      <c r="A18" s="24"/>
      <c r="C18" s="43"/>
      <c r="E18" s="185">
        <v>44027</v>
      </c>
      <c r="F18" s="73"/>
      <c r="G18" s="11" t="s">
        <v>389</v>
      </c>
      <c r="H18" s="11">
        <v>6.99</v>
      </c>
      <c r="I18" s="11"/>
      <c r="J18" s="186">
        <f t="shared" si="0"/>
        <v>6.99</v>
      </c>
      <c r="K18" s="11"/>
      <c r="L18" s="11" t="s">
        <v>7</v>
      </c>
      <c r="M18" s="39"/>
      <c r="N18" s="39" t="s">
        <v>79</v>
      </c>
      <c r="O18" s="69">
        <v>44027</v>
      </c>
      <c r="P18" s="15"/>
      <c r="Q18" s="185"/>
      <c r="R18" s="39"/>
      <c r="S18" s="39"/>
      <c r="T18" s="39"/>
      <c r="U18" s="186">
        <f t="shared" si="4"/>
        <v>0</v>
      </c>
      <c r="V18" s="39"/>
      <c r="W18" s="39"/>
      <c r="X18" s="39"/>
      <c r="Y18" s="39"/>
      <c r="Z18" s="39"/>
      <c r="AA18" s="89"/>
      <c r="AB18" s="66"/>
      <c r="AC18" s="185"/>
      <c r="AD18" s="185"/>
      <c r="AE18" s="185"/>
      <c r="AF18" s="39"/>
      <c r="AG18" s="39"/>
      <c r="AH18" s="39"/>
      <c r="AI18" s="186">
        <f t="shared" si="2"/>
        <v>0</v>
      </c>
      <c r="AJ18" s="39"/>
      <c r="AK18" s="39"/>
      <c r="AL18" s="39"/>
      <c r="AM18" s="89"/>
      <c r="AQ18" s="185"/>
      <c r="AR18" s="39"/>
      <c r="AS18" s="39"/>
      <c r="AT18" s="39"/>
      <c r="AU18" s="186">
        <f t="shared" si="3"/>
        <v>0</v>
      </c>
      <c r="AV18" s="39"/>
      <c r="AW18" s="39"/>
      <c r="AX18" s="39"/>
      <c r="AY18" s="89"/>
      <c r="AZ18" s="73"/>
      <c r="BA18" s="73"/>
      <c r="BC18" s="185"/>
      <c r="BD18" s="39"/>
      <c r="BE18" s="39"/>
      <c r="BF18" s="39"/>
      <c r="BG18" s="186">
        <f t="shared" si="5"/>
        <v>0</v>
      </c>
      <c r="BH18" s="39"/>
      <c r="BI18" s="39"/>
      <c r="BJ18" s="39"/>
      <c r="BK18" s="89"/>
      <c r="BL18" s="73"/>
      <c r="BM18" s="73"/>
    </row>
    <row r="19" spans="1:65" ht="14.5" customHeight="1" x14ac:dyDescent="0.35">
      <c r="A19" s="24"/>
      <c r="C19" s="43"/>
      <c r="E19" s="185">
        <v>44027</v>
      </c>
      <c r="F19" s="73"/>
      <c r="G19" s="11" t="s">
        <v>390</v>
      </c>
      <c r="H19" s="11">
        <v>21.97</v>
      </c>
      <c r="I19" s="11">
        <v>1.87</v>
      </c>
      <c r="J19" s="186">
        <v>23.84</v>
      </c>
      <c r="K19" s="11"/>
      <c r="L19" s="11" t="s">
        <v>7</v>
      </c>
      <c r="M19" s="39"/>
      <c r="N19" s="39" t="s">
        <v>45</v>
      </c>
      <c r="O19" s="69">
        <v>44027</v>
      </c>
      <c r="P19" s="15"/>
      <c r="Q19" s="185"/>
      <c r="R19" s="138"/>
      <c r="S19" s="186"/>
      <c r="T19" s="186"/>
      <c r="U19" s="186">
        <f t="shared" si="4"/>
        <v>0</v>
      </c>
      <c r="V19" s="186"/>
      <c r="W19" s="138"/>
      <c r="X19" s="138"/>
      <c r="Y19" s="138"/>
      <c r="Z19" s="39"/>
      <c r="AA19" s="69"/>
      <c r="AB19" s="66"/>
      <c r="AC19" s="185"/>
      <c r="AD19" s="185"/>
      <c r="AE19" s="185"/>
      <c r="AF19" s="138"/>
      <c r="AG19" s="186"/>
      <c r="AH19" s="186"/>
      <c r="AI19" s="186">
        <f t="shared" si="2"/>
        <v>0</v>
      </c>
      <c r="AJ19" s="186"/>
      <c r="AK19" s="138"/>
      <c r="AL19" s="39"/>
      <c r="AM19" s="69"/>
      <c r="AQ19" s="185"/>
      <c r="AR19" s="138"/>
      <c r="AS19" s="186"/>
      <c r="AT19" s="186"/>
      <c r="AU19" s="186">
        <f t="shared" si="3"/>
        <v>0</v>
      </c>
      <c r="AV19" s="186"/>
      <c r="AW19" s="138"/>
      <c r="AX19" s="39"/>
      <c r="AY19" s="69"/>
      <c r="AZ19" s="73"/>
      <c r="BA19" s="73"/>
      <c r="BC19" s="185"/>
      <c r="BD19" s="138"/>
      <c r="BE19" s="186"/>
      <c r="BF19" s="186"/>
      <c r="BG19" s="186">
        <f t="shared" si="5"/>
        <v>0</v>
      </c>
      <c r="BH19" s="186"/>
      <c r="BI19" s="138"/>
      <c r="BJ19" s="39"/>
      <c r="BK19" s="69"/>
      <c r="BL19" s="73"/>
      <c r="BM19" s="73"/>
    </row>
    <row r="20" spans="1:65" ht="14.5" customHeight="1" x14ac:dyDescent="0.35">
      <c r="A20" s="24"/>
      <c r="C20" s="44"/>
      <c r="E20" s="185">
        <v>44033</v>
      </c>
      <c r="F20" s="73"/>
      <c r="G20" s="11" t="s">
        <v>391</v>
      </c>
      <c r="H20" s="11">
        <v>88</v>
      </c>
      <c r="I20" s="11"/>
      <c r="J20" s="186">
        <f>H20+I20</f>
        <v>88</v>
      </c>
      <c r="K20" s="11"/>
      <c r="L20" s="11" t="s">
        <v>7</v>
      </c>
      <c r="M20" s="39"/>
      <c r="N20" s="39" t="s">
        <v>80</v>
      </c>
      <c r="O20" s="69">
        <v>44033</v>
      </c>
      <c r="P20" s="15"/>
      <c r="Q20" s="185"/>
      <c r="R20" s="138"/>
      <c r="S20" s="186"/>
      <c r="T20" s="186"/>
      <c r="U20" s="186">
        <f t="shared" si="4"/>
        <v>0</v>
      </c>
      <c r="V20" s="186"/>
      <c r="W20" s="186"/>
      <c r="X20" s="186"/>
      <c r="Y20" s="186"/>
      <c r="Z20" s="186"/>
      <c r="AA20" s="186"/>
      <c r="AB20" s="66"/>
      <c r="AC20" s="185"/>
      <c r="AD20" s="185"/>
      <c r="AE20" s="185"/>
      <c r="AF20" s="138"/>
      <c r="AG20" s="186"/>
      <c r="AH20" s="186"/>
      <c r="AI20" s="186">
        <f t="shared" si="2"/>
        <v>0</v>
      </c>
      <c r="AJ20" s="186"/>
      <c r="AK20" s="186"/>
      <c r="AL20" s="186"/>
      <c r="AM20" s="186"/>
      <c r="AQ20" s="185"/>
      <c r="AR20" s="138"/>
      <c r="AS20" s="186"/>
      <c r="AT20" s="186"/>
      <c r="AU20" s="186">
        <f t="shared" si="3"/>
        <v>0</v>
      </c>
      <c r="AV20" s="186"/>
      <c r="AW20" s="186"/>
      <c r="AX20" s="186"/>
      <c r="AY20" s="186"/>
      <c r="AZ20" s="73"/>
      <c r="BA20" s="73"/>
      <c r="BC20" s="185"/>
      <c r="BD20" s="138"/>
      <c r="BE20" s="186"/>
      <c r="BF20" s="186"/>
      <c r="BG20" s="186">
        <f t="shared" si="5"/>
        <v>0</v>
      </c>
      <c r="BH20" s="186"/>
      <c r="BI20" s="186"/>
      <c r="BJ20" s="186"/>
      <c r="BK20" s="186"/>
      <c r="BL20" s="73"/>
      <c r="BM20" s="73"/>
    </row>
    <row r="21" spans="1:65" ht="15.65" customHeight="1" x14ac:dyDescent="0.35">
      <c r="A21" s="24"/>
      <c r="C21" s="45"/>
      <c r="E21" s="185">
        <v>44033</v>
      </c>
      <c r="F21" s="73"/>
      <c r="G21" s="11" t="s">
        <v>392</v>
      </c>
      <c r="H21" s="11">
        <v>28.67</v>
      </c>
      <c r="I21" s="11"/>
      <c r="J21" s="186">
        <f>H21+I21</f>
        <v>28.67</v>
      </c>
      <c r="K21" s="11"/>
      <c r="L21" s="11" t="s">
        <v>7</v>
      </c>
      <c r="M21" s="39"/>
      <c r="N21" s="39" t="s">
        <v>45</v>
      </c>
      <c r="O21" s="69">
        <v>44033</v>
      </c>
      <c r="P21" s="15"/>
      <c r="Q21" s="185"/>
      <c r="R21" s="138"/>
      <c r="S21" s="186"/>
      <c r="T21" s="186"/>
      <c r="U21" s="186">
        <f t="shared" si="4"/>
        <v>0</v>
      </c>
      <c r="V21" s="186"/>
      <c r="W21" s="186"/>
      <c r="X21" s="186"/>
      <c r="Y21" s="186"/>
      <c r="Z21" s="186"/>
      <c r="AA21" s="186"/>
      <c r="AB21" s="66"/>
      <c r="AC21" s="185"/>
      <c r="AD21" s="185"/>
      <c r="AE21" s="185"/>
      <c r="AF21" s="138"/>
      <c r="AG21" s="186"/>
      <c r="AH21" s="186"/>
      <c r="AI21" s="186">
        <f t="shared" si="2"/>
        <v>0</v>
      </c>
      <c r="AJ21" s="186"/>
      <c r="AK21" s="186"/>
      <c r="AL21" s="186"/>
      <c r="AM21" s="186"/>
      <c r="AQ21" s="185"/>
      <c r="AR21" s="138"/>
      <c r="AS21" s="186"/>
      <c r="AT21" s="186"/>
      <c r="AU21" s="186">
        <f t="shared" si="3"/>
        <v>0</v>
      </c>
      <c r="AV21" s="186"/>
      <c r="AW21" s="186"/>
      <c r="AX21" s="186"/>
      <c r="AY21" s="186"/>
      <c r="AZ21" s="73"/>
      <c r="BA21" s="73"/>
      <c r="BC21" s="185"/>
      <c r="BD21" s="138"/>
      <c r="BE21" s="186"/>
      <c r="BF21" s="186"/>
      <c r="BG21" s="186">
        <f t="shared" si="5"/>
        <v>0</v>
      </c>
      <c r="BH21" s="186"/>
      <c r="BI21" s="186"/>
      <c r="BJ21" s="186"/>
      <c r="BK21" s="186"/>
      <c r="BL21" s="73"/>
      <c r="BM21" s="73"/>
    </row>
    <row r="22" spans="1:65" ht="14.5" customHeight="1" x14ac:dyDescent="0.35">
      <c r="A22" s="24"/>
      <c r="C22" s="43"/>
      <c r="E22" s="185">
        <v>44047</v>
      </c>
      <c r="F22" s="73"/>
      <c r="G22" s="11" t="s">
        <v>393</v>
      </c>
      <c r="H22" s="11">
        <v>71.260000000000005</v>
      </c>
      <c r="I22" s="11"/>
      <c r="J22" s="186">
        <f>H22+I22</f>
        <v>71.260000000000005</v>
      </c>
      <c r="K22" s="11"/>
      <c r="L22" s="11" t="s">
        <v>8</v>
      </c>
      <c r="M22" s="39"/>
      <c r="N22" s="39" t="s">
        <v>45</v>
      </c>
      <c r="O22" s="69">
        <v>44047</v>
      </c>
      <c r="P22" s="15"/>
      <c r="Q22" s="185"/>
      <c r="R22" s="138"/>
      <c r="S22" s="186"/>
      <c r="T22" s="186"/>
      <c r="U22" s="186">
        <f t="shared" si="4"/>
        <v>0</v>
      </c>
      <c r="V22" s="186"/>
      <c r="W22" s="186"/>
      <c r="X22" s="186"/>
      <c r="Y22" s="186"/>
      <c r="Z22" s="186"/>
      <c r="AA22" s="186"/>
      <c r="AB22" s="66"/>
      <c r="AC22" s="185"/>
      <c r="AD22" s="185"/>
      <c r="AE22" s="185"/>
      <c r="AF22" s="138"/>
      <c r="AG22" s="186"/>
      <c r="AH22" s="186"/>
      <c r="AI22" s="186">
        <f t="shared" si="2"/>
        <v>0</v>
      </c>
      <c r="AJ22" s="186"/>
      <c r="AK22" s="186"/>
      <c r="AL22" s="186"/>
      <c r="AM22" s="186"/>
      <c r="AQ22" s="185"/>
      <c r="AR22" s="138"/>
      <c r="AS22" s="186"/>
      <c r="AT22" s="186"/>
      <c r="AU22" s="186">
        <f t="shared" si="3"/>
        <v>0</v>
      </c>
      <c r="AV22" s="186"/>
      <c r="AW22" s="186"/>
      <c r="AX22" s="186"/>
      <c r="AY22" s="186"/>
      <c r="AZ22" s="73"/>
      <c r="BA22" s="73"/>
      <c r="BC22" s="185"/>
      <c r="BD22" s="138"/>
      <c r="BE22" s="186"/>
      <c r="BF22" s="186"/>
      <c r="BG22" s="186">
        <f t="shared" si="5"/>
        <v>0</v>
      </c>
      <c r="BH22" s="186"/>
      <c r="BI22" s="186"/>
      <c r="BJ22" s="186"/>
      <c r="BK22" s="186"/>
      <c r="BL22" s="73"/>
      <c r="BM22" s="73"/>
    </row>
    <row r="23" spans="1:65" ht="14.5" customHeight="1" x14ac:dyDescent="0.35">
      <c r="A23" s="24"/>
      <c r="C23" s="43"/>
      <c r="E23" s="185">
        <v>44048</v>
      </c>
      <c r="F23" s="73"/>
      <c r="G23" s="11" t="s">
        <v>394</v>
      </c>
      <c r="H23" s="11">
        <v>78</v>
      </c>
      <c r="I23" s="11"/>
      <c r="J23" s="186">
        <f>H23+I23</f>
        <v>78</v>
      </c>
      <c r="K23" s="11"/>
      <c r="L23" s="11" t="s">
        <v>8</v>
      </c>
      <c r="M23" s="39"/>
      <c r="N23" s="39" t="s">
        <v>137</v>
      </c>
      <c r="O23" s="69">
        <v>44048</v>
      </c>
      <c r="P23" s="15"/>
      <c r="Q23" s="185"/>
      <c r="R23" s="138"/>
      <c r="S23" s="186"/>
      <c r="T23" s="186"/>
      <c r="U23" s="186">
        <f t="shared" si="4"/>
        <v>0</v>
      </c>
      <c r="V23" s="186"/>
      <c r="W23" s="186"/>
      <c r="X23" s="186"/>
      <c r="Y23" s="186"/>
      <c r="Z23" s="186"/>
      <c r="AA23" s="186"/>
      <c r="AB23" s="66"/>
      <c r="AC23" s="185"/>
      <c r="AD23" s="185"/>
      <c r="AE23" s="185"/>
      <c r="AF23" s="138"/>
      <c r="AG23" s="186"/>
      <c r="AH23" s="186"/>
      <c r="AI23" s="186">
        <f t="shared" si="2"/>
        <v>0</v>
      </c>
      <c r="AJ23" s="186"/>
      <c r="AK23" s="186"/>
      <c r="AL23" s="186"/>
      <c r="AM23" s="186"/>
      <c r="AQ23" s="185"/>
      <c r="AR23" s="138"/>
      <c r="AS23" s="186"/>
      <c r="AT23" s="186"/>
      <c r="AU23" s="186">
        <f t="shared" si="3"/>
        <v>0</v>
      </c>
      <c r="AV23" s="186"/>
      <c r="AW23" s="186"/>
      <c r="AX23" s="186"/>
      <c r="AY23" s="186"/>
      <c r="AZ23" s="73"/>
      <c r="BA23" s="73"/>
      <c r="BC23" s="185"/>
      <c r="BD23" s="138"/>
      <c r="BE23" s="186"/>
      <c r="BF23" s="186"/>
      <c r="BG23" s="186">
        <f t="shared" si="5"/>
        <v>0</v>
      </c>
      <c r="BH23" s="186"/>
      <c r="BI23" s="186"/>
      <c r="BJ23" s="186"/>
      <c r="BK23" s="186"/>
      <c r="BL23" s="73"/>
      <c r="BM23" s="73"/>
    </row>
    <row r="24" spans="1:65" ht="14.5" customHeight="1" x14ac:dyDescent="0.35">
      <c r="A24" s="24"/>
      <c r="C24" s="43"/>
      <c r="E24" s="185">
        <v>44051</v>
      </c>
      <c r="F24" s="73"/>
      <c r="G24" s="11" t="s">
        <v>395</v>
      </c>
      <c r="H24" s="11">
        <v>12.46</v>
      </c>
      <c r="I24" s="11"/>
      <c r="J24" s="186">
        <f>H24+I24</f>
        <v>12.46</v>
      </c>
      <c r="K24" s="11"/>
      <c r="L24" s="11" t="s">
        <v>8</v>
      </c>
      <c r="M24" s="39"/>
      <c r="N24" s="39" t="s">
        <v>79</v>
      </c>
      <c r="O24" s="69">
        <v>44051</v>
      </c>
      <c r="P24" s="15"/>
      <c r="Q24" s="185"/>
      <c r="R24" s="138"/>
      <c r="S24" s="186"/>
      <c r="T24" s="186"/>
      <c r="U24" s="186">
        <f t="shared" si="4"/>
        <v>0</v>
      </c>
      <c r="V24" s="186"/>
      <c r="W24" s="186"/>
      <c r="X24" s="186"/>
      <c r="Y24" s="186"/>
      <c r="Z24" s="186"/>
      <c r="AA24" s="186"/>
      <c r="AB24" s="66"/>
      <c r="AC24" s="185"/>
      <c r="AD24" s="185"/>
      <c r="AE24" s="185"/>
      <c r="AF24" s="138"/>
      <c r="AG24" s="186"/>
      <c r="AH24" s="186"/>
      <c r="AI24" s="186">
        <f t="shared" si="2"/>
        <v>0</v>
      </c>
      <c r="AJ24" s="186"/>
      <c r="AK24" s="186"/>
      <c r="AL24" s="186"/>
      <c r="AM24" s="186"/>
      <c r="AQ24" s="185"/>
      <c r="AR24" s="138"/>
      <c r="AS24" s="186"/>
      <c r="AT24" s="186"/>
      <c r="AU24" s="186">
        <f t="shared" si="3"/>
        <v>0</v>
      </c>
      <c r="AV24" s="186"/>
      <c r="AW24" s="186"/>
      <c r="AX24" s="186"/>
      <c r="AY24" s="186"/>
      <c r="AZ24" s="73"/>
      <c r="BA24" s="73"/>
      <c r="BC24" s="185"/>
      <c r="BD24" s="138"/>
      <c r="BE24" s="186"/>
      <c r="BF24" s="186"/>
      <c r="BG24" s="186">
        <f t="shared" si="5"/>
        <v>0</v>
      </c>
      <c r="BH24" s="186"/>
      <c r="BI24" s="186"/>
      <c r="BJ24" s="186"/>
      <c r="BK24" s="186"/>
      <c r="BL24" s="73"/>
      <c r="BM24" s="73"/>
    </row>
    <row r="25" spans="1:65" ht="14.5" customHeight="1" x14ac:dyDescent="0.35">
      <c r="A25" s="24"/>
      <c r="C25" s="43"/>
      <c r="E25" s="185">
        <v>44053</v>
      </c>
      <c r="F25" s="73"/>
      <c r="G25" s="11" t="s">
        <v>396</v>
      </c>
      <c r="H25" s="11">
        <v>8</v>
      </c>
      <c r="I25" s="11"/>
      <c r="J25" s="186">
        <v>8</v>
      </c>
      <c r="K25" s="11"/>
      <c r="L25" s="11" t="s">
        <v>8</v>
      </c>
      <c r="M25" s="39"/>
      <c r="N25" s="39" t="s">
        <v>79</v>
      </c>
      <c r="O25" s="69">
        <v>44053</v>
      </c>
      <c r="P25" s="15"/>
      <c r="Q25" s="185"/>
      <c r="R25" s="138"/>
      <c r="S25" s="186"/>
      <c r="T25" s="186"/>
      <c r="U25" s="186">
        <f t="shared" si="4"/>
        <v>0</v>
      </c>
      <c r="V25" s="186"/>
      <c r="W25" s="186"/>
      <c r="X25" s="186"/>
      <c r="Y25" s="186"/>
      <c r="Z25" s="186"/>
      <c r="AA25" s="186"/>
      <c r="AB25" s="66"/>
      <c r="AC25" s="185"/>
      <c r="AD25" s="185"/>
      <c r="AE25" s="185"/>
      <c r="AF25" s="138"/>
      <c r="AG25" s="186"/>
      <c r="AH25" s="186"/>
      <c r="AI25" s="186">
        <f t="shared" si="2"/>
        <v>0</v>
      </c>
      <c r="AJ25" s="186"/>
      <c r="AK25" s="186"/>
      <c r="AL25" s="186"/>
      <c r="AM25" s="186"/>
      <c r="AQ25" s="185"/>
      <c r="AR25" s="138"/>
      <c r="AS25" s="186"/>
      <c r="AT25" s="186"/>
      <c r="AU25" s="186">
        <f t="shared" si="3"/>
        <v>0</v>
      </c>
      <c r="AV25" s="186"/>
      <c r="AW25" s="186"/>
      <c r="AX25" s="186"/>
      <c r="AY25" s="186"/>
      <c r="AZ25" s="73"/>
      <c r="BA25" s="73"/>
      <c r="BC25" s="185"/>
      <c r="BD25" s="138"/>
      <c r="BE25" s="186"/>
      <c r="BF25" s="186"/>
      <c r="BG25" s="186">
        <f t="shared" si="5"/>
        <v>0</v>
      </c>
      <c r="BH25" s="186"/>
      <c r="BI25" s="186"/>
      <c r="BJ25" s="186"/>
      <c r="BK25" s="186"/>
      <c r="BL25" s="73"/>
      <c r="BM25" s="73"/>
    </row>
    <row r="26" spans="1:65" ht="14.5" customHeight="1" x14ac:dyDescent="0.35">
      <c r="A26" s="24"/>
      <c r="C26" s="43"/>
      <c r="E26" s="185">
        <v>44057</v>
      </c>
      <c r="F26" s="73"/>
      <c r="G26" s="11" t="s">
        <v>397</v>
      </c>
      <c r="H26" s="11">
        <v>444.5</v>
      </c>
      <c r="I26" s="11"/>
      <c r="J26" s="186">
        <f>H26+I26</f>
        <v>444.5</v>
      </c>
      <c r="K26" s="11"/>
      <c r="L26" s="11" t="s">
        <v>8</v>
      </c>
      <c r="M26" s="39"/>
      <c r="N26" s="39" t="s">
        <v>137</v>
      </c>
      <c r="O26" s="69">
        <v>44057</v>
      </c>
      <c r="P26" s="15"/>
      <c r="Q26" s="185"/>
      <c r="R26" s="138"/>
      <c r="S26" s="186"/>
      <c r="T26" s="186"/>
      <c r="U26" s="186">
        <f t="shared" si="4"/>
        <v>0</v>
      </c>
      <c r="V26" s="186"/>
      <c r="W26" s="186"/>
      <c r="X26" s="186"/>
      <c r="Y26" s="186"/>
      <c r="Z26" s="186"/>
      <c r="AA26" s="186"/>
      <c r="AB26" s="66"/>
      <c r="AC26" s="185"/>
      <c r="AD26" s="185"/>
      <c r="AE26" s="185"/>
      <c r="AF26" s="138"/>
      <c r="AG26" s="186"/>
      <c r="AH26" s="186"/>
      <c r="AI26" s="186">
        <f t="shared" si="2"/>
        <v>0</v>
      </c>
      <c r="AJ26" s="186"/>
      <c r="AK26" s="186"/>
      <c r="AL26" s="186"/>
      <c r="AM26" s="186"/>
      <c r="AQ26" s="185"/>
      <c r="AR26" s="138"/>
      <c r="AS26" s="186"/>
      <c r="AT26" s="186"/>
      <c r="AU26" s="186">
        <f t="shared" si="3"/>
        <v>0</v>
      </c>
      <c r="AV26" s="186"/>
      <c r="AW26" s="186"/>
      <c r="AX26" s="186"/>
      <c r="AY26" s="186"/>
      <c r="AZ26" s="73"/>
      <c r="BA26" s="73"/>
      <c r="BC26" s="185"/>
      <c r="BD26" s="138"/>
      <c r="BE26" s="186"/>
      <c r="BF26" s="186"/>
      <c r="BG26" s="186">
        <f t="shared" si="5"/>
        <v>0</v>
      </c>
      <c r="BH26" s="186"/>
      <c r="BI26" s="186"/>
      <c r="BJ26" s="186"/>
      <c r="BK26" s="186"/>
      <c r="BL26" s="73"/>
      <c r="BM26" s="73"/>
    </row>
    <row r="27" spans="1:65" ht="14.5" customHeight="1" x14ac:dyDescent="0.35">
      <c r="A27" s="24"/>
      <c r="C27" s="43"/>
      <c r="E27" s="185">
        <v>44057</v>
      </c>
      <c r="F27" s="73"/>
      <c r="G27" s="11" t="s">
        <v>398</v>
      </c>
      <c r="H27" s="11">
        <v>10.63</v>
      </c>
      <c r="I27" s="11"/>
      <c r="J27" s="186">
        <f>H27+I27</f>
        <v>10.63</v>
      </c>
      <c r="K27" s="11"/>
      <c r="L27" s="11" t="s">
        <v>8</v>
      </c>
      <c r="M27" s="39"/>
      <c r="N27" s="39" t="s">
        <v>45</v>
      </c>
      <c r="O27" s="69">
        <v>44057</v>
      </c>
      <c r="P27" s="15"/>
      <c r="Q27" s="185"/>
      <c r="R27" s="138"/>
      <c r="S27" s="186"/>
      <c r="T27" s="186"/>
      <c r="U27" s="186">
        <f t="shared" si="4"/>
        <v>0</v>
      </c>
      <c r="V27" s="186"/>
      <c r="W27" s="186"/>
      <c r="X27" s="186"/>
      <c r="Y27" s="186"/>
      <c r="Z27" s="186"/>
      <c r="AA27" s="186"/>
      <c r="AB27" s="66"/>
      <c r="AC27" s="185"/>
      <c r="AD27" s="185"/>
      <c r="AE27" s="185"/>
      <c r="AF27" s="138"/>
      <c r="AG27" s="186"/>
      <c r="AH27" s="186"/>
      <c r="AI27" s="186">
        <f t="shared" si="2"/>
        <v>0</v>
      </c>
      <c r="AJ27" s="186"/>
      <c r="AK27" s="186"/>
      <c r="AL27" s="186"/>
      <c r="AM27" s="186"/>
      <c r="AQ27" s="185"/>
      <c r="AR27" s="138"/>
      <c r="AS27" s="186"/>
      <c r="AT27" s="186"/>
      <c r="AU27" s="186">
        <f t="shared" si="3"/>
        <v>0</v>
      </c>
      <c r="AV27" s="186"/>
      <c r="AW27" s="186"/>
      <c r="AX27" s="186"/>
      <c r="AY27" s="186"/>
      <c r="AZ27" s="73"/>
      <c r="BA27" s="73"/>
      <c r="BC27" s="185"/>
      <c r="BD27" s="138"/>
      <c r="BE27" s="186"/>
      <c r="BF27" s="186"/>
      <c r="BG27" s="186">
        <f t="shared" si="5"/>
        <v>0</v>
      </c>
      <c r="BH27" s="186"/>
      <c r="BI27" s="186"/>
      <c r="BJ27" s="186"/>
      <c r="BK27" s="186"/>
      <c r="BL27" s="73"/>
      <c r="BM27" s="73"/>
    </row>
    <row r="28" spans="1:65" ht="14.5" customHeight="1" x14ac:dyDescent="0.35">
      <c r="A28" s="24"/>
      <c r="C28" s="43"/>
      <c r="E28" s="185">
        <v>44057</v>
      </c>
      <c r="F28" s="73"/>
      <c r="G28" s="11" t="s">
        <v>399</v>
      </c>
      <c r="H28" s="11">
        <v>21.97</v>
      </c>
      <c r="I28" s="11">
        <v>1.87</v>
      </c>
      <c r="J28" s="186">
        <v>23.84</v>
      </c>
      <c r="K28" s="11"/>
      <c r="L28" s="11" t="s">
        <v>8</v>
      </c>
      <c r="M28" s="39"/>
      <c r="N28" s="39" t="s">
        <v>45</v>
      </c>
      <c r="O28" s="69">
        <v>44057</v>
      </c>
      <c r="P28" s="15"/>
      <c r="Q28" s="185"/>
      <c r="R28" s="138"/>
      <c r="S28" s="186"/>
      <c r="T28" s="186"/>
      <c r="U28" s="186">
        <f t="shared" si="4"/>
        <v>0</v>
      </c>
      <c r="V28" s="186"/>
      <c r="W28" s="186"/>
      <c r="X28" s="186"/>
      <c r="Y28" s="186"/>
      <c r="Z28" s="186"/>
      <c r="AA28" s="186"/>
      <c r="AB28" s="66"/>
      <c r="AC28" s="185"/>
      <c r="AD28" s="185"/>
      <c r="AE28" s="185"/>
      <c r="AF28" s="138"/>
      <c r="AG28" s="186"/>
      <c r="AH28" s="186"/>
      <c r="AI28" s="186">
        <f t="shared" si="2"/>
        <v>0</v>
      </c>
      <c r="AJ28" s="186"/>
      <c r="AK28" s="186"/>
      <c r="AL28" s="186"/>
      <c r="AM28" s="186"/>
      <c r="AQ28" s="185"/>
      <c r="AR28" s="138"/>
      <c r="AS28" s="186"/>
      <c r="AT28" s="186"/>
      <c r="AU28" s="186">
        <f t="shared" si="3"/>
        <v>0</v>
      </c>
      <c r="AV28" s="186"/>
      <c r="AW28" s="186"/>
      <c r="AX28" s="186"/>
      <c r="AY28" s="186"/>
      <c r="AZ28" s="73"/>
      <c r="BA28" s="73"/>
      <c r="BC28" s="185"/>
      <c r="BD28" s="138"/>
      <c r="BE28" s="186"/>
      <c r="BF28" s="186"/>
      <c r="BG28" s="186">
        <f t="shared" si="5"/>
        <v>0</v>
      </c>
      <c r="BH28" s="186"/>
      <c r="BI28" s="186"/>
      <c r="BJ28" s="186"/>
      <c r="BK28" s="186"/>
      <c r="BL28" s="73"/>
      <c r="BM28" s="73"/>
    </row>
    <row r="29" spans="1:65" ht="14.5" customHeight="1" x14ac:dyDescent="0.35">
      <c r="A29" s="24"/>
      <c r="C29" s="44"/>
      <c r="E29" s="161">
        <v>44060</v>
      </c>
      <c r="F29" s="73"/>
      <c r="G29" s="11" t="s">
        <v>400</v>
      </c>
      <c r="H29" s="94">
        <v>-25</v>
      </c>
      <c r="I29" s="94"/>
      <c r="J29" s="162">
        <f t="shared" ref="J29:J60" si="6">H29+I29</f>
        <v>-25</v>
      </c>
      <c r="K29" s="94"/>
      <c r="L29" s="94" t="s">
        <v>8</v>
      </c>
      <c r="M29" s="167"/>
      <c r="N29" s="167" t="s">
        <v>93</v>
      </c>
      <c r="O29" s="283">
        <v>44060</v>
      </c>
      <c r="P29" s="15"/>
      <c r="Q29" s="185"/>
      <c r="R29" s="138"/>
      <c r="S29" s="186"/>
      <c r="T29" s="186"/>
      <c r="U29" s="186">
        <f t="shared" si="4"/>
        <v>0</v>
      </c>
      <c r="V29" s="186"/>
      <c r="W29" s="186"/>
      <c r="X29" s="186"/>
      <c r="Y29" s="186"/>
      <c r="Z29" s="186"/>
      <c r="AA29" s="186"/>
      <c r="AB29" s="66"/>
      <c r="AC29" s="185"/>
      <c r="AD29" s="185"/>
      <c r="AE29" s="185"/>
      <c r="AF29" s="138"/>
      <c r="AG29" s="186"/>
      <c r="AH29" s="186"/>
      <c r="AI29" s="186">
        <f t="shared" si="2"/>
        <v>0</v>
      </c>
      <c r="AJ29" s="186"/>
      <c r="AK29" s="186"/>
      <c r="AL29" s="186"/>
      <c r="AM29" s="186"/>
      <c r="AQ29" s="185"/>
      <c r="AR29" s="138"/>
      <c r="AS29" s="186"/>
      <c r="AT29" s="186"/>
      <c r="AU29" s="186">
        <f t="shared" si="3"/>
        <v>0</v>
      </c>
      <c r="AV29" s="186"/>
      <c r="AW29" s="186"/>
      <c r="AX29" s="186"/>
      <c r="AY29" s="186"/>
      <c r="AZ29" s="73"/>
      <c r="BA29" s="73"/>
      <c r="BC29" s="185"/>
      <c r="BD29" s="138"/>
      <c r="BE29" s="186"/>
      <c r="BF29" s="186"/>
      <c r="BG29" s="186">
        <f t="shared" si="5"/>
        <v>0</v>
      </c>
      <c r="BH29" s="186"/>
      <c r="BI29" s="186"/>
      <c r="BJ29" s="186"/>
      <c r="BK29" s="186"/>
      <c r="BL29" s="73"/>
      <c r="BM29" s="73"/>
    </row>
    <row r="30" spans="1:65" ht="14.5" customHeight="1" x14ac:dyDescent="0.35">
      <c r="A30" s="24"/>
      <c r="C30" s="44"/>
      <c r="E30" s="185">
        <v>44060</v>
      </c>
      <c r="F30" s="73"/>
      <c r="G30" s="11" t="s">
        <v>401</v>
      </c>
      <c r="H30" s="11">
        <v>247</v>
      </c>
      <c r="I30" s="11"/>
      <c r="J30" s="186">
        <f t="shared" si="6"/>
        <v>247</v>
      </c>
      <c r="K30" s="11"/>
      <c r="L30" s="11" t="s">
        <v>8</v>
      </c>
      <c r="M30" s="39"/>
      <c r="N30" s="39" t="s">
        <v>45</v>
      </c>
      <c r="O30" s="69">
        <v>44060</v>
      </c>
      <c r="P30" s="15"/>
      <c r="Q30" s="185"/>
      <c r="R30" s="138"/>
      <c r="S30" s="186"/>
      <c r="T30" s="186"/>
      <c r="U30" s="186">
        <f t="shared" si="4"/>
        <v>0</v>
      </c>
      <c r="V30" s="186"/>
      <c r="W30" s="186"/>
      <c r="X30" s="186"/>
      <c r="Y30" s="186"/>
      <c r="Z30" s="186"/>
      <c r="AA30" s="186"/>
      <c r="AB30" s="66"/>
      <c r="AC30" s="185"/>
      <c r="AD30" s="185"/>
      <c r="AE30" s="185"/>
      <c r="AF30" s="138"/>
      <c r="AG30" s="186"/>
      <c r="AH30" s="186"/>
      <c r="AI30" s="186">
        <f t="shared" si="2"/>
        <v>0</v>
      </c>
      <c r="AJ30" s="186"/>
      <c r="AK30" s="186"/>
      <c r="AL30" s="186"/>
      <c r="AM30" s="186"/>
      <c r="AQ30" s="185"/>
      <c r="AR30" s="138"/>
      <c r="AS30" s="186"/>
      <c r="AT30" s="186"/>
      <c r="AU30" s="186">
        <f t="shared" si="3"/>
        <v>0</v>
      </c>
      <c r="AV30" s="186"/>
      <c r="AW30" s="186"/>
      <c r="AX30" s="186"/>
      <c r="AY30" s="186"/>
      <c r="AZ30" s="73"/>
      <c r="BA30" s="73"/>
      <c r="BC30" s="185"/>
      <c r="BD30" s="138"/>
      <c r="BE30" s="186"/>
      <c r="BF30" s="186"/>
      <c r="BG30" s="186">
        <f t="shared" si="5"/>
        <v>0</v>
      </c>
      <c r="BH30" s="186"/>
      <c r="BI30" s="186"/>
      <c r="BJ30" s="186"/>
      <c r="BK30" s="186"/>
      <c r="BL30" s="73"/>
      <c r="BM30" s="73"/>
    </row>
    <row r="31" spans="1:65" ht="14.5" customHeight="1" x14ac:dyDescent="0.35">
      <c r="A31" s="24"/>
      <c r="E31" s="185">
        <v>44063</v>
      </c>
      <c r="F31" s="73"/>
      <c r="G31" s="11" t="s">
        <v>402</v>
      </c>
      <c r="H31" s="11">
        <v>46.52</v>
      </c>
      <c r="I31" s="11"/>
      <c r="J31" s="186">
        <f t="shared" si="6"/>
        <v>46.52</v>
      </c>
      <c r="K31" s="11"/>
      <c r="L31" s="11" t="s">
        <v>8</v>
      </c>
      <c r="M31" s="39"/>
      <c r="N31" s="39" t="s">
        <v>45</v>
      </c>
      <c r="O31" s="69">
        <v>44063</v>
      </c>
      <c r="P31" s="15"/>
      <c r="Q31" s="185"/>
      <c r="R31" s="138"/>
      <c r="S31" s="186"/>
      <c r="T31" s="186"/>
      <c r="U31" s="186">
        <f t="shared" si="4"/>
        <v>0</v>
      </c>
      <c r="V31" s="186"/>
      <c r="W31" s="186"/>
      <c r="X31" s="186"/>
      <c r="Y31" s="186"/>
      <c r="Z31" s="186"/>
      <c r="AA31" s="186"/>
      <c r="AB31" s="66"/>
      <c r="AC31" s="185"/>
      <c r="AD31" s="185"/>
      <c r="AE31" s="185"/>
      <c r="AF31" s="138"/>
      <c r="AG31" s="186"/>
      <c r="AH31" s="186"/>
      <c r="AI31" s="186">
        <f t="shared" si="2"/>
        <v>0</v>
      </c>
      <c r="AJ31" s="186"/>
      <c r="AK31" s="186"/>
      <c r="AL31" s="186"/>
      <c r="AM31" s="186"/>
      <c r="AQ31" s="185"/>
      <c r="AR31" s="138"/>
      <c r="AS31" s="186"/>
      <c r="AT31" s="186"/>
      <c r="AU31" s="186">
        <f t="shared" si="3"/>
        <v>0</v>
      </c>
      <c r="AV31" s="186"/>
      <c r="AW31" s="186"/>
      <c r="AX31" s="186"/>
      <c r="AY31" s="186"/>
      <c r="AZ31" s="73"/>
      <c r="BA31" s="73"/>
      <c r="BC31" s="185"/>
      <c r="BD31" s="138"/>
      <c r="BE31" s="186"/>
      <c r="BF31" s="186"/>
      <c r="BG31" s="186">
        <f t="shared" si="5"/>
        <v>0</v>
      </c>
      <c r="BH31" s="186"/>
      <c r="BI31" s="186"/>
      <c r="BJ31" s="186"/>
      <c r="BK31" s="186"/>
      <c r="BL31" s="73"/>
      <c r="BM31" s="73"/>
    </row>
    <row r="32" spans="1:65" ht="14.5" customHeight="1" x14ac:dyDescent="0.35">
      <c r="A32" s="24"/>
      <c r="E32" s="185">
        <v>44064</v>
      </c>
      <c r="F32" s="73"/>
      <c r="G32" s="11" t="s">
        <v>403</v>
      </c>
      <c r="H32" s="11">
        <v>10.63</v>
      </c>
      <c r="I32" s="11"/>
      <c r="J32" s="186">
        <f t="shared" si="6"/>
        <v>10.63</v>
      </c>
      <c r="K32" s="11"/>
      <c r="L32" s="11" t="s">
        <v>8</v>
      </c>
      <c r="M32" s="39"/>
      <c r="N32" s="39" t="s">
        <v>45</v>
      </c>
      <c r="O32" s="69">
        <v>44064</v>
      </c>
      <c r="P32" s="15"/>
      <c r="Q32" s="185"/>
      <c r="R32" s="138"/>
      <c r="S32" s="186"/>
      <c r="T32" s="186"/>
      <c r="U32" s="186">
        <f t="shared" si="4"/>
        <v>0</v>
      </c>
      <c r="V32" s="186"/>
      <c r="W32" s="186"/>
      <c r="X32" s="186"/>
      <c r="Y32" s="186"/>
      <c r="Z32" s="186"/>
      <c r="AA32" s="186"/>
      <c r="AB32" s="66"/>
      <c r="AC32" s="185"/>
      <c r="AD32" s="185"/>
      <c r="AE32" s="185"/>
      <c r="AF32" s="138"/>
      <c r="AG32" s="186"/>
      <c r="AH32" s="186"/>
      <c r="AI32" s="186">
        <f t="shared" si="2"/>
        <v>0</v>
      </c>
      <c r="AJ32" s="186"/>
      <c r="AK32" s="186"/>
      <c r="AL32" s="186"/>
      <c r="AM32" s="186"/>
      <c r="AQ32" s="185"/>
      <c r="AR32" s="138"/>
      <c r="AS32" s="186"/>
      <c r="AT32" s="186"/>
      <c r="AU32" s="186">
        <f t="shared" si="3"/>
        <v>0</v>
      </c>
      <c r="AV32" s="186"/>
      <c r="AW32" s="186"/>
      <c r="AX32" s="186"/>
      <c r="AY32" s="186"/>
      <c r="AZ32" s="73"/>
      <c r="BA32" s="73"/>
      <c r="BC32" s="185"/>
      <c r="BD32" s="138"/>
      <c r="BE32" s="186"/>
      <c r="BF32" s="186"/>
      <c r="BG32" s="186">
        <f t="shared" si="5"/>
        <v>0</v>
      </c>
      <c r="BH32" s="186"/>
      <c r="BI32" s="186"/>
      <c r="BJ32" s="186"/>
      <c r="BK32" s="186"/>
      <c r="BL32" s="73"/>
      <c r="BM32" s="73"/>
    </row>
    <row r="33" spans="1:65" ht="14.5" customHeight="1" x14ac:dyDescent="0.35">
      <c r="A33" s="24"/>
      <c r="E33" s="161">
        <v>44070</v>
      </c>
      <c r="F33" s="73"/>
      <c r="G33" s="11" t="s">
        <v>404</v>
      </c>
      <c r="H33" s="94">
        <v>-16.86</v>
      </c>
      <c r="I33" s="94"/>
      <c r="J33" s="162">
        <f t="shared" si="6"/>
        <v>-16.86</v>
      </c>
      <c r="K33" s="94"/>
      <c r="L33" s="94" t="s">
        <v>8</v>
      </c>
      <c r="M33" s="167"/>
      <c r="N33" s="167"/>
      <c r="O33" s="283"/>
      <c r="P33" s="15"/>
      <c r="Q33" s="185"/>
      <c r="R33" s="138"/>
      <c r="S33" s="186"/>
      <c r="T33" s="186"/>
      <c r="U33" s="186">
        <f t="shared" si="4"/>
        <v>0</v>
      </c>
      <c r="V33" s="186"/>
      <c r="W33" s="186"/>
      <c r="X33" s="186"/>
      <c r="Y33" s="186"/>
      <c r="Z33" s="186"/>
      <c r="AA33" s="186"/>
      <c r="AB33" s="66"/>
      <c r="AC33" s="185"/>
      <c r="AD33" s="185"/>
      <c r="AE33" s="185"/>
      <c r="AF33" s="138"/>
      <c r="AG33" s="186"/>
      <c r="AH33" s="186"/>
      <c r="AI33" s="186">
        <f t="shared" si="2"/>
        <v>0</v>
      </c>
      <c r="AJ33" s="186"/>
      <c r="AK33" s="186"/>
      <c r="AL33" s="186"/>
      <c r="AM33" s="186"/>
      <c r="AQ33" s="185"/>
      <c r="AR33" s="138"/>
      <c r="AS33" s="186"/>
      <c r="AT33" s="186"/>
      <c r="AU33" s="186">
        <f t="shared" si="3"/>
        <v>0</v>
      </c>
      <c r="AV33" s="186"/>
      <c r="AW33" s="186"/>
      <c r="AX33" s="186"/>
      <c r="AY33" s="186"/>
      <c r="AZ33" s="73"/>
      <c r="BA33" s="73"/>
      <c r="BC33" s="185"/>
      <c r="BD33" s="138"/>
      <c r="BE33" s="186"/>
      <c r="BF33" s="186"/>
      <c r="BG33" s="186">
        <f t="shared" si="5"/>
        <v>0</v>
      </c>
      <c r="BH33" s="186"/>
      <c r="BI33" s="186"/>
      <c r="BJ33" s="186"/>
      <c r="BK33" s="186"/>
      <c r="BL33" s="73"/>
      <c r="BM33" s="73"/>
    </row>
    <row r="34" spans="1:65" ht="14.5" customHeight="1" x14ac:dyDescent="0.35">
      <c r="A34" s="24"/>
      <c r="E34" s="185">
        <v>44071</v>
      </c>
      <c r="F34" s="73"/>
      <c r="G34" s="11" t="s">
        <v>405</v>
      </c>
      <c r="H34" s="11">
        <v>160</v>
      </c>
      <c r="I34" s="11"/>
      <c r="J34" s="186">
        <f t="shared" si="6"/>
        <v>160</v>
      </c>
      <c r="K34" s="11"/>
      <c r="L34" s="11" t="s">
        <v>8</v>
      </c>
      <c r="M34" s="39"/>
      <c r="N34" s="39" t="s">
        <v>79</v>
      </c>
      <c r="O34" s="69">
        <v>44071</v>
      </c>
      <c r="P34" s="15"/>
      <c r="Q34" s="185"/>
      <c r="R34" s="138"/>
      <c r="S34" s="186"/>
      <c r="T34" s="186"/>
      <c r="U34" s="186">
        <f t="shared" si="4"/>
        <v>0</v>
      </c>
      <c r="V34" s="186"/>
      <c r="W34" s="186"/>
      <c r="X34" s="186"/>
      <c r="Y34" s="186"/>
      <c r="Z34" s="186"/>
      <c r="AA34" s="186"/>
      <c r="AB34" s="66"/>
      <c r="AC34" s="185"/>
      <c r="AD34" s="185"/>
      <c r="AE34" s="185"/>
      <c r="AF34" s="138"/>
      <c r="AG34" s="186"/>
      <c r="AH34" s="186"/>
      <c r="AI34" s="186">
        <f t="shared" si="2"/>
        <v>0</v>
      </c>
      <c r="AJ34" s="186"/>
      <c r="AK34" s="186"/>
      <c r="AL34" s="186"/>
      <c r="AM34" s="186"/>
      <c r="AQ34" s="185"/>
      <c r="AR34" s="138"/>
      <c r="AS34" s="186"/>
      <c r="AT34" s="186"/>
      <c r="AU34" s="186">
        <f t="shared" si="3"/>
        <v>0</v>
      </c>
      <c r="AV34" s="186"/>
      <c r="AW34" s="186"/>
      <c r="AX34" s="186"/>
      <c r="AY34" s="186"/>
      <c r="AZ34" s="73"/>
      <c r="BA34" s="73"/>
      <c r="BC34" s="185"/>
      <c r="BD34" s="138"/>
      <c r="BE34" s="186"/>
      <c r="BF34" s="186"/>
      <c r="BG34" s="186">
        <f t="shared" si="5"/>
        <v>0</v>
      </c>
      <c r="BH34" s="186"/>
      <c r="BI34" s="186"/>
      <c r="BJ34" s="186"/>
      <c r="BK34" s="186"/>
      <c r="BL34" s="73"/>
      <c r="BM34" s="73"/>
    </row>
    <row r="35" spans="1:65" ht="14.5" customHeight="1" x14ac:dyDescent="0.35">
      <c r="A35" s="24"/>
      <c r="E35" s="185">
        <v>44081</v>
      </c>
      <c r="F35" s="73"/>
      <c r="G35" s="11" t="s">
        <v>406</v>
      </c>
      <c r="H35" s="11">
        <v>9.99</v>
      </c>
      <c r="I35" s="11">
        <v>0.85</v>
      </c>
      <c r="J35" s="186">
        <f t="shared" si="6"/>
        <v>10.84</v>
      </c>
      <c r="K35" s="11"/>
      <c r="L35" s="11" t="s">
        <v>9</v>
      </c>
      <c r="M35" s="39"/>
      <c r="N35" s="39" t="s">
        <v>79</v>
      </c>
      <c r="O35" s="69">
        <v>44081</v>
      </c>
      <c r="P35" s="15"/>
      <c r="Q35" s="185"/>
      <c r="R35" s="138"/>
      <c r="S35" s="186"/>
      <c r="T35" s="186"/>
      <c r="U35" s="186">
        <f t="shared" si="4"/>
        <v>0</v>
      </c>
      <c r="V35" s="186"/>
      <c r="W35" s="186"/>
      <c r="X35" s="186"/>
      <c r="Y35" s="186"/>
      <c r="Z35" s="186"/>
      <c r="AA35" s="186"/>
      <c r="AB35" s="66"/>
      <c r="AC35" s="185"/>
      <c r="AD35" s="185"/>
      <c r="AE35" s="185"/>
      <c r="AF35" s="138"/>
      <c r="AG35" s="186"/>
      <c r="AH35" s="186"/>
      <c r="AI35" s="186">
        <f t="shared" si="2"/>
        <v>0</v>
      </c>
      <c r="AJ35" s="186"/>
      <c r="AK35" s="186"/>
      <c r="AL35" s="186"/>
      <c r="AM35" s="186"/>
      <c r="AQ35" s="185"/>
      <c r="AR35" s="138"/>
      <c r="AS35" s="186"/>
      <c r="AT35" s="186"/>
      <c r="AU35" s="186">
        <f t="shared" si="3"/>
        <v>0</v>
      </c>
      <c r="AV35" s="186"/>
      <c r="AW35" s="186"/>
      <c r="AX35" s="186"/>
      <c r="AY35" s="186"/>
      <c r="AZ35" s="73"/>
      <c r="BA35" s="73"/>
      <c r="BC35" s="185"/>
      <c r="BD35" s="138"/>
      <c r="BE35" s="186"/>
      <c r="BF35" s="186"/>
      <c r="BG35" s="186">
        <f t="shared" si="5"/>
        <v>0</v>
      </c>
      <c r="BH35" s="186"/>
      <c r="BI35" s="186"/>
      <c r="BJ35" s="186"/>
      <c r="BK35" s="186"/>
      <c r="BL35" s="73"/>
      <c r="BM35" s="73"/>
    </row>
    <row r="36" spans="1:65" ht="14.5" customHeight="1" x14ac:dyDescent="0.35">
      <c r="A36" s="24"/>
      <c r="E36" s="185">
        <v>44082</v>
      </c>
      <c r="F36" s="73"/>
      <c r="G36" s="11" t="s">
        <v>407</v>
      </c>
      <c r="H36" s="11">
        <v>8.49</v>
      </c>
      <c r="I36" s="11">
        <v>0.12</v>
      </c>
      <c r="J36" s="186">
        <f t="shared" si="6"/>
        <v>8.61</v>
      </c>
      <c r="K36" s="11"/>
      <c r="L36" s="11" t="s">
        <v>9</v>
      </c>
      <c r="M36" s="39"/>
      <c r="N36" s="39" t="s">
        <v>79</v>
      </c>
      <c r="O36" s="69">
        <v>44082</v>
      </c>
      <c r="P36" s="15"/>
      <c r="Q36" s="185"/>
      <c r="R36" s="138"/>
      <c r="S36" s="186"/>
      <c r="T36" s="186"/>
      <c r="U36" s="186">
        <f t="shared" si="4"/>
        <v>0</v>
      </c>
      <c r="V36" s="186"/>
      <c r="W36" s="186"/>
      <c r="X36" s="186"/>
      <c r="Y36" s="186"/>
      <c r="Z36" s="186"/>
      <c r="AA36" s="186"/>
      <c r="AB36" s="66"/>
      <c r="AC36" s="185"/>
      <c r="AD36" s="185"/>
      <c r="AE36" s="185"/>
      <c r="AF36" s="138"/>
      <c r="AG36" s="186"/>
      <c r="AH36" s="186"/>
      <c r="AI36" s="186">
        <f t="shared" si="2"/>
        <v>0</v>
      </c>
      <c r="AJ36" s="186"/>
      <c r="AK36" s="186"/>
      <c r="AL36" s="186"/>
      <c r="AM36" s="186"/>
      <c r="AQ36" s="185"/>
      <c r="AR36" s="138"/>
      <c r="AS36" s="186"/>
      <c r="AT36" s="186"/>
      <c r="AU36" s="186">
        <f t="shared" si="3"/>
        <v>0</v>
      </c>
      <c r="AV36" s="186"/>
      <c r="AW36" s="186"/>
      <c r="AX36" s="186"/>
      <c r="AY36" s="186"/>
      <c r="AZ36" s="73"/>
      <c r="BA36" s="73"/>
      <c r="BC36" s="185"/>
      <c r="BD36" s="138"/>
      <c r="BE36" s="186"/>
      <c r="BF36" s="186"/>
      <c r="BG36" s="186">
        <f t="shared" si="5"/>
        <v>0</v>
      </c>
      <c r="BH36" s="186"/>
      <c r="BI36" s="186"/>
      <c r="BJ36" s="186"/>
      <c r="BK36" s="186"/>
      <c r="BL36" s="73"/>
      <c r="BM36" s="73"/>
    </row>
    <row r="37" spans="1:65" ht="14.5" customHeight="1" x14ac:dyDescent="0.35">
      <c r="A37" s="24"/>
      <c r="E37" s="185">
        <v>44085</v>
      </c>
      <c r="F37" s="73"/>
      <c r="G37" s="11" t="s">
        <v>408</v>
      </c>
      <c r="H37" s="11">
        <v>13.78</v>
      </c>
      <c r="I37" s="11"/>
      <c r="J37" s="186">
        <f t="shared" si="6"/>
        <v>13.78</v>
      </c>
      <c r="K37" s="11"/>
      <c r="L37" s="11" t="s">
        <v>9</v>
      </c>
      <c r="M37" s="39"/>
      <c r="N37" s="39" t="s">
        <v>79</v>
      </c>
      <c r="O37" s="69">
        <v>44085</v>
      </c>
      <c r="P37" s="15"/>
      <c r="Q37" s="185"/>
      <c r="R37" s="138"/>
      <c r="S37" s="186"/>
      <c r="T37" s="186"/>
      <c r="U37" s="186">
        <f t="shared" si="4"/>
        <v>0</v>
      </c>
      <c r="V37" s="186"/>
      <c r="W37" s="186"/>
      <c r="X37" s="186"/>
      <c r="Y37" s="186"/>
      <c r="Z37" s="186"/>
      <c r="AA37" s="186"/>
      <c r="AB37" s="66"/>
      <c r="AC37" s="185"/>
      <c r="AD37" s="185"/>
      <c r="AE37" s="185"/>
      <c r="AF37" s="138"/>
      <c r="AG37" s="186"/>
      <c r="AH37" s="186"/>
      <c r="AI37" s="186">
        <f t="shared" si="2"/>
        <v>0</v>
      </c>
      <c r="AJ37" s="186"/>
      <c r="AK37" s="186"/>
      <c r="AL37" s="186"/>
      <c r="AM37" s="186"/>
      <c r="AQ37" s="185"/>
      <c r="AR37" s="138"/>
      <c r="AS37" s="186"/>
      <c r="AT37" s="186"/>
      <c r="AU37" s="186">
        <f t="shared" si="3"/>
        <v>0</v>
      </c>
      <c r="AV37" s="186"/>
      <c r="AW37" s="186"/>
      <c r="AX37" s="186"/>
      <c r="AY37" s="186"/>
      <c r="AZ37" s="73"/>
      <c r="BA37" s="73"/>
      <c r="BC37" s="185"/>
      <c r="BD37" s="138"/>
      <c r="BE37" s="186"/>
      <c r="BF37" s="186"/>
      <c r="BG37" s="186">
        <f t="shared" si="5"/>
        <v>0</v>
      </c>
      <c r="BH37" s="186"/>
      <c r="BI37" s="186"/>
      <c r="BJ37" s="186"/>
      <c r="BK37" s="186"/>
      <c r="BL37" s="73"/>
      <c r="BM37" s="73"/>
    </row>
    <row r="38" spans="1:65" ht="14.5" customHeight="1" x14ac:dyDescent="0.35">
      <c r="A38" s="24"/>
      <c r="E38" s="185">
        <v>44089</v>
      </c>
      <c r="F38" s="73"/>
      <c r="G38" s="11" t="s">
        <v>409</v>
      </c>
      <c r="H38" s="11">
        <v>70.5</v>
      </c>
      <c r="I38" s="11"/>
      <c r="J38" s="186">
        <f t="shared" si="6"/>
        <v>70.5</v>
      </c>
      <c r="K38" s="11"/>
      <c r="L38" s="11" t="s">
        <v>9</v>
      </c>
      <c r="M38" s="39"/>
      <c r="N38" s="39" t="s">
        <v>45</v>
      </c>
      <c r="O38" s="69">
        <v>44089</v>
      </c>
      <c r="P38" s="15"/>
      <c r="Q38" s="185"/>
      <c r="R38" s="138"/>
      <c r="S38" s="186"/>
      <c r="T38" s="186"/>
      <c r="U38" s="186">
        <f t="shared" si="4"/>
        <v>0</v>
      </c>
      <c r="V38" s="186"/>
      <c r="W38" s="186"/>
      <c r="X38" s="186"/>
      <c r="Y38" s="186"/>
      <c r="Z38" s="186"/>
      <c r="AA38" s="186"/>
      <c r="AB38" s="66"/>
      <c r="AC38" s="185"/>
      <c r="AD38" s="185"/>
      <c r="AE38" s="185"/>
      <c r="AF38" s="138"/>
      <c r="AG38" s="186"/>
      <c r="AH38" s="186"/>
      <c r="AI38" s="186">
        <f t="shared" si="2"/>
        <v>0</v>
      </c>
      <c r="AJ38" s="186"/>
      <c r="AK38" s="186"/>
      <c r="AL38" s="186"/>
      <c r="AM38" s="186"/>
      <c r="AQ38" s="185"/>
      <c r="AR38" s="138"/>
      <c r="AS38" s="186"/>
      <c r="AT38" s="186"/>
      <c r="AU38" s="186">
        <f t="shared" si="3"/>
        <v>0</v>
      </c>
      <c r="AV38" s="186"/>
      <c r="AW38" s="186"/>
      <c r="AX38" s="186"/>
      <c r="AY38" s="186"/>
      <c r="AZ38" s="73"/>
      <c r="BA38" s="73"/>
      <c r="BC38" s="185"/>
      <c r="BD38" s="138"/>
      <c r="BE38" s="186"/>
      <c r="BF38" s="186"/>
      <c r="BG38" s="186">
        <f t="shared" si="5"/>
        <v>0</v>
      </c>
      <c r="BH38" s="186"/>
      <c r="BI38" s="186"/>
      <c r="BJ38" s="186"/>
      <c r="BK38" s="186"/>
      <c r="BL38" s="73"/>
      <c r="BM38" s="73"/>
    </row>
    <row r="39" spans="1:65" ht="14.5" customHeight="1" x14ac:dyDescent="0.35">
      <c r="A39" s="24"/>
      <c r="E39" s="185">
        <v>44098</v>
      </c>
      <c r="F39" s="73"/>
      <c r="G39" s="11" t="s">
        <v>410</v>
      </c>
      <c r="H39" s="11">
        <v>6.59</v>
      </c>
      <c r="I39" s="11"/>
      <c r="J39" s="186">
        <f t="shared" si="6"/>
        <v>6.59</v>
      </c>
      <c r="K39" s="11"/>
      <c r="L39" s="11" t="s">
        <v>9</v>
      </c>
      <c r="M39" s="39"/>
      <c r="N39" s="39" t="s">
        <v>79</v>
      </c>
      <c r="O39" s="69">
        <v>44098</v>
      </c>
      <c r="P39" s="15"/>
      <c r="Q39" s="185"/>
      <c r="R39" s="138"/>
      <c r="S39" s="186"/>
      <c r="T39" s="186"/>
      <c r="U39" s="186">
        <f t="shared" si="4"/>
        <v>0</v>
      </c>
      <c r="V39" s="186"/>
      <c r="W39" s="186"/>
      <c r="X39" s="186"/>
      <c r="Y39" s="186"/>
      <c r="Z39" s="186"/>
      <c r="AA39" s="186"/>
      <c r="AB39" s="66"/>
      <c r="AC39" s="185"/>
      <c r="AD39" s="185"/>
      <c r="AE39" s="185"/>
      <c r="AF39" s="138"/>
      <c r="AG39" s="186"/>
      <c r="AH39" s="186"/>
      <c r="AI39" s="186">
        <f t="shared" si="2"/>
        <v>0</v>
      </c>
      <c r="AJ39" s="186"/>
      <c r="AK39" s="186"/>
      <c r="AL39" s="186"/>
      <c r="AM39" s="186"/>
      <c r="AQ39" s="185"/>
      <c r="AR39" s="138"/>
      <c r="AS39" s="186"/>
      <c r="AT39" s="186"/>
      <c r="AU39" s="186">
        <f t="shared" si="3"/>
        <v>0</v>
      </c>
      <c r="AV39" s="186"/>
      <c r="AW39" s="186"/>
      <c r="AX39" s="186"/>
      <c r="AY39" s="186"/>
      <c r="AZ39" s="73"/>
      <c r="BA39" s="73"/>
      <c r="BC39" s="185"/>
      <c r="BD39" s="138"/>
      <c r="BE39" s="186"/>
      <c r="BF39" s="186"/>
      <c r="BG39" s="186">
        <f t="shared" si="5"/>
        <v>0</v>
      </c>
      <c r="BH39" s="186"/>
      <c r="BI39" s="186"/>
      <c r="BJ39" s="186"/>
      <c r="BK39" s="186"/>
      <c r="BL39" s="73"/>
      <c r="BM39" s="73"/>
    </row>
    <row r="40" spans="1:65" ht="14.5" customHeight="1" x14ac:dyDescent="0.35">
      <c r="A40" s="23"/>
      <c r="E40" s="185">
        <v>44102</v>
      </c>
      <c r="F40" s="73"/>
      <c r="G40" s="11" t="s">
        <v>411</v>
      </c>
      <c r="H40" s="11">
        <v>16.100000000000001</v>
      </c>
      <c r="I40" s="11"/>
      <c r="J40" s="186">
        <f t="shared" si="6"/>
        <v>16.100000000000001</v>
      </c>
      <c r="K40" s="11"/>
      <c r="L40" s="11" t="s">
        <v>9</v>
      </c>
      <c r="M40" s="39"/>
      <c r="N40" s="39" t="s">
        <v>79</v>
      </c>
      <c r="O40" s="69">
        <v>44102</v>
      </c>
      <c r="P40" s="15"/>
      <c r="Q40" s="185"/>
      <c r="R40" s="138"/>
      <c r="S40" s="186"/>
      <c r="T40" s="186"/>
      <c r="U40" s="186">
        <f t="shared" si="4"/>
        <v>0</v>
      </c>
      <c r="V40" s="186"/>
      <c r="W40" s="186"/>
      <c r="X40" s="186"/>
      <c r="Y40" s="186"/>
      <c r="Z40" s="186"/>
      <c r="AA40" s="186"/>
      <c r="AB40" s="66"/>
      <c r="AC40" s="185"/>
      <c r="AD40" s="185"/>
      <c r="AE40" s="185"/>
      <c r="AF40" s="138"/>
      <c r="AG40" s="186"/>
      <c r="AH40" s="186"/>
      <c r="AI40" s="186">
        <f t="shared" si="2"/>
        <v>0</v>
      </c>
      <c r="AJ40" s="186"/>
      <c r="AK40" s="186"/>
      <c r="AL40" s="186"/>
      <c r="AM40" s="186"/>
      <c r="AQ40" s="185"/>
      <c r="AR40" s="138"/>
      <c r="AS40" s="186"/>
      <c r="AT40" s="186"/>
      <c r="AU40" s="186">
        <f t="shared" si="3"/>
        <v>0</v>
      </c>
      <c r="AV40" s="186"/>
      <c r="AW40" s="186"/>
      <c r="AX40" s="186"/>
      <c r="AY40" s="186"/>
      <c r="AZ40" s="73"/>
      <c r="BA40" s="73"/>
      <c r="BC40" s="185"/>
      <c r="BD40" s="138"/>
      <c r="BE40" s="186"/>
      <c r="BF40" s="186"/>
      <c r="BG40" s="186">
        <f t="shared" si="5"/>
        <v>0</v>
      </c>
      <c r="BH40" s="186"/>
      <c r="BI40" s="186"/>
      <c r="BJ40" s="186"/>
      <c r="BK40" s="186"/>
      <c r="BL40" s="73"/>
      <c r="BM40" s="73"/>
    </row>
    <row r="41" spans="1:65" ht="19" customHeight="1" x14ac:dyDescent="0.35">
      <c r="E41" s="185">
        <v>44104</v>
      </c>
      <c r="F41" s="73"/>
      <c r="G41" s="11" t="s">
        <v>412</v>
      </c>
      <c r="H41" s="11">
        <v>16.489999999999998</v>
      </c>
      <c r="I41" s="11"/>
      <c r="J41" s="186">
        <f t="shared" si="6"/>
        <v>16.489999999999998</v>
      </c>
      <c r="K41" s="11"/>
      <c r="L41" s="11" t="s">
        <v>9</v>
      </c>
      <c r="M41" s="39"/>
      <c r="N41" s="39" t="s">
        <v>79</v>
      </c>
      <c r="O41" s="69">
        <v>44104</v>
      </c>
      <c r="P41" s="15"/>
      <c r="Q41" s="185"/>
      <c r="R41" s="138"/>
      <c r="S41" s="186"/>
      <c r="T41" s="186"/>
      <c r="U41" s="186">
        <f t="shared" si="4"/>
        <v>0</v>
      </c>
      <c r="V41" s="186"/>
      <c r="W41" s="186"/>
      <c r="X41" s="186"/>
      <c r="Y41" s="186"/>
      <c r="Z41" s="186"/>
      <c r="AA41" s="186"/>
      <c r="AB41" s="66"/>
      <c r="AC41" s="185"/>
      <c r="AD41" s="185"/>
      <c r="AE41" s="185"/>
      <c r="AF41" s="138"/>
      <c r="AG41" s="186"/>
      <c r="AH41" s="186"/>
      <c r="AI41" s="186">
        <f t="shared" si="2"/>
        <v>0</v>
      </c>
      <c r="AJ41" s="186"/>
      <c r="AK41" s="186"/>
      <c r="AL41" s="186"/>
      <c r="AM41" s="186"/>
      <c r="AQ41" s="185"/>
      <c r="AR41" s="138"/>
      <c r="AS41" s="186"/>
      <c r="AT41" s="186"/>
      <c r="AU41" s="186">
        <f t="shared" si="3"/>
        <v>0</v>
      </c>
      <c r="AV41" s="186"/>
      <c r="AW41" s="186"/>
      <c r="AX41" s="186"/>
      <c r="AY41" s="186"/>
      <c r="AZ41" s="73"/>
      <c r="BA41" s="73"/>
      <c r="BC41" s="185"/>
      <c r="BD41" s="138"/>
      <c r="BE41" s="186"/>
      <c r="BF41" s="186"/>
      <c r="BG41" s="186">
        <f t="shared" si="5"/>
        <v>0</v>
      </c>
      <c r="BH41" s="186"/>
      <c r="BI41" s="186"/>
      <c r="BJ41" s="186"/>
      <c r="BK41" s="186"/>
      <c r="BL41" s="73"/>
      <c r="BM41" s="73"/>
    </row>
    <row r="42" spans="1:65" x14ac:dyDescent="0.35">
      <c r="E42" s="185"/>
      <c r="F42" s="73"/>
      <c r="G42" s="11"/>
      <c r="H42" s="11"/>
      <c r="I42" s="11"/>
      <c r="J42" s="186">
        <f t="shared" si="6"/>
        <v>0</v>
      </c>
      <c r="K42" s="11"/>
      <c r="L42" s="11"/>
      <c r="M42" s="39"/>
      <c r="N42" s="39"/>
      <c r="O42" s="69"/>
      <c r="P42" s="16"/>
      <c r="Q42" s="185"/>
      <c r="R42" s="138"/>
      <c r="S42" s="186"/>
      <c r="T42" s="186"/>
      <c r="U42" s="186">
        <f t="shared" si="4"/>
        <v>0</v>
      </c>
      <c r="V42" s="186"/>
      <c r="W42" s="186"/>
      <c r="X42" s="186"/>
      <c r="Y42" s="186"/>
      <c r="Z42" s="186"/>
      <c r="AA42" s="186"/>
      <c r="AB42" s="66"/>
      <c r="AC42" s="185"/>
      <c r="AD42" s="185"/>
      <c r="AE42" s="185"/>
      <c r="AF42" s="138"/>
      <c r="AG42" s="186"/>
      <c r="AH42" s="186"/>
      <c r="AI42" s="186">
        <f t="shared" si="2"/>
        <v>0</v>
      </c>
      <c r="AJ42" s="186"/>
      <c r="AK42" s="186"/>
      <c r="AL42" s="186"/>
      <c r="AM42" s="186"/>
      <c r="AQ42" s="185"/>
      <c r="AR42" s="138"/>
      <c r="AS42" s="186"/>
      <c r="AT42" s="186"/>
      <c r="AU42" s="186">
        <f t="shared" si="3"/>
        <v>0</v>
      </c>
      <c r="AV42" s="186"/>
      <c r="AW42" s="186"/>
      <c r="AX42" s="186"/>
      <c r="AY42" s="186"/>
      <c r="AZ42" s="73"/>
      <c r="BA42" s="73"/>
      <c r="BC42" s="185"/>
      <c r="BD42" s="138"/>
      <c r="BE42" s="186"/>
      <c r="BF42" s="186"/>
      <c r="BG42" s="186">
        <f t="shared" si="5"/>
        <v>0</v>
      </c>
      <c r="BH42" s="186"/>
      <c r="BI42" s="186"/>
      <c r="BJ42" s="186"/>
      <c r="BK42" s="186"/>
      <c r="BL42" s="73"/>
      <c r="BM42" s="73"/>
    </row>
    <row r="43" spans="1:65" x14ac:dyDescent="0.35">
      <c r="E43" s="185"/>
      <c r="F43" s="73"/>
      <c r="G43" s="11"/>
      <c r="H43" s="11"/>
      <c r="I43" s="11"/>
      <c r="J43" s="186">
        <f t="shared" si="6"/>
        <v>0</v>
      </c>
      <c r="K43" s="11"/>
      <c r="L43" s="11"/>
      <c r="M43" s="39"/>
      <c r="N43" s="39"/>
      <c r="O43" s="69"/>
      <c r="Q43" s="185"/>
      <c r="R43" s="138"/>
      <c r="S43" s="186"/>
      <c r="T43" s="186"/>
      <c r="U43" s="186">
        <f t="shared" si="4"/>
        <v>0</v>
      </c>
      <c r="V43" s="186"/>
      <c r="W43" s="186"/>
      <c r="X43" s="186"/>
      <c r="Y43" s="186"/>
      <c r="Z43" s="186"/>
      <c r="AA43" s="186"/>
      <c r="AB43" s="66"/>
      <c r="AC43" s="185"/>
      <c r="AD43" s="185"/>
      <c r="AE43" s="185"/>
      <c r="AF43" s="138"/>
      <c r="AG43" s="186"/>
      <c r="AH43" s="186"/>
      <c r="AI43" s="186">
        <f t="shared" si="2"/>
        <v>0</v>
      </c>
      <c r="AJ43" s="186"/>
      <c r="AK43" s="186"/>
      <c r="AL43" s="186"/>
      <c r="AM43" s="186"/>
      <c r="AQ43" s="185"/>
      <c r="AR43" s="138"/>
      <c r="AS43" s="186"/>
      <c r="AT43" s="186"/>
      <c r="AU43" s="186">
        <f t="shared" si="3"/>
        <v>0</v>
      </c>
      <c r="AV43" s="186"/>
      <c r="AW43" s="186"/>
      <c r="AX43" s="186"/>
      <c r="AY43" s="186"/>
      <c r="AZ43" s="73"/>
      <c r="BA43" s="73"/>
      <c r="BC43" s="185"/>
      <c r="BD43" s="138"/>
      <c r="BE43" s="186"/>
      <c r="BF43" s="186"/>
      <c r="BG43" s="186">
        <f t="shared" si="5"/>
        <v>0</v>
      </c>
      <c r="BH43" s="186"/>
      <c r="BI43" s="186"/>
      <c r="BJ43" s="186"/>
      <c r="BK43" s="186"/>
      <c r="BL43" s="73"/>
      <c r="BM43" s="73"/>
    </row>
    <row r="44" spans="1:65" x14ac:dyDescent="0.35">
      <c r="E44" s="185"/>
      <c r="F44" s="73"/>
      <c r="G44" s="11"/>
      <c r="H44" s="11"/>
      <c r="I44" s="11"/>
      <c r="J44" s="186">
        <f t="shared" si="6"/>
        <v>0</v>
      </c>
      <c r="K44" s="11"/>
      <c r="L44" s="11"/>
      <c r="M44" s="39"/>
      <c r="N44" s="39"/>
      <c r="O44" s="69"/>
      <c r="Q44" s="185"/>
      <c r="R44" s="138"/>
      <c r="S44" s="186"/>
      <c r="T44" s="186"/>
      <c r="U44" s="186">
        <f t="shared" si="4"/>
        <v>0</v>
      </c>
      <c r="V44" s="186"/>
      <c r="W44" s="186"/>
      <c r="X44" s="186"/>
      <c r="Y44" s="186"/>
      <c r="Z44" s="186"/>
      <c r="AA44" s="186"/>
      <c r="AB44" s="66"/>
      <c r="AC44" s="185"/>
      <c r="AD44" s="185"/>
      <c r="AE44" s="185"/>
      <c r="AF44" s="138"/>
      <c r="AG44" s="186"/>
      <c r="AH44" s="186"/>
      <c r="AI44" s="186">
        <f t="shared" si="2"/>
        <v>0</v>
      </c>
      <c r="AJ44" s="186"/>
      <c r="AK44" s="186"/>
      <c r="AL44" s="186"/>
      <c r="AM44" s="186"/>
      <c r="AQ44" s="185"/>
      <c r="AR44" s="138"/>
      <c r="AS44" s="186"/>
      <c r="AT44" s="186"/>
      <c r="AU44" s="186">
        <f t="shared" si="3"/>
        <v>0</v>
      </c>
      <c r="AV44" s="186"/>
      <c r="AW44" s="186"/>
      <c r="AX44" s="186"/>
      <c r="AY44" s="186"/>
      <c r="AZ44" s="73"/>
      <c r="BA44" s="73"/>
      <c r="BC44" s="185"/>
      <c r="BD44" s="138"/>
      <c r="BE44" s="186"/>
      <c r="BF44" s="186"/>
      <c r="BG44" s="186">
        <f t="shared" si="5"/>
        <v>0</v>
      </c>
      <c r="BH44" s="186"/>
      <c r="BI44" s="186"/>
      <c r="BJ44" s="186"/>
      <c r="BK44" s="186"/>
      <c r="BL44" s="73"/>
      <c r="BM44" s="73"/>
    </row>
    <row r="45" spans="1:65" x14ac:dyDescent="0.35">
      <c r="E45" s="185"/>
      <c r="F45" s="73"/>
      <c r="G45" s="11"/>
      <c r="H45" s="11"/>
      <c r="I45" s="11"/>
      <c r="J45" s="186">
        <f t="shared" si="6"/>
        <v>0</v>
      </c>
      <c r="K45" s="11"/>
      <c r="L45" s="11"/>
      <c r="M45" s="39"/>
      <c r="N45" s="39"/>
      <c r="O45" s="69"/>
      <c r="Q45" s="185"/>
      <c r="R45" s="138"/>
      <c r="S45" s="186"/>
      <c r="T45" s="186"/>
      <c r="U45" s="186">
        <f t="shared" si="4"/>
        <v>0</v>
      </c>
      <c r="V45" s="186"/>
      <c r="W45" s="186"/>
      <c r="X45" s="186"/>
      <c r="Y45" s="186"/>
      <c r="Z45" s="186"/>
      <c r="AA45" s="186"/>
      <c r="AB45" s="66"/>
      <c r="AC45" s="185"/>
      <c r="AD45" s="185"/>
      <c r="AE45" s="185"/>
      <c r="AF45" s="138"/>
      <c r="AG45" s="186"/>
      <c r="AH45" s="186"/>
      <c r="AI45" s="186">
        <f t="shared" si="2"/>
        <v>0</v>
      </c>
      <c r="AJ45" s="186"/>
      <c r="AK45" s="186"/>
      <c r="AL45" s="186"/>
      <c r="AM45" s="186"/>
      <c r="AQ45" s="185"/>
      <c r="AR45" s="138"/>
      <c r="AS45" s="186"/>
      <c r="AT45" s="186"/>
      <c r="AU45" s="186">
        <f t="shared" si="3"/>
        <v>0</v>
      </c>
      <c r="AV45" s="186"/>
      <c r="AW45" s="186"/>
      <c r="AX45" s="186"/>
      <c r="AY45" s="186"/>
      <c r="AZ45" s="73"/>
      <c r="BA45" s="73"/>
      <c r="BC45" s="185"/>
      <c r="BD45" s="138"/>
      <c r="BE45" s="186"/>
      <c r="BF45" s="186"/>
      <c r="BG45" s="186">
        <f t="shared" si="5"/>
        <v>0</v>
      </c>
      <c r="BH45" s="186"/>
      <c r="BI45" s="186"/>
      <c r="BJ45" s="186"/>
      <c r="BK45" s="186"/>
      <c r="BL45" s="73"/>
      <c r="BM45" s="73"/>
    </row>
    <row r="46" spans="1:65" x14ac:dyDescent="0.35">
      <c r="E46" s="185"/>
      <c r="F46" s="73"/>
      <c r="G46" s="11"/>
      <c r="H46" s="11"/>
      <c r="I46" s="11"/>
      <c r="J46" s="186">
        <f t="shared" si="6"/>
        <v>0</v>
      </c>
      <c r="K46" s="11"/>
      <c r="L46" s="11"/>
      <c r="M46" s="39"/>
      <c r="N46" s="39"/>
      <c r="O46" s="69"/>
      <c r="Q46" s="185"/>
      <c r="R46" s="138"/>
      <c r="S46" s="186"/>
      <c r="T46" s="186"/>
      <c r="U46" s="186">
        <f t="shared" si="4"/>
        <v>0</v>
      </c>
      <c r="V46" s="186"/>
      <c r="W46" s="186"/>
      <c r="X46" s="186"/>
      <c r="Y46" s="186"/>
      <c r="Z46" s="186"/>
      <c r="AA46" s="186"/>
      <c r="AB46" s="66"/>
      <c r="AC46" s="185"/>
      <c r="AD46" s="185"/>
      <c r="AE46" s="185"/>
      <c r="AF46" s="138"/>
      <c r="AG46" s="186"/>
      <c r="AH46" s="186"/>
      <c r="AI46" s="186">
        <f t="shared" si="2"/>
        <v>0</v>
      </c>
      <c r="AJ46" s="186"/>
      <c r="AK46" s="186"/>
      <c r="AL46" s="186"/>
      <c r="AM46" s="186"/>
      <c r="AQ46" s="185"/>
      <c r="AR46" s="138"/>
      <c r="AS46" s="186"/>
      <c r="AT46" s="186"/>
      <c r="AU46" s="186">
        <f t="shared" si="3"/>
        <v>0</v>
      </c>
      <c r="AV46" s="186"/>
      <c r="AW46" s="186"/>
      <c r="AX46" s="186"/>
      <c r="AY46" s="186"/>
      <c r="AZ46" s="73"/>
      <c r="BA46" s="73"/>
      <c r="BC46" s="185"/>
      <c r="BD46" s="138"/>
      <c r="BE46" s="186"/>
      <c r="BF46" s="186"/>
      <c r="BG46" s="186">
        <f t="shared" si="5"/>
        <v>0</v>
      </c>
      <c r="BH46" s="186"/>
      <c r="BI46" s="186"/>
      <c r="BJ46" s="186"/>
      <c r="BK46" s="186"/>
      <c r="BL46" s="73"/>
      <c r="BM46" s="73"/>
    </row>
    <row r="47" spans="1:65" x14ac:dyDescent="0.35">
      <c r="E47" s="185"/>
      <c r="F47" s="73"/>
      <c r="G47" s="11"/>
      <c r="H47" s="11"/>
      <c r="I47" s="11"/>
      <c r="J47" s="186">
        <f t="shared" si="6"/>
        <v>0</v>
      </c>
      <c r="K47" s="11"/>
      <c r="L47" s="11"/>
      <c r="M47" s="39"/>
      <c r="N47" s="39"/>
      <c r="O47" s="69"/>
      <c r="Q47" s="185"/>
      <c r="R47" s="138"/>
      <c r="S47" s="186"/>
      <c r="T47" s="186"/>
      <c r="U47" s="186">
        <f t="shared" si="4"/>
        <v>0</v>
      </c>
      <c r="V47" s="186"/>
      <c r="W47" s="186"/>
      <c r="X47" s="186"/>
      <c r="Y47" s="186"/>
      <c r="Z47" s="186"/>
      <c r="AA47" s="186"/>
      <c r="AB47" s="66"/>
      <c r="AC47" s="185"/>
      <c r="AD47" s="185"/>
      <c r="AE47" s="185"/>
      <c r="AF47" s="138"/>
      <c r="AG47" s="186"/>
      <c r="AH47" s="186"/>
      <c r="AI47" s="186">
        <f t="shared" si="2"/>
        <v>0</v>
      </c>
      <c r="AJ47" s="186"/>
      <c r="AK47" s="186"/>
      <c r="AL47" s="186"/>
      <c r="AM47" s="186"/>
      <c r="AQ47" s="185"/>
      <c r="AR47" s="138"/>
      <c r="AS47" s="186"/>
      <c r="AT47" s="186"/>
      <c r="AU47" s="186">
        <f t="shared" si="3"/>
        <v>0</v>
      </c>
      <c r="AV47" s="186"/>
      <c r="AW47" s="186"/>
      <c r="AX47" s="186"/>
      <c r="AY47" s="186"/>
      <c r="AZ47" s="73"/>
      <c r="BA47" s="73"/>
      <c r="BC47" s="185"/>
      <c r="BD47" s="138"/>
      <c r="BE47" s="186"/>
      <c r="BF47" s="186"/>
      <c r="BG47" s="186">
        <f t="shared" si="5"/>
        <v>0</v>
      </c>
      <c r="BH47" s="186"/>
      <c r="BI47" s="186"/>
      <c r="BJ47" s="186"/>
      <c r="BK47" s="186"/>
      <c r="BL47" s="73"/>
      <c r="BM47" s="73"/>
    </row>
    <row r="48" spans="1:65" x14ac:dyDescent="0.35">
      <c r="E48" s="185"/>
      <c r="F48" s="73"/>
      <c r="G48" s="11"/>
      <c r="H48" s="11"/>
      <c r="I48" s="11"/>
      <c r="J48" s="186">
        <f t="shared" si="6"/>
        <v>0</v>
      </c>
      <c r="K48" s="11"/>
      <c r="L48" s="11"/>
      <c r="M48" s="39"/>
      <c r="N48" s="39"/>
      <c r="O48" s="69"/>
      <c r="Q48" s="185"/>
      <c r="R48" s="138"/>
      <c r="S48" s="186"/>
      <c r="T48" s="186"/>
      <c r="U48" s="186">
        <f t="shared" si="4"/>
        <v>0</v>
      </c>
      <c r="V48" s="186"/>
      <c r="W48" s="186"/>
      <c r="X48" s="186"/>
      <c r="Y48" s="186"/>
      <c r="Z48" s="186"/>
      <c r="AA48" s="186"/>
      <c r="AB48" s="66"/>
      <c r="AC48" s="185"/>
      <c r="AD48" s="185"/>
      <c r="AE48" s="185"/>
      <c r="AF48" s="138"/>
      <c r="AG48" s="186"/>
      <c r="AH48" s="186"/>
      <c r="AI48" s="186">
        <f t="shared" si="2"/>
        <v>0</v>
      </c>
      <c r="AJ48" s="186"/>
      <c r="AK48" s="186"/>
      <c r="AL48" s="186"/>
      <c r="AM48" s="186"/>
      <c r="AQ48" s="185"/>
      <c r="AR48" s="138"/>
      <c r="AS48" s="186"/>
      <c r="AT48" s="186"/>
      <c r="AU48" s="186">
        <f t="shared" si="3"/>
        <v>0</v>
      </c>
      <c r="AV48" s="186"/>
      <c r="AW48" s="186"/>
      <c r="AX48" s="186"/>
      <c r="AY48" s="186"/>
      <c r="AZ48" s="73"/>
      <c r="BA48" s="73"/>
      <c r="BC48" s="185"/>
      <c r="BD48" s="138"/>
      <c r="BE48" s="186"/>
      <c r="BF48" s="186"/>
      <c r="BG48" s="186">
        <f t="shared" si="5"/>
        <v>0</v>
      </c>
      <c r="BH48" s="186"/>
      <c r="BI48" s="186"/>
      <c r="BJ48" s="186"/>
      <c r="BK48" s="186"/>
      <c r="BL48" s="73"/>
      <c r="BM48" s="73"/>
    </row>
    <row r="49" spans="5:65" x14ac:dyDescent="0.35">
      <c r="E49" s="185"/>
      <c r="F49" s="73"/>
      <c r="G49" s="11"/>
      <c r="H49" s="11"/>
      <c r="I49" s="11"/>
      <c r="J49" s="186">
        <f t="shared" si="6"/>
        <v>0</v>
      </c>
      <c r="K49" s="11"/>
      <c r="L49" s="11"/>
      <c r="M49" s="39"/>
      <c r="N49" s="39"/>
      <c r="O49" s="69"/>
      <c r="Q49" s="185"/>
      <c r="R49" s="138"/>
      <c r="S49" s="186"/>
      <c r="T49" s="186"/>
      <c r="U49" s="186">
        <f t="shared" si="4"/>
        <v>0</v>
      </c>
      <c r="V49" s="186"/>
      <c r="W49" s="186"/>
      <c r="X49" s="186"/>
      <c r="Y49" s="186"/>
      <c r="Z49" s="186"/>
      <c r="AA49" s="186"/>
      <c r="AB49" s="66"/>
      <c r="AC49" s="185"/>
      <c r="AD49" s="185"/>
      <c r="AE49" s="185"/>
      <c r="AF49" s="138"/>
      <c r="AG49" s="186"/>
      <c r="AH49" s="186"/>
      <c r="AI49" s="186">
        <f t="shared" si="2"/>
        <v>0</v>
      </c>
      <c r="AJ49" s="186"/>
      <c r="AK49" s="186"/>
      <c r="AL49" s="186"/>
      <c r="AM49" s="186"/>
      <c r="AQ49" s="185"/>
      <c r="AR49" s="138"/>
      <c r="AS49" s="186"/>
      <c r="AT49" s="186"/>
      <c r="AU49" s="186">
        <f t="shared" si="3"/>
        <v>0</v>
      </c>
      <c r="AV49" s="186"/>
      <c r="AW49" s="186"/>
      <c r="AX49" s="186"/>
      <c r="AY49" s="186"/>
      <c r="AZ49" s="73"/>
      <c r="BA49" s="73"/>
      <c r="BC49" s="185"/>
      <c r="BD49" s="138"/>
      <c r="BE49" s="186"/>
      <c r="BF49" s="186"/>
      <c r="BG49" s="186">
        <f t="shared" si="5"/>
        <v>0</v>
      </c>
      <c r="BH49" s="186"/>
      <c r="BI49" s="186"/>
      <c r="BJ49" s="186"/>
      <c r="BK49" s="186"/>
      <c r="BL49" s="73"/>
      <c r="BM49" s="73"/>
    </row>
    <row r="50" spans="5:65" x14ac:dyDescent="0.35">
      <c r="E50" s="185"/>
      <c r="F50" s="73"/>
      <c r="G50" s="11"/>
      <c r="H50" s="11"/>
      <c r="I50" s="11"/>
      <c r="J50" s="186">
        <f t="shared" si="6"/>
        <v>0</v>
      </c>
      <c r="K50" s="11"/>
      <c r="L50" s="11"/>
      <c r="M50" s="39"/>
      <c r="N50" s="39"/>
      <c r="O50" s="69"/>
      <c r="Q50" s="185"/>
      <c r="R50" s="138"/>
      <c r="S50" s="186"/>
      <c r="T50" s="186"/>
      <c r="U50" s="186">
        <f t="shared" si="4"/>
        <v>0</v>
      </c>
      <c r="V50" s="186"/>
      <c r="W50" s="186"/>
      <c r="X50" s="186"/>
      <c r="Y50" s="186"/>
      <c r="Z50" s="186"/>
      <c r="AA50" s="186"/>
      <c r="AB50" s="66"/>
      <c r="AC50" s="185"/>
      <c r="AD50" s="185"/>
      <c r="AE50" s="185"/>
      <c r="AF50" s="138"/>
      <c r="AG50" s="186"/>
      <c r="AH50" s="186"/>
      <c r="AI50" s="186">
        <f t="shared" si="2"/>
        <v>0</v>
      </c>
      <c r="AJ50" s="186"/>
      <c r="AK50" s="186"/>
      <c r="AL50" s="186"/>
      <c r="AM50" s="186"/>
      <c r="AQ50" s="185"/>
      <c r="AR50" s="138"/>
      <c r="AS50" s="186"/>
      <c r="AT50" s="186"/>
      <c r="AU50" s="186">
        <f t="shared" si="3"/>
        <v>0</v>
      </c>
      <c r="AV50" s="186"/>
      <c r="AW50" s="186"/>
      <c r="AX50" s="186"/>
      <c r="AY50" s="186"/>
      <c r="AZ50" s="73"/>
      <c r="BA50" s="73"/>
      <c r="BC50" s="185"/>
      <c r="BD50" s="138"/>
      <c r="BE50" s="186"/>
      <c r="BF50" s="186"/>
      <c r="BG50" s="186">
        <f t="shared" si="5"/>
        <v>0</v>
      </c>
      <c r="BH50" s="186"/>
      <c r="BI50" s="186"/>
      <c r="BJ50" s="186"/>
      <c r="BK50" s="186"/>
      <c r="BL50" s="73"/>
      <c r="BM50" s="73"/>
    </row>
    <row r="51" spans="5:65" x14ac:dyDescent="0.35">
      <c r="E51" s="185"/>
      <c r="F51" s="73"/>
      <c r="G51" s="11"/>
      <c r="H51" s="11"/>
      <c r="I51" s="11"/>
      <c r="J51" s="186">
        <f t="shared" si="6"/>
        <v>0</v>
      </c>
      <c r="K51" s="11"/>
      <c r="L51" s="11"/>
      <c r="M51" s="39"/>
      <c r="N51" s="39"/>
      <c r="O51" s="69"/>
      <c r="Q51" s="185"/>
      <c r="R51" s="138"/>
      <c r="S51" s="186"/>
      <c r="T51" s="186"/>
      <c r="U51" s="186">
        <f t="shared" si="4"/>
        <v>0</v>
      </c>
      <c r="V51" s="186"/>
      <c r="W51" s="186"/>
      <c r="X51" s="186"/>
      <c r="Y51" s="186"/>
      <c r="Z51" s="186"/>
      <c r="AA51" s="186"/>
      <c r="AB51" s="66"/>
      <c r="AC51" s="185"/>
      <c r="AD51" s="185"/>
      <c r="AE51" s="185"/>
      <c r="AF51" s="138"/>
      <c r="AG51" s="186"/>
      <c r="AH51" s="186"/>
      <c r="AI51" s="186">
        <f t="shared" si="2"/>
        <v>0</v>
      </c>
      <c r="AJ51" s="186"/>
      <c r="AK51" s="186"/>
      <c r="AL51" s="186"/>
      <c r="AM51" s="186"/>
      <c r="AQ51" s="185"/>
      <c r="AR51" s="138"/>
      <c r="AS51" s="186"/>
      <c r="AT51" s="186"/>
      <c r="AU51" s="186">
        <f t="shared" si="3"/>
        <v>0</v>
      </c>
      <c r="AV51" s="186"/>
      <c r="AW51" s="186"/>
      <c r="AX51" s="186"/>
      <c r="AY51" s="186"/>
      <c r="AZ51" s="73"/>
      <c r="BA51" s="73"/>
      <c r="BC51" s="185"/>
      <c r="BD51" s="138"/>
      <c r="BE51" s="186"/>
      <c r="BF51" s="186"/>
      <c r="BG51" s="186">
        <f t="shared" si="5"/>
        <v>0</v>
      </c>
      <c r="BH51" s="186"/>
      <c r="BI51" s="186"/>
      <c r="BJ51" s="186"/>
      <c r="BK51" s="186"/>
      <c r="BL51" s="73"/>
      <c r="BM51" s="73"/>
    </row>
    <row r="52" spans="5:65" x14ac:dyDescent="0.35">
      <c r="E52" s="185"/>
      <c r="F52" s="73"/>
      <c r="G52" s="11"/>
      <c r="H52" s="11"/>
      <c r="I52" s="11"/>
      <c r="J52" s="186">
        <f t="shared" si="6"/>
        <v>0</v>
      </c>
      <c r="K52" s="11"/>
      <c r="L52" s="11"/>
      <c r="M52" s="39"/>
      <c r="N52" s="39"/>
      <c r="O52" s="69"/>
      <c r="Q52" s="185"/>
      <c r="R52" s="138"/>
      <c r="S52" s="186"/>
      <c r="T52" s="186"/>
      <c r="U52" s="186">
        <f t="shared" si="4"/>
        <v>0</v>
      </c>
      <c r="V52" s="186"/>
      <c r="W52" s="186"/>
      <c r="X52" s="186"/>
      <c r="Y52" s="186"/>
      <c r="Z52" s="186"/>
      <c r="AA52" s="186"/>
      <c r="AB52" s="66"/>
      <c r="AC52" s="185"/>
      <c r="AD52" s="185"/>
      <c r="AE52" s="185"/>
      <c r="AF52" s="138"/>
      <c r="AG52" s="186"/>
      <c r="AH52" s="186"/>
      <c r="AI52" s="186">
        <f t="shared" si="2"/>
        <v>0</v>
      </c>
      <c r="AJ52" s="186"/>
      <c r="AK52" s="186"/>
      <c r="AL52" s="186"/>
      <c r="AM52" s="186"/>
      <c r="AQ52" s="185"/>
      <c r="AR52" s="138"/>
      <c r="AS52" s="186"/>
      <c r="AT52" s="186"/>
      <c r="AU52" s="186">
        <f t="shared" si="3"/>
        <v>0</v>
      </c>
      <c r="AV52" s="186"/>
      <c r="AW52" s="186"/>
      <c r="AX52" s="186"/>
      <c r="AY52" s="186"/>
      <c r="AZ52" s="73"/>
      <c r="BA52" s="73"/>
      <c r="BC52" s="185"/>
      <c r="BD52" s="138"/>
      <c r="BE52" s="186"/>
      <c r="BF52" s="186"/>
      <c r="BG52" s="186">
        <f t="shared" si="5"/>
        <v>0</v>
      </c>
      <c r="BH52" s="186"/>
      <c r="BI52" s="186"/>
      <c r="BJ52" s="186"/>
      <c r="BK52" s="186"/>
      <c r="BL52" s="73"/>
      <c r="BM52" s="73"/>
    </row>
    <row r="53" spans="5:65" x14ac:dyDescent="0.35">
      <c r="E53" s="185"/>
      <c r="F53" s="73"/>
      <c r="G53" s="11"/>
      <c r="H53" s="11"/>
      <c r="I53" s="11"/>
      <c r="J53" s="186">
        <f t="shared" si="6"/>
        <v>0</v>
      </c>
      <c r="K53" s="11"/>
      <c r="L53" s="11"/>
      <c r="M53" s="39"/>
      <c r="N53" s="39"/>
      <c r="O53" s="69"/>
      <c r="Q53" s="185"/>
      <c r="R53" s="138"/>
      <c r="S53" s="186"/>
      <c r="T53" s="186"/>
      <c r="U53" s="186">
        <f t="shared" si="4"/>
        <v>0</v>
      </c>
      <c r="V53" s="186"/>
      <c r="W53" s="186"/>
      <c r="X53" s="186"/>
      <c r="Y53" s="186"/>
      <c r="Z53" s="186"/>
      <c r="AA53" s="186"/>
      <c r="AB53" s="66"/>
      <c r="AC53" s="185"/>
      <c r="AD53" s="185"/>
      <c r="AE53" s="185"/>
      <c r="AF53" s="138"/>
      <c r="AG53" s="186"/>
      <c r="AH53" s="186"/>
      <c r="AI53" s="186">
        <f t="shared" si="2"/>
        <v>0</v>
      </c>
      <c r="AJ53" s="186"/>
      <c r="AK53" s="186"/>
      <c r="AL53" s="186"/>
      <c r="AM53" s="186"/>
      <c r="AQ53" s="185"/>
      <c r="AR53" s="138"/>
      <c r="AS53" s="186"/>
      <c r="AT53" s="186"/>
      <c r="AU53" s="186">
        <f t="shared" si="3"/>
        <v>0</v>
      </c>
      <c r="AV53" s="186"/>
      <c r="AW53" s="186"/>
      <c r="AX53" s="186"/>
      <c r="AY53" s="186"/>
      <c r="AZ53" s="73"/>
      <c r="BA53" s="73"/>
      <c r="BC53" s="185"/>
      <c r="BD53" s="138"/>
      <c r="BE53" s="186"/>
      <c r="BF53" s="186"/>
      <c r="BG53" s="186">
        <f t="shared" si="5"/>
        <v>0</v>
      </c>
      <c r="BH53" s="186"/>
      <c r="BI53" s="186"/>
      <c r="BJ53" s="186"/>
      <c r="BK53" s="186"/>
      <c r="BL53" s="73"/>
      <c r="BM53" s="73"/>
    </row>
    <row r="54" spans="5:65" x14ac:dyDescent="0.35">
      <c r="E54" s="185"/>
      <c r="F54" s="73"/>
      <c r="G54" s="11"/>
      <c r="H54" s="11"/>
      <c r="I54" s="11"/>
      <c r="J54" s="186">
        <f t="shared" si="6"/>
        <v>0</v>
      </c>
      <c r="K54" s="11"/>
      <c r="L54" s="11"/>
      <c r="M54" s="39"/>
      <c r="N54" s="39"/>
      <c r="O54" s="69"/>
      <c r="Q54" s="185"/>
      <c r="R54" s="138"/>
      <c r="S54" s="186"/>
      <c r="T54" s="186"/>
      <c r="U54" s="186">
        <f t="shared" si="4"/>
        <v>0</v>
      </c>
      <c r="V54" s="186"/>
      <c r="W54" s="186"/>
      <c r="X54" s="186"/>
      <c r="Y54" s="186"/>
      <c r="Z54" s="186"/>
      <c r="AA54" s="186"/>
      <c r="AB54" s="66"/>
      <c r="AC54" s="185"/>
      <c r="AD54" s="185"/>
      <c r="AE54" s="185"/>
      <c r="AF54" s="138"/>
      <c r="AG54" s="186"/>
      <c r="AH54" s="186"/>
      <c r="AI54" s="186">
        <f t="shared" si="2"/>
        <v>0</v>
      </c>
      <c r="AJ54" s="186"/>
      <c r="AK54" s="186"/>
      <c r="AL54" s="186"/>
      <c r="AM54" s="186"/>
      <c r="AQ54" s="185"/>
      <c r="AR54" s="138"/>
      <c r="AS54" s="186"/>
      <c r="AT54" s="186"/>
      <c r="AU54" s="186">
        <f t="shared" si="3"/>
        <v>0</v>
      </c>
      <c r="AV54" s="186"/>
      <c r="AW54" s="186"/>
      <c r="AX54" s="186"/>
      <c r="AY54" s="186"/>
      <c r="AZ54" s="73"/>
      <c r="BA54" s="73"/>
      <c r="BC54" s="185"/>
      <c r="BD54" s="138"/>
      <c r="BE54" s="186"/>
      <c r="BF54" s="186"/>
      <c r="BG54" s="186">
        <f t="shared" si="5"/>
        <v>0</v>
      </c>
      <c r="BH54" s="186"/>
      <c r="BI54" s="186"/>
      <c r="BJ54" s="186"/>
      <c r="BK54" s="186"/>
      <c r="BL54" s="73"/>
      <c r="BM54" s="73"/>
    </row>
    <row r="55" spans="5:65" x14ac:dyDescent="0.35">
      <c r="E55" s="185"/>
      <c r="F55" s="73"/>
      <c r="G55" s="11"/>
      <c r="H55" s="11"/>
      <c r="I55" s="11"/>
      <c r="J55" s="186">
        <f t="shared" si="6"/>
        <v>0</v>
      </c>
      <c r="K55" s="11"/>
      <c r="L55" s="11"/>
      <c r="M55" s="39"/>
      <c r="N55" s="39"/>
      <c r="O55" s="69"/>
      <c r="Q55" s="185"/>
      <c r="R55" s="138"/>
      <c r="S55" s="186"/>
      <c r="T55" s="186"/>
      <c r="U55" s="186">
        <f t="shared" si="4"/>
        <v>0</v>
      </c>
      <c r="V55" s="186"/>
      <c r="W55" s="186"/>
      <c r="X55" s="186"/>
      <c r="Y55" s="186"/>
      <c r="Z55" s="186"/>
      <c r="AA55" s="186"/>
      <c r="AB55" s="66"/>
      <c r="AC55" s="185"/>
      <c r="AD55" s="185"/>
      <c r="AE55" s="185"/>
      <c r="AF55" s="138"/>
      <c r="AG55" s="186"/>
      <c r="AH55" s="186"/>
      <c r="AI55" s="186">
        <f t="shared" si="2"/>
        <v>0</v>
      </c>
      <c r="AJ55" s="186"/>
      <c r="AK55" s="186"/>
      <c r="AL55" s="186"/>
      <c r="AM55" s="186"/>
      <c r="AQ55" s="185"/>
      <c r="AR55" s="138"/>
      <c r="AS55" s="186"/>
      <c r="AT55" s="186"/>
      <c r="AU55" s="186">
        <f t="shared" si="3"/>
        <v>0</v>
      </c>
      <c r="AV55" s="186"/>
      <c r="AW55" s="186"/>
      <c r="AX55" s="186"/>
      <c r="AY55" s="186"/>
      <c r="AZ55" s="73"/>
      <c r="BA55" s="73"/>
      <c r="BC55" s="185"/>
      <c r="BD55" s="138"/>
      <c r="BE55" s="186"/>
      <c r="BF55" s="186"/>
      <c r="BG55" s="186">
        <f t="shared" si="5"/>
        <v>0</v>
      </c>
      <c r="BH55" s="186"/>
      <c r="BI55" s="186"/>
      <c r="BJ55" s="186"/>
      <c r="BK55" s="186"/>
      <c r="BL55" s="73"/>
      <c r="BM55" s="73"/>
    </row>
    <row r="56" spans="5:65" x14ac:dyDescent="0.35">
      <c r="E56" s="185"/>
      <c r="F56" s="73"/>
      <c r="G56" s="11"/>
      <c r="H56" s="11"/>
      <c r="I56" s="11"/>
      <c r="J56" s="186">
        <f t="shared" si="6"/>
        <v>0</v>
      </c>
      <c r="K56" s="11"/>
      <c r="L56" s="11"/>
      <c r="M56" s="39"/>
      <c r="N56" s="39"/>
      <c r="O56" s="69"/>
      <c r="Q56" s="185"/>
      <c r="R56" s="138"/>
      <c r="S56" s="186"/>
      <c r="T56" s="186"/>
      <c r="U56" s="186">
        <f t="shared" si="4"/>
        <v>0</v>
      </c>
      <c r="V56" s="186"/>
      <c r="W56" s="186"/>
      <c r="X56" s="186"/>
      <c r="Y56" s="186"/>
      <c r="Z56" s="186"/>
      <c r="AA56" s="186"/>
      <c r="AB56" s="66"/>
      <c r="AC56" s="185"/>
      <c r="AD56" s="185"/>
      <c r="AE56" s="185"/>
      <c r="AF56" s="138"/>
      <c r="AG56" s="186"/>
      <c r="AH56" s="186"/>
      <c r="AI56" s="186">
        <f t="shared" si="2"/>
        <v>0</v>
      </c>
      <c r="AJ56" s="186"/>
      <c r="AK56" s="186"/>
      <c r="AL56" s="186"/>
      <c r="AM56" s="186"/>
      <c r="AQ56" s="185"/>
      <c r="AR56" s="138"/>
      <c r="AS56" s="186"/>
      <c r="AT56" s="186"/>
      <c r="AU56" s="186">
        <f t="shared" si="3"/>
        <v>0</v>
      </c>
      <c r="AV56" s="186"/>
      <c r="AW56" s="186"/>
      <c r="AX56" s="186"/>
      <c r="AY56" s="186"/>
      <c r="AZ56" s="73"/>
      <c r="BA56" s="73"/>
      <c r="BC56" s="185"/>
      <c r="BD56" s="138"/>
      <c r="BE56" s="186"/>
      <c r="BF56" s="186"/>
      <c r="BG56" s="186">
        <f t="shared" si="5"/>
        <v>0</v>
      </c>
      <c r="BH56" s="186"/>
      <c r="BI56" s="186"/>
      <c r="BJ56" s="186"/>
      <c r="BK56" s="186"/>
      <c r="BL56" s="73"/>
      <c r="BM56" s="73"/>
    </row>
    <row r="57" spans="5:65" x14ac:dyDescent="0.35">
      <c r="E57" s="185"/>
      <c r="F57" s="73"/>
      <c r="G57" s="11"/>
      <c r="H57" s="11"/>
      <c r="I57" s="11"/>
      <c r="J57" s="186">
        <f t="shared" si="6"/>
        <v>0</v>
      </c>
      <c r="K57" s="11"/>
      <c r="L57" s="11"/>
      <c r="M57" s="39"/>
      <c r="N57" s="39"/>
      <c r="O57" s="69"/>
      <c r="Q57" s="185"/>
      <c r="R57" s="138"/>
      <c r="S57" s="186"/>
      <c r="T57" s="186"/>
      <c r="U57" s="186">
        <f t="shared" si="4"/>
        <v>0</v>
      </c>
      <c r="V57" s="186"/>
      <c r="W57" s="186"/>
      <c r="X57" s="186"/>
      <c r="Y57" s="186"/>
      <c r="Z57" s="186"/>
      <c r="AA57" s="186"/>
      <c r="AB57" s="66"/>
      <c r="AC57" s="185"/>
      <c r="AD57" s="185"/>
      <c r="AE57" s="185"/>
      <c r="AF57" s="138"/>
      <c r="AG57" s="186"/>
      <c r="AH57" s="186"/>
      <c r="AI57" s="186">
        <f t="shared" si="2"/>
        <v>0</v>
      </c>
      <c r="AJ57" s="186"/>
      <c r="AK57" s="186"/>
      <c r="AL57" s="186"/>
      <c r="AM57" s="186"/>
      <c r="AQ57" s="185"/>
      <c r="AR57" s="138"/>
      <c r="AS57" s="186"/>
      <c r="AT57" s="186"/>
      <c r="AU57" s="186">
        <f t="shared" si="3"/>
        <v>0</v>
      </c>
      <c r="AV57" s="186"/>
      <c r="AW57" s="186"/>
      <c r="AX57" s="186"/>
      <c r="AY57" s="186"/>
      <c r="AZ57" s="73"/>
      <c r="BA57" s="73"/>
      <c r="BC57" s="185"/>
      <c r="BD57" s="138"/>
      <c r="BE57" s="186"/>
      <c r="BF57" s="186"/>
      <c r="BG57" s="186">
        <f t="shared" si="5"/>
        <v>0</v>
      </c>
      <c r="BH57" s="186"/>
      <c r="BI57" s="186"/>
      <c r="BJ57" s="186"/>
      <c r="BK57" s="186"/>
      <c r="BL57" s="73"/>
      <c r="BM57" s="73"/>
    </row>
    <row r="58" spans="5:65" x14ac:dyDescent="0.35">
      <c r="E58" s="185"/>
      <c r="F58" s="73"/>
      <c r="G58" s="11"/>
      <c r="H58" s="11"/>
      <c r="I58" s="11"/>
      <c r="J58" s="186">
        <f t="shared" si="6"/>
        <v>0</v>
      </c>
      <c r="K58" s="11"/>
      <c r="L58" s="11"/>
      <c r="M58" s="39"/>
      <c r="N58" s="39"/>
      <c r="O58" s="69"/>
      <c r="Q58" s="185"/>
      <c r="R58" s="138"/>
      <c r="S58" s="186"/>
      <c r="T58" s="186"/>
      <c r="U58" s="186">
        <f t="shared" si="4"/>
        <v>0</v>
      </c>
      <c r="V58" s="186"/>
      <c r="W58" s="186"/>
      <c r="X58" s="186"/>
      <c r="Y58" s="186"/>
      <c r="Z58" s="186"/>
      <c r="AA58" s="186"/>
      <c r="AB58" s="66"/>
      <c r="AC58" s="185"/>
      <c r="AD58" s="185"/>
      <c r="AE58" s="185"/>
      <c r="AF58" s="138"/>
      <c r="AG58" s="186"/>
      <c r="AH58" s="186"/>
      <c r="AI58" s="186">
        <f t="shared" si="2"/>
        <v>0</v>
      </c>
      <c r="AJ58" s="186"/>
      <c r="AK58" s="186"/>
      <c r="AL58" s="186"/>
      <c r="AM58" s="186"/>
      <c r="AQ58" s="185"/>
      <c r="AR58" s="138"/>
      <c r="AS58" s="186"/>
      <c r="AT58" s="186"/>
      <c r="AU58" s="186">
        <f t="shared" si="3"/>
        <v>0</v>
      </c>
      <c r="AV58" s="186"/>
      <c r="AW58" s="186"/>
      <c r="AX58" s="186"/>
      <c r="AY58" s="186"/>
      <c r="AZ58" s="73"/>
      <c r="BA58" s="73"/>
      <c r="BC58" s="185"/>
      <c r="BD58" s="138"/>
      <c r="BE58" s="186"/>
      <c r="BF58" s="186"/>
      <c r="BG58" s="186">
        <f t="shared" si="5"/>
        <v>0</v>
      </c>
      <c r="BH58" s="186"/>
      <c r="BI58" s="186"/>
      <c r="BJ58" s="186"/>
      <c r="BK58" s="186"/>
      <c r="BL58" s="73"/>
      <c r="BM58" s="73"/>
    </row>
    <row r="59" spans="5:65" x14ac:dyDescent="0.35">
      <c r="E59" s="185"/>
      <c r="F59" s="73"/>
      <c r="G59" s="11"/>
      <c r="H59" s="11"/>
      <c r="I59" s="11"/>
      <c r="J59" s="186">
        <f t="shared" si="6"/>
        <v>0</v>
      </c>
      <c r="K59" s="11"/>
      <c r="L59" s="11"/>
      <c r="M59" s="39"/>
      <c r="N59" s="39"/>
      <c r="O59" s="69"/>
      <c r="Q59" s="185"/>
      <c r="R59" s="11"/>
      <c r="S59" s="11"/>
      <c r="T59" s="11"/>
      <c r="U59" s="186">
        <f t="shared" si="4"/>
        <v>0</v>
      </c>
      <c r="V59" s="11"/>
      <c r="W59" s="11"/>
      <c r="X59" s="11"/>
      <c r="Y59" s="11"/>
      <c r="Z59" s="39"/>
      <c r="AA59" s="11"/>
      <c r="AB59" s="66"/>
      <c r="AC59" s="185"/>
      <c r="AD59" s="185"/>
      <c r="AE59" s="185"/>
      <c r="AF59" s="11"/>
      <c r="AG59" s="11"/>
      <c r="AH59" s="11"/>
      <c r="AI59" s="186">
        <f t="shared" si="2"/>
        <v>0</v>
      </c>
      <c r="AJ59" s="11"/>
      <c r="AK59" s="11"/>
      <c r="AL59" s="39"/>
      <c r="AM59" s="11"/>
      <c r="AQ59" s="73"/>
      <c r="AR59" s="73"/>
      <c r="AS59" s="73"/>
      <c r="AT59" s="73"/>
      <c r="AU59" s="186">
        <f t="shared" si="3"/>
        <v>0</v>
      </c>
      <c r="AV59" s="73"/>
      <c r="AW59" s="73"/>
      <c r="AX59" s="73"/>
      <c r="AY59" s="73"/>
      <c r="AZ59" s="73"/>
      <c r="BA59" s="73"/>
      <c r="BC59" s="185"/>
      <c r="BD59" s="11"/>
      <c r="BE59" s="11"/>
      <c r="BF59" s="11"/>
      <c r="BG59" s="186">
        <f t="shared" si="5"/>
        <v>0</v>
      </c>
      <c r="BH59" s="11"/>
      <c r="BI59" s="11"/>
      <c r="BJ59" s="39"/>
      <c r="BK59" s="11"/>
      <c r="BL59" s="73"/>
      <c r="BM59" s="73"/>
    </row>
    <row r="60" spans="5:65" x14ac:dyDescent="0.35">
      <c r="E60" s="18"/>
      <c r="F60" s="73"/>
      <c r="G60" s="11"/>
      <c r="H60" s="36"/>
      <c r="I60" s="36"/>
      <c r="J60" s="186">
        <f t="shared" si="6"/>
        <v>0</v>
      </c>
      <c r="K60" s="36"/>
      <c r="L60" s="11"/>
      <c r="M60" s="39"/>
      <c r="N60" s="39"/>
      <c r="O60" s="69"/>
      <c r="Q60" s="185"/>
      <c r="R60" s="11"/>
      <c r="S60" s="11"/>
      <c r="T60" s="11"/>
      <c r="U60" s="186">
        <f t="shared" si="4"/>
        <v>0</v>
      </c>
      <c r="V60" s="11"/>
      <c r="W60" s="11"/>
      <c r="X60" s="11"/>
      <c r="Y60" s="11"/>
      <c r="Z60" s="39"/>
      <c r="AA60" s="11"/>
      <c r="AB60" s="66"/>
      <c r="AC60" s="185"/>
      <c r="AD60" s="185"/>
      <c r="AE60" s="185"/>
      <c r="AF60" s="11"/>
      <c r="AG60" s="11"/>
      <c r="AH60" s="11"/>
      <c r="AI60" s="186">
        <f t="shared" si="2"/>
        <v>0</v>
      </c>
      <c r="AJ60" s="11"/>
      <c r="AK60" s="11"/>
      <c r="AL60" s="39"/>
      <c r="AM60" s="11"/>
      <c r="AQ60" s="185"/>
      <c r="AR60" s="11"/>
      <c r="AS60" s="11"/>
      <c r="AT60" s="11"/>
      <c r="AU60" s="186">
        <f t="shared" si="3"/>
        <v>0</v>
      </c>
      <c r="AV60" s="11"/>
      <c r="AW60" s="11"/>
      <c r="AX60" s="39"/>
      <c r="AY60" s="11"/>
      <c r="AZ60" s="73"/>
      <c r="BA60" s="73"/>
      <c r="BC60" s="185"/>
      <c r="BD60" s="11"/>
      <c r="BE60" s="11"/>
      <c r="BF60" s="11"/>
      <c r="BG60" s="186">
        <f t="shared" si="5"/>
        <v>0</v>
      </c>
      <c r="BH60" s="11"/>
      <c r="BI60" s="11"/>
      <c r="BJ60" s="39"/>
      <c r="BK60" s="11"/>
      <c r="BL60" s="73"/>
      <c r="BM60" s="73"/>
    </row>
    <row r="61" spans="5:65" x14ac:dyDescent="0.35">
      <c r="E61" s="18"/>
      <c r="F61" s="73"/>
      <c r="G61" s="19"/>
      <c r="H61" s="17"/>
      <c r="I61" s="17"/>
      <c r="J61" s="186">
        <f t="shared" ref="J61:J84" si="7">H61+I61</f>
        <v>0</v>
      </c>
      <c r="K61" s="17"/>
      <c r="L61" s="19"/>
      <c r="M61" s="39"/>
      <c r="N61" s="39"/>
      <c r="O61" s="69"/>
      <c r="Q61" s="185"/>
      <c r="R61" s="11"/>
      <c r="S61" s="11"/>
      <c r="T61" s="11"/>
      <c r="U61" s="186">
        <f t="shared" si="4"/>
        <v>0</v>
      </c>
      <c r="V61" s="11"/>
      <c r="W61" s="11"/>
      <c r="X61" s="11"/>
      <c r="Y61" s="11"/>
      <c r="Z61" s="39"/>
      <c r="AA61" s="11"/>
      <c r="AB61" s="66"/>
      <c r="AC61" s="185"/>
      <c r="AD61" s="185"/>
      <c r="AE61" s="185"/>
      <c r="AF61" s="11"/>
      <c r="AG61" s="11"/>
      <c r="AH61" s="11"/>
      <c r="AI61" s="186">
        <f t="shared" si="2"/>
        <v>0</v>
      </c>
      <c r="AJ61" s="11"/>
      <c r="AK61" s="11"/>
      <c r="AL61" s="39"/>
      <c r="AM61" s="11"/>
      <c r="AQ61" s="185"/>
      <c r="AR61" s="11"/>
      <c r="AS61" s="11"/>
      <c r="AT61" s="11"/>
      <c r="AU61" s="186">
        <f t="shared" si="3"/>
        <v>0</v>
      </c>
      <c r="AV61" s="11"/>
      <c r="AW61" s="11"/>
      <c r="AX61" s="39"/>
      <c r="AY61" s="11"/>
      <c r="AZ61" s="73"/>
      <c r="BA61" s="73"/>
      <c r="BC61" s="185"/>
      <c r="BD61" s="11"/>
      <c r="BE61" s="11"/>
      <c r="BF61" s="11"/>
      <c r="BG61" s="186">
        <f t="shared" si="5"/>
        <v>0</v>
      </c>
      <c r="BH61" s="11"/>
      <c r="BI61" s="11"/>
      <c r="BJ61" s="39"/>
      <c r="BK61" s="11"/>
      <c r="BL61" s="73"/>
      <c r="BM61" s="73"/>
    </row>
    <row r="62" spans="5:65" x14ac:dyDescent="0.35">
      <c r="E62" s="18"/>
      <c r="F62" s="73"/>
      <c r="G62" s="19"/>
      <c r="H62" s="17"/>
      <c r="I62" s="17"/>
      <c r="J62" s="186">
        <f t="shared" si="7"/>
        <v>0</v>
      </c>
      <c r="K62" s="17"/>
      <c r="L62" s="19"/>
      <c r="M62" s="39"/>
      <c r="N62" s="39"/>
      <c r="O62" s="69"/>
      <c r="Q62" s="185"/>
      <c r="R62" s="11"/>
      <c r="S62" s="11"/>
      <c r="T62" s="11"/>
      <c r="U62" s="186">
        <f t="shared" si="4"/>
        <v>0</v>
      </c>
      <c r="V62" s="11"/>
      <c r="W62" s="11"/>
      <c r="X62" s="11"/>
      <c r="Y62" s="11"/>
      <c r="Z62" s="39"/>
      <c r="AA62" s="11"/>
      <c r="AB62" s="66"/>
      <c r="AC62" s="185"/>
      <c r="AD62" s="185"/>
      <c r="AE62" s="185"/>
      <c r="AF62" s="11"/>
      <c r="AG62" s="11"/>
      <c r="AH62" s="11"/>
      <c r="AI62" s="186">
        <f t="shared" si="2"/>
        <v>0</v>
      </c>
      <c r="AJ62" s="11"/>
      <c r="AK62" s="11"/>
      <c r="AL62" s="39"/>
      <c r="AM62" s="11"/>
      <c r="AQ62" s="185"/>
      <c r="AR62" s="11"/>
      <c r="AS62" s="11"/>
      <c r="AT62" s="11"/>
      <c r="AU62" s="186">
        <f t="shared" si="3"/>
        <v>0</v>
      </c>
      <c r="AV62" s="11"/>
      <c r="AW62" s="11"/>
      <c r="AX62" s="39"/>
      <c r="AY62" s="11"/>
      <c r="AZ62" s="73"/>
      <c r="BA62" s="73"/>
      <c r="BC62" s="185"/>
      <c r="BD62" s="11"/>
      <c r="BE62" s="11"/>
      <c r="BF62" s="11"/>
      <c r="BG62" s="186">
        <f t="shared" si="5"/>
        <v>0</v>
      </c>
      <c r="BH62" s="11"/>
      <c r="BI62" s="11"/>
      <c r="BJ62" s="39"/>
      <c r="BK62" s="11"/>
      <c r="BL62" s="73"/>
      <c r="BM62" s="73"/>
    </row>
    <row r="63" spans="5:65" x14ac:dyDescent="0.35">
      <c r="E63" s="18"/>
      <c r="F63" s="73"/>
      <c r="G63" s="37"/>
      <c r="H63" s="17"/>
      <c r="I63" s="17"/>
      <c r="J63" s="186">
        <f t="shared" si="7"/>
        <v>0</v>
      </c>
      <c r="K63" s="17"/>
      <c r="L63" s="17"/>
      <c r="M63" s="17"/>
      <c r="N63" s="17"/>
      <c r="O63" s="17"/>
      <c r="Q63" s="185"/>
      <c r="R63" s="11"/>
      <c r="S63" s="11"/>
      <c r="T63" s="11"/>
      <c r="U63" s="186">
        <f t="shared" si="4"/>
        <v>0</v>
      </c>
      <c r="V63" s="11"/>
      <c r="W63" s="11"/>
      <c r="X63" s="11"/>
      <c r="Y63" s="11"/>
      <c r="Z63" s="39"/>
      <c r="AA63" s="11"/>
      <c r="AB63" s="66"/>
      <c r="AC63" s="185"/>
      <c r="AD63" s="185"/>
      <c r="AE63" s="185"/>
      <c r="AF63" s="11"/>
      <c r="AG63" s="11"/>
      <c r="AH63" s="11"/>
      <c r="AI63" s="186">
        <f t="shared" si="2"/>
        <v>0</v>
      </c>
      <c r="AJ63" s="11"/>
      <c r="AK63" s="11"/>
      <c r="AL63" s="39"/>
      <c r="AM63" s="11"/>
      <c r="AQ63" s="185"/>
      <c r="AR63" s="11"/>
      <c r="AS63" s="11"/>
      <c r="AT63" s="11"/>
      <c r="AU63" s="186">
        <f t="shared" si="3"/>
        <v>0</v>
      </c>
      <c r="AV63" s="11"/>
      <c r="AW63" s="11"/>
      <c r="AX63" s="39"/>
      <c r="AY63" s="11"/>
      <c r="AZ63" s="73"/>
      <c r="BA63" s="73"/>
      <c r="BC63" s="185"/>
      <c r="BD63" s="11"/>
      <c r="BE63" s="11"/>
      <c r="BF63" s="11"/>
      <c r="BG63" s="186">
        <f t="shared" si="5"/>
        <v>0</v>
      </c>
      <c r="BH63" s="11"/>
      <c r="BI63" s="11"/>
      <c r="BJ63" s="39"/>
      <c r="BK63" s="11"/>
      <c r="BL63" s="73"/>
      <c r="BM63" s="73"/>
    </row>
    <row r="64" spans="5:65" x14ac:dyDescent="0.35">
      <c r="E64" s="18"/>
      <c r="F64" s="73"/>
      <c r="G64" s="11"/>
      <c r="H64" s="36"/>
      <c r="I64" s="36"/>
      <c r="J64" s="186">
        <f t="shared" si="7"/>
        <v>0</v>
      </c>
      <c r="K64" s="36"/>
      <c r="L64" s="11"/>
      <c r="M64" s="39"/>
      <c r="N64" s="39"/>
      <c r="O64" s="11"/>
      <c r="Q64" s="185"/>
      <c r="R64" s="11"/>
      <c r="S64" s="11"/>
      <c r="T64" s="11"/>
      <c r="U64" s="186">
        <f t="shared" si="4"/>
        <v>0</v>
      </c>
      <c r="V64" s="11"/>
      <c r="W64" s="11"/>
      <c r="X64" s="11"/>
      <c r="Y64" s="11"/>
      <c r="Z64" s="39"/>
      <c r="AA64" s="11"/>
      <c r="AB64" s="66"/>
      <c r="AC64" s="185"/>
      <c r="AD64" s="185"/>
      <c r="AE64" s="185"/>
      <c r="AF64" s="11"/>
      <c r="AG64" s="11"/>
      <c r="AH64" s="11"/>
      <c r="AI64" s="186">
        <f t="shared" si="2"/>
        <v>0</v>
      </c>
      <c r="AJ64" s="11"/>
      <c r="AK64" s="11"/>
      <c r="AL64" s="39"/>
      <c r="AM64" s="11"/>
      <c r="AQ64" s="185"/>
      <c r="AR64" s="11"/>
      <c r="AS64" s="11"/>
      <c r="AT64" s="11"/>
      <c r="AU64" s="186">
        <f t="shared" si="3"/>
        <v>0</v>
      </c>
      <c r="AV64" s="11"/>
      <c r="AW64" s="11"/>
      <c r="AX64" s="39"/>
      <c r="AY64" s="11"/>
      <c r="AZ64" s="73"/>
      <c r="BA64" s="73"/>
      <c r="BC64" s="185"/>
      <c r="BD64" s="11"/>
      <c r="BE64" s="11"/>
      <c r="BF64" s="11"/>
      <c r="BG64" s="186">
        <f t="shared" si="5"/>
        <v>0</v>
      </c>
      <c r="BH64" s="11"/>
      <c r="BI64" s="11"/>
      <c r="BJ64" s="39"/>
      <c r="BK64" s="11"/>
      <c r="BL64" s="73"/>
      <c r="BM64" s="73"/>
    </row>
    <row r="65" spans="5:65" x14ac:dyDescent="0.35">
      <c r="E65" s="18"/>
      <c r="F65" s="73"/>
      <c r="G65" s="11"/>
      <c r="H65" s="36"/>
      <c r="I65" s="36"/>
      <c r="J65" s="186">
        <f t="shared" si="7"/>
        <v>0</v>
      </c>
      <c r="K65" s="36"/>
      <c r="L65" s="11"/>
      <c r="M65" s="39"/>
      <c r="N65" s="39"/>
      <c r="O65" s="11"/>
      <c r="Q65" s="185"/>
      <c r="R65" s="11"/>
      <c r="S65" s="11"/>
      <c r="T65" s="11"/>
      <c r="U65" s="186">
        <f t="shared" si="4"/>
        <v>0</v>
      </c>
      <c r="V65" s="11"/>
      <c r="W65" s="11"/>
      <c r="X65" s="11"/>
      <c r="Y65" s="11"/>
      <c r="Z65" s="39"/>
      <c r="AA65" s="11"/>
      <c r="AB65" s="66"/>
      <c r="AC65" s="185"/>
      <c r="AD65" s="185"/>
      <c r="AE65" s="185"/>
      <c r="AF65" s="11"/>
      <c r="AG65" s="11"/>
      <c r="AH65" s="11"/>
      <c r="AI65" s="186">
        <f t="shared" si="2"/>
        <v>0</v>
      </c>
      <c r="AJ65" s="11"/>
      <c r="AK65" s="11"/>
      <c r="AL65" s="39"/>
      <c r="AM65" s="11"/>
      <c r="AQ65" s="185"/>
      <c r="AR65" s="11"/>
      <c r="AS65" s="11"/>
      <c r="AT65" s="11"/>
      <c r="AU65" s="186">
        <f t="shared" si="3"/>
        <v>0</v>
      </c>
      <c r="AV65" s="11"/>
      <c r="AW65" s="11"/>
      <c r="AX65" s="39"/>
      <c r="AY65" s="11"/>
      <c r="AZ65" s="73"/>
      <c r="BA65" s="73"/>
      <c r="BC65" s="185"/>
      <c r="BD65" s="11"/>
      <c r="BE65" s="11"/>
      <c r="BF65" s="11"/>
      <c r="BG65" s="186">
        <f t="shared" si="5"/>
        <v>0</v>
      </c>
      <c r="BH65" s="11"/>
      <c r="BI65" s="11"/>
      <c r="BJ65" s="39"/>
      <c r="BK65" s="11"/>
      <c r="BL65" s="73"/>
      <c r="BM65" s="73"/>
    </row>
    <row r="66" spans="5:65" x14ac:dyDescent="0.35">
      <c r="E66" s="18"/>
      <c r="F66" s="73"/>
      <c r="G66" s="11"/>
      <c r="H66" s="36"/>
      <c r="I66" s="36"/>
      <c r="J66" s="186">
        <f t="shared" si="7"/>
        <v>0</v>
      </c>
      <c r="K66" s="36"/>
      <c r="L66" s="11"/>
      <c r="M66" s="39"/>
      <c r="N66" s="39"/>
      <c r="O66" s="11"/>
      <c r="Q66" s="185"/>
      <c r="R66" s="11"/>
      <c r="S66" s="11"/>
      <c r="T66" s="11"/>
      <c r="U66" s="186">
        <f t="shared" si="4"/>
        <v>0</v>
      </c>
      <c r="V66" s="11"/>
      <c r="W66" s="11"/>
      <c r="X66" s="11"/>
      <c r="Y66" s="11"/>
      <c r="Z66" s="39"/>
      <c r="AA66" s="11"/>
      <c r="AB66" s="66"/>
      <c r="AC66" s="185"/>
      <c r="AD66" s="185"/>
      <c r="AE66" s="185"/>
      <c r="AF66" s="11"/>
      <c r="AG66" s="11"/>
      <c r="AH66" s="11"/>
      <c r="AI66" s="186">
        <f t="shared" si="2"/>
        <v>0</v>
      </c>
      <c r="AJ66" s="11"/>
      <c r="AK66" s="11"/>
      <c r="AL66" s="39"/>
      <c r="AM66" s="11"/>
      <c r="AQ66" s="185"/>
      <c r="AR66" s="11"/>
      <c r="AS66" s="11"/>
      <c r="AT66" s="11"/>
      <c r="AU66" s="186">
        <f t="shared" si="3"/>
        <v>0</v>
      </c>
      <c r="AV66" s="11"/>
      <c r="AW66" s="11"/>
      <c r="AX66" s="39"/>
      <c r="AY66" s="11"/>
      <c r="AZ66" s="73"/>
      <c r="BA66" s="73"/>
      <c r="BC66" s="185"/>
      <c r="BD66" s="11"/>
      <c r="BE66" s="11"/>
      <c r="BF66" s="11"/>
      <c r="BG66" s="186">
        <f t="shared" si="5"/>
        <v>0</v>
      </c>
      <c r="BH66" s="11"/>
      <c r="BI66" s="11"/>
      <c r="BJ66" s="39"/>
      <c r="BK66" s="11"/>
      <c r="BL66" s="73"/>
      <c r="BM66" s="73"/>
    </row>
    <row r="67" spans="5:65" x14ac:dyDescent="0.35">
      <c r="E67" s="18"/>
      <c r="F67" s="73"/>
      <c r="G67" s="11"/>
      <c r="H67" s="36"/>
      <c r="I67" s="36"/>
      <c r="J67" s="17">
        <f t="shared" si="7"/>
        <v>0</v>
      </c>
      <c r="K67" s="36"/>
      <c r="L67" s="11"/>
      <c r="M67" s="39"/>
      <c r="N67" s="39"/>
      <c r="O67" s="11"/>
      <c r="Q67" s="185"/>
      <c r="R67" s="11"/>
      <c r="S67" s="11"/>
      <c r="T67" s="11"/>
      <c r="U67" s="186">
        <f t="shared" si="4"/>
        <v>0</v>
      </c>
      <c r="V67" s="11"/>
      <c r="W67" s="11"/>
      <c r="X67" s="11"/>
      <c r="Y67" s="11"/>
      <c r="Z67" s="39"/>
      <c r="AA67" s="11"/>
      <c r="AB67" s="66"/>
      <c r="AC67" s="185"/>
      <c r="AD67" s="185"/>
      <c r="AE67" s="185"/>
      <c r="AF67" s="11"/>
      <c r="AG67" s="11"/>
      <c r="AH67" s="11"/>
      <c r="AI67" s="186">
        <f t="shared" si="2"/>
        <v>0</v>
      </c>
      <c r="AJ67" s="11"/>
      <c r="AK67" s="11"/>
      <c r="AL67" s="39"/>
      <c r="AM67" s="11"/>
      <c r="AQ67" s="185"/>
      <c r="AR67" s="11"/>
      <c r="AS67" s="11"/>
      <c r="AT67" s="11"/>
      <c r="AU67" s="186">
        <f t="shared" si="3"/>
        <v>0</v>
      </c>
      <c r="AV67" s="11"/>
      <c r="AW67" s="11"/>
      <c r="AX67" s="39"/>
      <c r="AY67" s="11"/>
      <c r="AZ67" s="73"/>
      <c r="BA67" s="73"/>
      <c r="BC67" s="185"/>
      <c r="BD67" s="11"/>
      <c r="BE67" s="11"/>
      <c r="BF67" s="11"/>
      <c r="BG67" s="186">
        <f t="shared" si="5"/>
        <v>0</v>
      </c>
      <c r="BH67" s="11"/>
      <c r="BI67" s="11"/>
      <c r="BJ67" s="39"/>
      <c r="BK67" s="11"/>
      <c r="BL67" s="73"/>
      <c r="BM67" s="73"/>
    </row>
    <row r="68" spans="5:65" x14ac:dyDescent="0.35">
      <c r="E68" s="18"/>
      <c r="F68" s="73"/>
      <c r="G68" s="11"/>
      <c r="H68" s="36"/>
      <c r="I68" s="36"/>
      <c r="J68" s="17">
        <f t="shared" si="7"/>
        <v>0</v>
      </c>
      <c r="K68" s="36"/>
      <c r="L68" s="11"/>
      <c r="M68" s="39"/>
      <c r="N68" s="39"/>
      <c r="O68" s="11"/>
      <c r="Q68" s="185"/>
      <c r="R68" s="11"/>
      <c r="S68" s="11"/>
      <c r="T68" s="11"/>
      <c r="U68" s="186">
        <f t="shared" si="4"/>
        <v>0</v>
      </c>
      <c r="V68" s="11"/>
      <c r="W68" s="11"/>
      <c r="X68" s="11"/>
      <c r="Y68" s="11"/>
      <c r="Z68" s="39"/>
      <c r="AA68" s="11"/>
      <c r="AB68" s="66"/>
      <c r="AC68" s="185"/>
      <c r="AD68" s="185"/>
      <c r="AE68" s="185"/>
      <c r="AF68" s="11"/>
      <c r="AG68" s="11"/>
      <c r="AH68" s="11"/>
      <c r="AI68" s="186">
        <f t="shared" si="2"/>
        <v>0</v>
      </c>
      <c r="AJ68" s="11"/>
      <c r="AK68" s="11"/>
      <c r="AL68" s="39"/>
      <c r="AM68" s="11"/>
      <c r="AQ68" s="185"/>
      <c r="AR68" s="11"/>
      <c r="AS68" s="11"/>
      <c r="AT68" s="11"/>
      <c r="AU68" s="186">
        <f t="shared" si="3"/>
        <v>0</v>
      </c>
      <c r="AV68" s="11"/>
      <c r="AW68" s="11"/>
      <c r="AX68" s="39"/>
      <c r="AY68" s="11"/>
      <c r="AZ68" s="73"/>
      <c r="BA68" s="73"/>
      <c r="BC68" s="185"/>
      <c r="BD68" s="11"/>
      <c r="BE68" s="11"/>
      <c r="BF68" s="11"/>
      <c r="BG68" s="186">
        <f t="shared" si="5"/>
        <v>0</v>
      </c>
      <c r="BH68" s="11"/>
      <c r="BI68" s="11"/>
      <c r="BJ68" s="39"/>
      <c r="BK68" s="11"/>
      <c r="BL68" s="73"/>
      <c r="BM68" s="73"/>
    </row>
    <row r="69" spans="5:65" x14ac:dyDescent="0.35">
      <c r="E69" s="18"/>
      <c r="F69" s="73"/>
      <c r="G69" s="11"/>
      <c r="H69" s="36"/>
      <c r="I69" s="36"/>
      <c r="J69" s="17">
        <f t="shared" si="7"/>
        <v>0</v>
      </c>
      <c r="K69" s="36"/>
      <c r="L69" s="11"/>
      <c r="M69" s="39"/>
      <c r="N69" s="39"/>
      <c r="O69" s="11"/>
      <c r="Q69" s="185"/>
      <c r="R69" s="11"/>
      <c r="S69" s="11"/>
      <c r="T69" s="11"/>
      <c r="U69" s="186">
        <f t="shared" si="4"/>
        <v>0</v>
      </c>
      <c r="V69" s="11"/>
      <c r="W69" s="11"/>
      <c r="X69" s="11"/>
      <c r="Y69" s="11"/>
      <c r="Z69" s="39"/>
      <c r="AA69" s="11"/>
      <c r="AB69" s="66"/>
      <c r="AC69" s="185"/>
      <c r="AD69" s="185"/>
      <c r="AE69" s="185"/>
      <c r="AF69" s="11"/>
      <c r="AG69" s="11"/>
      <c r="AH69" s="11"/>
      <c r="AI69" s="186">
        <f t="shared" ref="AI69:AI84" si="8">AG69+AH69</f>
        <v>0</v>
      </c>
      <c r="AJ69" s="11"/>
      <c r="AK69" s="11"/>
      <c r="AL69" s="39"/>
      <c r="AM69" s="11"/>
      <c r="AQ69" s="185"/>
      <c r="AR69" s="11"/>
      <c r="AS69" s="11"/>
      <c r="AT69" s="11"/>
      <c r="AU69" s="186">
        <f t="shared" si="3"/>
        <v>0</v>
      </c>
      <c r="AV69" s="11"/>
      <c r="AW69" s="11"/>
      <c r="AX69" s="39"/>
      <c r="AY69" s="11"/>
      <c r="AZ69" s="73"/>
      <c r="BA69" s="73"/>
      <c r="BC69" s="185"/>
      <c r="BD69" s="11"/>
      <c r="BE69" s="11"/>
      <c r="BF69" s="11"/>
      <c r="BG69" s="186">
        <f t="shared" ref="BG69:BG84" si="9">BE69+BF69</f>
        <v>0</v>
      </c>
      <c r="BH69" s="11"/>
      <c r="BI69" s="11"/>
      <c r="BJ69" s="39"/>
      <c r="BK69" s="11"/>
      <c r="BL69" s="73"/>
      <c r="BM69" s="73"/>
    </row>
    <row r="70" spans="5:65" x14ac:dyDescent="0.35">
      <c r="E70" s="18"/>
      <c r="F70" s="73"/>
      <c r="G70" s="11"/>
      <c r="H70" s="36"/>
      <c r="I70" s="36"/>
      <c r="J70" s="17">
        <f t="shared" si="7"/>
        <v>0</v>
      </c>
      <c r="K70" s="36"/>
      <c r="L70" s="11"/>
      <c r="M70" s="39"/>
      <c r="N70" s="39"/>
      <c r="O70" s="11"/>
      <c r="Q70" s="185"/>
      <c r="R70" s="11"/>
      <c r="S70" s="11"/>
      <c r="T70" s="11"/>
      <c r="U70" s="186">
        <f t="shared" ref="U70:U84" si="10">S70+T70</f>
        <v>0</v>
      </c>
      <c r="V70" s="11"/>
      <c r="W70" s="11"/>
      <c r="X70" s="11"/>
      <c r="Y70" s="11"/>
      <c r="Z70" s="39"/>
      <c r="AA70" s="11"/>
      <c r="AB70" s="66"/>
      <c r="AC70" s="185"/>
      <c r="AD70" s="185"/>
      <c r="AE70" s="185"/>
      <c r="AF70" s="11"/>
      <c r="AG70" s="11"/>
      <c r="AH70" s="11"/>
      <c r="AI70" s="186">
        <f t="shared" si="8"/>
        <v>0</v>
      </c>
      <c r="AJ70" s="11"/>
      <c r="AK70" s="11"/>
      <c r="AL70" s="39"/>
      <c r="AM70" s="11"/>
      <c r="AQ70" s="185"/>
      <c r="AR70" s="11"/>
      <c r="AS70" s="11"/>
      <c r="AT70" s="11"/>
      <c r="AU70" s="186">
        <f t="shared" ref="AU70:AU84" si="11">AS70+AT70</f>
        <v>0</v>
      </c>
      <c r="AV70" s="11"/>
      <c r="AW70" s="11"/>
      <c r="AX70" s="39"/>
      <c r="AY70" s="11"/>
      <c r="AZ70" s="73"/>
      <c r="BA70" s="73"/>
      <c r="BC70" s="185"/>
      <c r="BD70" s="11"/>
      <c r="BE70" s="11"/>
      <c r="BF70" s="11"/>
      <c r="BG70" s="186">
        <f t="shared" si="9"/>
        <v>0</v>
      </c>
      <c r="BH70" s="11"/>
      <c r="BI70" s="11"/>
      <c r="BJ70" s="39"/>
      <c r="BK70" s="11"/>
      <c r="BL70" s="73"/>
      <c r="BM70" s="73"/>
    </row>
    <row r="71" spans="5:65" x14ac:dyDescent="0.35">
      <c r="E71" s="18"/>
      <c r="F71" s="73"/>
      <c r="G71" s="11"/>
      <c r="H71" s="36"/>
      <c r="I71" s="36"/>
      <c r="J71" s="17">
        <f t="shared" si="7"/>
        <v>0</v>
      </c>
      <c r="K71" s="36"/>
      <c r="L71" s="11"/>
      <c r="M71" s="39"/>
      <c r="N71" s="39"/>
      <c r="O71" s="11"/>
      <c r="Q71" s="185"/>
      <c r="R71" s="11"/>
      <c r="S71" s="11"/>
      <c r="T71" s="11"/>
      <c r="U71" s="186">
        <f t="shared" si="10"/>
        <v>0</v>
      </c>
      <c r="V71" s="11"/>
      <c r="W71" s="11"/>
      <c r="X71" s="11"/>
      <c r="Y71" s="11"/>
      <c r="Z71" s="39"/>
      <c r="AA71" s="11"/>
      <c r="AB71" s="66"/>
      <c r="AC71" s="185"/>
      <c r="AD71" s="185"/>
      <c r="AE71" s="185"/>
      <c r="AF71" s="11"/>
      <c r="AG71" s="11"/>
      <c r="AH71" s="11"/>
      <c r="AI71" s="186">
        <f t="shared" si="8"/>
        <v>0</v>
      </c>
      <c r="AJ71" s="11"/>
      <c r="AK71" s="11"/>
      <c r="AL71" s="39"/>
      <c r="AM71" s="11"/>
      <c r="AQ71" s="185"/>
      <c r="AR71" s="11"/>
      <c r="AS71" s="11"/>
      <c r="AT71" s="11"/>
      <c r="AU71" s="186">
        <f t="shared" si="11"/>
        <v>0</v>
      </c>
      <c r="AV71" s="11"/>
      <c r="AW71" s="11"/>
      <c r="AX71" s="39"/>
      <c r="AY71" s="11"/>
      <c r="AZ71" s="73"/>
      <c r="BA71" s="73"/>
      <c r="BC71" s="185"/>
      <c r="BD71" s="11"/>
      <c r="BE71" s="11"/>
      <c r="BF71" s="11"/>
      <c r="BG71" s="186">
        <f t="shared" si="9"/>
        <v>0</v>
      </c>
      <c r="BH71" s="11"/>
      <c r="BI71" s="11"/>
      <c r="BJ71" s="39"/>
      <c r="BK71" s="11"/>
      <c r="BL71" s="73"/>
      <c r="BM71" s="73"/>
    </row>
    <row r="72" spans="5:65" x14ac:dyDescent="0.35">
      <c r="E72" s="18"/>
      <c r="F72" s="73"/>
      <c r="G72" s="11"/>
      <c r="H72" s="36"/>
      <c r="I72" s="36"/>
      <c r="J72" s="17">
        <f t="shared" si="7"/>
        <v>0</v>
      </c>
      <c r="K72" s="36"/>
      <c r="L72" s="11"/>
      <c r="M72" s="39"/>
      <c r="N72" s="39"/>
      <c r="O72" s="11"/>
      <c r="Q72" s="185"/>
      <c r="R72" s="11"/>
      <c r="S72" s="11"/>
      <c r="T72" s="11"/>
      <c r="U72" s="186">
        <f t="shared" si="10"/>
        <v>0</v>
      </c>
      <c r="V72" s="11"/>
      <c r="W72" s="11"/>
      <c r="X72" s="11"/>
      <c r="Y72" s="11"/>
      <c r="Z72" s="39"/>
      <c r="AA72" s="11"/>
      <c r="AB72" s="66"/>
      <c r="AC72" s="185"/>
      <c r="AD72" s="185"/>
      <c r="AE72" s="185"/>
      <c r="AF72" s="11"/>
      <c r="AG72" s="11"/>
      <c r="AH72" s="11"/>
      <c r="AI72" s="186">
        <f t="shared" si="8"/>
        <v>0</v>
      </c>
      <c r="AJ72" s="11"/>
      <c r="AK72" s="11"/>
      <c r="AL72" s="39"/>
      <c r="AM72" s="11"/>
      <c r="AQ72" s="185"/>
      <c r="AR72" s="11"/>
      <c r="AS72" s="11"/>
      <c r="AT72" s="11"/>
      <c r="AU72" s="186"/>
      <c r="AV72" s="11"/>
      <c r="AW72" s="11"/>
      <c r="AX72" s="39"/>
      <c r="AY72" s="11"/>
      <c r="AZ72" s="73"/>
      <c r="BA72" s="73"/>
      <c r="BC72" s="185"/>
      <c r="BD72" s="11"/>
      <c r="BE72" s="11"/>
      <c r="BF72" s="11"/>
      <c r="BG72" s="186"/>
      <c r="BH72" s="11"/>
      <c r="BI72" s="11"/>
      <c r="BJ72" s="39"/>
      <c r="BK72" s="11"/>
      <c r="BL72" s="73"/>
      <c r="BM72" s="73"/>
    </row>
    <row r="73" spans="5:65" x14ac:dyDescent="0.35">
      <c r="E73" s="18"/>
      <c r="F73" s="73"/>
      <c r="G73" s="11"/>
      <c r="H73" s="36"/>
      <c r="I73" s="36"/>
      <c r="J73" s="17">
        <f t="shared" si="7"/>
        <v>0</v>
      </c>
      <c r="K73" s="36"/>
      <c r="L73" s="11"/>
      <c r="M73" s="39"/>
      <c r="N73" s="39"/>
      <c r="O73" s="11"/>
      <c r="Q73" s="185"/>
      <c r="R73" s="11"/>
      <c r="S73" s="11"/>
      <c r="T73" s="11"/>
      <c r="U73" s="186">
        <f t="shared" si="10"/>
        <v>0</v>
      </c>
      <c r="V73" s="11"/>
      <c r="W73" s="11"/>
      <c r="X73" s="11"/>
      <c r="Y73" s="11"/>
      <c r="Z73" s="39"/>
      <c r="AA73" s="11"/>
      <c r="AB73" s="66"/>
      <c r="AC73" s="185"/>
      <c r="AD73" s="185"/>
      <c r="AE73" s="185"/>
      <c r="AF73" s="11"/>
      <c r="AG73" s="11"/>
      <c r="AH73" s="11"/>
      <c r="AI73" s="186">
        <f t="shared" si="8"/>
        <v>0</v>
      </c>
      <c r="AJ73" s="11"/>
      <c r="AK73" s="11"/>
      <c r="AL73" s="39"/>
      <c r="AM73" s="11"/>
      <c r="AQ73" s="185"/>
      <c r="AR73" s="11"/>
      <c r="AS73" s="11"/>
      <c r="AT73" s="11"/>
      <c r="AU73" s="186"/>
      <c r="AV73" s="11"/>
      <c r="AW73" s="11"/>
      <c r="AX73" s="39"/>
      <c r="AY73" s="11"/>
      <c r="AZ73" s="73"/>
      <c r="BA73" s="73"/>
      <c r="BC73" s="185"/>
      <c r="BD73" s="11"/>
      <c r="BE73" s="11"/>
      <c r="BF73" s="11"/>
      <c r="BG73" s="186"/>
      <c r="BH73" s="11"/>
      <c r="BI73" s="11"/>
      <c r="BJ73" s="39"/>
      <c r="BK73" s="11"/>
      <c r="BL73" s="73"/>
      <c r="BM73" s="73"/>
    </row>
    <row r="74" spans="5:65" x14ac:dyDescent="0.35">
      <c r="E74" s="18"/>
      <c r="F74" s="73"/>
      <c r="G74" s="11"/>
      <c r="H74" s="36"/>
      <c r="I74" s="36"/>
      <c r="J74" s="17">
        <f t="shared" si="7"/>
        <v>0</v>
      </c>
      <c r="K74" s="36"/>
      <c r="L74" s="11"/>
      <c r="M74" s="39"/>
      <c r="N74" s="39"/>
      <c r="O74" s="11"/>
      <c r="Q74" s="185"/>
      <c r="R74" s="11"/>
      <c r="S74" s="11"/>
      <c r="T74" s="11"/>
      <c r="U74" s="186">
        <f t="shared" si="10"/>
        <v>0</v>
      </c>
      <c r="V74" s="11"/>
      <c r="W74" s="11"/>
      <c r="X74" s="11"/>
      <c r="Y74" s="11"/>
      <c r="Z74" s="39"/>
      <c r="AA74" s="11"/>
      <c r="AB74" s="66"/>
      <c r="AC74" s="185"/>
      <c r="AD74" s="185"/>
      <c r="AE74" s="185"/>
      <c r="AF74" s="11"/>
      <c r="AG74" s="11"/>
      <c r="AH74" s="11"/>
      <c r="AI74" s="186"/>
      <c r="AJ74" s="11"/>
      <c r="AK74" s="11"/>
      <c r="AL74" s="39"/>
      <c r="AM74" s="11"/>
      <c r="AQ74" s="185"/>
      <c r="AR74" s="11"/>
      <c r="AS74" s="11"/>
      <c r="AT74" s="11"/>
      <c r="AU74" s="186"/>
      <c r="AV74" s="11"/>
      <c r="AW74" s="11"/>
      <c r="AX74" s="39"/>
      <c r="AY74" s="11"/>
      <c r="AZ74" s="73"/>
      <c r="BA74" s="73"/>
      <c r="BC74" s="185"/>
      <c r="BD74" s="11"/>
      <c r="BE74" s="11"/>
      <c r="BF74" s="11"/>
      <c r="BG74" s="186"/>
      <c r="BH74" s="11"/>
      <c r="BI74" s="11"/>
      <c r="BJ74" s="39"/>
      <c r="BK74" s="11"/>
      <c r="BL74" s="73"/>
      <c r="BM74" s="73"/>
    </row>
    <row r="75" spans="5:65" x14ac:dyDescent="0.35">
      <c r="E75" s="18"/>
      <c r="F75" s="73"/>
      <c r="G75" s="11"/>
      <c r="H75" s="36"/>
      <c r="I75" s="36"/>
      <c r="J75" s="17">
        <f t="shared" si="7"/>
        <v>0</v>
      </c>
      <c r="K75" s="36"/>
      <c r="L75" s="11"/>
      <c r="M75" s="39"/>
      <c r="N75" s="39"/>
      <c r="O75" s="11"/>
      <c r="Q75" s="185"/>
      <c r="R75" s="11"/>
      <c r="S75" s="11"/>
      <c r="T75" s="11"/>
      <c r="U75" s="186"/>
      <c r="V75" s="11"/>
      <c r="W75" s="11"/>
      <c r="X75" s="11"/>
      <c r="Y75" s="11"/>
      <c r="Z75" s="39"/>
      <c r="AA75" s="11"/>
      <c r="AB75" s="66"/>
      <c r="AC75" s="185"/>
      <c r="AD75" s="185"/>
      <c r="AE75" s="185"/>
      <c r="AF75" s="11"/>
      <c r="AG75" s="11"/>
      <c r="AH75" s="11"/>
      <c r="AI75" s="186"/>
      <c r="AJ75" s="11"/>
      <c r="AK75" s="11"/>
      <c r="AL75" s="39"/>
      <c r="AM75" s="11"/>
      <c r="AQ75" s="185"/>
      <c r="AR75" s="11"/>
      <c r="AS75" s="11"/>
      <c r="AT75" s="11"/>
      <c r="AU75" s="186"/>
      <c r="AV75" s="11"/>
      <c r="AW75" s="11"/>
      <c r="AX75" s="39"/>
      <c r="AY75" s="11"/>
      <c r="AZ75" s="73"/>
      <c r="BA75" s="73"/>
      <c r="BC75" s="185"/>
      <c r="BD75" s="11"/>
      <c r="BE75" s="11"/>
      <c r="BF75" s="11"/>
      <c r="BG75" s="186"/>
      <c r="BH75" s="11"/>
      <c r="BI75" s="11"/>
      <c r="BJ75" s="39"/>
      <c r="BK75" s="11"/>
      <c r="BL75" s="73"/>
      <c r="BM75" s="73"/>
    </row>
    <row r="76" spans="5:65" x14ac:dyDescent="0.35">
      <c r="E76" s="18"/>
      <c r="F76" s="73"/>
      <c r="G76" s="11"/>
      <c r="H76" s="36"/>
      <c r="I76" s="36"/>
      <c r="J76" s="17">
        <f t="shared" si="7"/>
        <v>0</v>
      </c>
      <c r="K76" s="36"/>
      <c r="L76" s="11"/>
      <c r="M76" s="39"/>
      <c r="N76" s="39"/>
      <c r="O76" s="11"/>
      <c r="Q76" s="185"/>
      <c r="R76" s="11"/>
      <c r="S76" s="11"/>
      <c r="T76" s="11"/>
      <c r="U76" s="186"/>
      <c r="V76" s="11"/>
      <c r="W76" s="11"/>
      <c r="X76" s="11"/>
      <c r="Y76" s="11"/>
      <c r="Z76" s="39"/>
      <c r="AA76" s="11"/>
      <c r="AB76" s="66"/>
      <c r="AC76" s="185"/>
      <c r="AD76" s="185"/>
      <c r="AE76" s="185"/>
      <c r="AF76" s="11"/>
      <c r="AG76" s="11"/>
      <c r="AH76" s="11"/>
      <c r="AI76" s="186"/>
      <c r="AJ76" s="11"/>
      <c r="AK76" s="11"/>
      <c r="AL76" s="39"/>
      <c r="AM76" s="11"/>
      <c r="AQ76" s="185"/>
      <c r="AR76" s="11"/>
      <c r="AS76" s="11"/>
      <c r="AT76" s="11"/>
      <c r="AU76" s="186"/>
      <c r="AV76" s="11"/>
      <c r="AW76" s="11"/>
      <c r="AX76" s="39"/>
      <c r="AY76" s="11"/>
      <c r="AZ76" s="73"/>
      <c r="BA76" s="73"/>
      <c r="BC76" s="185"/>
      <c r="BD76" s="11"/>
      <c r="BE76" s="11"/>
      <c r="BF76" s="11"/>
      <c r="BG76" s="186"/>
      <c r="BH76" s="11"/>
      <c r="BI76" s="11"/>
      <c r="BJ76" s="39"/>
      <c r="BK76" s="11"/>
      <c r="BL76" s="73"/>
      <c r="BM76" s="73"/>
    </row>
    <row r="77" spans="5:65" x14ac:dyDescent="0.35">
      <c r="E77" s="18"/>
      <c r="F77" s="73"/>
      <c r="G77" s="11"/>
      <c r="H77" s="36"/>
      <c r="I77" s="36"/>
      <c r="J77" s="17">
        <f t="shared" si="7"/>
        <v>0</v>
      </c>
      <c r="K77" s="36"/>
      <c r="L77" s="11"/>
      <c r="M77" s="39"/>
      <c r="N77" s="39"/>
      <c r="O77" s="11"/>
      <c r="Q77" s="185"/>
      <c r="R77" s="11"/>
      <c r="S77" s="11"/>
      <c r="T77" s="11"/>
      <c r="U77" s="186"/>
      <c r="V77" s="11"/>
      <c r="W77" s="11"/>
      <c r="X77" s="11"/>
      <c r="Y77" s="11"/>
      <c r="Z77" s="39"/>
      <c r="AA77" s="11"/>
      <c r="AB77" s="66"/>
      <c r="AC77" s="185"/>
      <c r="AD77" s="185"/>
      <c r="AE77" s="185"/>
      <c r="AF77" s="11"/>
      <c r="AG77" s="11"/>
      <c r="AH77" s="11"/>
      <c r="AI77" s="186"/>
      <c r="AJ77" s="11"/>
      <c r="AK77" s="11"/>
      <c r="AL77" s="39"/>
      <c r="AM77" s="11"/>
      <c r="AQ77" s="185"/>
      <c r="AR77" s="11"/>
      <c r="AS77" s="11"/>
      <c r="AT77" s="11"/>
      <c r="AU77" s="186">
        <f t="shared" si="11"/>
        <v>0</v>
      </c>
      <c r="AV77" s="11"/>
      <c r="AW77" s="11"/>
      <c r="AX77" s="39"/>
      <c r="AY77" s="11"/>
      <c r="AZ77" s="73"/>
      <c r="BA77" s="73"/>
      <c r="BC77" s="185"/>
      <c r="BD77" s="11"/>
      <c r="BE77" s="11"/>
      <c r="BF77" s="11"/>
      <c r="BG77" s="186"/>
      <c r="BH77" s="11"/>
      <c r="BI77" s="11"/>
      <c r="BJ77" s="39"/>
      <c r="BK77" s="11"/>
      <c r="BL77" s="73"/>
      <c r="BM77" s="73"/>
    </row>
    <row r="78" spans="5:65" x14ac:dyDescent="0.35">
      <c r="E78" s="18"/>
      <c r="F78" s="73"/>
      <c r="G78" s="11"/>
      <c r="H78" s="36"/>
      <c r="I78" s="36"/>
      <c r="J78" s="17">
        <f t="shared" si="7"/>
        <v>0</v>
      </c>
      <c r="K78" s="36"/>
      <c r="L78" s="11"/>
      <c r="M78" s="39"/>
      <c r="N78" s="39"/>
      <c r="O78" s="11"/>
      <c r="Q78" s="185"/>
      <c r="R78" s="11"/>
      <c r="S78" s="11"/>
      <c r="T78" s="11"/>
      <c r="U78" s="186"/>
      <c r="V78" s="11"/>
      <c r="W78" s="11"/>
      <c r="X78" s="11"/>
      <c r="Y78" s="11"/>
      <c r="Z78" s="39"/>
      <c r="AA78" s="11"/>
      <c r="AB78" s="66"/>
      <c r="AC78" s="185"/>
      <c r="AD78" s="185"/>
      <c r="AE78" s="185"/>
      <c r="AF78" s="11"/>
      <c r="AG78" s="11"/>
      <c r="AH78" s="11"/>
      <c r="AI78" s="186"/>
      <c r="AJ78" s="11"/>
      <c r="AK78" s="11"/>
      <c r="AL78" s="39"/>
      <c r="AM78" s="11"/>
      <c r="AQ78" s="185"/>
      <c r="AR78" s="11"/>
      <c r="AS78" s="11"/>
      <c r="AT78" s="11"/>
      <c r="AU78" s="186">
        <f t="shared" si="11"/>
        <v>0</v>
      </c>
      <c r="AV78" s="11"/>
      <c r="AW78" s="11"/>
      <c r="AX78" s="39"/>
      <c r="AY78" s="11"/>
      <c r="AZ78" s="73"/>
      <c r="BA78" s="73"/>
      <c r="BC78" s="185"/>
      <c r="BD78" s="11"/>
      <c r="BE78" s="11"/>
      <c r="BF78" s="11"/>
      <c r="BG78" s="186">
        <f t="shared" si="9"/>
        <v>0</v>
      </c>
      <c r="BH78" s="11"/>
      <c r="BI78" s="11"/>
      <c r="BJ78" s="39"/>
      <c r="BK78" s="11"/>
      <c r="BL78" s="73"/>
      <c r="BM78" s="73"/>
    </row>
    <row r="79" spans="5:65" x14ac:dyDescent="0.35">
      <c r="E79" s="18"/>
      <c r="F79" s="73"/>
      <c r="G79" s="11"/>
      <c r="H79" s="36"/>
      <c r="I79" s="36"/>
      <c r="J79" s="17">
        <f t="shared" si="7"/>
        <v>0</v>
      </c>
      <c r="K79" s="36"/>
      <c r="L79" s="11"/>
      <c r="M79" s="39"/>
      <c r="N79" s="39"/>
      <c r="O79" s="11"/>
      <c r="Q79" s="185"/>
      <c r="R79" s="11"/>
      <c r="S79" s="11"/>
      <c r="T79" s="11"/>
      <c r="U79" s="186"/>
      <c r="V79" s="11"/>
      <c r="W79" s="11"/>
      <c r="X79" s="11"/>
      <c r="Y79" s="11"/>
      <c r="Z79" s="39"/>
      <c r="AA79" s="11"/>
      <c r="AB79" s="66"/>
      <c r="AC79" s="185"/>
      <c r="AD79" s="185"/>
      <c r="AE79" s="185"/>
      <c r="AF79" s="11"/>
      <c r="AG79" s="11"/>
      <c r="AH79" s="11"/>
      <c r="AI79" s="186"/>
      <c r="AJ79" s="11"/>
      <c r="AK79" s="11"/>
      <c r="AL79" s="39"/>
      <c r="AM79" s="11"/>
      <c r="AQ79" s="185"/>
      <c r="AR79" s="11"/>
      <c r="AS79" s="11"/>
      <c r="AT79" s="11"/>
      <c r="AU79" s="186">
        <f t="shared" si="11"/>
        <v>0</v>
      </c>
      <c r="AV79" s="11"/>
      <c r="AW79" s="11"/>
      <c r="AX79" s="39"/>
      <c r="AY79" s="11"/>
      <c r="AZ79" s="73"/>
      <c r="BA79" s="73"/>
      <c r="BC79" s="185"/>
      <c r="BD79" s="11"/>
      <c r="BE79" s="11"/>
      <c r="BF79" s="11"/>
      <c r="BG79" s="186">
        <f t="shared" si="9"/>
        <v>0</v>
      </c>
      <c r="BH79" s="11"/>
      <c r="BI79" s="11"/>
      <c r="BJ79" s="39"/>
      <c r="BK79" s="11"/>
      <c r="BL79" s="73"/>
      <c r="BM79" s="73"/>
    </row>
    <row r="80" spans="5:65" x14ac:dyDescent="0.35">
      <c r="E80" s="18"/>
      <c r="F80" s="73"/>
      <c r="G80" s="11"/>
      <c r="H80" s="36"/>
      <c r="I80" s="36"/>
      <c r="J80" s="17">
        <f t="shared" si="7"/>
        <v>0</v>
      </c>
      <c r="K80" s="36"/>
      <c r="L80" s="11"/>
      <c r="M80" s="39"/>
      <c r="N80" s="39"/>
      <c r="O80" s="11"/>
      <c r="Q80" s="185"/>
      <c r="R80" s="11"/>
      <c r="S80" s="11"/>
      <c r="T80" s="11"/>
      <c r="U80" s="186"/>
      <c r="V80" s="11"/>
      <c r="W80" s="11"/>
      <c r="X80" s="11"/>
      <c r="Y80" s="11"/>
      <c r="Z80" s="39"/>
      <c r="AA80" s="11"/>
      <c r="AB80" s="16"/>
      <c r="AC80" s="185"/>
      <c r="AD80" s="185"/>
      <c r="AE80" s="185"/>
      <c r="AF80" s="11"/>
      <c r="AG80" s="11"/>
      <c r="AH80" s="11"/>
      <c r="AI80" s="186">
        <f t="shared" si="8"/>
        <v>0</v>
      </c>
      <c r="AJ80" s="11"/>
      <c r="AK80" s="11"/>
      <c r="AL80" s="39"/>
      <c r="AM80" s="11"/>
      <c r="AQ80" s="185"/>
      <c r="AR80" s="11"/>
      <c r="AS80" s="11"/>
      <c r="AT80" s="11"/>
      <c r="AU80" s="186">
        <f t="shared" si="11"/>
        <v>0</v>
      </c>
      <c r="AV80" s="11"/>
      <c r="AW80" s="11"/>
      <c r="AX80" s="39"/>
      <c r="AY80" s="11"/>
      <c r="AZ80" s="73"/>
      <c r="BA80" s="73"/>
      <c r="BC80" s="185"/>
      <c r="BD80" s="11"/>
      <c r="BE80" s="11"/>
      <c r="BF80" s="11"/>
      <c r="BG80" s="186">
        <f t="shared" si="9"/>
        <v>0</v>
      </c>
      <c r="BH80" s="11"/>
      <c r="BI80" s="11"/>
      <c r="BJ80" s="39"/>
      <c r="BK80" s="11"/>
      <c r="BL80" s="73"/>
      <c r="BM80" s="73"/>
    </row>
    <row r="81" spans="5:65" x14ac:dyDescent="0.35">
      <c r="E81" s="18"/>
      <c r="F81" s="73"/>
      <c r="G81" s="11"/>
      <c r="H81" s="36"/>
      <c r="I81" s="36"/>
      <c r="J81" s="17">
        <f t="shared" si="7"/>
        <v>0</v>
      </c>
      <c r="K81" s="36"/>
      <c r="L81" s="11"/>
      <c r="M81" s="39"/>
      <c r="N81" s="39"/>
      <c r="O81" s="11"/>
      <c r="Q81" s="185"/>
      <c r="R81" s="11"/>
      <c r="S81" s="11"/>
      <c r="T81" s="11"/>
      <c r="U81" s="186">
        <f t="shared" si="10"/>
        <v>0</v>
      </c>
      <c r="V81" s="11"/>
      <c r="W81" s="11"/>
      <c r="X81" s="11"/>
      <c r="Y81" s="11"/>
      <c r="Z81" s="39"/>
      <c r="AA81" s="11"/>
      <c r="AC81" s="185"/>
      <c r="AD81" s="185"/>
      <c r="AE81" s="185"/>
      <c r="AF81" s="11"/>
      <c r="AG81" s="11"/>
      <c r="AH81" s="11"/>
      <c r="AI81" s="186">
        <f t="shared" si="8"/>
        <v>0</v>
      </c>
      <c r="AJ81" s="11"/>
      <c r="AK81" s="11"/>
      <c r="AL81" s="39"/>
      <c r="AM81" s="11"/>
      <c r="AQ81" s="185"/>
      <c r="AR81" s="11"/>
      <c r="AS81" s="11"/>
      <c r="AT81" s="11"/>
      <c r="AU81" s="186">
        <f t="shared" si="11"/>
        <v>0</v>
      </c>
      <c r="AV81" s="11"/>
      <c r="AW81" s="11"/>
      <c r="AX81" s="39"/>
      <c r="AY81" s="11"/>
      <c r="AZ81" s="73"/>
      <c r="BA81" s="73"/>
      <c r="BC81" s="185"/>
      <c r="BD81" s="11"/>
      <c r="BE81" s="11"/>
      <c r="BF81" s="11"/>
      <c r="BG81" s="186">
        <f t="shared" si="9"/>
        <v>0</v>
      </c>
      <c r="BH81" s="11"/>
      <c r="BI81" s="11"/>
      <c r="BJ81" s="39"/>
      <c r="BK81" s="11"/>
      <c r="BL81" s="73"/>
      <c r="BM81" s="73"/>
    </row>
    <row r="82" spans="5:65" x14ac:dyDescent="0.35">
      <c r="E82" s="18"/>
      <c r="F82" s="73"/>
      <c r="G82" s="11"/>
      <c r="H82" s="36"/>
      <c r="I82" s="36"/>
      <c r="J82" s="17">
        <f t="shared" si="7"/>
        <v>0</v>
      </c>
      <c r="K82" s="36"/>
      <c r="L82" s="11"/>
      <c r="M82" s="39"/>
      <c r="N82" s="39"/>
      <c r="O82" s="11"/>
      <c r="Q82" s="185"/>
      <c r="R82" s="11"/>
      <c r="S82" s="11"/>
      <c r="T82" s="11"/>
      <c r="U82" s="186">
        <f t="shared" si="10"/>
        <v>0</v>
      </c>
      <c r="V82" s="11"/>
      <c r="W82" s="11"/>
      <c r="X82" s="11"/>
      <c r="Y82" s="11"/>
      <c r="Z82" s="39"/>
      <c r="AA82" s="11"/>
      <c r="AC82" s="185"/>
      <c r="AD82" s="185"/>
      <c r="AE82" s="185"/>
      <c r="AF82" s="11"/>
      <c r="AG82" s="11"/>
      <c r="AH82" s="11"/>
      <c r="AI82" s="186">
        <f t="shared" si="8"/>
        <v>0</v>
      </c>
      <c r="AJ82" s="11"/>
      <c r="AK82" s="11"/>
      <c r="AL82" s="39"/>
      <c r="AM82" s="11"/>
      <c r="AQ82" s="185"/>
      <c r="AR82" s="11"/>
      <c r="AS82" s="11"/>
      <c r="AT82" s="11"/>
      <c r="AU82" s="186">
        <f t="shared" si="11"/>
        <v>0</v>
      </c>
      <c r="AV82" s="11"/>
      <c r="AW82" s="11"/>
      <c r="AX82" s="39"/>
      <c r="AY82" s="11"/>
      <c r="AZ82" s="73"/>
      <c r="BA82" s="73"/>
      <c r="BC82" s="185"/>
      <c r="BD82" s="11"/>
      <c r="BE82" s="11"/>
      <c r="BF82" s="11"/>
      <c r="BG82" s="186">
        <f t="shared" si="9"/>
        <v>0</v>
      </c>
      <c r="BH82" s="11"/>
      <c r="BI82" s="11"/>
      <c r="BJ82" s="39"/>
      <c r="BK82" s="11"/>
      <c r="BL82" s="73"/>
      <c r="BM82" s="73"/>
    </row>
    <row r="83" spans="5:65" x14ac:dyDescent="0.35">
      <c r="E83" s="19"/>
      <c r="F83" s="73"/>
      <c r="G83" s="11"/>
      <c r="H83" s="36"/>
      <c r="I83" s="36"/>
      <c r="J83" s="17">
        <f t="shared" si="7"/>
        <v>0</v>
      </c>
      <c r="K83" s="36"/>
      <c r="L83" s="11"/>
      <c r="M83" s="39"/>
      <c r="N83" s="39"/>
      <c r="O83" s="11"/>
      <c r="Q83" s="185"/>
      <c r="R83" s="11"/>
      <c r="S83" s="11"/>
      <c r="T83" s="11"/>
      <c r="U83" s="186">
        <f t="shared" si="10"/>
        <v>0</v>
      </c>
      <c r="V83" s="11"/>
      <c r="W83" s="11"/>
      <c r="X83" s="11"/>
      <c r="Y83" s="11"/>
      <c r="Z83" s="39"/>
      <c r="AA83" s="11"/>
      <c r="AC83" s="185"/>
      <c r="AD83" s="185"/>
      <c r="AE83" s="185"/>
      <c r="AF83" s="11"/>
      <c r="AG83" s="11"/>
      <c r="AH83" s="11"/>
      <c r="AI83" s="186">
        <f t="shared" si="8"/>
        <v>0</v>
      </c>
      <c r="AJ83" s="11"/>
      <c r="AK83" s="11"/>
      <c r="AL83" s="39"/>
      <c r="AM83" s="11"/>
      <c r="AQ83" s="138"/>
      <c r="AR83" s="11"/>
      <c r="AS83" s="11"/>
      <c r="AT83" s="11"/>
      <c r="AU83" s="186">
        <f t="shared" si="11"/>
        <v>0</v>
      </c>
      <c r="AV83" s="11"/>
      <c r="AW83" s="11"/>
      <c r="AX83" s="39"/>
      <c r="AY83" s="11"/>
      <c r="AZ83" s="73"/>
      <c r="BA83" s="73"/>
      <c r="BC83" s="138"/>
      <c r="BD83" s="11"/>
      <c r="BE83" s="11"/>
      <c r="BF83" s="11"/>
      <c r="BG83" s="186">
        <f t="shared" si="9"/>
        <v>0</v>
      </c>
      <c r="BH83" s="11"/>
      <c r="BI83" s="11"/>
      <c r="BJ83" s="39"/>
      <c r="BK83" s="11"/>
      <c r="BL83" s="73"/>
      <c r="BM83" s="73"/>
    </row>
    <row r="84" spans="5:65" x14ac:dyDescent="0.35">
      <c r="E84" s="168"/>
      <c r="F84" s="73"/>
      <c r="G84" s="10"/>
      <c r="H84" s="317"/>
      <c r="I84" s="317"/>
      <c r="J84" s="17">
        <f t="shared" si="7"/>
        <v>0</v>
      </c>
      <c r="K84" s="317"/>
      <c r="L84" s="11"/>
      <c r="M84" s="39"/>
      <c r="N84" s="39"/>
      <c r="O84" s="11"/>
      <c r="Q84" s="166"/>
      <c r="R84" s="10"/>
      <c r="S84" s="189"/>
      <c r="T84" s="189"/>
      <c r="U84" s="186">
        <f t="shared" si="10"/>
        <v>0</v>
      </c>
      <c r="V84" s="189"/>
      <c r="W84" s="11"/>
      <c r="X84" s="11"/>
      <c r="Y84" s="11"/>
      <c r="Z84" s="39"/>
      <c r="AA84" s="11"/>
      <c r="AC84" s="166"/>
      <c r="AD84" s="166"/>
      <c r="AE84" s="166"/>
      <c r="AF84" s="10"/>
      <c r="AG84" s="189"/>
      <c r="AH84" s="189"/>
      <c r="AI84" s="186">
        <f t="shared" si="8"/>
        <v>0</v>
      </c>
      <c r="AJ84" s="189"/>
      <c r="AK84" s="11"/>
      <c r="AL84" s="39"/>
      <c r="AM84" s="11"/>
      <c r="AQ84" s="166"/>
      <c r="AR84" s="10"/>
      <c r="AS84" s="10"/>
      <c r="AT84" s="10"/>
      <c r="AU84" s="186">
        <f t="shared" si="11"/>
        <v>0</v>
      </c>
      <c r="AV84" s="10"/>
      <c r="AW84" s="11"/>
      <c r="AX84" s="39"/>
      <c r="AY84" s="11"/>
      <c r="AZ84" s="73"/>
      <c r="BA84" s="73"/>
      <c r="BC84" s="166"/>
      <c r="BD84" s="10"/>
      <c r="BE84" s="10"/>
      <c r="BF84" s="10"/>
      <c r="BG84" s="186">
        <f t="shared" si="9"/>
        <v>0</v>
      </c>
      <c r="BH84" s="10"/>
      <c r="BI84" s="11"/>
      <c r="BJ84" s="39"/>
      <c r="BK84" s="11"/>
      <c r="BL84" s="73"/>
      <c r="BM84" s="73"/>
    </row>
    <row r="85" spans="5:65" ht="15" thickBot="1" x14ac:dyDescent="0.4">
      <c r="E85" s="332"/>
      <c r="F85" s="332"/>
      <c r="G85" s="332"/>
      <c r="H85" s="333">
        <f>SUBTOTAL(9,H5:H84)</f>
        <v>3395.4399999999996</v>
      </c>
      <c r="I85" s="333">
        <f>SUBTOTAL(9,I5:I84)</f>
        <v>173.3</v>
      </c>
      <c r="J85" s="333">
        <f>SUBTOTAL(9,J5:J84)</f>
        <v>3568.7400000000002</v>
      </c>
      <c r="K85" s="333">
        <f>SUBTOTAL(9,K5:K84)</f>
        <v>0</v>
      </c>
      <c r="L85" s="334"/>
      <c r="M85" s="334"/>
      <c r="N85" s="335"/>
      <c r="O85" s="335"/>
      <c r="Q85" s="310"/>
      <c r="R85" s="310"/>
      <c r="S85" s="310">
        <f>SUBTOTAL(9,S5:S84)</f>
        <v>0</v>
      </c>
      <c r="T85" s="312">
        <f>SUBTOTAL(9,T5:T84)</f>
        <v>179.17</v>
      </c>
      <c r="U85" s="312">
        <f>SUBTOTAL(9,U5:U84)</f>
        <v>15.23</v>
      </c>
      <c r="V85" s="312">
        <f>SUBTOTAL(9,V5:V84)</f>
        <v>194.39999999999998</v>
      </c>
      <c r="W85" s="312"/>
      <c r="X85" s="325"/>
      <c r="Y85" s="325"/>
      <c r="Z85" s="326"/>
      <c r="AA85" s="326"/>
      <c r="AC85" s="310"/>
      <c r="AD85" s="310"/>
      <c r="AE85" s="310"/>
      <c r="AF85" s="312"/>
      <c r="AG85" s="312">
        <f>SUBTOTAL(9,AG5:AG84)</f>
        <v>5.53</v>
      </c>
      <c r="AH85" s="312">
        <f>SUBTOTAL(9,AH5:AH84)</f>
        <v>70.53</v>
      </c>
      <c r="AI85" s="312">
        <f>SUBTOTAL(9,AI5:AI84)</f>
        <v>0</v>
      </c>
      <c r="AJ85" s="325">
        <f>SUBTOTAL(9,AJ5:AJ84)</f>
        <v>0</v>
      </c>
      <c r="AK85" s="325"/>
      <c r="AL85" s="326"/>
      <c r="AM85" s="326"/>
      <c r="AQ85" s="332"/>
      <c r="AR85" s="332"/>
      <c r="AS85" s="332"/>
      <c r="AT85" s="333">
        <f>SUBTOTAL(9,AT5:AT84)</f>
        <v>79.819999999999993</v>
      </c>
      <c r="AU85" s="333">
        <f>SUBTOTAL(9,AU5:AU84)</f>
        <v>6.78</v>
      </c>
      <c r="AV85" s="333">
        <f>SUBTOTAL(9,AV5:AV84)</f>
        <v>86.6</v>
      </c>
      <c r="AW85" s="333"/>
      <c r="AX85" s="334"/>
      <c r="AY85" s="334"/>
      <c r="AZ85" s="335"/>
      <c r="BA85" s="335"/>
      <c r="BC85" s="305"/>
      <c r="BD85" s="305"/>
      <c r="BE85" s="305"/>
      <c r="BF85" s="47">
        <f>SUBTOTAL(9,BF5:BF84)</f>
        <v>5048.8700000000008</v>
      </c>
      <c r="BG85" s="47">
        <f>SUBTOTAL(9,BG5:BG84)</f>
        <v>276.19</v>
      </c>
      <c r="BH85" s="47">
        <f>SUBTOTAL(9,BH5:BH84)</f>
        <v>5325.06</v>
      </c>
      <c r="BI85" s="47"/>
      <c r="BJ85" s="318"/>
      <c r="BK85" s="318"/>
      <c r="BL85" s="319"/>
      <c r="BM85" s="319"/>
    </row>
    <row r="86" spans="5:65" ht="15" thickTop="1" x14ac:dyDescent="0.35">
      <c r="H86" s="52"/>
    </row>
  </sheetData>
  <autoFilter ref="E4:O84" xr:uid="{00000000-0009-0000-0000-000003000000}">
    <sortState xmlns:xlrd2="http://schemas.microsoft.com/office/spreadsheetml/2017/richdata2" ref="E5:M84">
      <sortCondition ref="E4:E84"/>
    </sortState>
  </autoFilter>
  <mergeCells count="7">
    <mergeCell ref="AQ3:BA3"/>
    <mergeCell ref="BC3:BM3"/>
    <mergeCell ref="E3:O3"/>
    <mergeCell ref="A3:B3"/>
    <mergeCell ref="B4:B10"/>
    <mergeCell ref="Q3:AA3"/>
    <mergeCell ref="AC3:AM3"/>
  </mergeCells>
  <phoneticPr fontId="38" type="noConversion"/>
  <conditionalFormatting sqref="AC6:AM84 AL5:AM5 AJ5 AC5:AH5">
    <cfRule type="expression" dxfId="539" priority="7">
      <formula>$AL5=""</formula>
    </cfRule>
  </conditionalFormatting>
  <conditionalFormatting sqref="AQ6:AY84">
    <cfRule type="expression" dxfId="538" priority="6">
      <formula>$AX6=""</formula>
    </cfRule>
  </conditionalFormatting>
  <conditionalFormatting sqref="BC13:BK84">
    <cfRule type="expression" dxfId="537" priority="5">
      <formula>$BJ13=""</formula>
    </cfRule>
  </conditionalFormatting>
  <conditionalFormatting sqref="Q7:AA84 Q5:Q6 S5:AA6">
    <cfRule type="expression" dxfId="536" priority="1">
      <formula>$Z5=""</formula>
    </cfRule>
  </conditionalFormatting>
  <conditionalFormatting sqref="M5:O84">
    <cfRule type="expression" dxfId="535" priority="1128">
      <formula>$N5=""</formula>
    </cfRule>
  </conditionalFormatting>
  <conditionalFormatting sqref="AX5 AZ5:BA5 AQ5 AS5:AV5">
    <cfRule type="expression" dxfId="534" priority="1131">
      <formula>$AZ5=""</formula>
    </cfRule>
  </conditionalFormatting>
  <conditionalFormatting sqref="BL5:BM12 BC5:BC12 BE5:BJ12">
    <cfRule type="expression" dxfId="533" priority="1133">
      <formula>$BL5=""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Tabelle5"/>
  <dimension ref="A2:DI81"/>
  <sheetViews>
    <sheetView showGridLines="0" topLeftCell="CJ1" zoomScale="60" zoomScaleNormal="60" workbookViewId="0">
      <selection activeCell="DA5" sqref="DA5:DA6"/>
    </sheetView>
  </sheetViews>
  <sheetFormatPr baseColWidth="10" defaultRowHeight="14.5" x14ac:dyDescent="0.35"/>
  <cols>
    <col min="1" max="1" width="37" customWidth="1"/>
    <col min="2" max="2" width="22.54296875" bestFit="1" customWidth="1"/>
    <col min="3" max="3" width="20.1796875" customWidth="1"/>
    <col min="4" max="4" width="18.453125" customWidth="1"/>
    <col min="5" max="5" width="15.7265625" customWidth="1"/>
    <col min="6" max="6" width="26.26953125" customWidth="1"/>
    <col min="7" max="7" width="38" customWidth="1"/>
    <col min="8" max="8" width="11.81640625" bestFit="1" customWidth="1"/>
    <col min="9" max="9" width="16.453125" customWidth="1"/>
    <col min="10" max="10" width="12.54296875" customWidth="1"/>
    <col min="11" max="11" width="10.453125" customWidth="1"/>
    <col min="12" max="12" width="20" customWidth="1"/>
    <col min="13" max="13" width="19.453125" customWidth="1"/>
    <col min="14" max="14" width="19.54296875" bestFit="1" customWidth="1"/>
    <col min="15" max="15" width="20.54296875" bestFit="1" customWidth="1"/>
    <col min="17" max="17" width="15" customWidth="1"/>
    <col min="18" max="18" width="23.7265625" bestFit="1" customWidth="1"/>
    <col min="19" max="19" width="26.54296875" customWidth="1"/>
    <col min="20" max="20" width="13" customWidth="1"/>
    <col min="21" max="21" width="19.54296875" bestFit="1" customWidth="1"/>
    <col min="22" max="22" width="12.7265625" customWidth="1"/>
    <col min="23" max="23" width="19.54296875" customWidth="1"/>
    <col min="24" max="24" width="20.54296875" customWidth="1"/>
    <col min="25" max="25" width="14" bestFit="1" customWidth="1"/>
    <col min="26" max="26" width="19.54296875" bestFit="1" customWidth="1"/>
    <col min="27" max="27" width="14.81640625" customWidth="1"/>
    <col min="29" max="29" width="16.453125" customWidth="1"/>
    <col min="30" max="30" width="19.1796875" bestFit="1" customWidth="1"/>
    <col min="31" max="31" width="22.453125" customWidth="1"/>
    <col min="32" max="32" width="11" bestFit="1" customWidth="1"/>
    <col min="33" max="33" width="19.54296875" bestFit="1" customWidth="1"/>
    <col min="34" max="34" width="10.453125" bestFit="1" customWidth="1"/>
    <col min="35" max="36" width="10.453125" customWidth="1"/>
    <col min="37" max="37" width="16.81640625" bestFit="1" customWidth="1"/>
    <col min="38" max="38" width="17.54296875" bestFit="1" customWidth="1"/>
    <col min="39" max="39" width="13.26953125" bestFit="1" customWidth="1"/>
    <col min="41" max="41" width="15.7265625" customWidth="1"/>
    <col min="42" max="42" width="21.453125" customWidth="1"/>
    <col min="43" max="43" width="32.7265625" customWidth="1"/>
    <col min="44" max="44" width="10.54296875" bestFit="1" customWidth="1"/>
    <col min="45" max="45" width="13.1796875" customWidth="1"/>
    <col min="46" max="47" width="13.81640625" customWidth="1"/>
    <col min="48" max="48" width="10.453125" bestFit="1" customWidth="1"/>
    <col min="49" max="49" width="20.1796875" customWidth="1"/>
    <col min="50" max="50" width="14.81640625" bestFit="1" customWidth="1"/>
    <col min="51" max="51" width="15" bestFit="1" customWidth="1"/>
    <col min="53" max="53" width="16.1796875" customWidth="1"/>
    <col min="54" max="54" width="18.1796875" customWidth="1"/>
    <col min="55" max="55" width="21.81640625" customWidth="1"/>
    <col min="56" max="56" width="11.7265625" customWidth="1"/>
    <col min="57" max="57" width="13.81640625" customWidth="1"/>
    <col min="58" max="58" width="17.81640625" customWidth="1"/>
    <col min="59" max="59" width="14.54296875" customWidth="1"/>
    <col min="60" max="60" width="21.7265625" customWidth="1"/>
    <col min="61" max="61" width="17.54296875" customWidth="1"/>
    <col min="62" max="62" width="19.453125" customWidth="1"/>
    <col min="63" max="63" width="19.26953125" customWidth="1"/>
    <col min="65" max="65" width="14.7265625" customWidth="1"/>
    <col min="66" max="66" width="19.54296875" customWidth="1"/>
    <col min="67" max="67" width="27.453125" customWidth="1"/>
    <col min="68" max="68" width="10.54296875" bestFit="1" customWidth="1"/>
    <col min="69" max="69" width="13.54296875" customWidth="1"/>
    <col min="70" max="70" width="10.453125" bestFit="1" customWidth="1"/>
    <col min="71" max="72" width="10.453125" customWidth="1"/>
    <col min="73" max="73" width="18" customWidth="1"/>
    <col min="74" max="74" width="13.7265625" bestFit="1" customWidth="1"/>
    <col min="75" max="75" width="13.26953125" bestFit="1" customWidth="1"/>
    <col min="77" max="77" width="13.7265625" customWidth="1"/>
    <col min="78" max="78" width="17.54296875" customWidth="1"/>
    <col min="79" max="79" width="30.453125" customWidth="1"/>
    <col min="80" max="80" width="11.81640625" customWidth="1"/>
    <col min="81" max="81" width="15.1796875" customWidth="1"/>
    <col min="82" max="82" width="12.81640625" customWidth="1"/>
    <col min="83" max="83" width="19.54296875" bestFit="1" customWidth="1"/>
    <col min="84" max="84" width="10.453125" bestFit="1" customWidth="1"/>
    <col min="85" max="85" width="16.453125" customWidth="1"/>
    <col min="86" max="86" width="13.7265625" bestFit="1" customWidth="1"/>
    <col min="87" max="87" width="13.26953125" bestFit="1" customWidth="1"/>
    <col min="89" max="89" width="15.81640625" customWidth="1"/>
    <col min="90" max="90" width="25.453125" customWidth="1"/>
    <col min="91" max="91" width="39.26953125" customWidth="1"/>
    <col min="92" max="92" width="10.54296875" bestFit="1" customWidth="1"/>
    <col min="93" max="93" width="13.54296875" customWidth="1"/>
    <col min="94" max="94" width="12.1796875" customWidth="1"/>
    <col min="95" max="95" width="14.26953125" customWidth="1"/>
    <col min="96" max="96" width="18.26953125" customWidth="1"/>
    <col min="97" max="97" width="16.453125" customWidth="1"/>
    <col min="98" max="98" width="13.7265625" bestFit="1" customWidth="1"/>
    <col min="99" max="99" width="13.26953125" bestFit="1" customWidth="1"/>
    <col min="103" max="103" width="13.81640625" customWidth="1"/>
    <col min="104" max="104" width="18.26953125" customWidth="1"/>
    <col min="105" max="105" width="37.81640625" customWidth="1"/>
    <col min="107" max="107" width="15" customWidth="1"/>
    <col min="110" max="110" width="15.26953125" customWidth="1"/>
    <col min="111" max="111" width="19.54296875" customWidth="1"/>
    <col min="112" max="112" width="16.1796875" customWidth="1"/>
    <col min="113" max="113" width="15.453125" customWidth="1"/>
  </cols>
  <sheetData>
    <row r="2" spans="1:113" ht="15" customHeight="1" thickBot="1" x14ac:dyDescent="0.4"/>
    <row r="3" spans="1:113" ht="18.75" customHeight="1" thickBot="1" x14ac:dyDescent="0.5">
      <c r="A3" s="376" t="s">
        <v>48</v>
      </c>
      <c r="B3" s="377"/>
      <c r="D3" s="21"/>
      <c r="E3" s="359" t="s">
        <v>53</v>
      </c>
      <c r="F3" s="360"/>
      <c r="G3" s="360"/>
      <c r="H3" s="360"/>
      <c r="I3" s="360"/>
      <c r="J3" s="360"/>
      <c r="K3" s="360"/>
      <c r="L3" s="360"/>
      <c r="M3" s="360"/>
      <c r="N3" s="360"/>
      <c r="O3" s="360"/>
      <c r="Q3" s="359" t="s">
        <v>16</v>
      </c>
      <c r="R3" s="360"/>
      <c r="S3" s="360"/>
      <c r="T3" s="360"/>
      <c r="U3" s="360"/>
      <c r="V3" s="360"/>
      <c r="W3" s="360"/>
      <c r="X3" s="360"/>
      <c r="Y3" s="360"/>
      <c r="Z3" s="360"/>
      <c r="AA3" s="360"/>
      <c r="AC3" s="359" t="s">
        <v>61</v>
      </c>
      <c r="AD3" s="360"/>
      <c r="AE3" s="360"/>
      <c r="AF3" s="360"/>
      <c r="AG3" s="360"/>
      <c r="AH3" s="360"/>
      <c r="AI3" s="360"/>
      <c r="AJ3" s="360"/>
      <c r="AK3" s="360"/>
      <c r="AL3" s="360"/>
      <c r="AM3" s="360"/>
      <c r="AO3" s="359" t="s">
        <v>129</v>
      </c>
      <c r="AP3" s="360"/>
      <c r="AQ3" s="360"/>
      <c r="AR3" s="360"/>
      <c r="AS3" s="360"/>
      <c r="AT3" s="360"/>
      <c r="AU3" s="360"/>
      <c r="AV3" s="360"/>
      <c r="AW3" s="360"/>
      <c r="AX3" s="360"/>
      <c r="AY3" s="360"/>
      <c r="BA3" s="359" t="s">
        <v>63</v>
      </c>
      <c r="BB3" s="360"/>
      <c r="BC3" s="360"/>
      <c r="BD3" s="360"/>
      <c r="BE3" s="360"/>
      <c r="BF3" s="360"/>
      <c r="BG3" s="360"/>
      <c r="BH3" s="360"/>
      <c r="BI3" s="360"/>
      <c r="BJ3" s="360"/>
      <c r="BK3" s="360"/>
      <c r="BM3" s="359" t="s">
        <v>67</v>
      </c>
      <c r="BN3" s="360"/>
      <c r="BO3" s="360"/>
      <c r="BP3" s="360"/>
      <c r="BQ3" s="360"/>
      <c r="BR3" s="360"/>
      <c r="BS3" s="360"/>
      <c r="BT3" s="360"/>
      <c r="BU3" s="360"/>
      <c r="BV3" s="360"/>
      <c r="BW3" s="360"/>
      <c r="BY3" s="359" t="s">
        <v>130</v>
      </c>
      <c r="BZ3" s="360"/>
      <c r="CA3" s="360"/>
      <c r="CB3" s="360"/>
      <c r="CC3" s="360"/>
      <c r="CD3" s="360"/>
      <c r="CE3" s="360"/>
      <c r="CF3" s="360"/>
      <c r="CG3" s="360"/>
      <c r="CH3" s="360"/>
      <c r="CI3" s="360"/>
      <c r="CK3" s="359" t="s">
        <v>29</v>
      </c>
      <c r="CL3" s="360"/>
      <c r="CM3" s="360"/>
      <c r="CN3" s="360"/>
      <c r="CO3" s="360"/>
      <c r="CP3" s="360"/>
      <c r="CQ3" s="360"/>
      <c r="CR3" s="360"/>
      <c r="CS3" s="360"/>
      <c r="CT3" s="360"/>
      <c r="CU3" s="360"/>
      <c r="CY3" s="378" t="s">
        <v>166</v>
      </c>
      <c r="CZ3" s="378"/>
      <c r="DA3" s="378"/>
      <c r="DB3" s="378"/>
      <c r="DC3" s="378"/>
      <c r="DD3" s="378"/>
      <c r="DE3" s="378"/>
      <c r="DF3" s="378"/>
      <c r="DG3" s="378"/>
      <c r="DH3" s="378"/>
      <c r="DI3" s="378"/>
    </row>
    <row r="4" spans="1:113" s="8" customFormat="1" ht="42.75" customHeight="1" thickBot="1" x14ac:dyDescent="0.4">
      <c r="A4" s="374" t="s">
        <v>42</v>
      </c>
      <c r="B4" s="375"/>
      <c r="D4" s="113"/>
      <c r="E4" s="303" t="s">
        <v>180</v>
      </c>
      <c r="F4" s="303" t="s">
        <v>181</v>
      </c>
      <c r="G4" s="71" t="s">
        <v>182</v>
      </c>
      <c r="H4" s="71" t="s">
        <v>34</v>
      </c>
      <c r="I4" s="71" t="s">
        <v>178</v>
      </c>
      <c r="J4" s="71" t="s">
        <v>179</v>
      </c>
      <c r="K4" s="71" t="s">
        <v>103</v>
      </c>
      <c r="L4" s="71" t="s">
        <v>37</v>
      </c>
      <c r="M4" s="71" t="s">
        <v>177</v>
      </c>
      <c r="N4" s="71" t="s">
        <v>44</v>
      </c>
      <c r="O4" s="71" t="s">
        <v>47</v>
      </c>
      <c r="P4" s="198"/>
      <c r="Q4" s="303" t="s">
        <v>180</v>
      </c>
      <c r="R4" s="303" t="s">
        <v>181</v>
      </c>
      <c r="S4" s="71" t="s">
        <v>182</v>
      </c>
      <c r="T4" s="71" t="s">
        <v>34</v>
      </c>
      <c r="U4" s="71" t="s">
        <v>178</v>
      </c>
      <c r="V4" s="71" t="s">
        <v>179</v>
      </c>
      <c r="W4" s="71" t="s">
        <v>103</v>
      </c>
      <c r="X4" s="71" t="s">
        <v>37</v>
      </c>
      <c r="Y4" s="71" t="s">
        <v>183</v>
      </c>
      <c r="Z4" s="71" t="s">
        <v>44</v>
      </c>
      <c r="AA4" s="71" t="s">
        <v>47</v>
      </c>
      <c r="AC4" s="303" t="s">
        <v>180</v>
      </c>
      <c r="AD4" s="303" t="s">
        <v>181</v>
      </c>
      <c r="AE4" s="71" t="s">
        <v>182</v>
      </c>
      <c r="AF4" s="71" t="s">
        <v>34</v>
      </c>
      <c r="AG4" s="71" t="s">
        <v>178</v>
      </c>
      <c r="AH4" s="71" t="s">
        <v>179</v>
      </c>
      <c r="AI4" s="71" t="s">
        <v>103</v>
      </c>
      <c r="AJ4" s="71" t="s">
        <v>37</v>
      </c>
      <c r="AK4" s="71" t="s">
        <v>177</v>
      </c>
      <c r="AL4" s="71" t="s">
        <v>44</v>
      </c>
      <c r="AM4" s="71" t="s">
        <v>47</v>
      </c>
      <c r="AO4" s="303" t="s">
        <v>180</v>
      </c>
      <c r="AP4" s="303" t="s">
        <v>181</v>
      </c>
      <c r="AQ4" s="71" t="s">
        <v>182</v>
      </c>
      <c r="AR4" s="71" t="s">
        <v>34</v>
      </c>
      <c r="AS4" s="71" t="s">
        <v>178</v>
      </c>
      <c r="AT4" s="71" t="s">
        <v>179</v>
      </c>
      <c r="AU4" s="71" t="s">
        <v>103</v>
      </c>
      <c r="AV4" s="71" t="s">
        <v>37</v>
      </c>
      <c r="AW4" s="71" t="s">
        <v>177</v>
      </c>
      <c r="AX4" s="71" t="s">
        <v>44</v>
      </c>
      <c r="AY4" s="71" t="s">
        <v>47</v>
      </c>
      <c r="BA4" s="303" t="s">
        <v>180</v>
      </c>
      <c r="BB4" s="303" t="s">
        <v>181</v>
      </c>
      <c r="BC4" s="71" t="s">
        <v>182</v>
      </c>
      <c r="BD4" s="71" t="s">
        <v>34</v>
      </c>
      <c r="BE4" s="71" t="s">
        <v>178</v>
      </c>
      <c r="BF4" s="71" t="s">
        <v>179</v>
      </c>
      <c r="BG4" s="71" t="s">
        <v>103</v>
      </c>
      <c r="BH4" s="71" t="s">
        <v>37</v>
      </c>
      <c r="BI4" s="71" t="s">
        <v>177</v>
      </c>
      <c r="BJ4" s="71" t="s">
        <v>44</v>
      </c>
      <c r="BK4" s="71" t="s">
        <v>47</v>
      </c>
      <c r="BM4" s="303" t="s">
        <v>180</v>
      </c>
      <c r="BN4" s="303" t="s">
        <v>181</v>
      </c>
      <c r="BO4" s="71" t="s">
        <v>182</v>
      </c>
      <c r="BP4" s="71" t="s">
        <v>34</v>
      </c>
      <c r="BQ4" s="71" t="s">
        <v>178</v>
      </c>
      <c r="BR4" s="71" t="s">
        <v>179</v>
      </c>
      <c r="BS4" s="71" t="s">
        <v>103</v>
      </c>
      <c r="BT4" s="71" t="s">
        <v>37</v>
      </c>
      <c r="BU4" s="71" t="s">
        <v>177</v>
      </c>
      <c r="BV4" s="71" t="s">
        <v>44</v>
      </c>
      <c r="BW4" s="71" t="s">
        <v>47</v>
      </c>
      <c r="BY4" s="303" t="s">
        <v>180</v>
      </c>
      <c r="BZ4" s="303" t="s">
        <v>181</v>
      </c>
      <c r="CA4" s="71" t="s">
        <v>182</v>
      </c>
      <c r="CB4" s="71" t="s">
        <v>34</v>
      </c>
      <c r="CC4" s="71" t="s">
        <v>178</v>
      </c>
      <c r="CD4" s="71" t="s">
        <v>179</v>
      </c>
      <c r="CE4" s="71" t="s">
        <v>103</v>
      </c>
      <c r="CF4" s="71" t="s">
        <v>37</v>
      </c>
      <c r="CG4" s="71" t="s">
        <v>177</v>
      </c>
      <c r="CH4" s="71" t="s">
        <v>44</v>
      </c>
      <c r="CI4" s="71" t="s">
        <v>47</v>
      </c>
      <c r="CK4" s="303" t="s">
        <v>180</v>
      </c>
      <c r="CL4" s="303" t="s">
        <v>181</v>
      </c>
      <c r="CM4" s="71" t="s">
        <v>182</v>
      </c>
      <c r="CN4" s="71" t="s">
        <v>34</v>
      </c>
      <c r="CO4" s="71" t="s">
        <v>178</v>
      </c>
      <c r="CP4" s="71" t="s">
        <v>179</v>
      </c>
      <c r="CQ4" s="71" t="s">
        <v>103</v>
      </c>
      <c r="CR4" s="71" t="s">
        <v>37</v>
      </c>
      <c r="CS4" s="71" t="s">
        <v>177</v>
      </c>
      <c r="CT4" s="71" t="s">
        <v>44</v>
      </c>
      <c r="CU4" s="71" t="s">
        <v>47</v>
      </c>
      <c r="CY4" s="54" t="s">
        <v>180</v>
      </c>
      <c r="CZ4" s="54" t="s">
        <v>181</v>
      </c>
      <c r="DA4" s="54" t="s">
        <v>182</v>
      </c>
      <c r="DB4" s="54" t="s">
        <v>34</v>
      </c>
      <c r="DC4" s="54" t="s">
        <v>178</v>
      </c>
      <c r="DD4" s="54" t="s">
        <v>179</v>
      </c>
      <c r="DE4" s="54" t="s">
        <v>103</v>
      </c>
      <c r="DF4" s="54" t="s">
        <v>37</v>
      </c>
      <c r="DG4" s="71" t="s">
        <v>177</v>
      </c>
      <c r="DH4" s="54" t="s">
        <v>44</v>
      </c>
      <c r="DI4" s="54" t="s">
        <v>47</v>
      </c>
    </row>
    <row r="5" spans="1:113" ht="21.5" thickBot="1" x14ac:dyDescent="0.4">
      <c r="A5" s="374" t="s">
        <v>61</v>
      </c>
      <c r="B5" s="375"/>
      <c r="C5" s="105"/>
      <c r="E5" s="185">
        <v>44100</v>
      </c>
      <c r="F5" s="73"/>
      <c r="G5" s="138" t="s">
        <v>413</v>
      </c>
      <c r="H5" s="186">
        <v>19.989999999999998</v>
      </c>
      <c r="I5" s="186"/>
      <c r="J5" s="186">
        <f t="shared" ref="J5:J36" si="0">H5+I5</f>
        <v>19.989999999999998</v>
      </c>
      <c r="K5" s="186"/>
      <c r="L5" s="138" t="s">
        <v>9</v>
      </c>
      <c r="M5" s="73"/>
      <c r="N5" s="138" t="s">
        <v>79</v>
      </c>
      <c r="O5" s="185">
        <v>44100</v>
      </c>
      <c r="P5" s="199"/>
      <c r="Q5" s="18">
        <v>44075</v>
      </c>
      <c r="R5" s="73"/>
      <c r="S5" s="11" t="s">
        <v>465</v>
      </c>
      <c r="T5" s="17">
        <v>50.45</v>
      </c>
      <c r="U5" s="11">
        <v>4.29</v>
      </c>
      <c r="V5" s="17">
        <f t="shared" ref="V5:V13" si="1">T5+U5</f>
        <v>54.74</v>
      </c>
      <c r="W5" s="17"/>
      <c r="X5" s="11" t="s">
        <v>8</v>
      </c>
      <c r="Y5" s="73"/>
      <c r="Z5" s="39" t="s">
        <v>56</v>
      </c>
      <c r="AA5" s="69">
        <v>44109</v>
      </c>
      <c r="AC5" s="185">
        <v>43880</v>
      </c>
      <c r="AD5" s="73"/>
      <c r="AE5" s="138" t="s">
        <v>491</v>
      </c>
      <c r="AF5" s="186">
        <v>359.27</v>
      </c>
      <c r="AG5" s="186">
        <v>26.04</v>
      </c>
      <c r="AH5" s="186">
        <f t="shared" ref="AH5:AH10" si="2">AF5+AG5</f>
        <v>385.31</v>
      </c>
      <c r="AI5" s="186"/>
      <c r="AJ5" s="138" t="s">
        <v>2</v>
      </c>
      <c r="AK5" s="73"/>
      <c r="AL5" s="138" t="s">
        <v>60</v>
      </c>
      <c r="AM5" s="185">
        <v>43880</v>
      </c>
      <c r="AO5" s="185">
        <v>43986</v>
      </c>
      <c r="AP5" s="73"/>
      <c r="AQ5" s="39" t="s">
        <v>496</v>
      </c>
      <c r="AR5" s="39">
        <v>100.23</v>
      </c>
      <c r="AS5" s="39">
        <v>8.52</v>
      </c>
      <c r="AT5" s="186">
        <f>AR5+AS5</f>
        <v>108.75</v>
      </c>
      <c r="AU5" s="186"/>
      <c r="AV5" s="39" t="s">
        <v>6</v>
      </c>
      <c r="AW5" s="73"/>
      <c r="AX5" s="39" t="s">
        <v>45</v>
      </c>
      <c r="AY5" s="89">
        <v>43986</v>
      </c>
      <c r="BA5" s="185">
        <v>43843</v>
      </c>
      <c r="BB5" s="73"/>
      <c r="BC5" s="73" t="s">
        <v>501</v>
      </c>
      <c r="BD5" s="138" t="s">
        <v>64</v>
      </c>
      <c r="BE5" s="186">
        <v>450</v>
      </c>
      <c r="BF5" s="186"/>
      <c r="BG5" s="186">
        <f t="shared" ref="BG5:BG20" si="3">BE5+BF5</f>
        <v>450</v>
      </c>
      <c r="BH5" s="138" t="s">
        <v>1</v>
      </c>
      <c r="BI5" s="73"/>
      <c r="BJ5" s="138" t="s">
        <v>56</v>
      </c>
      <c r="BK5" s="185">
        <v>43979</v>
      </c>
      <c r="BM5" s="134">
        <v>43851</v>
      </c>
      <c r="BN5" s="73"/>
      <c r="BO5" s="114" t="s">
        <v>517</v>
      </c>
      <c r="BP5" s="40">
        <v>7.25</v>
      </c>
      <c r="BQ5" s="114"/>
      <c r="BR5" s="40">
        <f>BP5+BQ5</f>
        <v>7.25</v>
      </c>
      <c r="BS5" s="114"/>
      <c r="BT5" s="114" t="s">
        <v>1</v>
      </c>
      <c r="BU5" s="73"/>
      <c r="BV5" s="114" t="s">
        <v>79</v>
      </c>
      <c r="BW5" s="177">
        <v>43977</v>
      </c>
      <c r="BY5" s="158">
        <v>43940</v>
      </c>
      <c r="BZ5" s="158"/>
      <c r="CA5" s="293" t="s">
        <v>524</v>
      </c>
      <c r="CB5" s="293">
        <v>60</v>
      </c>
      <c r="CC5" s="293"/>
      <c r="CD5" s="160">
        <f t="shared" ref="CD5:CD20" si="4">CB5+CC5</f>
        <v>60</v>
      </c>
      <c r="CE5" s="73"/>
      <c r="CF5" s="293" t="s">
        <v>4</v>
      </c>
      <c r="CG5" s="73"/>
      <c r="CH5" s="293" t="s">
        <v>45</v>
      </c>
      <c r="CI5" s="294">
        <v>43940</v>
      </c>
      <c r="CK5" s="185">
        <v>44110</v>
      </c>
      <c r="CL5" s="73"/>
      <c r="CM5" s="11" t="s">
        <v>540</v>
      </c>
      <c r="CN5" s="186">
        <v>14</v>
      </c>
      <c r="CO5" s="11"/>
      <c r="CP5" s="186">
        <f t="shared" ref="CP5:CP15" si="5">CN5+CO5</f>
        <v>14</v>
      </c>
      <c r="CQ5" s="186"/>
      <c r="CR5" s="11" t="s">
        <v>10</v>
      </c>
      <c r="CS5" s="73"/>
      <c r="CT5" s="39" t="s">
        <v>79</v>
      </c>
      <c r="CU5" s="11" t="s">
        <v>175</v>
      </c>
      <c r="CY5" s="18">
        <v>43959</v>
      </c>
      <c r="CZ5" s="20"/>
      <c r="DA5" s="338" t="s">
        <v>584</v>
      </c>
      <c r="DB5" s="17">
        <v>1513.1</v>
      </c>
      <c r="DC5" s="17">
        <v>27.06</v>
      </c>
      <c r="DD5" s="17">
        <v>1313.16</v>
      </c>
      <c r="DE5" s="20"/>
      <c r="DF5" s="19" t="s">
        <v>13</v>
      </c>
      <c r="DG5" s="20"/>
      <c r="DH5" s="19" t="s">
        <v>45</v>
      </c>
      <c r="DI5" s="18">
        <v>44026</v>
      </c>
    </row>
    <row r="6" spans="1:113" ht="18.75" customHeight="1" x14ac:dyDescent="0.35">
      <c r="A6" s="221" t="s">
        <v>59</v>
      </c>
      <c r="B6" s="365"/>
      <c r="E6" s="185">
        <v>44090</v>
      </c>
      <c r="F6" s="73"/>
      <c r="G6" s="138" t="s">
        <v>414</v>
      </c>
      <c r="H6" s="186">
        <v>234</v>
      </c>
      <c r="I6" s="186"/>
      <c r="J6" s="186">
        <f t="shared" si="0"/>
        <v>234</v>
      </c>
      <c r="K6" s="186"/>
      <c r="L6" s="138" t="s">
        <v>9</v>
      </c>
      <c r="M6" s="73"/>
      <c r="N6" s="138" t="s">
        <v>56</v>
      </c>
      <c r="O6" s="185"/>
      <c r="P6" s="199"/>
      <c r="Q6" s="18">
        <v>44096</v>
      </c>
      <c r="R6" s="73"/>
      <c r="S6" s="11" t="s">
        <v>466</v>
      </c>
      <c r="T6" s="17">
        <v>68.36</v>
      </c>
      <c r="U6" s="11"/>
      <c r="V6" s="17">
        <f t="shared" si="1"/>
        <v>68.36</v>
      </c>
      <c r="W6" s="17"/>
      <c r="X6" s="11" t="s">
        <v>9</v>
      </c>
      <c r="Y6" s="73"/>
      <c r="Z6" s="39" t="s">
        <v>60</v>
      </c>
      <c r="AA6" s="69">
        <v>44096</v>
      </c>
      <c r="AC6" s="185">
        <v>44012</v>
      </c>
      <c r="AD6" s="73"/>
      <c r="AE6" s="138" t="s">
        <v>492</v>
      </c>
      <c r="AF6" s="186">
        <v>650.15</v>
      </c>
      <c r="AG6" s="186"/>
      <c r="AH6" s="186">
        <f t="shared" si="2"/>
        <v>650.15</v>
      </c>
      <c r="AI6" s="186"/>
      <c r="AJ6" s="138" t="s">
        <v>6</v>
      </c>
      <c r="AK6" s="73"/>
      <c r="AL6" s="138" t="s">
        <v>60</v>
      </c>
      <c r="AM6" s="185">
        <v>44032</v>
      </c>
      <c r="AO6" s="185">
        <v>43955</v>
      </c>
      <c r="AP6" s="73"/>
      <c r="AQ6" s="39" t="s">
        <v>497</v>
      </c>
      <c r="AR6" s="186">
        <v>49.73</v>
      </c>
      <c r="AS6" s="186">
        <v>4.2300000000000004</v>
      </c>
      <c r="AT6" s="186">
        <f>AR6+AS6</f>
        <v>53.959999999999994</v>
      </c>
      <c r="AU6" s="186"/>
      <c r="AV6" s="138" t="s">
        <v>13</v>
      </c>
      <c r="AW6" s="73"/>
      <c r="AX6" s="138" t="s">
        <v>54</v>
      </c>
      <c r="AY6" s="185">
        <v>43955</v>
      </c>
      <c r="BA6" s="185">
        <v>44074</v>
      </c>
      <c r="BB6" s="73"/>
      <c r="BC6" s="73" t="s">
        <v>502</v>
      </c>
      <c r="BD6" s="11" t="s">
        <v>65</v>
      </c>
      <c r="BE6" s="186">
        <v>60.04</v>
      </c>
      <c r="BF6" s="11">
        <v>5.0999999999999996</v>
      </c>
      <c r="BG6" s="186">
        <f t="shared" si="3"/>
        <v>65.14</v>
      </c>
      <c r="BH6" s="11" t="s">
        <v>8</v>
      </c>
      <c r="BI6" s="73"/>
      <c r="BJ6" s="39" t="s">
        <v>56</v>
      </c>
      <c r="BK6" s="69">
        <v>44109</v>
      </c>
      <c r="BM6" s="185">
        <v>44019</v>
      </c>
      <c r="BN6" s="73"/>
      <c r="BO6" s="114" t="s">
        <v>518</v>
      </c>
      <c r="BP6" s="186">
        <v>79.739999999999995</v>
      </c>
      <c r="BQ6" s="39">
        <v>6.78</v>
      </c>
      <c r="BR6" s="186">
        <f t="shared" ref="BR6:BR11" si="6">BP6+BQ6</f>
        <v>86.52</v>
      </c>
      <c r="BS6" s="39"/>
      <c r="BT6" s="39" t="s">
        <v>7</v>
      </c>
      <c r="BU6" s="73"/>
      <c r="BV6" s="39" t="s">
        <v>45</v>
      </c>
      <c r="BW6" s="89">
        <v>44019</v>
      </c>
      <c r="BY6" s="185">
        <v>43878</v>
      </c>
      <c r="BZ6" s="185"/>
      <c r="CA6" s="293" t="s">
        <v>525</v>
      </c>
      <c r="CB6" s="39">
        <v>92.04</v>
      </c>
      <c r="CC6" s="39"/>
      <c r="CD6" s="186">
        <f t="shared" si="4"/>
        <v>92.04</v>
      </c>
      <c r="CE6" s="73"/>
      <c r="CF6" s="39" t="s">
        <v>2</v>
      </c>
      <c r="CG6" s="73"/>
      <c r="CH6" s="39" t="s">
        <v>45</v>
      </c>
      <c r="CI6" s="89">
        <v>43878</v>
      </c>
      <c r="CK6" s="271">
        <v>44109</v>
      </c>
      <c r="CL6" s="73"/>
      <c r="CM6" s="11" t="s">
        <v>541</v>
      </c>
      <c r="CN6" s="73">
        <v>7.5</v>
      </c>
      <c r="CO6" s="73"/>
      <c r="CP6" s="186">
        <f t="shared" si="5"/>
        <v>7.5</v>
      </c>
      <c r="CQ6" s="186"/>
      <c r="CR6" s="73" t="s">
        <v>10</v>
      </c>
      <c r="CS6" s="73"/>
      <c r="CT6" s="73" t="s">
        <v>79</v>
      </c>
      <c r="CU6" s="271">
        <v>44109</v>
      </c>
      <c r="CY6" s="18">
        <v>44092</v>
      </c>
      <c r="CZ6" s="20"/>
      <c r="DA6" s="338" t="s">
        <v>585</v>
      </c>
      <c r="DB6" s="17">
        <v>1997</v>
      </c>
      <c r="DC6" s="17"/>
      <c r="DD6" s="17">
        <f>DB6+DC6</f>
        <v>1997</v>
      </c>
      <c r="DE6" s="20"/>
      <c r="DF6" s="19" t="s">
        <v>9</v>
      </c>
      <c r="DG6" s="20"/>
      <c r="DH6" s="19" t="s">
        <v>45</v>
      </c>
      <c r="DI6" s="18">
        <v>44092</v>
      </c>
    </row>
    <row r="7" spans="1:113" ht="18.75" customHeight="1" x14ac:dyDescent="0.35">
      <c r="A7" s="221" t="s">
        <v>58</v>
      </c>
      <c r="B7" s="365"/>
      <c r="E7" s="185">
        <v>44090</v>
      </c>
      <c r="F7" s="73"/>
      <c r="G7" s="138" t="s">
        <v>415</v>
      </c>
      <c r="H7" s="186">
        <v>2272.5</v>
      </c>
      <c r="I7" s="186">
        <v>193.16</v>
      </c>
      <c r="J7" s="186">
        <f t="shared" si="0"/>
        <v>2465.66</v>
      </c>
      <c r="K7" s="186"/>
      <c r="L7" s="138" t="s">
        <v>9</v>
      </c>
      <c r="M7" s="73"/>
      <c r="N7" s="138" t="s">
        <v>56</v>
      </c>
      <c r="O7" s="185">
        <v>44109</v>
      </c>
      <c r="P7" s="199"/>
      <c r="Q7" s="185">
        <v>44044</v>
      </c>
      <c r="R7" s="73"/>
      <c r="S7" s="11" t="s">
        <v>467</v>
      </c>
      <c r="T7" s="186">
        <v>78.290000000000006</v>
      </c>
      <c r="U7" s="11">
        <v>6.65</v>
      </c>
      <c r="V7" s="186">
        <f t="shared" si="1"/>
        <v>84.940000000000012</v>
      </c>
      <c r="W7" s="186"/>
      <c r="X7" s="11" t="s">
        <v>8</v>
      </c>
      <c r="Y7" s="73"/>
      <c r="Z7" s="39" t="s">
        <v>56</v>
      </c>
      <c r="AA7" s="69">
        <v>44109</v>
      </c>
      <c r="AC7" s="46">
        <v>44078</v>
      </c>
      <c r="AD7" s="73"/>
      <c r="AE7" s="138" t="s">
        <v>493</v>
      </c>
      <c r="AF7" s="186">
        <v>733.21</v>
      </c>
      <c r="AG7" s="186"/>
      <c r="AH7" s="186">
        <f t="shared" si="2"/>
        <v>733.21</v>
      </c>
      <c r="AI7" s="186"/>
      <c r="AJ7" s="138" t="s">
        <v>9</v>
      </c>
      <c r="AK7" s="73"/>
      <c r="AL7" s="273" t="s">
        <v>60</v>
      </c>
      <c r="AM7" s="185">
        <v>43728</v>
      </c>
      <c r="AO7" s="161">
        <v>43955</v>
      </c>
      <c r="AP7" s="73"/>
      <c r="AQ7" s="39" t="s">
        <v>498</v>
      </c>
      <c r="AR7" s="167">
        <v>-25.79</v>
      </c>
      <c r="AS7" s="167">
        <v>-2.19</v>
      </c>
      <c r="AT7" s="162">
        <f>AR7+AS7</f>
        <v>-27.98</v>
      </c>
      <c r="AU7" s="162"/>
      <c r="AV7" s="167" t="s">
        <v>13</v>
      </c>
      <c r="AW7" s="73"/>
      <c r="AX7" s="95" t="s">
        <v>93</v>
      </c>
      <c r="AY7" s="161">
        <v>43955</v>
      </c>
      <c r="BA7" s="185">
        <v>44103</v>
      </c>
      <c r="BB7" s="73"/>
      <c r="BC7" s="73" t="s">
        <v>503</v>
      </c>
      <c r="BD7" s="11" t="s">
        <v>66</v>
      </c>
      <c r="BE7" s="186">
        <v>120</v>
      </c>
      <c r="BF7" s="11">
        <v>10.199999999999999</v>
      </c>
      <c r="BG7" s="186">
        <f t="shared" si="3"/>
        <v>130.19999999999999</v>
      </c>
      <c r="BH7" s="11" t="s">
        <v>9</v>
      </c>
      <c r="BI7" s="73"/>
      <c r="BJ7" s="39"/>
      <c r="BK7" s="11"/>
      <c r="BM7" s="185">
        <v>43970</v>
      </c>
      <c r="BN7" s="73"/>
      <c r="BO7" s="114" t="s">
        <v>519</v>
      </c>
      <c r="BP7" s="186">
        <v>29.41</v>
      </c>
      <c r="BQ7" s="186">
        <v>2.5</v>
      </c>
      <c r="BR7" s="186">
        <f t="shared" si="6"/>
        <v>31.91</v>
      </c>
      <c r="BS7" s="186"/>
      <c r="BT7" s="138" t="s">
        <v>13</v>
      </c>
      <c r="BU7" s="73"/>
      <c r="BV7" s="138" t="s">
        <v>45</v>
      </c>
      <c r="BW7" s="185">
        <v>43970</v>
      </c>
      <c r="BY7" s="185">
        <v>43877</v>
      </c>
      <c r="BZ7" s="185"/>
      <c r="CA7" s="293" t="s">
        <v>526</v>
      </c>
      <c r="CB7" s="39">
        <v>128.59</v>
      </c>
      <c r="CC7" s="39">
        <v>25.72</v>
      </c>
      <c r="CD7" s="186">
        <f t="shared" si="4"/>
        <v>154.31</v>
      </c>
      <c r="CE7" s="73"/>
      <c r="CF7" s="39" t="s">
        <v>2</v>
      </c>
      <c r="CG7" s="73"/>
      <c r="CH7" s="39" t="s">
        <v>45</v>
      </c>
      <c r="CI7" s="89">
        <v>43877</v>
      </c>
      <c r="CK7" s="271">
        <v>44106</v>
      </c>
      <c r="CL7" s="73"/>
      <c r="CM7" s="11" t="s">
        <v>542</v>
      </c>
      <c r="CN7" s="73">
        <v>4.3</v>
      </c>
      <c r="CO7" s="73"/>
      <c r="CP7" s="186">
        <f t="shared" si="5"/>
        <v>4.3</v>
      </c>
      <c r="CQ7" s="186"/>
      <c r="CR7" s="73" t="s">
        <v>10</v>
      </c>
      <c r="CS7" s="73"/>
      <c r="CT7" s="73" t="s">
        <v>79</v>
      </c>
      <c r="CU7" s="271">
        <v>44106</v>
      </c>
      <c r="CY7" s="18"/>
      <c r="CZ7" s="39"/>
      <c r="DA7" s="17"/>
      <c r="DB7" s="39"/>
      <c r="DC7" s="17">
        <f t="shared" ref="DC7:DC80" si="7">DA7+DB7</f>
        <v>0</v>
      </c>
      <c r="DD7" s="39"/>
      <c r="DE7" s="39"/>
      <c r="DF7" s="19"/>
      <c r="DG7" s="89"/>
      <c r="DH7" s="20"/>
      <c r="DI7" s="20"/>
    </row>
    <row r="8" spans="1:113" s="8" customFormat="1" ht="19" thickBot="1" x14ac:dyDescent="0.4">
      <c r="A8" s="221" t="s">
        <v>72</v>
      </c>
      <c r="B8" s="365"/>
      <c r="E8" s="185">
        <v>44075</v>
      </c>
      <c r="F8" s="163"/>
      <c r="G8" s="138" t="s">
        <v>416</v>
      </c>
      <c r="H8" s="186">
        <v>7.85</v>
      </c>
      <c r="I8" s="186"/>
      <c r="J8" s="186">
        <f t="shared" si="0"/>
        <v>7.85</v>
      </c>
      <c r="K8" s="186"/>
      <c r="L8" s="138" t="s">
        <v>8</v>
      </c>
      <c r="M8" s="163"/>
      <c r="N8" s="138" t="s">
        <v>45</v>
      </c>
      <c r="O8" s="185">
        <v>44075</v>
      </c>
      <c r="P8" s="199"/>
      <c r="Q8" s="18">
        <v>44069</v>
      </c>
      <c r="R8" s="163"/>
      <c r="S8" s="11" t="s">
        <v>468</v>
      </c>
      <c r="T8" s="17">
        <v>68.36</v>
      </c>
      <c r="U8" s="11"/>
      <c r="V8" s="17">
        <f t="shared" si="1"/>
        <v>68.36</v>
      </c>
      <c r="W8" s="17"/>
      <c r="X8" s="11" t="s">
        <v>8</v>
      </c>
      <c r="Y8" s="163"/>
      <c r="Z8" s="39" t="s">
        <v>60</v>
      </c>
      <c r="AA8" s="69">
        <v>44069</v>
      </c>
      <c r="AC8" s="185">
        <v>44093</v>
      </c>
      <c r="AD8" s="163"/>
      <c r="AE8" s="138" t="s">
        <v>494</v>
      </c>
      <c r="AF8" s="186">
        <v>823.43</v>
      </c>
      <c r="AG8" s="186"/>
      <c r="AH8" s="186">
        <f t="shared" si="2"/>
        <v>823.43</v>
      </c>
      <c r="AI8" s="186"/>
      <c r="AJ8" s="138" t="s">
        <v>9</v>
      </c>
      <c r="AK8" s="163"/>
      <c r="AL8" s="138" t="s">
        <v>60</v>
      </c>
      <c r="AM8" s="185">
        <v>44124</v>
      </c>
      <c r="AO8" s="185">
        <v>44074</v>
      </c>
      <c r="AP8" s="163"/>
      <c r="AQ8" s="39" t="s">
        <v>499</v>
      </c>
      <c r="AR8" s="186">
        <v>264.83</v>
      </c>
      <c r="AS8" s="186">
        <v>22.51</v>
      </c>
      <c r="AT8" s="186">
        <f>AR8+AS8</f>
        <v>287.33999999999997</v>
      </c>
      <c r="AU8" s="186"/>
      <c r="AV8" s="138" t="s">
        <v>8</v>
      </c>
      <c r="AW8" s="163"/>
      <c r="AX8" s="138" t="s">
        <v>56</v>
      </c>
      <c r="AY8" s="185">
        <v>44074</v>
      </c>
      <c r="BA8" s="185">
        <v>44074</v>
      </c>
      <c r="BB8" s="163"/>
      <c r="BC8" s="73" t="s">
        <v>504</v>
      </c>
      <c r="BD8" s="11" t="s">
        <v>66</v>
      </c>
      <c r="BE8" s="186">
        <v>120</v>
      </c>
      <c r="BF8" s="11">
        <v>10.199999999999999</v>
      </c>
      <c r="BG8" s="186">
        <f t="shared" si="3"/>
        <v>130.19999999999999</v>
      </c>
      <c r="BH8" s="11" t="s">
        <v>8</v>
      </c>
      <c r="BI8" s="163"/>
      <c r="BJ8" s="39"/>
      <c r="BK8" s="11"/>
      <c r="BM8" s="46">
        <v>43953</v>
      </c>
      <c r="BN8" s="163"/>
      <c r="BO8" s="114" t="s">
        <v>520</v>
      </c>
      <c r="BP8" s="186">
        <v>77.34</v>
      </c>
      <c r="BQ8" s="186">
        <v>6.15</v>
      </c>
      <c r="BR8" s="186">
        <f t="shared" si="6"/>
        <v>83.490000000000009</v>
      </c>
      <c r="BS8" s="186"/>
      <c r="BT8" s="138" t="s">
        <v>13</v>
      </c>
      <c r="BU8" s="163"/>
      <c r="BV8" s="138" t="s">
        <v>45</v>
      </c>
      <c r="BW8" s="185">
        <v>43953</v>
      </c>
      <c r="BY8" s="185">
        <v>43877</v>
      </c>
      <c r="BZ8" s="185"/>
      <c r="CA8" s="293" t="s">
        <v>527</v>
      </c>
      <c r="CB8" s="39">
        <v>43.33</v>
      </c>
      <c r="CC8" s="39">
        <v>8.67</v>
      </c>
      <c r="CD8" s="186">
        <f t="shared" si="4"/>
        <v>52</v>
      </c>
      <c r="CE8" s="163"/>
      <c r="CF8" s="39" t="s">
        <v>2</v>
      </c>
      <c r="CG8" s="163"/>
      <c r="CH8" s="39" t="s">
        <v>45</v>
      </c>
      <c r="CI8" s="89">
        <v>43877</v>
      </c>
      <c r="CK8" s="271">
        <v>44105</v>
      </c>
      <c r="CL8" s="163"/>
      <c r="CM8" s="11" t="s">
        <v>543</v>
      </c>
      <c r="CN8" s="73">
        <v>9.34</v>
      </c>
      <c r="CO8" s="73"/>
      <c r="CP8" s="186">
        <f t="shared" si="5"/>
        <v>9.34</v>
      </c>
      <c r="CQ8" s="186"/>
      <c r="CR8" s="73" t="s">
        <v>10</v>
      </c>
      <c r="CS8" s="163"/>
      <c r="CT8" s="73" t="s">
        <v>79</v>
      </c>
      <c r="CU8" s="271">
        <v>44105</v>
      </c>
      <c r="CY8" s="18"/>
      <c r="CZ8" s="39"/>
      <c r="DA8" s="17"/>
      <c r="DB8" s="39"/>
      <c r="DC8" s="17">
        <f t="shared" si="7"/>
        <v>0</v>
      </c>
      <c r="DD8" s="39"/>
      <c r="DE8" s="39"/>
      <c r="DF8" s="19"/>
      <c r="DG8" s="89"/>
      <c r="DH8" s="260"/>
      <c r="DI8" s="260"/>
    </row>
    <row r="9" spans="1:113" ht="15.75" customHeight="1" thickBot="1" x14ac:dyDescent="0.4">
      <c r="A9" s="222" t="s">
        <v>62</v>
      </c>
      <c r="B9" s="223" t="s">
        <v>129</v>
      </c>
      <c r="C9" s="57"/>
      <c r="E9" s="185">
        <v>44074</v>
      </c>
      <c r="F9" s="73"/>
      <c r="G9" s="138" t="s">
        <v>417</v>
      </c>
      <c r="H9" s="186">
        <v>170</v>
      </c>
      <c r="I9" s="186">
        <v>14.45</v>
      </c>
      <c r="J9" s="186">
        <f t="shared" si="0"/>
        <v>184.45</v>
      </c>
      <c r="K9" s="186"/>
      <c r="L9" s="138" t="s">
        <v>8</v>
      </c>
      <c r="M9" s="73"/>
      <c r="N9" s="138" t="s">
        <v>45</v>
      </c>
      <c r="O9" s="185">
        <v>44074</v>
      </c>
      <c r="P9" s="200"/>
      <c r="Q9" s="185">
        <v>44013</v>
      </c>
      <c r="R9" s="73"/>
      <c r="S9" s="11" t="s">
        <v>469</v>
      </c>
      <c r="T9" s="186">
        <v>65.39</v>
      </c>
      <c r="U9" s="11">
        <v>5.56</v>
      </c>
      <c r="V9" s="186">
        <f t="shared" si="1"/>
        <v>70.95</v>
      </c>
      <c r="W9" s="186"/>
      <c r="X9" s="11" t="s">
        <v>7</v>
      </c>
      <c r="Y9" s="73"/>
      <c r="Z9" s="273" t="s">
        <v>56</v>
      </c>
      <c r="AA9" s="185">
        <v>44041</v>
      </c>
      <c r="AC9" s="185">
        <v>43950</v>
      </c>
      <c r="AD9" s="73"/>
      <c r="AE9" s="138" t="s">
        <v>495</v>
      </c>
      <c r="AF9" s="186">
        <v>716.56</v>
      </c>
      <c r="AG9" s="186"/>
      <c r="AH9" s="186">
        <f t="shared" si="2"/>
        <v>716.56</v>
      </c>
      <c r="AI9" s="186"/>
      <c r="AJ9" s="186" t="s">
        <v>4</v>
      </c>
      <c r="AK9" s="73"/>
      <c r="AL9" s="186" t="s">
        <v>60</v>
      </c>
      <c r="AM9" s="185">
        <v>43971</v>
      </c>
      <c r="AO9" s="185">
        <v>43955</v>
      </c>
      <c r="AP9" s="73"/>
      <c r="AQ9" s="39" t="s">
        <v>500</v>
      </c>
      <c r="AR9" s="186">
        <v>64.47</v>
      </c>
      <c r="AS9" s="186">
        <v>5.48</v>
      </c>
      <c r="AT9" s="186">
        <f>AR9+AS9</f>
        <v>69.95</v>
      </c>
      <c r="AU9" s="186"/>
      <c r="AV9" s="186" t="s">
        <v>13</v>
      </c>
      <c r="AW9" s="73"/>
      <c r="AX9" s="186" t="s">
        <v>45</v>
      </c>
      <c r="AY9" s="185">
        <v>43955</v>
      </c>
      <c r="BA9" s="185">
        <v>44042</v>
      </c>
      <c r="BB9" s="73"/>
      <c r="BC9" s="73" t="s">
        <v>505</v>
      </c>
      <c r="BD9" s="11" t="s">
        <v>66</v>
      </c>
      <c r="BE9" s="186">
        <v>270</v>
      </c>
      <c r="BF9" s="11">
        <v>22.95</v>
      </c>
      <c r="BG9" s="186">
        <f t="shared" si="3"/>
        <v>292.95</v>
      </c>
      <c r="BH9" s="11" t="s">
        <v>7</v>
      </c>
      <c r="BI9" s="73"/>
      <c r="BJ9" s="39"/>
      <c r="BK9" s="11"/>
      <c r="BM9" s="185">
        <v>43862</v>
      </c>
      <c r="BN9" s="73"/>
      <c r="BO9" s="114" t="s">
        <v>521</v>
      </c>
      <c r="BP9" s="186">
        <v>7.3</v>
      </c>
      <c r="BQ9" s="186">
        <v>0.62</v>
      </c>
      <c r="BR9" s="186">
        <f t="shared" si="6"/>
        <v>7.92</v>
      </c>
      <c r="BS9" s="186"/>
      <c r="BT9" s="138" t="s">
        <v>69</v>
      </c>
      <c r="BU9" s="73"/>
      <c r="BV9" s="138" t="s">
        <v>79</v>
      </c>
      <c r="BW9" s="185">
        <v>43862</v>
      </c>
      <c r="BY9" s="158">
        <v>43874</v>
      </c>
      <c r="BZ9" s="158"/>
      <c r="CA9" s="293" t="s">
        <v>528</v>
      </c>
      <c r="CB9" s="293">
        <v>9.5</v>
      </c>
      <c r="CC9" s="293"/>
      <c r="CD9" s="160">
        <f t="shared" si="4"/>
        <v>9.5</v>
      </c>
      <c r="CE9" s="73"/>
      <c r="CF9" s="293" t="s">
        <v>2</v>
      </c>
      <c r="CG9" s="73"/>
      <c r="CH9" s="293" t="s">
        <v>55</v>
      </c>
      <c r="CI9" s="294">
        <v>43874</v>
      </c>
      <c r="CK9" s="271">
        <v>44104</v>
      </c>
      <c r="CL9" s="73"/>
      <c r="CM9" s="11" t="s">
        <v>544</v>
      </c>
      <c r="CN9" s="73">
        <v>6</v>
      </c>
      <c r="CO9" s="73"/>
      <c r="CP9" s="186">
        <f t="shared" si="5"/>
        <v>6</v>
      </c>
      <c r="CQ9" s="186"/>
      <c r="CR9" s="73" t="s">
        <v>9</v>
      </c>
      <c r="CS9" s="73"/>
      <c r="CT9" s="73" t="s">
        <v>79</v>
      </c>
      <c r="CU9" s="271">
        <v>44104</v>
      </c>
      <c r="CY9" s="18"/>
      <c r="CZ9" s="39"/>
      <c r="DA9" s="17"/>
      <c r="DB9" s="39"/>
      <c r="DC9" s="17">
        <f t="shared" si="7"/>
        <v>0</v>
      </c>
      <c r="DD9" s="39"/>
      <c r="DE9" s="39"/>
      <c r="DF9" s="19"/>
      <c r="DG9" s="89"/>
      <c r="DH9" s="20"/>
      <c r="DI9" s="20"/>
    </row>
    <row r="10" spans="1:113" ht="14.5" customHeight="1" x14ac:dyDescent="0.35">
      <c r="A10" s="224" t="s">
        <v>64</v>
      </c>
      <c r="B10" s="364" t="s">
        <v>63</v>
      </c>
      <c r="C10" s="57"/>
      <c r="E10" s="18">
        <v>44071</v>
      </c>
      <c r="F10" s="73"/>
      <c r="G10" s="138" t="s">
        <v>418</v>
      </c>
      <c r="H10" s="17">
        <v>160</v>
      </c>
      <c r="I10" s="17"/>
      <c r="J10" s="17">
        <f t="shared" si="0"/>
        <v>160</v>
      </c>
      <c r="K10" s="17"/>
      <c r="L10" s="19" t="s">
        <v>8</v>
      </c>
      <c r="M10" s="73"/>
      <c r="N10" s="19" t="s">
        <v>79</v>
      </c>
      <c r="O10" s="18">
        <v>44071</v>
      </c>
      <c r="P10" s="15"/>
      <c r="Q10" s="18">
        <v>44069</v>
      </c>
      <c r="R10" s="73"/>
      <c r="S10" s="11" t="s">
        <v>470</v>
      </c>
      <c r="T10" s="17">
        <v>39.17</v>
      </c>
      <c r="U10" s="11"/>
      <c r="V10" s="17">
        <f t="shared" si="1"/>
        <v>39.17</v>
      </c>
      <c r="W10" s="17"/>
      <c r="X10" s="11" t="s">
        <v>8</v>
      </c>
      <c r="Y10" s="73"/>
      <c r="Z10" s="39" t="s">
        <v>45</v>
      </c>
      <c r="AA10" s="69">
        <v>44097</v>
      </c>
      <c r="AC10" s="185"/>
      <c r="AD10" s="73"/>
      <c r="AE10" s="11"/>
      <c r="AF10" s="186"/>
      <c r="AG10" s="11"/>
      <c r="AH10" s="186">
        <f t="shared" si="2"/>
        <v>0</v>
      </c>
      <c r="AI10" s="11"/>
      <c r="AJ10" s="11"/>
      <c r="AK10" s="11"/>
      <c r="AL10" s="39"/>
      <c r="AM10" s="11"/>
      <c r="AO10" s="185"/>
      <c r="AP10" s="11"/>
      <c r="AQ10" s="186"/>
      <c r="AR10" s="11"/>
      <c r="AS10" s="186">
        <f t="shared" ref="AS10:AS67" si="8">AQ10+AR10</f>
        <v>0</v>
      </c>
      <c r="AT10" s="186"/>
      <c r="AU10" s="186"/>
      <c r="AV10" s="11"/>
      <c r="AW10" s="73"/>
      <c r="AX10" s="39"/>
      <c r="AY10" s="11"/>
      <c r="BA10" s="185">
        <v>44011</v>
      </c>
      <c r="BB10" s="73"/>
      <c r="BC10" s="73" t="s">
        <v>506</v>
      </c>
      <c r="BD10" s="11" t="s">
        <v>66</v>
      </c>
      <c r="BE10" s="186">
        <v>120</v>
      </c>
      <c r="BF10" s="11">
        <v>10.199999999999999</v>
      </c>
      <c r="BG10" s="186">
        <f t="shared" si="3"/>
        <v>130.19999999999999</v>
      </c>
      <c r="BH10" s="11" t="s">
        <v>6</v>
      </c>
      <c r="BI10" s="73"/>
      <c r="BJ10" s="39"/>
      <c r="BK10" s="11"/>
      <c r="BM10" s="185">
        <v>43897</v>
      </c>
      <c r="BN10" s="73"/>
      <c r="BO10" s="114" t="s">
        <v>522</v>
      </c>
      <c r="BP10" s="186">
        <v>86.74</v>
      </c>
      <c r="BQ10" s="186">
        <v>7.37</v>
      </c>
      <c r="BR10" s="186">
        <f t="shared" si="6"/>
        <v>94.11</v>
      </c>
      <c r="BS10" s="186"/>
      <c r="BT10" s="138" t="s">
        <v>3</v>
      </c>
      <c r="BU10" s="73"/>
      <c r="BV10" s="138" t="s">
        <v>45</v>
      </c>
      <c r="BW10" s="185">
        <v>43897</v>
      </c>
      <c r="BY10" s="185">
        <v>43872</v>
      </c>
      <c r="BZ10" s="185"/>
      <c r="CA10" s="293" t="s">
        <v>529</v>
      </c>
      <c r="CB10" s="39">
        <v>419.41</v>
      </c>
      <c r="CC10" s="39">
        <v>41.49</v>
      </c>
      <c r="CD10" s="186">
        <f t="shared" si="4"/>
        <v>460.90000000000003</v>
      </c>
      <c r="CE10" s="73"/>
      <c r="CF10" s="39" t="s">
        <v>2</v>
      </c>
      <c r="CG10" s="73"/>
      <c r="CH10" s="39" t="s">
        <v>45</v>
      </c>
      <c r="CI10" s="89">
        <v>43872</v>
      </c>
      <c r="CK10" s="185">
        <v>44091</v>
      </c>
      <c r="CL10" s="73"/>
      <c r="CM10" s="11" t="s">
        <v>545</v>
      </c>
      <c r="CN10" s="186">
        <v>11.26</v>
      </c>
      <c r="CO10" s="39">
        <v>0.24</v>
      </c>
      <c r="CP10" s="186">
        <f t="shared" si="5"/>
        <v>11.5</v>
      </c>
      <c r="CQ10" s="186"/>
      <c r="CR10" s="39" t="s">
        <v>9</v>
      </c>
      <c r="CS10" s="73"/>
      <c r="CT10" s="138" t="s">
        <v>45</v>
      </c>
      <c r="CU10" s="89">
        <v>44091</v>
      </c>
      <c r="CY10" s="18"/>
      <c r="CZ10" s="39"/>
      <c r="DA10" s="17"/>
      <c r="DB10" s="39"/>
      <c r="DC10" s="17">
        <f t="shared" si="7"/>
        <v>0</v>
      </c>
      <c r="DD10" s="39"/>
      <c r="DE10" s="19"/>
      <c r="DF10" s="19"/>
      <c r="DG10" s="89"/>
      <c r="DH10" s="20"/>
      <c r="DI10" s="20"/>
    </row>
    <row r="11" spans="1:113" ht="14.5" customHeight="1" x14ac:dyDescent="0.35">
      <c r="A11" s="224" t="s">
        <v>65</v>
      </c>
      <c r="B11" s="365"/>
      <c r="C11" s="44"/>
      <c r="E11" s="18">
        <v>44065</v>
      </c>
      <c r="F11" s="73"/>
      <c r="G11" s="138" t="s">
        <v>419</v>
      </c>
      <c r="H11" s="17">
        <v>11.5</v>
      </c>
      <c r="I11" s="17"/>
      <c r="J11" s="17">
        <f t="shared" si="0"/>
        <v>11.5</v>
      </c>
      <c r="K11" s="17"/>
      <c r="L11" s="19" t="s">
        <v>8</v>
      </c>
      <c r="M11" s="73"/>
      <c r="N11" s="19" t="s">
        <v>45</v>
      </c>
      <c r="O11" s="18">
        <v>44065</v>
      </c>
      <c r="P11" s="15"/>
      <c r="Q11" s="185">
        <v>44036</v>
      </c>
      <c r="R11" s="73"/>
      <c r="S11" s="11" t="s">
        <v>471</v>
      </c>
      <c r="T11" s="186">
        <v>63</v>
      </c>
      <c r="U11" s="11">
        <v>5.36</v>
      </c>
      <c r="V11" s="186">
        <f t="shared" si="1"/>
        <v>68.36</v>
      </c>
      <c r="W11" s="186"/>
      <c r="X11" s="11" t="s">
        <v>7</v>
      </c>
      <c r="Y11" s="73"/>
      <c r="Z11" s="39" t="s">
        <v>60</v>
      </c>
      <c r="AA11" s="69">
        <v>44036</v>
      </c>
      <c r="AC11" s="185"/>
      <c r="AD11" s="11"/>
      <c r="AE11" s="186"/>
      <c r="AF11" s="11"/>
      <c r="AG11" s="186">
        <f t="shared" ref="AG11:AG67" si="9">AE11+AF11</f>
        <v>0</v>
      </c>
      <c r="AH11" s="11"/>
      <c r="AI11" s="11"/>
      <c r="AJ11" s="11"/>
      <c r="AK11" s="11"/>
      <c r="AL11" s="39"/>
      <c r="AM11" s="11"/>
      <c r="AO11" s="185"/>
      <c r="AP11" s="11"/>
      <c r="AQ11" s="186"/>
      <c r="AR11" s="11"/>
      <c r="AS11" s="186">
        <f t="shared" si="8"/>
        <v>0</v>
      </c>
      <c r="AT11" s="186"/>
      <c r="AU11" s="186"/>
      <c r="AV11" s="11"/>
      <c r="AW11" s="11"/>
      <c r="AX11" s="39"/>
      <c r="AY11" s="11"/>
      <c r="BA11" s="46">
        <v>43980</v>
      </c>
      <c r="BB11" s="73"/>
      <c r="BC11" s="73" t="s">
        <v>507</v>
      </c>
      <c r="BD11" s="138" t="s">
        <v>66</v>
      </c>
      <c r="BE11" s="186">
        <v>120</v>
      </c>
      <c r="BF11" s="186">
        <v>10.199999999999999</v>
      </c>
      <c r="BG11" s="186">
        <f t="shared" si="3"/>
        <v>130.19999999999999</v>
      </c>
      <c r="BH11" s="138" t="s">
        <v>13</v>
      </c>
      <c r="BI11" s="73"/>
      <c r="BJ11" s="273"/>
      <c r="BK11" s="138"/>
      <c r="BM11" s="185">
        <v>43859</v>
      </c>
      <c r="BN11" s="73"/>
      <c r="BO11" s="114" t="s">
        <v>523</v>
      </c>
      <c r="BP11" s="186">
        <v>9.2100000000000009</v>
      </c>
      <c r="BQ11" s="186">
        <v>0.78</v>
      </c>
      <c r="BR11" s="186">
        <f t="shared" si="6"/>
        <v>9.99</v>
      </c>
      <c r="BS11" s="186"/>
      <c r="BT11" s="186" t="s">
        <v>1</v>
      </c>
      <c r="BU11" s="73"/>
      <c r="BV11" s="186" t="s">
        <v>79</v>
      </c>
      <c r="BW11" s="185">
        <v>43859</v>
      </c>
      <c r="BY11" s="185">
        <v>43872</v>
      </c>
      <c r="BZ11" s="185"/>
      <c r="CA11" s="293" t="s">
        <v>530</v>
      </c>
      <c r="CB11" s="39">
        <v>148</v>
      </c>
      <c r="CC11" s="39"/>
      <c r="CD11" s="186">
        <f t="shared" si="4"/>
        <v>148</v>
      </c>
      <c r="CE11" s="73"/>
      <c r="CF11" s="39" t="s">
        <v>2</v>
      </c>
      <c r="CG11" s="73"/>
      <c r="CH11" s="39" t="s">
        <v>45</v>
      </c>
      <c r="CI11" s="89">
        <v>43872</v>
      </c>
      <c r="CK11" s="185">
        <v>44090</v>
      </c>
      <c r="CL11" s="73"/>
      <c r="CM11" s="11" t="s">
        <v>546</v>
      </c>
      <c r="CN11" s="186">
        <v>21.52</v>
      </c>
      <c r="CO11" s="39"/>
      <c r="CP11" s="186">
        <f t="shared" si="5"/>
        <v>21.52</v>
      </c>
      <c r="CQ11" s="186"/>
      <c r="CR11" s="39" t="s">
        <v>9</v>
      </c>
      <c r="CS11" s="73"/>
      <c r="CT11" s="138" t="s">
        <v>45</v>
      </c>
      <c r="CU11" s="89">
        <v>44090</v>
      </c>
      <c r="CY11" s="18"/>
      <c r="CZ11" s="39"/>
      <c r="DA11" s="39"/>
      <c r="DB11" s="39"/>
      <c r="DC11" s="17">
        <f t="shared" si="7"/>
        <v>0</v>
      </c>
      <c r="DD11" s="39"/>
      <c r="DE11" s="19"/>
      <c r="DF11" s="19"/>
      <c r="DG11" s="89"/>
      <c r="DH11" s="20"/>
      <c r="DI11" s="20"/>
    </row>
    <row r="12" spans="1:113" ht="14.5" customHeight="1" thickBot="1" x14ac:dyDescent="0.4">
      <c r="A12" s="224" t="s">
        <v>66</v>
      </c>
      <c r="B12" s="366"/>
      <c r="C12" s="43"/>
      <c r="E12" s="185">
        <v>44063</v>
      </c>
      <c r="F12" s="73"/>
      <c r="G12" s="138" t="s">
        <v>420</v>
      </c>
      <c r="H12" s="186">
        <v>53.02</v>
      </c>
      <c r="I12" s="186"/>
      <c r="J12" s="186">
        <f t="shared" si="0"/>
        <v>53.02</v>
      </c>
      <c r="K12" s="186"/>
      <c r="L12" s="138" t="s">
        <v>8</v>
      </c>
      <c r="M12" s="73"/>
      <c r="N12" s="138" t="s">
        <v>45</v>
      </c>
      <c r="O12" s="185">
        <v>44072</v>
      </c>
      <c r="P12" s="15"/>
      <c r="Q12" s="134">
        <v>43921</v>
      </c>
      <c r="R12" s="73"/>
      <c r="S12" s="11" t="s">
        <v>472</v>
      </c>
      <c r="T12" s="40">
        <v>88.34</v>
      </c>
      <c r="U12" s="40">
        <v>7.51</v>
      </c>
      <c r="V12" s="40">
        <f t="shared" si="1"/>
        <v>95.850000000000009</v>
      </c>
      <c r="W12" s="40"/>
      <c r="X12" s="40" t="s">
        <v>3</v>
      </c>
      <c r="Y12" s="73"/>
      <c r="Z12" s="72" t="s">
        <v>56</v>
      </c>
      <c r="AA12" s="185">
        <v>44055</v>
      </c>
      <c r="AC12" s="185"/>
      <c r="AD12" s="11"/>
      <c r="AE12" s="186"/>
      <c r="AF12" s="11"/>
      <c r="AG12" s="186">
        <f t="shared" si="9"/>
        <v>0</v>
      </c>
      <c r="AH12" s="11"/>
      <c r="AI12" s="11"/>
      <c r="AJ12" s="11"/>
      <c r="AK12" s="11"/>
      <c r="AL12" s="39"/>
      <c r="AM12" s="11"/>
      <c r="AO12" s="185"/>
      <c r="AP12" s="11"/>
      <c r="AQ12" s="186"/>
      <c r="AR12" s="11"/>
      <c r="AS12" s="186">
        <f t="shared" si="8"/>
        <v>0</v>
      </c>
      <c r="AT12" s="186"/>
      <c r="AU12" s="186"/>
      <c r="AV12" s="11"/>
      <c r="AW12" s="11"/>
      <c r="AX12" s="39"/>
      <c r="AY12" s="11"/>
      <c r="BA12" s="185">
        <v>43951</v>
      </c>
      <c r="BB12" s="73"/>
      <c r="BC12" s="73" t="s">
        <v>508</v>
      </c>
      <c r="BD12" s="138" t="s">
        <v>66</v>
      </c>
      <c r="BE12" s="186">
        <v>120</v>
      </c>
      <c r="BF12" s="186">
        <v>10.199999999999999</v>
      </c>
      <c r="BG12" s="186">
        <f t="shared" si="3"/>
        <v>130.19999999999999</v>
      </c>
      <c r="BH12" s="138" t="s">
        <v>4</v>
      </c>
      <c r="BI12" s="73"/>
      <c r="BJ12" s="138"/>
      <c r="BK12" s="302"/>
      <c r="BM12" s="185">
        <v>43998</v>
      </c>
      <c r="BN12" s="73"/>
      <c r="BO12" s="114" t="s">
        <v>524</v>
      </c>
      <c r="BP12" s="39">
        <v>74.290000000000006</v>
      </c>
      <c r="BQ12" s="39">
        <v>6.31</v>
      </c>
      <c r="BR12" s="186">
        <f>BP12+BQ12</f>
        <v>80.600000000000009</v>
      </c>
      <c r="BS12" s="39"/>
      <c r="BT12" s="39" t="s">
        <v>6</v>
      </c>
      <c r="BU12" s="73"/>
      <c r="BV12" s="39" t="s">
        <v>56</v>
      </c>
      <c r="BW12" s="89">
        <v>44109</v>
      </c>
      <c r="BY12" s="185">
        <v>43871</v>
      </c>
      <c r="BZ12" s="185"/>
      <c r="CA12" s="293" t="s">
        <v>531</v>
      </c>
      <c r="CB12" s="39">
        <v>5.67</v>
      </c>
      <c r="CC12" s="39">
        <v>1.1299999999999999</v>
      </c>
      <c r="CD12" s="186">
        <f t="shared" si="4"/>
        <v>6.8</v>
      </c>
      <c r="CE12" s="73"/>
      <c r="CF12" s="39" t="s">
        <v>2</v>
      </c>
      <c r="CG12" s="73"/>
      <c r="CH12" s="39" t="s">
        <v>45</v>
      </c>
      <c r="CI12" s="89">
        <v>43871</v>
      </c>
      <c r="CK12" s="185">
        <v>44067</v>
      </c>
      <c r="CL12" s="73"/>
      <c r="CM12" s="11" t="s">
        <v>547</v>
      </c>
      <c r="CN12" s="186">
        <v>8.5</v>
      </c>
      <c r="CO12" s="39"/>
      <c r="CP12" s="186">
        <f t="shared" si="5"/>
        <v>8.5</v>
      </c>
      <c r="CQ12" s="186"/>
      <c r="CR12" s="39" t="s">
        <v>8</v>
      </c>
      <c r="CS12" s="73"/>
      <c r="CT12" s="138" t="s">
        <v>79</v>
      </c>
      <c r="CU12" s="89">
        <v>44067</v>
      </c>
      <c r="CY12" s="18"/>
      <c r="CZ12" s="39"/>
      <c r="DA12" s="17"/>
      <c r="DB12" s="39"/>
      <c r="DC12" s="17">
        <f t="shared" si="7"/>
        <v>0</v>
      </c>
      <c r="DD12" s="39"/>
      <c r="DE12" s="17"/>
      <c r="DF12" s="19"/>
      <c r="DG12" s="89"/>
      <c r="DH12" s="20"/>
      <c r="DI12" s="20"/>
    </row>
    <row r="13" spans="1:113" ht="14.5" customHeight="1" x14ac:dyDescent="0.35">
      <c r="A13" s="225" t="s">
        <v>140</v>
      </c>
      <c r="B13" s="364" t="s">
        <v>67</v>
      </c>
      <c r="C13" s="43"/>
      <c r="E13" s="185">
        <v>44063</v>
      </c>
      <c r="F13" s="73"/>
      <c r="G13" s="138" t="s">
        <v>421</v>
      </c>
      <c r="H13" s="186">
        <v>210</v>
      </c>
      <c r="I13" s="186">
        <v>17.850000000000001</v>
      </c>
      <c r="J13" s="186">
        <f t="shared" si="0"/>
        <v>227.85</v>
      </c>
      <c r="K13" s="186"/>
      <c r="L13" s="138" t="s">
        <v>8</v>
      </c>
      <c r="M13" s="73"/>
      <c r="N13" s="138" t="s">
        <v>80</v>
      </c>
      <c r="O13" s="185">
        <v>44106</v>
      </c>
      <c r="P13" s="15"/>
      <c r="Q13" s="185">
        <v>43983</v>
      </c>
      <c r="R13" s="73"/>
      <c r="S13" s="11" t="s">
        <v>473</v>
      </c>
      <c r="T13" s="11">
        <v>47.75</v>
      </c>
      <c r="U13" s="11">
        <v>4.0599999999999996</v>
      </c>
      <c r="V13" s="186">
        <f t="shared" si="1"/>
        <v>51.81</v>
      </c>
      <c r="W13" s="186"/>
      <c r="X13" s="11" t="s">
        <v>6</v>
      </c>
      <c r="Y13" s="73"/>
      <c r="Z13" s="273" t="s">
        <v>56</v>
      </c>
      <c r="AA13" s="185">
        <v>44041</v>
      </c>
      <c r="AC13" s="185"/>
      <c r="AD13" s="11"/>
      <c r="AE13" s="186"/>
      <c r="AF13" s="11"/>
      <c r="AG13" s="186">
        <f t="shared" si="9"/>
        <v>0</v>
      </c>
      <c r="AH13" s="11"/>
      <c r="AI13" s="11"/>
      <c r="AJ13" s="11"/>
      <c r="AK13" s="11"/>
      <c r="AL13" s="39"/>
      <c r="AM13" s="11"/>
      <c r="AO13" s="185"/>
      <c r="AP13" s="11"/>
      <c r="AQ13" s="186"/>
      <c r="AR13" s="11"/>
      <c r="AS13" s="186">
        <f t="shared" si="8"/>
        <v>0</v>
      </c>
      <c r="AT13" s="186"/>
      <c r="AU13" s="186"/>
      <c r="AV13" s="11"/>
      <c r="AW13" s="11"/>
      <c r="AX13" s="39"/>
      <c r="AY13" s="11"/>
      <c r="BA13" s="185">
        <v>44043</v>
      </c>
      <c r="BB13" s="73"/>
      <c r="BC13" s="73" t="s">
        <v>509</v>
      </c>
      <c r="BD13" s="11" t="s">
        <v>65</v>
      </c>
      <c r="BE13" s="186">
        <v>300.2</v>
      </c>
      <c r="BF13" s="11">
        <v>25.52</v>
      </c>
      <c r="BG13" s="186">
        <f t="shared" si="3"/>
        <v>325.71999999999997</v>
      </c>
      <c r="BH13" s="11" t="s">
        <v>7</v>
      </c>
      <c r="BI13" s="73"/>
      <c r="BJ13" s="39" t="s">
        <v>56</v>
      </c>
      <c r="BK13" s="69">
        <v>44109</v>
      </c>
      <c r="BM13" s="185"/>
      <c r="BN13" s="39"/>
      <c r="BO13" s="186"/>
      <c r="BP13" s="39"/>
      <c r="BQ13" s="186">
        <f t="shared" ref="BQ13:BQ67" si="10">BO13+BP13</f>
        <v>0</v>
      </c>
      <c r="BR13" s="39"/>
      <c r="BS13" s="39"/>
      <c r="BT13" s="39"/>
      <c r="BU13" s="39"/>
      <c r="BV13" s="39"/>
      <c r="BW13" s="39"/>
      <c r="BY13" s="185">
        <v>43871</v>
      </c>
      <c r="BZ13" s="185"/>
      <c r="CA13" s="293" t="s">
        <v>532</v>
      </c>
      <c r="CB13" s="39">
        <v>5.08</v>
      </c>
      <c r="CC13" s="39">
        <v>1.02</v>
      </c>
      <c r="CD13" s="186">
        <f t="shared" si="4"/>
        <v>6.1</v>
      </c>
      <c r="CE13" s="73"/>
      <c r="CF13" s="39" t="s">
        <v>2</v>
      </c>
      <c r="CG13" s="73"/>
      <c r="CH13" s="39" t="s">
        <v>45</v>
      </c>
      <c r="CI13" s="89">
        <v>43871</v>
      </c>
      <c r="CK13" s="185">
        <v>44063</v>
      </c>
      <c r="CL13" s="73"/>
      <c r="CM13" s="11" t="s">
        <v>548</v>
      </c>
      <c r="CN13" s="186">
        <v>22</v>
      </c>
      <c r="CO13" s="39"/>
      <c r="CP13" s="186">
        <f t="shared" si="5"/>
        <v>22</v>
      </c>
      <c r="CQ13" s="186"/>
      <c r="CR13" s="39" t="s">
        <v>8</v>
      </c>
      <c r="CS13" s="73"/>
      <c r="CT13" s="138" t="s">
        <v>45</v>
      </c>
      <c r="CU13" s="89">
        <v>44063</v>
      </c>
      <c r="CY13" s="18"/>
      <c r="CZ13" s="39"/>
      <c r="DA13" s="17"/>
      <c r="DB13" s="39"/>
      <c r="DC13" s="17">
        <f t="shared" si="7"/>
        <v>0</v>
      </c>
      <c r="DD13" s="39"/>
      <c r="DE13" s="17"/>
      <c r="DF13" s="19"/>
      <c r="DG13" s="89"/>
      <c r="DH13" s="20"/>
      <c r="DI13" s="20"/>
    </row>
    <row r="14" spans="1:113" ht="14.5" customHeight="1" x14ac:dyDescent="0.35">
      <c r="A14" s="226" t="s">
        <v>141</v>
      </c>
      <c r="B14" s="365"/>
      <c r="C14" s="43"/>
      <c r="E14" s="185">
        <v>44062</v>
      </c>
      <c r="F14" s="73"/>
      <c r="G14" s="138" t="s">
        <v>422</v>
      </c>
      <c r="H14" s="186">
        <v>400</v>
      </c>
      <c r="I14" s="186"/>
      <c r="J14" s="186">
        <f t="shared" si="0"/>
        <v>400</v>
      </c>
      <c r="K14" s="186"/>
      <c r="L14" s="138" t="s">
        <v>8</v>
      </c>
      <c r="M14" s="73"/>
      <c r="N14" s="185" t="s">
        <v>56</v>
      </c>
      <c r="O14" s="185">
        <v>44062</v>
      </c>
      <c r="P14" s="15"/>
      <c r="Q14" s="185">
        <v>44018</v>
      </c>
      <c r="R14" s="73"/>
      <c r="S14" s="11" t="s">
        <v>474</v>
      </c>
      <c r="T14" s="186">
        <v>46.06</v>
      </c>
      <c r="U14" s="11">
        <v>3.92</v>
      </c>
      <c r="V14" s="186">
        <v>91.25</v>
      </c>
      <c r="W14" s="186"/>
      <c r="X14" s="11" t="s">
        <v>7</v>
      </c>
      <c r="Y14" s="73"/>
      <c r="Z14" s="39" t="s">
        <v>45</v>
      </c>
      <c r="AA14" s="69">
        <v>44018</v>
      </c>
      <c r="AC14" s="185"/>
      <c r="AD14" s="11"/>
      <c r="AE14" s="11"/>
      <c r="AF14" s="11"/>
      <c r="AG14" s="186">
        <f t="shared" si="9"/>
        <v>0</v>
      </c>
      <c r="AH14" s="11"/>
      <c r="AI14" s="11"/>
      <c r="AJ14" s="11"/>
      <c r="AK14" s="11"/>
      <c r="AL14" s="39"/>
      <c r="AM14" s="11"/>
      <c r="AO14" s="185"/>
      <c r="AP14" s="11"/>
      <c r="AQ14" s="11"/>
      <c r="AR14" s="11"/>
      <c r="AS14" s="186">
        <f t="shared" si="8"/>
        <v>0</v>
      </c>
      <c r="AT14" s="186"/>
      <c r="AU14" s="186"/>
      <c r="AV14" s="11"/>
      <c r="AW14" s="11"/>
      <c r="AX14" s="39"/>
      <c r="AY14" s="11"/>
      <c r="BA14" s="185">
        <v>44012</v>
      </c>
      <c r="BB14" s="73"/>
      <c r="BC14" s="73" t="s">
        <v>510</v>
      </c>
      <c r="BD14" s="11" t="s">
        <v>65</v>
      </c>
      <c r="BE14" s="186">
        <v>240.16</v>
      </c>
      <c r="BF14" s="11">
        <v>20.420000000000002</v>
      </c>
      <c r="BG14" s="186">
        <f t="shared" si="3"/>
        <v>260.58</v>
      </c>
      <c r="BH14" s="11" t="s">
        <v>6</v>
      </c>
      <c r="BI14" s="73"/>
      <c r="BJ14" s="39" t="s">
        <v>56</v>
      </c>
      <c r="BK14" s="69">
        <v>44109</v>
      </c>
      <c r="BM14" s="185"/>
      <c r="BN14" s="39"/>
      <c r="BO14" s="186"/>
      <c r="BP14" s="39"/>
      <c r="BQ14" s="186">
        <f t="shared" si="10"/>
        <v>0</v>
      </c>
      <c r="BR14" s="39"/>
      <c r="BS14" s="39"/>
      <c r="BT14" s="39"/>
      <c r="BU14" s="39"/>
      <c r="BV14" s="39"/>
      <c r="BW14" s="39"/>
      <c r="BY14" s="185">
        <v>43840</v>
      </c>
      <c r="BZ14" s="185"/>
      <c r="CA14" s="293" t="s">
        <v>533</v>
      </c>
      <c r="CB14" s="39">
        <v>154.31</v>
      </c>
      <c r="CC14" s="39"/>
      <c r="CD14" s="186">
        <f t="shared" si="4"/>
        <v>154.31</v>
      </c>
      <c r="CE14" s="73"/>
      <c r="CF14" s="39" t="s">
        <v>1</v>
      </c>
      <c r="CG14" s="73"/>
      <c r="CH14" s="39" t="s">
        <v>45</v>
      </c>
      <c r="CI14" s="89">
        <v>43839</v>
      </c>
      <c r="CK14" s="185">
        <v>44061</v>
      </c>
      <c r="CL14" s="73"/>
      <c r="CM14" s="11" t="s">
        <v>549</v>
      </c>
      <c r="CN14" s="186">
        <v>33.799999999999997</v>
      </c>
      <c r="CO14" s="39"/>
      <c r="CP14" s="186">
        <f t="shared" si="5"/>
        <v>33.799999999999997</v>
      </c>
      <c r="CQ14" s="186"/>
      <c r="CR14" s="39" t="s">
        <v>8</v>
      </c>
      <c r="CS14" s="73"/>
      <c r="CT14" s="138" t="s">
        <v>45</v>
      </c>
      <c r="CU14" s="89">
        <v>44061</v>
      </c>
      <c r="CY14" s="18"/>
      <c r="CZ14" s="39"/>
      <c r="DA14" s="17"/>
      <c r="DB14" s="39"/>
      <c r="DC14" s="17">
        <f t="shared" si="7"/>
        <v>0</v>
      </c>
      <c r="DD14" s="39"/>
      <c r="DE14" s="17"/>
      <c r="DF14" s="19"/>
      <c r="DG14" s="89"/>
      <c r="DH14" s="20"/>
      <c r="DI14" s="20"/>
    </row>
    <row r="15" spans="1:113" ht="14.5" customHeight="1" thickBot="1" x14ac:dyDescent="0.4">
      <c r="A15" s="227" t="s">
        <v>68</v>
      </c>
      <c r="B15" s="178"/>
      <c r="C15" s="43"/>
      <c r="E15" s="185">
        <v>44062</v>
      </c>
      <c r="F15" s="73"/>
      <c r="G15" s="138" t="s">
        <v>423</v>
      </c>
      <c r="H15" s="186">
        <v>74.900000000000006</v>
      </c>
      <c r="I15" s="186"/>
      <c r="J15" s="186">
        <f t="shared" si="0"/>
        <v>74.900000000000006</v>
      </c>
      <c r="K15" s="186"/>
      <c r="L15" s="138" t="s">
        <v>8</v>
      </c>
      <c r="M15" s="73"/>
      <c r="N15" s="138" t="s">
        <v>45</v>
      </c>
      <c r="O15" s="185">
        <v>44061</v>
      </c>
      <c r="P15" s="15"/>
      <c r="Q15" s="185">
        <v>43952</v>
      </c>
      <c r="R15" s="73"/>
      <c r="S15" s="11" t="s">
        <v>475</v>
      </c>
      <c r="T15" s="186">
        <v>36.799999999999997</v>
      </c>
      <c r="U15" s="40">
        <v>3.13</v>
      </c>
      <c r="V15" s="186">
        <f t="shared" ref="V15:V30" si="11">T15+U15</f>
        <v>39.93</v>
      </c>
      <c r="W15" s="186"/>
      <c r="X15" s="40" t="s">
        <v>13</v>
      </c>
      <c r="Y15" s="73"/>
      <c r="Z15" s="273" t="s">
        <v>56</v>
      </c>
      <c r="AA15" s="185">
        <v>44041</v>
      </c>
      <c r="AC15" s="185"/>
      <c r="AD15" s="11"/>
      <c r="AE15" s="186"/>
      <c r="AF15" s="11"/>
      <c r="AG15" s="186">
        <f t="shared" si="9"/>
        <v>0</v>
      </c>
      <c r="AH15" s="11"/>
      <c r="AI15" s="11"/>
      <c r="AJ15" s="11"/>
      <c r="AK15" s="11"/>
      <c r="AL15" s="39"/>
      <c r="AM15" s="11"/>
      <c r="AO15" s="185"/>
      <c r="AP15" s="11"/>
      <c r="AQ15" s="186"/>
      <c r="AR15" s="11"/>
      <c r="AS15" s="186">
        <f t="shared" si="8"/>
        <v>0</v>
      </c>
      <c r="AT15" s="186"/>
      <c r="AU15" s="186"/>
      <c r="AV15" s="11"/>
      <c r="AW15" s="11"/>
      <c r="AX15" s="39"/>
      <c r="AY15" s="11"/>
      <c r="BA15" s="185">
        <v>43921</v>
      </c>
      <c r="BB15" s="73"/>
      <c r="BC15" s="73" t="s">
        <v>511</v>
      </c>
      <c r="BD15" s="138" t="s">
        <v>66</v>
      </c>
      <c r="BE15" s="186">
        <v>120</v>
      </c>
      <c r="BF15" s="186">
        <v>10.199999999999999</v>
      </c>
      <c r="BG15" s="186">
        <f t="shared" si="3"/>
        <v>130.19999999999999</v>
      </c>
      <c r="BH15" s="186" t="s">
        <v>3</v>
      </c>
      <c r="BI15" s="73"/>
      <c r="BJ15" s="186"/>
      <c r="BK15" s="185"/>
      <c r="BM15" s="185"/>
      <c r="BN15" s="39"/>
      <c r="BO15" s="186"/>
      <c r="BP15" s="39"/>
      <c r="BQ15" s="186">
        <f t="shared" si="10"/>
        <v>0</v>
      </c>
      <c r="BR15" s="39"/>
      <c r="BS15" s="39"/>
      <c r="BT15" s="39"/>
      <c r="BU15" s="39"/>
      <c r="BV15" s="39"/>
      <c r="BW15" s="39"/>
      <c r="BY15" s="46">
        <v>44034</v>
      </c>
      <c r="BZ15" s="46"/>
      <c r="CA15" s="293" t="s">
        <v>534</v>
      </c>
      <c r="CB15" s="248">
        <v>16</v>
      </c>
      <c r="CC15" s="163"/>
      <c r="CD15" s="186">
        <f t="shared" si="4"/>
        <v>16</v>
      </c>
      <c r="CE15" s="73"/>
      <c r="CF15" s="163" t="s">
        <v>7</v>
      </c>
      <c r="CG15" s="73"/>
      <c r="CH15" s="163" t="s">
        <v>45</v>
      </c>
      <c r="CI15" s="46">
        <v>44034</v>
      </c>
      <c r="CK15" s="185">
        <v>44061</v>
      </c>
      <c r="CL15" s="73"/>
      <c r="CM15" s="11" t="s">
        <v>550</v>
      </c>
      <c r="CN15" s="186">
        <v>3.95</v>
      </c>
      <c r="CO15" s="39"/>
      <c r="CP15" s="186">
        <f t="shared" si="5"/>
        <v>3.95</v>
      </c>
      <c r="CQ15" s="186"/>
      <c r="CR15" s="39" t="s">
        <v>8</v>
      </c>
      <c r="CS15" s="73"/>
      <c r="CT15" s="138" t="s">
        <v>79</v>
      </c>
      <c r="CU15" s="89">
        <v>44061</v>
      </c>
      <c r="CY15" s="18"/>
      <c r="CZ15" s="39"/>
      <c r="DA15" s="17"/>
      <c r="DB15" s="39"/>
      <c r="DC15" s="17">
        <f t="shared" si="7"/>
        <v>0</v>
      </c>
      <c r="DD15" s="39"/>
      <c r="DE15" s="17"/>
      <c r="DF15" s="19"/>
      <c r="DG15" s="89"/>
      <c r="DH15" s="20"/>
      <c r="DI15" s="20"/>
    </row>
    <row r="16" spans="1:113" ht="21.75" customHeight="1" thickBot="1" x14ac:dyDescent="0.4">
      <c r="A16" s="374" t="s">
        <v>29</v>
      </c>
      <c r="B16" s="375"/>
      <c r="C16" s="43"/>
      <c r="E16" s="18">
        <v>44060</v>
      </c>
      <c r="F16" s="73"/>
      <c r="G16" s="138" t="s">
        <v>424</v>
      </c>
      <c r="H16" s="17">
        <v>4.9000000000000004</v>
      </c>
      <c r="I16" s="17"/>
      <c r="J16" s="17">
        <f t="shared" si="0"/>
        <v>4.9000000000000004</v>
      </c>
      <c r="K16" s="17"/>
      <c r="L16" s="19" t="s">
        <v>8</v>
      </c>
      <c r="M16" s="73"/>
      <c r="N16" s="19" t="s">
        <v>79</v>
      </c>
      <c r="O16" s="18">
        <v>44060</v>
      </c>
      <c r="P16" s="15"/>
      <c r="Q16" s="185">
        <v>44007</v>
      </c>
      <c r="R16" s="73"/>
      <c r="S16" s="11" t="s">
        <v>476</v>
      </c>
      <c r="T16" s="186">
        <v>68.36</v>
      </c>
      <c r="U16" s="11"/>
      <c r="V16" s="186">
        <f t="shared" si="11"/>
        <v>68.36</v>
      </c>
      <c r="W16" s="186"/>
      <c r="X16" s="11" t="s">
        <v>6</v>
      </c>
      <c r="Y16" s="73"/>
      <c r="Z16" s="39" t="s">
        <v>70</v>
      </c>
      <c r="AA16" s="69">
        <v>44007</v>
      </c>
      <c r="AC16" s="185"/>
      <c r="AD16" s="11"/>
      <c r="AE16" s="186"/>
      <c r="AF16" s="11"/>
      <c r="AG16" s="186">
        <f t="shared" si="9"/>
        <v>0</v>
      </c>
      <c r="AH16" s="11"/>
      <c r="AI16" s="11"/>
      <c r="AJ16" s="11"/>
      <c r="AK16" s="11"/>
      <c r="AL16" s="39"/>
      <c r="AM16" s="11"/>
      <c r="AO16" s="185"/>
      <c r="AP16" s="11"/>
      <c r="AQ16" s="186"/>
      <c r="AR16" s="11"/>
      <c r="AS16" s="186">
        <f t="shared" si="8"/>
        <v>0</v>
      </c>
      <c r="AT16" s="186"/>
      <c r="AU16" s="186"/>
      <c r="AV16" s="11"/>
      <c r="AW16" s="11"/>
      <c r="AX16" s="39"/>
      <c r="AY16" s="11"/>
      <c r="BA16" s="134">
        <v>43889</v>
      </c>
      <c r="BB16" s="73"/>
      <c r="BC16" s="73" t="s">
        <v>512</v>
      </c>
      <c r="BD16" s="135" t="s">
        <v>65</v>
      </c>
      <c r="BE16" s="40">
        <v>180.12</v>
      </c>
      <c r="BF16" s="135">
        <v>15.32</v>
      </c>
      <c r="BG16" s="40">
        <f t="shared" si="3"/>
        <v>195.44</v>
      </c>
      <c r="BH16" s="135" t="s">
        <v>2</v>
      </c>
      <c r="BI16" s="73"/>
      <c r="BJ16" s="114" t="s">
        <v>56</v>
      </c>
      <c r="BK16" s="137"/>
      <c r="BM16" s="185"/>
      <c r="BN16" s="39"/>
      <c r="BO16" s="186"/>
      <c r="BP16" s="39"/>
      <c r="BQ16" s="186">
        <f t="shared" si="10"/>
        <v>0</v>
      </c>
      <c r="BR16" s="39"/>
      <c r="BS16" s="39"/>
      <c r="BT16" s="39"/>
      <c r="BU16" s="39"/>
      <c r="BV16" s="39"/>
      <c r="BW16" s="39"/>
      <c r="BY16" s="46">
        <v>44055</v>
      </c>
      <c r="BZ16" s="46"/>
      <c r="CA16" s="293" t="s">
        <v>535</v>
      </c>
      <c r="CB16" s="277">
        <v>6</v>
      </c>
      <c r="CC16" s="276"/>
      <c r="CD16" s="186">
        <f t="shared" si="4"/>
        <v>6</v>
      </c>
      <c r="CE16" s="73"/>
      <c r="CF16" s="276" t="s">
        <v>8</v>
      </c>
      <c r="CG16" s="73"/>
      <c r="CH16" s="276" t="s">
        <v>79</v>
      </c>
      <c r="CI16" s="278">
        <v>44055</v>
      </c>
      <c r="CK16" s="185">
        <v>44056</v>
      </c>
      <c r="CL16" s="73"/>
      <c r="CM16" s="11" t="s">
        <v>551</v>
      </c>
      <c r="CN16" s="186">
        <v>9.7899999999999991</v>
      </c>
      <c r="CO16" s="39"/>
      <c r="CP16" s="186">
        <v>10</v>
      </c>
      <c r="CQ16" s="186"/>
      <c r="CR16" s="39" t="s">
        <v>8</v>
      </c>
      <c r="CS16" s="73"/>
      <c r="CT16" s="138" t="s">
        <v>79</v>
      </c>
      <c r="CU16" s="89">
        <v>44056</v>
      </c>
      <c r="CY16" s="18"/>
      <c r="CZ16" s="39"/>
      <c r="DA16" s="17"/>
      <c r="DB16" s="39"/>
      <c r="DC16" s="17">
        <f t="shared" si="7"/>
        <v>0</v>
      </c>
      <c r="DD16" s="39"/>
      <c r="DE16" s="17"/>
      <c r="DF16" s="19"/>
      <c r="DG16" s="89"/>
      <c r="DH16" s="20"/>
      <c r="DI16" s="20"/>
    </row>
    <row r="17" spans="1:113" ht="15" customHeight="1" x14ac:dyDescent="0.35">
      <c r="A17" s="224" t="s">
        <v>142</v>
      </c>
      <c r="B17" s="214" t="s">
        <v>130</v>
      </c>
      <c r="C17" s="43"/>
      <c r="E17" s="185">
        <v>44057</v>
      </c>
      <c r="F17" s="73"/>
      <c r="G17" s="138" t="s">
        <v>425</v>
      </c>
      <c r="H17" s="186">
        <v>444.5</v>
      </c>
      <c r="I17" s="186"/>
      <c r="J17" s="186">
        <f t="shared" si="0"/>
        <v>444.5</v>
      </c>
      <c r="K17" s="186"/>
      <c r="L17" s="138" t="s">
        <v>8</v>
      </c>
      <c r="M17" s="73"/>
      <c r="N17" s="138" t="s">
        <v>45</v>
      </c>
      <c r="O17" s="185">
        <v>44057</v>
      </c>
      <c r="P17" s="15"/>
      <c r="Q17" s="185">
        <v>43976</v>
      </c>
      <c r="R17" s="73"/>
      <c r="S17" s="11" t="s">
        <v>477</v>
      </c>
      <c r="T17" s="186">
        <v>68.36</v>
      </c>
      <c r="U17" s="11"/>
      <c r="V17" s="186">
        <f t="shared" si="11"/>
        <v>68.36</v>
      </c>
      <c r="W17" s="186"/>
      <c r="X17" s="11" t="s">
        <v>13</v>
      </c>
      <c r="Y17" s="73"/>
      <c r="Z17" s="39" t="s">
        <v>60</v>
      </c>
      <c r="AA17" s="69">
        <v>43976</v>
      </c>
      <c r="AC17" s="185"/>
      <c r="AD17" s="11"/>
      <c r="AE17" s="186"/>
      <c r="AF17" s="11"/>
      <c r="AG17" s="186">
        <f t="shared" si="9"/>
        <v>0</v>
      </c>
      <c r="AH17" s="11"/>
      <c r="AI17" s="11"/>
      <c r="AJ17" s="11"/>
      <c r="AK17" s="11"/>
      <c r="AL17" s="39"/>
      <c r="AM17" s="11"/>
      <c r="AO17" s="185"/>
      <c r="AP17" s="11"/>
      <c r="AQ17" s="186"/>
      <c r="AR17" s="11"/>
      <c r="AS17" s="186">
        <f t="shared" si="8"/>
        <v>0</v>
      </c>
      <c r="AT17" s="186"/>
      <c r="AU17" s="186"/>
      <c r="AV17" s="11"/>
      <c r="AW17" s="11"/>
      <c r="AX17" s="39"/>
      <c r="AY17" s="11"/>
      <c r="BA17" s="185">
        <v>43890</v>
      </c>
      <c r="BB17" s="73"/>
      <c r="BC17" s="73" t="s">
        <v>513</v>
      </c>
      <c r="BD17" s="11" t="s">
        <v>66</v>
      </c>
      <c r="BE17" s="186">
        <v>120</v>
      </c>
      <c r="BF17" s="11">
        <v>10.199999999999999</v>
      </c>
      <c r="BG17" s="186">
        <f t="shared" si="3"/>
        <v>130.19999999999999</v>
      </c>
      <c r="BH17" s="11" t="s">
        <v>2</v>
      </c>
      <c r="BI17" s="73"/>
      <c r="BJ17" s="39"/>
      <c r="BK17" s="69"/>
      <c r="BM17" s="185"/>
      <c r="BN17" s="39"/>
      <c r="BO17" s="186"/>
      <c r="BP17" s="39"/>
      <c r="BQ17" s="186">
        <f t="shared" si="10"/>
        <v>0</v>
      </c>
      <c r="BR17" s="39"/>
      <c r="BS17" s="39"/>
      <c r="BT17" s="39"/>
      <c r="BU17" s="39"/>
      <c r="BV17" s="39"/>
      <c r="BW17" s="39"/>
      <c r="BY17" s="46">
        <v>44056</v>
      </c>
      <c r="BZ17" s="46"/>
      <c r="CA17" s="293" t="s">
        <v>536</v>
      </c>
      <c r="CB17" s="248">
        <v>120</v>
      </c>
      <c r="CC17" s="163"/>
      <c r="CD17" s="186">
        <f t="shared" si="4"/>
        <v>120</v>
      </c>
      <c r="CE17" s="73"/>
      <c r="CF17" s="163" t="s">
        <v>8</v>
      </c>
      <c r="CG17" s="73"/>
      <c r="CH17" s="163" t="s">
        <v>45</v>
      </c>
      <c r="CI17" s="46">
        <v>44056</v>
      </c>
      <c r="CK17" s="271">
        <v>44048</v>
      </c>
      <c r="CL17" s="73"/>
      <c r="CM17" s="11" t="s">
        <v>552</v>
      </c>
      <c r="CN17" s="73">
        <v>2.9</v>
      </c>
      <c r="CO17" s="73"/>
      <c r="CP17" s="186">
        <f t="shared" ref="CP17:CP48" si="12">CN17+CO17</f>
        <v>2.9</v>
      </c>
      <c r="CQ17" s="186"/>
      <c r="CR17" s="73" t="s">
        <v>8</v>
      </c>
      <c r="CS17" s="73"/>
      <c r="CT17" s="73" t="s">
        <v>45</v>
      </c>
      <c r="CU17" s="271">
        <v>44048</v>
      </c>
      <c r="CY17" s="18"/>
      <c r="CZ17" s="39"/>
      <c r="DA17" s="17"/>
      <c r="DB17" s="39"/>
      <c r="DC17" s="17">
        <f t="shared" si="7"/>
        <v>0</v>
      </c>
      <c r="DD17" s="39"/>
      <c r="DE17" s="17"/>
      <c r="DF17" s="19"/>
      <c r="DG17" s="89"/>
      <c r="DH17" s="20"/>
      <c r="DI17" s="20"/>
    </row>
    <row r="18" spans="1:113" ht="15" customHeight="1" x14ac:dyDescent="0.35">
      <c r="A18" s="224" t="s">
        <v>143</v>
      </c>
      <c r="B18" s="365"/>
      <c r="C18" s="43"/>
      <c r="E18" s="185">
        <v>44049</v>
      </c>
      <c r="F18" s="73"/>
      <c r="G18" s="138" t="s">
        <v>426</v>
      </c>
      <c r="H18" s="186">
        <v>119.49</v>
      </c>
      <c r="I18" s="186">
        <v>2.08</v>
      </c>
      <c r="J18" s="186">
        <f t="shared" si="0"/>
        <v>121.57</v>
      </c>
      <c r="K18" s="186"/>
      <c r="L18" s="138" t="s">
        <v>8</v>
      </c>
      <c r="M18" s="73"/>
      <c r="N18" s="138" t="s">
        <v>56</v>
      </c>
      <c r="O18" s="185">
        <v>44049</v>
      </c>
      <c r="P18" s="15"/>
      <c r="Q18" s="18">
        <v>43922</v>
      </c>
      <c r="R18" s="73"/>
      <c r="S18" s="11" t="s">
        <v>478</v>
      </c>
      <c r="T18" s="17">
        <v>53.44</v>
      </c>
      <c r="U18" s="11"/>
      <c r="V18" s="17">
        <f t="shared" si="11"/>
        <v>53.44</v>
      </c>
      <c r="W18" s="17"/>
      <c r="X18" s="11" t="s">
        <v>4</v>
      </c>
      <c r="Y18" s="73"/>
      <c r="Z18" s="297" t="s">
        <v>56</v>
      </c>
      <c r="AA18" s="18">
        <v>44041</v>
      </c>
      <c r="AC18" s="185"/>
      <c r="AD18" s="11"/>
      <c r="AE18" s="186"/>
      <c r="AF18" s="11"/>
      <c r="AG18" s="186">
        <f t="shared" si="9"/>
        <v>0</v>
      </c>
      <c r="AH18" s="11"/>
      <c r="AI18" s="11"/>
      <c r="AJ18" s="11"/>
      <c r="AK18" s="11"/>
      <c r="AL18" s="39"/>
      <c r="AM18" s="11"/>
      <c r="AO18" s="185"/>
      <c r="AP18" s="11"/>
      <c r="AQ18" s="186"/>
      <c r="AR18" s="11"/>
      <c r="AS18" s="186">
        <f t="shared" si="8"/>
        <v>0</v>
      </c>
      <c r="AT18" s="186"/>
      <c r="AU18" s="186"/>
      <c r="AV18" s="11"/>
      <c r="AW18" s="11"/>
      <c r="AX18" s="39"/>
      <c r="AY18" s="11"/>
      <c r="BA18" s="18">
        <v>43858</v>
      </c>
      <c r="BB18" s="73"/>
      <c r="BC18" s="73" t="s">
        <v>514</v>
      </c>
      <c r="BD18" s="19" t="s">
        <v>65</v>
      </c>
      <c r="BE18" s="17">
        <v>180.13</v>
      </c>
      <c r="BF18" s="17">
        <v>15.31</v>
      </c>
      <c r="BG18" s="17">
        <f t="shared" si="3"/>
        <v>195.44</v>
      </c>
      <c r="BH18" s="19" t="s">
        <v>1</v>
      </c>
      <c r="BI18" s="73"/>
      <c r="BJ18" s="19" t="s">
        <v>162</v>
      </c>
      <c r="BK18" s="18">
        <v>43998</v>
      </c>
      <c r="BM18" s="185"/>
      <c r="BN18" s="39"/>
      <c r="BO18" s="186"/>
      <c r="BP18" s="39"/>
      <c r="BQ18" s="186">
        <f t="shared" si="10"/>
        <v>0</v>
      </c>
      <c r="BR18" s="39"/>
      <c r="BS18" s="39"/>
      <c r="BT18" s="39"/>
      <c r="BU18" s="39"/>
      <c r="BV18" s="39"/>
      <c r="BW18" s="39"/>
      <c r="BY18" s="46">
        <v>44063</v>
      </c>
      <c r="BZ18" s="46"/>
      <c r="CA18" s="293" t="s">
        <v>537</v>
      </c>
      <c r="CB18" s="248">
        <v>160</v>
      </c>
      <c r="CC18" s="163"/>
      <c r="CD18" s="186">
        <f t="shared" si="4"/>
        <v>160</v>
      </c>
      <c r="CE18" s="73"/>
      <c r="CF18" s="163" t="s">
        <v>8</v>
      </c>
      <c r="CG18" s="73"/>
      <c r="CH18" s="163" t="s">
        <v>79</v>
      </c>
      <c r="CI18" s="46">
        <v>44063</v>
      </c>
      <c r="CK18" s="185">
        <v>44046</v>
      </c>
      <c r="CL18" s="73"/>
      <c r="CM18" s="11" t="s">
        <v>553</v>
      </c>
      <c r="CN18" s="186">
        <v>6.76</v>
      </c>
      <c r="CO18" s="39">
        <v>0.14000000000000001</v>
      </c>
      <c r="CP18" s="186">
        <f t="shared" si="12"/>
        <v>6.8999999999999995</v>
      </c>
      <c r="CQ18" s="186"/>
      <c r="CR18" s="39" t="s">
        <v>8</v>
      </c>
      <c r="CS18" s="73"/>
      <c r="CT18" s="138" t="s">
        <v>45</v>
      </c>
      <c r="CU18" s="89">
        <v>44046</v>
      </c>
      <c r="CY18" s="18"/>
      <c r="CZ18" s="39"/>
      <c r="DA18" s="17"/>
      <c r="DB18" s="39"/>
      <c r="DC18" s="17">
        <f t="shared" si="7"/>
        <v>0</v>
      </c>
      <c r="DD18" s="39"/>
      <c r="DE18" s="17"/>
      <c r="DF18" s="19"/>
      <c r="DG18" s="89"/>
      <c r="DH18" s="20"/>
      <c r="DI18" s="20"/>
    </row>
    <row r="19" spans="1:113" ht="15" customHeight="1" x14ac:dyDescent="0.35">
      <c r="A19" s="224" t="s">
        <v>144</v>
      </c>
      <c r="B19" s="365"/>
      <c r="C19" s="44"/>
      <c r="E19" s="185">
        <v>44000</v>
      </c>
      <c r="F19" s="73"/>
      <c r="G19" s="138" t="s">
        <v>427</v>
      </c>
      <c r="H19" s="186">
        <v>11.26</v>
      </c>
      <c r="I19" s="39">
        <v>0.96</v>
      </c>
      <c r="J19" s="186">
        <f t="shared" si="0"/>
        <v>12.219999999999999</v>
      </c>
      <c r="K19" s="39"/>
      <c r="L19" s="39" t="s">
        <v>6</v>
      </c>
      <c r="M19" s="73"/>
      <c r="N19" s="39" t="s">
        <v>45</v>
      </c>
      <c r="O19" s="89">
        <v>44000</v>
      </c>
      <c r="P19" s="15"/>
      <c r="Q19" s="185">
        <v>43984</v>
      </c>
      <c r="R19" s="73"/>
      <c r="S19" s="11" t="s">
        <v>479</v>
      </c>
      <c r="T19" s="186">
        <v>60</v>
      </c>
      <c r="U19" s="39">
        <v>5.0999999999999996</v>
      </c>
      <c r="V19" s="186">
        <f t="shared" si="11"/>
        <v>65.099999999999994</v>
      </c>
      <c r="W19" s="186"/>
      <c r="X19" s="39" t="s">
        <v>6</v>
      </c>
      <c r="Y19" s="73"/>
      <c r="Z19" s="139" t="s">
        <v>56</v>
      </c>
      <c r="AA19" s="274">
        <v>44011</v>
      </c>
      <c r="AC19" s="185"/>
      <c r="AD19" s="11"/>
      <c r="AE19" s="186"/>
      <c r="AF19" s="11"/>
      <c r="AG19" s="186">
        <f t="shared" si="9"/>
        <v>0</v>
      </c>
      <c r="AH19" s="11"/>
      <c r="AI19" s="11"/>
      <c r="AJ19" s="11"/>
      <c r="AK19" s="11"/>
      <c r="AL19" s="39"/>
      <c r="AM19" s="11"/>
      <c r="AO19" s="185"/>
      <c r="AP19" s="11"/>
      <c r="AQ19" s="186"/>
      <c r="AR19" s="11"/>
      <c r="AS19" s="186">
        <f t="shared" si="8"/>
        <v>0</v>
      </c>
      <c r="AT19" s="186"/>
      <c r="AU19" s="186"/>
      <c r="AV19" s="11"/>
      <c r="AW19" s="11"/>
      <c r="AX19" s="39"/>
      <c r="AY19" s="11"/>
      <c r="BA19" s="185">
        <v>43861</v>
      </c>
      <c r="BB19" s="73"/>
      <c r="BC19" s="73" t="s">
        <v>515</v>
      </c>
      <c r="BD19" s="11" t="s">
        <v>66</v>
      </c>
      <c r="BE19" s="186">
        <v>120</v>
      </c>
      <c r="BF19" s="11">
        <v>10.199999999999999</v>
      </c>
      <c r="BG19" s="186">
        <f t="shared" si="3"/>
        <v>130.19999999999999</v>
      </c>
      <c r="BH19" s="11" t="s">
        <v>1</v>
      </c>
      <c r="BI19" s="73"/>
      <c r="BJ19" s="39"/>
      <c r="BK19" s="69"/>
      <c r="BM19" s="185"/>
      <c r="BN19" s="39"/>
      <c r="BO19" s="186"/>
      <c r="BP19" s="39"/>
      <c r="BQ19" s="186">
        <f t="shared" si="10"/>
        <v>0</v>
      </c>
      <c r="BR19" s="39"/>
      <c r="BS19" s="39"/>
      <c r="BT19" s="39"/>
      <c r="BU19" s="39"/>
      <c r="BV19" s="39"/>
      <c r="BW19" s="39"/>
      <c r="BY19" s="46">
        <v>44088</v>
      </c>
      <c r="BZ19" s="46"/>
      <c r="CA19" s="293" t="s">
        <v>538</v>
      </c>
      <c r="CB19" s="248">
        <v>974</v>
      </c>
      <c r="CC19" s="163"/>
      <c r="CD19" s="186">
        <f t="shared" si="4"/>
        <v>974</v>
      </c>
      <c r="CE19" s="73"/>
      <c r="CF19" s="163" t="s">
        <v>9</v>
      </c>
      <c r="CG19" s="73"/>
      <c r="CH19" s="163" t="s">
        <v>173</v>
      </c>
      <c r="CI19" s="46">
        <v>44088</v>
      </c>
      <c r="CK19" s="185">
        <v>43906</v>
      </c>
      <c r="CL19" s="73"/>
      <c r="CM19" s="11" t="s">
        <v>554</v>
      </c>
      <c r="CN19" s="186">
        <v>25.24</v>
      </c>
      <c r="CO19" s="39"/>
      <c r="CP19" s="160">
        <f t="shared" si="12"/>
        <v>25.24</v>
      </c>
      <c r="CQ19" s="160"/>
      <c r="CR19" s="39" t="s">
        <v>3</v>
      </c>
      <c r="CS19" s="73"/>
      <c r="CT19" s="138" t="s">
        <v>45</v>
      </c>
      <c r="CU19" s="89">
        <v>43906</v>
      </c>
      <c r="CY19" s="18"/>
      <c r="CZ19" s="39"/>
      <c r="DA19" s="17"/>
      <c r="DB19" s="39"/>
      <c r="DC19" s="17">
        <f t="shared" si="7"/>
        <v>0</v>
      </c>
      <c r="DD19" s="39"/>
      <c r="DE19" s="17"/>
      <c r="DF19" s="19"/>
      <c r="DG19" s="89"/>
      <c r="DH19" s="20"/>
      <c r="DI19" s="20"/>
    </row>
    <row r="20" spans="1:113" ht="15.75" customHeight="1" thickBot="1" x14ac:dyDescent="0.4">
      <c r="A20" s="228" t="s">
        <v>145</v>
      </c>
      <c r="B20" s="366"/>
      <c r="C20" s="45"/>
      <c r="E20" s="185">
        <v>43995</v>
      </c>
      <c r="F20" s="73"/>
      <c r="G20" s="138" t="s">
        <v>428</v>
      </c>
      <c r="H20" s="186">
        <v>49.95</v>
      </c>
      <c r="I20" s="186"/>
      <c r="J20" s="186">
        <f t="shared" si="0"/>
        <v>49.95</v>
      </c>
      <c r="K20" s="186"/>
      <c r="L20" s="138" t="s">
        <v>6</v>
      </c>
      <c r="M20" s="73"/>
      <c r="N20" s="138" t="s">
        <v>45</v>
      </c>
      <c r="O20" s="185">
        <v>43995</v>
      </c>
      <c r="P20" s="15"/>
      <c r="Q20" s="185">
        <v>43958</v>
      </c>
      <c r="R20" s="73"/>
      <c r="S20" s="11" t="s">
        <v>480</v>
      </c>
      <c r="T20" s="186">
        <v>38.04</v>
      </c>
      <c r="U20" s="11">
        <v>3.23</v>
      </c>
      <c r="V20" s="186">
        <f t="shared" si="11"/>
        <v>41.269999999999996</v>
      </c>
      <c r="W20" s="186"/>
      <c r="X20" s="11" t="s">
        <v>13</v>
      </c>
      <c r="Y20" s="73"/>
      <c r="Z20" s="39" t="s">
        <v>45</v>
      </c>
      <c r="AA20" s="69">
        <v>44018</v>
      </c>
      <c r="AC20" s="185"/>
      <c r="AD20" s="11"/>
      <c r="AE20" s="186"/>
      <c r="AF20" s="11"/>
      <c r="AG20" s="186">
        <f t="shared" si="9"/>
        <v>0</v>
      </c>
      <c r="AH20" s="11"/>
      <c r="AI20" s="11"/>
      <c r="AJ20" s="11"/>
      <c r="AK20" s="11"/>
      <c r="AL20" s="39"/>
      <c r="AM20" s="11"/>
      <c r="AO20" s="185"/>
      <c r="AP20" s="11"/>
      <c r="AQ20" s="186"/>
      <c r="AR20" s="11"/>
      <c r="AS20" s="186">
        <f t="shared" si="8"/>
        <v>0</v>
      </c>
      <c r="AT20" s="186"/>
      <c r="AU20" s="186"/>
      <c r="AV20" s="11"/>
      <c r="AW20" s="11"/>
      <c r="AX20" s="39"/>
      <c r="AY20" s="11"/>
      <c r="BA20" s="185">
        <v>43921</v>
      </c>
      <c r="BB20" s="73"/>
      <c r="BC20" s="73" t="s">
        <v>516</v>
      </c>
      <c r="BD20" s="11" t="s">
        <v>65</v>
      </c>
      <c r="BE20" s="186">
        <v>130.29</v>
      </c>
      <c r="BF20" s="11"/>
      <c r="BG20" s="186">
        <f t="shared" si="3"/>
        <v>130.29</v>
      </c>
      <c r="BH20" s="11" t="s">
        <v>3</v>
      </c>
      <c r="BI20" s="73"/>
      <c r="BJ20" s="39" t="s">
        <v>56</v>
      </c>
      <c r="BK20" s="69">
        <v>43998</v>
      </c>
      <c r="BM20" s="185"/>
      <c r="BN20" s="39"/>
      <c r="BO20" s="186"/>
      <c r="BP20" s="39"/>
      <c r="BQ20" s="186">
        <f t="shared" si="10"/>
        <v>0</v>
      </c>
      <c r="BR20" s="39"/>
      <c r="BS20" s="39"/>
      <c r="BT20" s="39"/>
      <c r="BU20" s="39"/>
      <c r="BV20" s="39"/>
      <c r="BW20" s="39"/>
      <c r="BY20" s="271">
        <v>43892</v>
      </c>
      <c r="BZ20" s="271"/>
      <c r="CA20" s="293" t="s">
        <v>539</v>
      </c>
      <c r="CB20" s="272">
        <v>36</v>
      </c>
      <c r="CC20" s="73"/>
      <c r="CD20" s="186">
        <f t="shared" si="4"/>
        <v>36</v>
      </c>
      <c r="CE20" s="73"/>
      <c r="CF20" s="73" t="s">
        <v>3</v>
      </c>
      <c r="CG20" s="73"/>
      <c r="CH20" s="73" t="s">
        <v>45</v>
      </c>
      <c r="CI20" s="271">
        <v>43892</v>
      </c>
      <c r="CK20" s="185">
        <v>44014</v>
      </c>
      <c r="CL20" s="73"/>
      <c r="CM20" s="11" t="s">
        <v>555</v>
      </c>
      <c r="CN20" s="186">
        <v>22.53</v>
      </c>
      <c r="CO20" s="39">
        <v>0.47</v>
      </c>
      <c r="CP20" s="186">
        <f t="shared" si="12"/>
        <v>23</v>
      </c>
      <c r="CQ20" s="186"/>
      <c r="CR20" s="39" t="s">
        <v>7</v>
      </c>
      <c r="CS20" s="73"/>
      <c r="CT20" s="138" t="s">
        <v>45</v>
      </c>
      <c r="CU20" s="89">
        <v>44014</v>
      </c>
      <c r="CY20" s="18"/>
      <c r="CZ20" s="39"/>
      <c r="DA20" s="17"/>
      <c r="DB20" s="39"/>
      <c r="DC20" s="17">
        <f t="shared" si="7"/>
        <v>0</v>
      </c>
      <c r="DD20" s="39"/>
      <c r="DE20" s="17"/>
      <c r="DF20" s="19"/>
      <c r="DG20" s="89"/>
      <c r="DH20" s="20"/>
      <c r="DI20" s="20"/>
    </row>
    <row r="21" spans="1:113" ht="15" customHeight="1" x14ac:dyDescent="0.35">
      <c r="A21" s="90"/>
      <c r="C21" s="43"/>
      <c r="E21" s="185">
        <v>43994</v>
      </c>
      <c r="F21" s="73"/>
      <c r="G21" s="138" t="s">
        <v>429</v>
      </c>
      <c r="H21" s="39">
        <v>79.8</v>
      </c>
      <c r="I21" s="39">
        <v>1.68</v>
      </c>
      <c r="J21" s="186">
        <f t="shared" si="0"/>
        <v>81.48</v>
      </c>
      <c r="K21" s="39"/>
      <c r="L21" s="39" t="s">
        <v>6</v>
      </c>
      <c r="M21" s="73"/>
      <c r="N21" s="39" t="s">
        <v>79</v>
      </c>
      <c r="O21" s="89">
        <v>43994</v>
      </c>
      <c r="P21" s="15"/>
      <c r="Q21" s="185">
        <v>44012</v>
      </c>
      <c r="R21" s="73"/>
      <c r="S21" s="11" t="s">
        <v>481</v>
      </c>
      <c r="T21" s="186">
        <v>84.09</v>
      </c>
      <c r="U21" s="11">
        <v>7.15</v>
      </c>
      <c r="V21" s="186">
        <f t="shared" si="11"/>
        <v>91.240000000000009</v>
      </c>
      <c r="W21" s="186"/>
      <c r="X21" s="11" t="s">
        <v>6</v>
      </c>
      <c r="Y21" s="73"/>
      <c r="Z21" s="39" t="s">
        <v>56</v>
      </c>
      <c r="AA21" s="69">
        <v>44055</v>
      </c>
      <c r="AC21" s="185"/>
      <c r="AD21" s="11"/>
      <c r="AE21" s="186"/>
      <c r="AF21" s="11"/>
      <c r="AG21" s="186">
        <f t="shared" si="9"/>
        <v>0</v>
      </c>
      <c r="AH21" s="11"/>
      <c r="AI21" s="11"/>
      <c r="AJ21" s="11"/>
      <c r="AK21" s="11"/>
      <c r="AL21" s="39"/>
      <c r="AM21" s="11"/>
      <c r="AO21" s="185"/>
      <c r="AP21" s="11"/>
      <c r="AQ21" s="186"/>
      <c r="AR21" s="11"/>
      <c r="AS21" s="186">
        <f t="shared" si="8"/>
        <v>0</v>
      </c>
      <c r="AT21" s="186"/>
      <c r="AU21" s="186"/>
      <c r="AV21" s="11"/>
      <c r="AW21" s="11"/>
      <c r="AX21" s="39"/>
      <c r="AY21" s="11"/>
      <c r="BA21" s="185"/>
      <c r="BB21" s="11"/>
      <c r="BC21" s="73"/>
      <c r="BD21" s="11"/>
      <c r="BE21" s="11"/>
      <c r="BF21" s="11"/>
      <c r="BG21" s="186">
        <f t="shared" ref="BG21:BG67" si="13">BC21+BD21</f>
        <v>0</v>
      </c>
      <c r="BH21" s="11"/>
      <c r="BI21" s="11"/>
      <c r="BJ21" s="39"/>
      <c r="BK21" s="11"/>
      <c r="BM21" s="185"/>
      <c r="BN21" s="39"/>
      <c r="BO21" s="186"/>
      <c r="BP21" s="39"/>
      <c r="BQ21" s="186">
        <f t="shared" si="10"/>
        <v>0</v>
      </c>
      <c r="BR21" s="39"/>
      <c r="BS21" s="39"/>
      <c r="BT21" s="39"/>
      <c r="BU21" s="39"/>
      <c r="BV21" s="39"/>
      <c r="BW21" s="39"/>
      <c r="BY21" s="73"/>
      <c r="BZ21" s="73"/>
      <c r="CA21" s="73"/>
      <c r="CB21" s="73"/>
      <c r="CC21" s="272"/>
      <c r="CD21" s="73"/>
      <c r="CE21" s="186">
        <f t="shared" ref="CE21:CE67" si="14">CC21+CD21</f>
        <v>0</v>
      </c>
      <c r="CF21" s="73"/>
      <c r="CG21" s="73"/>
      <c r="CH21" s="73"/>
      <c r="CI21" s="73"/>
      <c r="CK21" s="185">
        <v>43999</v>
      </c>
      <c r="CL21" s="73"/>
      <c r="CM21" s="11" t="s">
        <v>556</v>
      </c>
      <c r="CN21" s="186">
        <v>24</v>
      </c>
      <c r="CO21" s="39"/>
      <c r="CP21" s="186">
        <f t="shared" si="12"/>
        <v>24</v>
      </c>
      <c r="CQ21" s="186"/>
      <c r="CR21" s="39" t="s">
        <v>6</v>
      </c>
      <c r="CS21" s="73"/>
      <c r="CT21" s="138" t="s">
        <v>45</v>
      </c>
      <c r="CU21" s="89">
        <v>43999</v>
      </c>
      <c r="CY21" s="18"/>
      <c r="CZ21" s="39"/>
      <c r="DA21" s="17"/>
      <c r="DB21" s="39"/>
      <c r="DC21" s="17">
        <f t="shared" si="7"/>
        <v>0</v>
      </c>
      <c r="DD21" s="39"/>
      <c r="DE21" s="17"/>
      <c r="DF21" s="19"/>
      <c r="DG21" s="89"/>
      <c r="DH21" s="20"/>
      <c r="DI21" s="20"/>
    </row>
    <row r="22" spans="1:113" ht="15" customHeight="1" x14ac:dyDescent="0.35">
      <c r="A22" s="90"/>
      <c r="B22" s="231"/>
      <c r="C22" s="43"/>
      <c r="E22" s="185">
        <v>43991</v>
      </c>
      <c r="F22" s="73"/>
      <c r="G22" s="138" t="s">
        <v>430</v>
      </c>
      <c r="H22" s="39">
        <v>319.63</v>
      </c>
      <c r="I22" s="39">
        <v>6.62</v>
      </c>
      <c r="J22" s="186">
        <f t="shared" si="0"/>
        <v>326.25</v>
      </c>
      <c r="K22" s="39"/>
      <c r="L22" s="39" t="s">
        <v>6</v>
      </c>
      <c r="M22" s="73"/>
      <c r="N22" s="39" t="s">
        <v>45</v>
      </c>
      <c r="O22" s="89">
        <v>43992</v>
      </c>
      <c r="P22" s="15"/>
      <c r="Q22" s="18">
        <v>43891</v>
      </c>
      <c r="R22" s="73"/>
      <c r="S22" s="11" t="s">
        <v>482</v>
      </c>
      <c r="T22" s="17">
        <v>48.4</v>
      </c>
      <c r="U22" s="17">
        <v>4.1100000000000003</v>
      </c>
      <c r="V22" s="17">
        <f t="shared" si="11"/>
        <v>52.51</v>
      </c>
      <c r="W22" s="17"/>
      <c r="X22" s="17" t="s">
        <v>3</v>
      </c>
      <c r="Y22" s="73"/>
      <c r="Z22" s="297" t="s">
        <v>56</v>
      </c>
      <c r="AA22" s="18">
        <v>44041</v>
      </c>
      <c r="AC22" s="185"/>
      <c r="AD22" s="11"/>
      <c r="AE22" s="186"/>
      <c r="AF22" s="11"/>
      <c r="AG22" s="186">
        <f t="shared" si="9"/>
        <v>0</v>
      </c>
      <c r="AH22" s="11"/>
      <c r="AI22" s="11"/>
      <c r="AJ22" s="11"/>
      <c r="AK22" s="11"/>
      <c r="AL22" s="39"/>
      <c r="AM22" s="11"/>
      <c r="AO22" s="185"/>
      <c r="AP22" s="11"/>
      <c r="AQ22" s="186"/>
      <c r="AR22" s="11"/>
      <c r="AS22" s="186">
        <f t="shared" si="8"/>
        <v>0</v>
      </c>
      <c r="AT22" s="186"/>
      <c r="AU22" s="186"/>
      <c r="AV22" s="11"/>
      <c r="AW22" s="11"/>
      <c r="AX22" s="39"/>
      <c r="AY22" s="11"/>
      <c r="BA22" s="185"/>
      <c r="BB22" s="11"/>
      <c r="BC22" s="73"/>
      <c r="BD22" s="11"/>
      <c r="BE22" s="11"/>
      <c r="BF22" s="11"/>
      <c r="BG22" s="186">
        <f t="shared" si="13"/>
        <v>0</v>
      </c>
      <c r="BH22" s="11"/>
      <c r="BI22" s="11"/>
      <c r="BJ22" s="39"/>
      <c r="BK22" s="11"/>
      <c r="BM22" s="185"/>
      <c r="BN22" s="39"/>
      <c r="BO22" s="186"/>
      <c r="BP22" s="39"/>
      <c r="BQ22" s="186">
        <f t="shared" si="10"/>
        <v>0</v>
      </c>
      <c r="BR22" s="39"/>
      <c r="BS22" s="39"/>
      <c r="BT22" s="39"/>
      <c r="BU22" s="39"/>
      <c r="BV22" s="39"/>
      <c r="BW22" s="39"/>
      <c r="BY22" s="73"/>
      <c r="BZ22" s="73"/>
      <c r="CA22" s="73"/>
      <c r="CB22" s="73"/>
      <c r="CC22" s="272"/>
      <c r="CD22" s="73"/>
      <c r="CE22" s="186">
        <f t="shared" si="14"/>
        <v>0</v>
      </c>
      <c r="CF22" s="73"/>
      <c r="CG22" s="73"/>
      <c r="CH22" s="73"/>
      <c r="CI22" s="73"/>
      <c r="CK22" s="185">
        <v>43999</v>
      </c>
      <c r="CL22" s="73"/>
      <c r="CM22" s="11" t="s">
        <v>557</v>
      </c>
      <c r="CN22" s="186">
        <v>41.56</v>
      </c>
      <c r="CO22" s="39"/>
      <c r="CP22" s="186">
        <f t="shared" si="12"/>
        <v>41.56</v>
      </c>
      <c r="CQ22" s="186"/>
      <c r="CR22" s="39" t="s">
        <v>6</v>
      </c>
      <c r="CS22" s="73"/>
      <c r="CT22" s="138" t="s">
        <v>45</v>
      </c>
      <c r="CU22" s="89">
        <v>43999</v>
      </c>
      <c r="CY22" s="185"/>
      <c r="CZ22" s="39"/>
      <c r="DA22" s="186"/>
      <c r="DB22" s="39"/>
      <c r="DC22" s="186">
        <f t="shared" si="7"/>
        <v>0</v>
      </c>
      <c r="DD22" s="39"/>
      <c r="DE22" s="186"/>
      <c r="DF22" s="138"/>
      <c r="DG22" s="89"/>
      <c r="DH22" s="73"/>
      <c r="DI22" s="73"/>
    </row>
    <row r="23" spans="1:113" ht="15" customHeight="1" x14ac:dyDescent="0.35">
      <c r="A23" s="90"/>
      <c r="B23" s="231"/>
      <c r="C23" s="43"/>
      <c r="E23" s="185">
        <v>43990</v>
      </c>
      <c r="F23" s="73"/>
      <c r="G23" s="138" t="s">
        <v>431</v>
      </c>
      <c r="H23" s="39">
        <v>9.2200000000000006</v>
      </c>
      <c r="I23" s="39">
        <v>0.78</v>
      </c>
      <c r="J23" s="186">
        <f t="shared" si="0"/>
        <v>10</v>
      </c>
      <c r="K23" s="39"/>
      <c r="L23" s="39" t="s">
        <v>6</v>
      </c>
      <c r="M23" s="73"/>
      <c r="N23" s="39" t="s">
        <v>79</v>
      </c>
      <c r="O23" s="89">
        <v>43986</v>
      </c>
      <c r="P23" s="15"/>
      <c r="Q23" s="185">
        <v>43945</v>
      </c>
      <c r="R23" s="73"/>
      <c r="S23" s="11" t="s">
        <v>483</v>
      </c>
      <c r="T23" s="186">
        <v>68.36</v>
      </c>
      <c r="U23" s="186"/>
      <c r="V23" s="186">
        <f t="shared" si="11"/>
        <v>68.36</v>
      </c>
      <c r="W23" s="186"/>
      <c r="X23" s="186" t="s">
        <v>4</v>
      </c>
      <c r="Y23" s="73"/>
      <c r="Z23" s="138" t="s">
        <v>60</v>
      </c>
      <c r="AA23" s="185">
        <v>43945</v>
      </c>
      <c r="AC23" s="185"/>
      <c r="AD23" s="11"/>
      <c r="AE23" s="186"/>
      <c r="AF23" s="11"/>
      <c r="AG23" s="186">
        <f t="shared" si="9"/>
        <v>0</v>
      </c>
      <c r="AH23" s="11"/>
      <c r="AI23" s="11"/>
      <c r="AJ23" s="11"/>
      <c r="AK23" s="11"/>
      <c r="AL23" s="39"/>
      <c r="AM23" s="11"/>
      <c r="AO23" s="185"/>
      <c r="AP23" s="11"/>
      <c r="AQ23" s="186"/>
      <c r="AR23" s="11"/>
      <c r="AS23" s="186">
        <f t="shared" si="8"/>
        <v>0</v>
      </c>
      <c r="AT23" s="186"/>
      <c r="AU23" s="186"/>
      <c r="AV23" s="11"/>
      <c r="AW23" s="11"/>
      <c r="AX23" s="39"/>
      <c r="AY23" s="11"/>
      <c r="BA23" s="185"/>
      <c r="BB23" s="11"/>
      <c r="BC23" s="73"/>
      <c r="BD23" s="11"/>
      <c r="BE23" s="11"/>
      <c r="BF23" s="11"/>
      <c r="BG23" s="186">
        <f t="shared" si="13"/>
        <v>0</v>
      </c>
      <c r="BH23" s="11"/>
      <c r="BI23" s="11"/>
      <c r="BJ23" s="39"/>
      <c r="BK23" s="11"/>
      <c r="BM23" s="185"/>
      <c r="BN23" s="39"/>
      <c r="BO23" s="186"/>
      <c r="BP23" s="39"/>
      <c r="BQ23" s="186">
        <f t="shared" si="10"/>
        <v>0</v>
      </c>
      <c r="BR23" s="39"/>
      <c r="BS23" s="39"/>
      <c r="BT23" s="39"/>
      <c r="BU23" s="39"/>
      <c r="BV23" s="39"/>
      <c r="BW23" s="39"/>
      <c r="BY23" s="73"/>
      <c r="BZ23" s="73"/>
      <c r="CA23" s="73"/>
      <c r="CB23" s="73"/>
      <c r="CC23" s="272"/>
      <c r="CD23" s="73"/>
      <c r="CE23" s="186">
        <f t="shared" si="14"/>
        <v>0</v>
      </c>
      <c r="CF23" s="73"/>
      <c r="CG23" s="73"/>
      <c r="CH23" s="73"/>
      <c r="CI23" s="73"/>
      <c r="CK23" s="46">
        <v>43998</v>
      </c>
      <c r="CL23" s="73"/>
      <c r="CM23" s="11" t="s">
        <v>558</v>
      </c>
      <c r="CN23" s="186">
        <v>5.29</v>
      </c>
      <c r="CO23" s="163">
        <v>0.11</v>
      </c>
      <c r="CP23" s="186">
        <f t="shared" si="12"/>
        <v>5.4</v>
      </c>
      <c r="CQ23" s="186"/>
      <c r="CR23" s="39" t="s">
        <v>6</v>
      </c>
      <c r="CS23" s="73"/>
      <c r="CT23" s="138" t="s">
        <v>45</v>
      </c>
      <c r="CU23" s="89">
        <v>43998</v>
      </c>
      <c r="CY23" s="185"/>
      <c r="CZ23" s="39"/>
      <c r="DA23" s="186"/>
      <c r="DB23" s="39"/>
      <c r="DC23" s="186">
        <f t="shared" si="7"/>
        <v>0</v>
      </c>
      <c r="DD23" s="39"/>
      <c r="DE23" s="186"/>
      <c r="DF23" s="138"/>
      <c r="DG23" s="89"/>
      <c r="DH23" s="73"/>
      <c r="DI23" s="73"/>
    </row>
    <row r="24" spans="1:113" ht="15" customHeight="1" x14ac:dyDescent="0.35">
      <c r="A24" s="90"/>
      <c r="B24" s="231"/>
      <c r="C24" s="43"/>
      <c r="E24" s="185">
        <v>43985</v>
      </c>
      <c r="F24" s="73"/>
      <c r="G24" s="138" t="s">
        <v>432</v>
      </c>
      <c r="H24" s="39">
        <v>79</v>
      </c>
      <c r="I24" s="39"/>
      <c r="J24" s="186">
        <f t="shared" si="0"/>
        <v>79</v>
      </c>
      <c r="K24" s="39"/>
      <c r="L24" s="39" t="s">
        <v>6</v>
      </c>
      <c r="M24" s="73"/>
      <c r="N24" s="39" t="s">
        <v>45</v>
      </c>
      <c r="O24" s="89">
        <v>43985</v>
      </c>
      <c r="P24" s="15"/>
      <c r="Q24" s="185">
        <v>43913</v>
      </c>
      <c r="R24" s="73"/>
      <c r="S24" s="11" t="s">
        <v>484</v>
      </c>
      <c r="T24" s="186">
        <v>68.36</v>
      </c>
      <c r="U24" s="186"/>
      <c r="V24" s="186">
        <f t="shared" si="11"/>
        <v>68.36</v>
      </c>
      <c r="W24" s="186"/>
      <c r="X24" s="186" t="s">
        <v>3</v>
      </c>
      <c r="Y24" s="73"/>
      <c r="Z24" s="186" t="s">
        <v>60</v>
      </c>
      <c r="AA24" s="185">
        <v>43913</v>
      </c>
      <c r="AC24" s="185"/>
      <c r="AD24" s="11"/>
      <c r="AE24" s="186"/>
      <c r="AF24" s="11"/>
      <c r="AG24" s="186">
        <f t="shared" si="9"/>
        <v>0</v>
      </c>
      <c r="AH24" s="11"/>
      <c r="AI24" s="11"/>
      <c r="AJ24" s="11"/>
      <c r="AK24" s="11"/>
      <c r="AL24" s="39"/>
      <c r="AM24" s="11"/>
      <c r="AO24" s="185"/>
      <c r="AP24" s="11"/>
      <c r="AQ24" s="186"/>
      <c r="AR24" s="11"/>
      <c r="AS24" s="186">
        <f t="shared" si="8"/>
        <v>0</v>
      </c>
      <c r="AT24" s="186"/>
      <c r="AU24" s="186"/>
      <c r="AV24" s="11"/>
      <c r="AW24" s="11"/>
      <c r="AX24" s="39"/>
      <c r="AY24" s="11"/>
      <c r="BA24" s="185"/>
      <c r="BB24" s="11"/>
      <c r="BC24" s="73"/>
      <c r="BD24" s="11"/>
      <c r="BE24" s="11"/>
      <c r="BF24" s="11"/>
      <c r="BG24" s="186">
        <f t="shared" si="13"/>
        <v>0</v>
      </c>
      <c r="BH24" s="11"/>
      <c r="BI24" s="11"/>
      <c r="BJ24" s="39"/>
      <c r="BK24" s="11"/>
      <c r="BM24" s="185"/>
      <c r="BN24" s="39"/>
      <c r="BO24" s="186"/>
      <c r="BP24" s="39"/>
      <c r="BQ24" s="186">
        <f t="shared" si="10"/>
        <v>0</v>
      </c>
      <c r="BR24" s="39"/>
      <c r="BS24" s="39"/>
      <c r="BT24" s="39"/>
      <c r="BU24" s="39"/>
      <c r="BV24" s="39"/>
      <c r="BW24" s="39"/>
      <c r="BY24" s="73"/>
      <c r="BZ24" s="73"/>
      <c r="CA24" s="73"/>
      <c r="CB24" s="73"/>
      <c r="CC24" s="272"/>
      <c r="CD24" s="73"/>
      <c r="CE24" s="186">
        <f t="shared" si="14"/>
        <v>0</v>
      </c>
      <c r="CF24" s="73"/>
      <c r="CG24" s="73"/>
      <c r="CH24" s="73"/>
      <c r="CI24" s="73"/>
      <c r="CK24" s="185">
        <v>43998</v>
      </c>
      <c r="CL24" s="73"/>
      <c r="CM24" s="11" t="s">
        <v>559</v>
      </c>
      <c r="CN24" s="186">
        <v>22.53</v>
      </c>
      <c r="CO24" s="39">
        <v>0.47</v>
      </c>
      <c r="CP24" s="186">
        <f t="shared" si="12"/>
        <v>23</v>
      </c>
      <c r="CQ24" s="186"/>
      <c r="CR24" s="39" t="s">
        <v>6</v>
      </c>
      <c r="CS24" s="73"/>
      <c r="CT24" s="138" t="s">
        <v>45</v>
      </c>
      <c r="CU24" s="89">
        <v>43998</v>
      </c>
      <c r="CY24" s="185"/>
      <c r="CZ24" s="39"/>
      <c r="DA24" s="186"/>
      <c r="DB24" s="39"/>
      <c r="DC24" s="186">
        <f t="shared" si="7"/>
        <v>0</v>
      </c>
      <c r="DD24" s="39"/>
      <c r="DE24" s="186"/>
      <c r="DF24" s="138"/>
      <c r="DG24" s="89"/>
      <c r="DH24" s="73"/>
      <c r="DI24" s="73"/>
    </row>
    <row r="25" spans="1:113" ht="15" customHeight="1" x14ac:dyDescent="0.35">
      <c r="A25" s="229"/>
      <c r="B25" s="231"/>
      <c r="C25" s="43"/>
      <c r="E25" s="185">
        <v>43974</v>
      </c>
      <c r="F25" s="73"/>
      <c r="G25" s="138" t="s">
        <v>433</v>
      </c>
      <c r="H25" s="39">
        <v>3.49</v>
      </c>
      <c r="I25" s="39"/>
      <c r="J25" s="186">
        <f t="shared" si="0"/>
        <v>3.49</v>
      </c>
      <c r="K25" s="39"/>
      <c r="L25" s="39" t="s">
        <v>13</v>
      </c>
      <c r="M25" s="73"/>
      <c r="N25" s="39" t="s">
        <v>54</v>
      </c>
      <c r="O25" s="89">
        <v>43971</v>
      </c>
      <c r="P25" s="15"/>
      <c r="Q25" s="280">
        <v>43862</v>
      </c>
      <c r="R25" s="73"/>
      <c r="S25" s="11" t="s">
        <v>485</v>
      </c>
      <c r="T25" s="17">
        <v>44.53</v>
      </c>
      <c r="U25" s="17">
        <v>3.79</v>
      </c>
      <c r="V25" s="17">
        <f t="shared" si="11"/>
        <v>48.32</v>
      </c>
      <c r="W25" s="17"/>
      <c r="X25" s="11" t="s">
        <v>57</v>
      </c>
      <c r="Y25" s="73"/>
      <c r="Z25" s="297" t="s">
        <v>56</v>
      </c>
      <c r="AA25" s="18">
        <v>44041</v>
      </c>
      <c r="AC25" s="185"/>
      <c r="AD25" s="11"/>
      <c r="AE25" s="186"/>
      <c r="AF25" s="11"/>
      <c r="AG25" s="186">
        <f t="shared" si="9"/>
        <v>0</v>
      </c>
      <c r="AH25" s="11"/>
      <c r="AI25" s="11"/>
      <c r="AJ25" s="11"/>
      <c r="AK25" s="11"/>
      <c r="AL25" s="39"/>
      <c r="AM25" s="11"/>
      <c r="AO25" s="185"/>
      <c r="AP25" s="11"/>
      <c r="AQ25" s="186"/>
      <c r="AR25" s="11"/>
      <c r="AS25" s="186">
        <f t="shared" si="8"/>
        <v>0</v>
      </c>
      <c r="AT25" s="186"/>
      <c r="AU25" s="186"/>
      <c r="AV25" s="11"/>
      <c r="AW25" s="11"/>
      <c r="AX25" s="39"/>
      <c r="AY25" s="11"/>
      <c r="BA25" s="185"/>
      <c r="BB25" s="11"/>
      <c r="BC25" s="73"/>
      <c r="BD25" s="11"/>
      <c r="BE25" s="11"/>
      <c r="BF25" s="11"/>
      <c r="BG25" s="186">
        <f t="shared" si="13"/>
        <v>0</v>
      </c>
      <c r="BH25" s="11"/>
      <c r="BI25" s="11"/>
      <c r="BJ25" s="39"/>
      <c r="BK25" s="11"/>
      <c r="BM25" s="185"/>
      <c r="BN25" s="39"/>
      <c r="BO25" s="186"/>
      <c r="BP25" s="39"/>
      <c r="BQ25" s="186">
        <f t="shared" si="10"/>
        <v>0</v>
      </c>
      <c r="BR25" s="39"/>
      <c r="BS25" s="39"/>
      <c r="BT25" s="39"/>
      <c r="BU25" s="39"/>
      <c r="BV25" s="39"/>
      <c r="BW25" s="39"/>
      <c r="BY25" s="73"/>
      <c r="BZ25" s="73"/>
      <c r="CA25" s="73"/>
      <c r="CB25" s="73"/>
      <c r="CC25" s="272"/>
      <c r="CD25" s="73"/>
      <c r="CE25" s="186">
        <f t="shared" si="14"/>
        <v>0</v>
      </c>
      <c r="CF25" s="73"/>
      <c r="CG25" s="73"/>
      <c r="CH25" s="73"/>
      <c r="CI25" s="73"/>
      <c r="CK25" s="185">
        <v>43991</v>
      </c>
      <c r="CL25" s="73"/>
      <c r="CM25" s="11" t="s">
        <v>560</v>
      </c>
      <c r="CN25" s="186">
        <v>4.0199999999999996</v>
      </c>
      <c r="CO25" s="39">
        <v>0.08</v>
      </c>
      <c r="CP25" s="186">
        <f t="shared" si="12"/>
        <v>4.0999999999999996</v>
      </c>
      <c r="CQ25" s="186"/>
      <c r="CR25" s="39" t="s">
        <v>6</v>
      </c>
      <c r="CS25" s="73"/>
      <c r="CT25" s="138" t="s">
        <v>45</v>
      </c>
      <c r="CU25" s="89">
        <v>43991</v>
      </c>
      <c r="CY25" s="185"/>
      <c r="CZ25" s="39"/>
      <c r="DA25" s="186"/>
      <c r="DB25" s="39"/>
      <c r="DC25" s="186">
        <f t="shared" si="7"/>
        <v>0</v>
      </c>
      <c r="DD25" s="39"/>
      <c r="DE25" s="186"/>
      <c r="DF25" s="138"/>
      <c r="DG25" s="89"/>
      <c r="DH25" s="73"/>
      <c r="DI25" s="73"/>
    </row>
    <row r="26" spans="1:113" ht="15" customHeight="1" x14ac:dyDescent="0.35">
      <c r="A26" s="229"/>
      <c r="B26" s="231"/>
      <c r="C26" s="43"/>
      <c r="E26" s="185">
        <v>43971</v>
      </c>
      <c r="F26" s="73"/>
      <c r="G26" s="138" t="s">
        <v>434</v>
      </c>
      <c r="H26" s="11">
        <v>2.94</v>
      </c>
      <c r="I26" s="11">
        <v>0.59</v>
      </c>
      <c r="J26" s="186">
        <f t="shared" si="0"/>
        <v>3.53</v>
      </c>
      <c r="K26" s="11"/>
      <c r="L26" s="11" t="s">
        <v>13</v>
      </c>
      <c r="M26" s="73"/>
      <c r="N26" s="39" t="s">
        <v>45</v>
      </c>
      <c r="O26" s="69">
        <v>43971</v>
      </c>
      <c r="P26" s="15"/>
      <c r="Q26" s="185">
        <v>43897</v>
      </c>
      <c r="R26" s="73"/>
      <c r="S26" s="11" t="s">
        <v>486</v>
      </c>
      <c r="T26" s="186">
        <v>46.43</v>
      </c>
      <c r="U26" s="11"/>
      <c r="V26" s="186">
        <f t="shared" si="11"/>
        <v>46.43</v>
      </c>
      <c r="W26" s="186"/>
      <c r="X26" s="11" t="s">
        <v>3</v>
      </c>
      <c r="Y26" s="73"/>
      <c r="Z26" s="39" t="s">
        <v>60</v>
      </c>
      <c r="AA26" s="69">
        <v>43897</v>
      </c>
      <c r="AC26" s="185"/>
      <c r="AD26" s="11"/>
      <c r="AE26" s="186"/>
      <c r="AF26" s="11"/>
      <c r="AG26" s="186">
        <f t="shared" si="9"/>
        <v>0</v>
      </c>
      <c r="AH26" s="11"/>
      <c r="AI26" s="11"/>
      <c r="AJ26" s="11"/>
      <c r="AK26" s="11"/>
      <c r="AL26" s="39"/>
      <c r="AM26" s="11"/>
      <c r="AO26" s="185"/>
      <c r="AP26" s="11"/>
      <c r="AQ26" s="186"/>
      <c r="AR26" s="11"/>
      <c r="AS26" s="186">
        <f t="shared" si="8"/>
        <v>0</v>
      </c>
      <c r="AT26" s="186"/>
      <c r="AU26" s="186"/>
      <c r="AV26" s="11"/>
      <c r="AW26" s="11"/>
      <c r="AX26" s="39"/>
      <c r="AY26" s="11"/>
      <c r="BA26" s="185"/>
      <c r="BB26" s="11"/>
      <c r="BC26" s="73"/>
      <c r="BD26" s="11"/>
      <c r="BE26" s="11"/>
      <c r="BF26" s="11"/>
      <c r="BG26" s="186">
        <f t="shared" si="13"/>
        <v>0</v>
      </c>
      <c r="BH26" s="11"/>
      <c r="BI26" s="11"/>
      <c r="BJ26" s="39"/>
      <c r="BK26" s="11"/>
      <c r="BM26" s="185"/>
      <c r="BN26" s="39"/>
      <c r="BO26" s="186"/>
      <c r="BP26" s="39"/>
      <c r="BQ26" s="186">
        <f t="shared" si="10"/>
        <v>0</v>
      </c>
      <c r="BR26" s="39"/>
      <c r="BS26" s="39"/>
      <c r="BT26" s="39"/>
      <c r="BU26" s="39"/>
      <c r="BV26" s="39"/>
      <c r="BW26" s="39"/>
      <c r="BY26" s="73"/>
      <c r="BZ26" s="73"/>
      <c r="CA26" s="73"/>
      <c r="CB26" s="73"/>
      <c r="CC26" s="272"/>
      <c r="CD26" s="73"/>
      <c r="CE26" s="186">
        <f t="shared" si="14"/>
        <v>0</v>
      </c>
      <c r="CF26" s="73"/>
      <c r="CG26" s="73"/>
      <c r="CH26" s="73"/>
      <c r="CI26" s="73"/>
      <c r="CK26" s="185">
        <v>43986</v>
      </c>
      <c r="CL26" s="73"/>
      <c r="CM26" s="11" t="s">
        <v>561</v>
      </c>
      <c r="CN26" s="186">
        <v>8.6999999999999993</v>
      </c>
      <c r="CO26" s="186"/>
      <c r="CP26" s="186">
        <f t="shared" si="12"/>
        <v>8.6999999999999993</v>
      </c>
      <c r="CQ26" s="186"/>
      <c r="CR26" s="138" t="s">
        <v>6</v>
      </c>
      <c r="CS26" s="73"/>
      <c r="CT26" s="138" t="s">
        <v>45</v>
      </c>
      <c r="CU26" s="185">
        <v>43986</v>
      </c>
      <c r="CY26" s="185"/>
      <c r="CZ26" s="39"/>
      <c r="DA26" s="186"/>
      <c r="DB26" s="39"/>
      <c r="DC26" s="186">
        <f t="shared" si="7"/>
        <v>0</v>
      </c>
      <c r="DD26" s="39"/>
      <c r="DE26" s="186"/>
      <c r="DF26" s="138"/>
      <c r="DG26" s="89"/>
      <c r="DH26" s="73"/>
      <c r="DI26" s="73"/>
    </row>
    <row r="27" spans="1:113" ht="15" customHeight="1" x14ac:dyDescent="0.35">
      <c r="A27" s="117"/>
      <c r="B27" s="118" t="s">
        <v>86</v>
      </c>
      <c r="C27" s="43"/>
      <c r="E27" s="185">
        <v>43970</v>
      </c>
      <c r="F27" s="73"/>
      <c r="G27" s="138" t="s">
        <v>435</v>
      </c>
      <c r="H27" s="186">
        <v>58.43</v>
      </c>
      <c r="I27" s="186"/>
      <c r="J27" s="186">
        <f t="shared" si="0"/>
        <v>58.43</v>
      </c>
      <c r="K27" s="186"/>
      <c r="L27" s="138" t="s">
        <v>13</v>
      </c>
      <c r="M27" s="73"/>
      <c r="N27" s="138" t="s">
        <v>45</v>
      </c>
      <c r="O27" s="89">
        <v>43970</v>
      </c>
      <c r="P27" s="15"/>
      <c r="Q27" s="18">
        <v>43889</v>
      </c>
      <c r="R27" s="73"/>
      <c r="S27" s="11" t="s">
        <v>487</v>
      </c>
      <c r="T27" s="17">
        <v>68.36</v>
      </c>
      <c r="U27" s="39"/>
      <c r="V27" s="17">
        <f t="shared" si="11"/>
        <v>68.36</v>
      </c>
      <c r="W27" s="17"/>
      <c r="X27" s="39" t="s">
        <v>2</v>
      </c>
      <c r="Y27" s="73"/>
      <c r="Z27" s="39" t="s">
        <v>60</v>
      </c>
      <c r="AA27" s="89">
        <v>43889</v>
      </c>
      <c r="AC27" s="185"/>
      <c r="AD27" s="11"/>
      <c r="AE27" s="186"/>
      <c r="AF27" s="11"/>
      <c r="AG27" s="186">
        <f t="shared" si="9"/>
        <v>0</v>
      </c>
      <c r="AH27" s="11"/>
      <c r="AI27" s="11"/>
      <c r="AJ27" s="11"/>
      <c r="AK27" s="11"/>
      <c r="AL27" s="39"/>
      <c r="AM27" s="11"/>
      <c r="AO27" s="185"/>
      <c r="AP27" s="11"/>
      <c r="AQ27" s="186"/>
      <c r="AR27" s="11"/>
      <c r="AS27" s="186">
        <f t="shared" si="8"/>
        <v>0</v>
      </c>
      <c r="AT27" s="186"/>
      <c r="AU27" s="186"/>
      <c r="AV27" s="11"/>
      <c r="AW27" s="11"/>
      <c r="AX27" s="39"/>
      <c r="AY27" s="11"/>
      <c r="BA27" s="185"/>
      <c r="BB27" s="11"/>
      <c r="BC27" s="73"/>
      <c r="BD27" s="11"/>
      <c r="BE27" s="11"/>
      <c r="BF27" s="11"/>
      <c r="BG27" s="186">
        <f t="shared" si="13"/>
        <v>0</v>
      </c>
      <c r="BH27" s="11"/>
      <c r="BI27" s="11"/>
      <c r="BJ27" s="39"/>
      <c r="BK27" s="11"/>
      <c r="BM27" s="185"/>
      <c r="BN27" s="39"/>
      <c r="BO27" s="186"/>
      <c r="BP27" s="39"/>
      <c r="BQ27" s="186">
        <f t="shared" si="10"/>
        <v>0</v>
      </c>
      <c r="BR27" s="39"/>
      <c r="BS27" s="39"/>
      <c r="BT27" s="39"/>
      <c r="BU27" s="39"/>
      <c r="BV27" s="39"/>
      <c r="BW27" s="39"/>
      <c r="BY27" s="73"/>
      <c r="BZ27" s="73"/>
      <c r="CA27" s="73"/>
      <c r="CB27" s="73"/>
      <c r="CC27" s="272"/>
      <c r="CD27" s="73"/>
      <c r="CE27" s="186">
        <f t="shared" si="14"/>
        <v>0</v>
      </c>
      <c r="CF27" s="73"/>
      <c r="CG27" s="73"/>
      <c r="CH27" s="73"/>
      <c r="CI27" s="73"/>
      <c r="CK27" s="46">
        <v>43986</v>
      </c>
      <c r="CL27" s="73"/>
      <c r="CM27" s="11" t="s">
        <v>562</v>
      </c>
      <c r="CN27" s="186">
        <v>20</v>
      </c>
      <c r="CO27" s="186"/>
      <c r="CP27" s="186">
        <f t="shared" si="12"/>
        <v>20</v>
      </c>
      <c r="CQ27" s="186"/>
      <c r="CR27" s="138" t="s">
        <v>6</v>
      </c>
      <c r="CS27" s="73"/>
      <c r="CT27" s="138" t="s">
        <v>45</v>
      </c>
      <c r="CU27" s="185">
        <v>43986</v>
      </c>
      <c r="CY27" s="185"/>
      <c r="CZ27" s="39"/>
      <c r="DA27" s="186"/>
      <c r="DB27" s="39"/>
      <c r="DC27" s="186">
        <f t="shared" si="7"/>
        <v>0</v>
      </c>
      <c r="DD27" s="39"/>
      <c r="DE27" s="186"/>
      <c r="DF27" s="138"/>
      <c r="DG27" s="89"/>
      <c r="DH27" s="73"/>
      <c r="DI27" s="73"/>
    </row>
    <row r="28" spans="1:113" ht="15" customHeight="1" x14ac:dyDescent="0.35">
      <c r="A28" s="116"/>
      <c r="B28" s="118" t="s">
        <v>99</v>
      </c>
      <c r="C28" s="44"/>
      <c r="E28" s="185">
        <v>43957</v>
      </c>
      <c r="F28" s="73"/>
      <c r="G28" s="138" t="s">
        <v>436</v>
      </c>
      <c r="H28" s="186">
        <v>19.260000000000002</v>
      </c>
      <c r="I28" s="186">
        <v>1.64</v>
      </c>
      <c r="J28" s="186">
        <f t="shared" si="0"/>
        <v>20.900000000000002</v>
      </c>
      <c r="K28" s="186"/>
      <c r="L28" s="138" t="s">
        <v>13</v>
      </c>
      <c r="M28" s="73"/>
      <c r="N28" s="138" t="s">
        <v>54</v>
      </c>
      <c r="O28" s="185">
        <v>43957</v>
      </c>
      <c r="P28" s="15"/>
      <c r="Q28" s="18">
        <v>43831</v>
      </c>
      <c r="R28" s="73"/>
      <c r="S28" s="11" t="s">
        <v>488</v>
      </c>
      <c r="T28" s="17">
        <v>63.56</v>
      </c>
      <c r="U28" s="11"/>
      <c r="V28" s="17">
        <f t="shared" si="11"/>
        <v>63.56</v>
      </c>
      <c r="W28" s="17"/>
      <c r="X28" s="11" t="s">
        <v>1</v>
      </c>
      <c r="Y28" s="73"/>
      <c r="Z28" s="297" t="s">
        <v>56</v>
      </c>
      <c r="AA28" s="18">
        <v>44041</v>
      </c>
      <c r="AC28" s="185"/>
      <c r="AD28" s="11"/>
      <c r="AE28" s="186"/>
      <c r="AF28" s="11"/>
      <c r="AG28" s="186">
        <f t="shared" si="9"/>
        <v>0</v>
      </c>
      <c r="AH28" s="11"/>
      <c r="AI28" s="11"/>
      <c r="AJ28" s="11"/>
      <c r="AK28" s="11"/>
      <c r="AL28" s="39"/>
      <c r="AM28" s="11"/>
      <c r="AO28" s="185"/>
      <c r="AP28" s="11"/>
      <c r="AQ28" s="186"/>
      <c r="AR28" s="11"/>
      <c r="AS28" s="186">
        <f t="shared" si="8"/>
        <v>0</v>
      </c>
      <c r="AT28" s="186"/>
      <c r="AU28" s="186"/>
      <c r="AV28" s="11"/>
      <c r="AW28" s="11"/>
      <c r="AX28" s="39"/>
      <c r="AY28" s="11"/>
      <c r="BA28" s="185"/>
      <c r="BB28" s="11"/>
      <c r="BC28" s="73"/>
      <c r="BD28" s="11"/>
      <c r="BE28" s="11"/>
      <c r="BF28" s="11"/>
      <c r="BG28" s="186">
        <f t="shared" si="13"/>
        <v>0</v>
      </c>
      <c r="BH28" s="11"/>
      <c r="BI28" s="11"/>
      <c r="BJ28" s="39"/>
      <c r="BK28" s="11"/>
      <c r="BM28" s="185"/>
      <c r="BN28" s="39"/>
      <c r="BO28" s="186"/>
      <c r="BP28" s="39"/>
      <c r="BQ28" s="186">
        <f t="shared" si="10"/>
        <v>0</v>
      </c>
      <c r="BR28" s="39"/>
      <c r="BS28" s="39"/>
      <c r="BT28" s="39"/>
      <c r="BU28" s="39"/>
      <c r="BV28" s="39"/>
      <c r="BW28" s="39"/>
      <c r="BY28" s="73"/>
      <c r="BZ28" s="73"/>
      <c r="CA28" s="73"/>
      <c r="CB28" s="73"/>
      <c r="CC28" s="272"/>
      <c r="CD28" s="73"/>
      <c r="CE28" s="186">
        <f t="shared" si="14"/>
        <v>0</v>
      </c>
      <c r="CF28" s="73"/>
      <c r="CG28" s="73"/>
      <c r="CH28" s="73"/>
      <c r="CI28" s="73"/>
      <c r="CK28" s="185">
        <v>43979</v>
      </c>
      <c r="CL28" s="73"/>
      <c r="CM28" s="11" t="s">
        <v>563</v>
      </c>
      <c r="CN28" s="186">
        <v>18</v>
      </c>
      <c r="CO28" s="11"/>
      <c r="CP28" s="186">
        <f t="shared" si="12"/>
        <v>18</v>
      </c>
      <c r="CQ28" s="186"/>
      <c r="CR28" s="11" t="s">
        <v>13</v>
      </c>
      <c r="CS28" s="73"/>
      <c r="CT28" s="39" t="s">
        <v>45</v>
      </c>
      <c r="CU28" s="69">
        <v>43979</v>
      </c>
      <c r="CY28" s="185"/>
      <c r="CZ28" s="39"/>
      <c r="DA28" s="186"/>
      <c r="DB28" s="39"/>
      <c r="DC28" s="186">
        <f t="shared" si="7"/>
        <v>0</v>
      </c>
      <c r="DD28" s="39"/>
      <c r="DE28" s="186"/>
      <c r="DF28" s="138"/>
      <c r="DG28" s="89"/>
      <c r="DH28" s="73"/>
      <c r="DI28" s="73"/>
    </row>
    <row r="29" spans="1:113" ht="15" customHeight="1" x14ac:dyDescent="0.35">
      <c r="A29" s="170" t="s">
        <v>96</v>
      </c>
      <c r="C29" s="44"/>
      <c r="E29" s="185">
        <v>43955</v>
      </c>
      <c r="F29" s="73"/>
      <c r="G29" s="138" t="s">
        <v>437</v>
      </c>
      <c r="H29" s="39">
        <v>20.91</v>
      </c>
      <c r="I29" s="39">
        <v>1.78</v>
      </c>
      <c r="J29" s="186">
        <f t="shared" si="0"/>
        <v>22.69</v>
      </c>
      <c r="K29" s="39"/>
      <c r="L29" s="39" t="s">
        <v>13</v>
      </c>
      <c r="M29" s="73"/>
      <c r="N29" s="39" t="s">
        <v>45</v>
      </c>
      <c r="O29" s="89">
        <v>43955</v>
      </c>
      <c r="P29" s="15"/>
      <c r="Q29" s="18">
        <v>44088</v>
      </c>
      <c r="R29" s="73"/>
      <c r="S29" s="11" t="s">
        <v>489</v>
      </c>
      <c r="T29" s="17">
        <v>60</v>
      </c>
      <c r="U29" s="11">
        <v>5.0999999999999996</v>
      </c>
      <c r="V29" s="17">
        <f t="shared" si="11"/>
        <v>65.099999999999994</v>
      </c>
      <c r="W29" s="17"/>
      <c r="X29" s="11" t="s">
        <v>9</v>
      </c>
      <c r="Y29" s="73"/>
      <c r="Z29" s="39" t="s">
        <v>56</v>
      </c>
      <c r="AA29" s="69">
        <v>44109</v>
      </c>
      <c r="AC29" s="185"/>
      <c r="AD29" s="11"/>
      <c r="AE29" s="186"/>
      <c r="AF29" s="11"/>
      <c r="AG29" s="186">
        <f t="shared" si="9"/>
        <v>0</v>
      </c>
      <c r="AH29" s="11"/>
      <c r="AI29" s="11"/>
      <c r="AJ29" s="11"/>
      <c r="AK29" s="11"/>
      <c r="AL29" s="39"/>
      <c r="AM29" s="11"/>
      <c r="AO29" s="185"/>
      <c r="AP29" s="11"/>
      <c r="AQ29" s="186"/>
      <c r="AR29" s="11"/>
      <c r="AS29" s="186">
        <f t="shared" si="8"/>
        <v>0</v>
      </c>
      <c r="AT29" s="186"/>
      <c r="AU29" s="186"/>
      <c r="AV29" s="11"/>
      <c r="AW29" s="11"/>
      <c r="AX29" s="39"/>
      <c r="AY29" s="11"/>
      <c r="BA29" s="185"/>
      <c r="BB29" s="11"/>
      <c r="BC29" s="73"/>
      <c r="BD29" s="11"/>
      <c r="BE29" s="11"/>
      <c r="BF29" s="11"/>
      <c r="BG29" s="186">
        <f t="shared" si="13"/>
        <v>0</v>
      </c>
      <c r="BH29" s="11"/>
      <c r="BI29" s="11"/>
      <c r="BJ29" s="39"/>
      <c r="BK29" s="11"/>
      <c r="BM29" s="185"/>
      <c r="BN29" s="39"/>
      <c r="BO29" s="186"/>
      <c r="BP29" s="39"/>
      <c r="BQ29" s="186">
        <f t="shared" si="10"/>
        <v>0</v>
      </c>
      <c r="BR29" s="39"/>
      <c r="BS29" s="39"/>
      <c r="BT29" s="39"/>
      <c r="BU29" s="39"/>
      <c r="BV29" s="39"/>
      <c r="BW29" s="39"/>
      <c r="BY29" s="73"/>
      <c r="BZ29" s="73"/>
      <c r="CA29" s="73"/>
      <c r="CB29" s="73"/>
      <c r="CC29" s="272"/>
      <c r="CD29" s="73"/>
      <c r="CE29" s="186">
        <f t="shared" si="14"/>
        <v>0</v>
      </c>
      <c r="CF29" s="73"/>
      <c r="CG29" s="73"/>
      <c r="CH29" s="73"/>
      <c r="CI29" s="73"/>
      <c r="CK29" s="185">
        <v>43971</v>
      </c>
      <c r="CL29" s="73"/>
      <c r="CM29" s="11" t="s">
        <v>564</v>
      </c>
      <c r="CN29" s="186">
        <v>8</v>
      </c>
      <c r="CO29" s="186"/>
      <c r="CP29" s="186">
        <f t="shared" si="12"/>
        <v>8</v>
      </c>
      <c r="CQ29" s="186"/>
      <c r="CR29" s="138" t="s">
        <v>13</v>
      </c>
      <c r="CS29" s="73"/>
      <c r="CT29" s="138" t="s">
        <v>79</v>
      </c>
      <c r="CU29" s="185">
        <v>43971</v>
      </c>
      <c r="CY29" s="185"/>
      <c r="CZ29" s="39"/>
      <c r="DA29" s="186"/>
      <c r="DB29" s="39"/>
      <c r="DC29" s="186">
        <f t="shared" si="7"/>
        <v>0</v>
      </c>
      <c r="DD29" s="39"/>
      <c r="DE29" s="186"/>
      <c r="DF29" s="138"/>
      <c r="DG29" s="89"/>
      <c r="DH29" s="73"/>
      <c r="DI29" s="73"/>
    </row>
    <row r="30" spans="1:113" ht="15" customHeight="1" x14ac:dyDescent="0.35">
      <c r="A30" s="90"/>
      <c r="E30" s="185">
        <v>43955</v>
      </c>
      <c r="F30" s="73"/>
      <c r="G30" s="138" t="s">
        <v>438</v>
      </c>
      <c r="H30" s="39">
        <v>27.65</v>
      </c>
      <c r="I30" s="39">
        <v>2.35</v>
      </c>
      <c r="J30" s="186">
        <f t="shared" si="0"/>
        <v>30</v>
      </c>
      <c r="K30" s="39"/>
      <c r="L30" s="39" t="s">
        <v>13</v>
      </c>
      <c r="M30" s="73"/>
      <c r="N30" s="39" t="s">
        <v>45</v>
      </c>
      <c r="O30" s="89">
        <v>43955</v>
      </c>
      <c r="P30" s="15"/>
      <c r="Q30" s="18">
        <v>43854</v>
      </c>
      <c r="R30" s="73"/>
      <c r="S30" s="11" t="s">
        <v>490</v>
      </c>
      <c r="T30" s="17">
        <v>68.36</v>
      </c>
      <c r="U30" s="11"/>
      <c r="V30" s="17">
        <f t="shared" si="11"/>
        <v>68.36</v>
      </c>
      <c r="W30" s="17"/>
      <c r="X30" s="11" t="s">
        <v>1</v>
      </c>
      <c r="Y30" s="73"/>
      <c r="Z30" s="39" t="s">
        <v>60</v>
      </c>
      <c r="AA30" s="69">
        <v>43854</v>
      </c>
      <c r="AC30" s="185"/>
      <c r="AD30" s="11"/>
      <c r="AE30" s="186"/>
      <c r="AF30" s="11"/>
      <c r="AG30" s="186">
        <f t="shared" si="9"/>
        <v>0</v>
      </c>
      <c r="AH30" s="11"/>
      <c r="AI30" s="11"/>
      <c r="AJ30" s="11"/>
      <c r="AK30" s="11"/>
      <c r="AL30" s="39"/>
      <c r="AM30" s="11"/>
      <c r="AO30" s="185"/>
      <c r="AP30" s="11"/>
      <c r="AQ30" s="186"/>
      <c r="AR30" s="11"/>
      <c r="AS30" s="186">
        <f t="shared" si="8"/>
        <v>0</v>
      </c>
      <c r="AT30" s="186"/>
      <c r="AU30" s="186"/>
      <c r="AV30" s="11"/>
      <c r="AW30" s="11"/>
      <c r="AX30" s="39"/>
      <c r="AY30" s="11"/>
      <c r="BA30" s="185"/>
      <c r="BB30" s="11"/>
      <c r="BC30" s="73"/>
      <c r="BD30" s="11"/>
      <c r="BE30" s="11"/>
      <c r="BF30" s="11"/>
      <c r="BG30" s="186">
        <f t="shared" si="13"/>
        <v>0</v>
      </c>
      <c r="BH30" s="11"/>
      <c r="BI30" s="11"/>
      <c r="BJ30" s="39"/>
      <c r="BK30" s="11"/>
      <c r="BM30" s="185"/>
      <c r="BN30" s="39"/>
      <c r="BO30" s="186"/>
      <c r="BP30" s="39"/>
      <c r="BQ30" s="186">
        <f t="shared" si="10"/>
        <v>0</v>
      </c>
      <c r="BR30" s="39"/>
      <c r="BS30" s="39"/>
      <c r="BT30" s="39"/>
      <c r="BU30" s="39"/>
      <c r="BV30" s="39"/>
      <c r="BW30" s="39"/>
      <c r="BY30" s="73"/>
      <c r="BZ30" s="73"/>
      <c r="CA30" s="73"/>
      <c r="CB30" s="73"/>
      <c r="CC30" s="272"/>
      <c r="CD30" s="73"/>
      <c r="CE30" s="186">
        <f t="shared" si="14"/>
        <v>0</v>
      </c>
      <c r="CF30" s="73"/>
      <c r="CG30" s="73"/>
      <c r="CH30" s="73"/>
      <c r="CI30" s="73"/>
      <c r="CK30" s="185">
        <v>43963</v>
      </c>
      <c r="CL30" s="73"/>
      <c r="CM30" s="11" t="s">
        <v>565</v>
      </c>
      <c r="CN30" s="186">
        <v>10.28</v>
      </c>
      <c r="CO30" s="40"/>
      <c r="CP30" s="186">
        <f t="shared" si="12"/>
        <v>10.28</v>
      </c>
      <c r="CQ30" s="186"/>
      <c r="CR30" s="138" t="s">
        <v>13</v>
      </c>
      <c r="CS30" s="73"/>
      <c r="CT30" s="138" t="s">
        <v>45</v>
      </c>
      <c r="CU30" s="185">
        <v>43963</v>
      </c>
      <c r="CY30" s="185"/>
      <c r="CZ30" s="39"/>
      <c r="DA30" s="186"/>
      <c r="DB30" s="39"/>
      <c r="DC30" s="186">
        <f t="shared" si="7"/>
        <v>0</v>
      </c>
      <c r="DD30" s="39"/>
      <c r="DE30" s="186"/>
      <c r="DF30" s="138"/>
      <c r="DG30" s="89"/>
      <c r="DH30" s="73"/>
      <c r="DI30" s="73"/>
    </row>
    <row r="31" spans="1:113" ht="15" customHeight="1" x14ac:dyDescent="0.35">
      <c r="A31" s="90"/>
      <c r="B31" s="231"/>
      <c r="E31" s="18">
        <v>43953</v>
      </c>
      <c r="F31" s="73"/>
      <c r="G31" s="138" t="s">
        <v>439</v>
      </c>
      <c r="H31" s="17">
        <v>13.81</v>
      </c>
      <c r="I31" s="17">
        <v>1.17</v>
      </c>
      <c r="J31" s="17">
        <f t="shared" si="0"/>
        <v>14.98</v>
      </c>
      <c r="K31" s="17"/>
      <c r="L31" s="19" t="s">
        <v>13</v>
      </c>
      <c r="M31" s="73"/>
      <c r="N31" s="19" t="s">
        <v>88</v>
      </c>
      <c r="O31" s="18">
        <v>43965</v>
      </c>
      <c r="P31" s="15"/>
      <c r="Q31" s="18"/>
      <c r="R31" s="11"/>
      <c r="S31" s="17"/>
      <c r="T31" s="11"/>
      <c r="U31" s="17">
        <f t="shared" ref="U31:U55" si="15">S31+T31</f>
        <v>0</v>
      </c>
      <c r="V31" s="17"/>
      <c r="W31" s="17"/>
      <c r="X31" s="11"/>
      <c r="Y31" s="73"/>
      <c r="Z31" s="39"/>
      <c r="AA31" s="11"/>
      <c r="AC31" s="185"/>
      <c r="AD31" s="11"/>
      <c r="AE31" s="186"/>
      <c r="AF31" s="11"/>
      <c r="AG31" s="186">
        <f t="shared" si="9"/>
        <v>0</v>
      </c>
      <c r="AH31" s="11"/>
      <c r="AI31" s="11"/>
      <c r="AJ31" s="11"/>
      <c r="AK31" s="11"/>
      <c r="AL31" s="39"/>
      <c r="AM31" s="11"/>
      <c r="AO31" s="185"/>
      <c r="AP31" s="11"/>
      <c r="AQ31" s="186"/>
      <c r="AR31" s="11"/>
      <c r="AS31" s="186">
        <f t="shared" si="8"/>
        <v>0</v>
      </c>
      <c r="AT31" s="186"/>
      <c r="AU31" s="186"/>
      <c r="AV31" s="11"/>
      <c r="AW31" s="11"/>
      <c r="AX31" s="39"/>
      <c r="AY31" s="11"/>
      <c r="BA31" s="185"/>
      <c r="BB31" s="11"/>
      <c r="BC31" s="73"/>
      <c r="BD31" s="11"/>
      <c r="BE31" s="11"/>
      <c r="BF31" s="11"/>
      <c r="BG31" s="186">
        <f t="shared" si="13"/>
        <v>0</v>
      </c>
      <c r="BH31" s="11"/>
      <c r="BI31" s="11"/>
      <c r="BJ31" s="39"/>
      <c r="BK31" s="11"/>
      <c r="BM31" s="185"/>
      <c r="BN31" s="39"/>
      <c r="BO31" s="186"/>
      <c r="BP31" s="39"/>
      <c r="BQ31" s="186">
        <f t="shared" si="10"/>
        <v>0</v>
      </c>
      <c r="BR31" s="39"/>
      <c r="BS31" s="39"/>
      <c r="BT31" s="39"/>
      <c r="BU31" s="39"/>
      <c r="BV31" s="39"/>
      <c r="BW31" s="39"/>
      <c r="BY31" s="73"/>
      <c r="BZ31" s="73"/>
      <c r="CA31" s="73"/>
      <c r="CB31" s="73"/>
      <c r="CC31" s="272"/>
      <c r="CD31" s="73"/>
      <c r="CE31" s="186">
        <f t="shared" si="14"/>
        <v>0</v>
      </c>
      <c r="CF31" s="73"/>
      <c r="CG31" s="73"/>
      <c r="CH31" s="73"/>
      <c r="CI31" s="73"/>
      <c r="CK31" s="185">
        <v>43900</v>
      </c>
      <c r="CL31" s="73"/>
      <c r="CM31" s="11" t="s">
        <v>566</v>
      </c>
      <c r="CN31" s="186">
        <v>18</v>
      </c>
      <c r="CO31" s="11"/>
      <c r="CP31" s="186">
        <f t="shared" si="12"/>
        <v>18</v>
      </c>
      <c r="CQ31" s="186"/>
      <c r="CR31" s="11" t="s">
        <v>3</v>
      </c>
      <c r="CS31" s="73"/>
      <c r="CT31" s="39" t="s">
        <v>45</v>
      </c>
      <c r="CU31" s="69">
        <v>43900</v>
      </c>
      <c r="CY31" s="185"/>
      <c r="CZ31" s="39"/>
      <c r="DA31" s="186"/>
      <c r="DB31" s="39"/>
      <c r="DC31" s="186">
        <f t="shared" si="7"/>
        <v>0</v>
      </c>
      <c r="DD31" s="39"/>
      <c r="DE31" s="186"/>
      <c r="DF31" s="138"/>
      <c r="DG31" s="89"/>
      <c r="DH31" s="73"/>
      <c r="DI31" s="73"/>
    </row>
    <row r="32" spans="1:113" ht="15" customHeight="1" x14ac:dyDescent="0.35">
      <c r="A32" s="229"/>
      <c r="B32" s="231"/>
      <c r="E32" s="185">
        <v>43953</v>
      </c>
      <c r="F32" s="73"/>
      <c r="G32" s="138" t="s">
        <v>440</v>
      </c>
      <c r="H32" s="39">
        <v>16.350000000000001</v>
      </c>
      <c r="I32" s="39"/>
      <c r="J32" s="186">
        <f t="shared" si="0"/>
        <v>16.350000000000001</v>
      </c>
      <c r="K32" s="39"/>
      <c r="L32" s="39" t="s">
        <v>13</v>
      </c>
      <c r="M32" s="73"/>
      <c r="N32" s="39" t="s">
        <v>55</v>
      </c>
      <c r="O32" s="89">
        <v>43953</v>
      </c>
      <c r="P32" s="15"/>
      <c r="Q32" s="185"/>
      <c r="R32" s="11"/>
      <c r="S32" s="186"/>
      <c r="T32" s="11"/>
      <c r="U32" s="186">
        <f t="shared" si="15"/>
        <v>0</v>
      </c>
      <c r="V32" s="186"/>
      <c r="W32" s="186"/>
      <c r="X32" s="73"/>
      <c r="Y32" s="11"/>
      <c r="Z32" s="39"/>
      <c r="AA32" s="11"/>
      <c r="AC32" s="185"/>
      <c r="AD32" s="11"/>
      <c r="AE32" s="186"/>
      <c r="AF32" s="11"/>
      <c r="AG32" s="186">
        <f t="shared" si="9"/>
        <v>0</v>
      </c>
      <c r="AH32" s="11"/>
      <c r="AI32" s="11"/>
      <c r="AJ32" s="11"/>
      <c r="AK32" s="11"/>
      <c r="AL32" s="39"/>
      <c r="AM32" s="11"/>
      <c r="AO32" s="185"/>
      <c r="AP32" s="11"/>
      <c r="AQ32" s="186"/>
      <c r="AR32" s="11"/>
      <c r="AS32" s="186">
        <f t="shared" si="8"/>
        <v>0</v>
      </c>
      <c r="AT32" s="186"/>
      <c r="AU32" s="186"/>
      <c r="AV32" s="11"/>
      <c r="AW32" s="11"/>
      <c r="AX32" s="39"/>
      <c r="AY32" s="11"/>
      <c r="BA32" s="185"/>
      <c r="BB32" s="11"/>
      <c r="BC32" s="73"/>
      <c r="BD32" s="11"/>
      <c r="BE32" s="11"/>
      <c r="BF32" s="11"/>
      <c r="BG32" s="186">
        <f t="shared" si="13"/>
        <v>0</v>
      </c>
      <c r="BH32" s="11"/>
      <c r="BI32" s="11"/>
      <c r="BJ32" s="39"/>
      <c r="BK32" s="11"/>
      <c r="BM32" s="185"/>
      <c r="BN32" s="39"/>
      <c r="BO32" s="186"/>
      <c r="BP32" s="39"/>
      <c r="BQ32" s="186">
        <f t="shared" si="10"/>
        <v>0</v>
      </c>
      <c r="BR32" s="39"/>
      <c r="BS32" s="39"/>
      <c r="BT32" s="39"/>
      <c r="BU32" s="39"/>
      <c r="BV32" s="39"/>
      <c r="BW32" s="39"/>
      <c r="BY32" s="73"/>
      <c r="BZ32" s="73"/>
      <c r="CA32" s="73"/>
      <c r="CB32" s="73"/>
      <c r="CC32" s="272"/>
      <c r="CD32" s="73"/>
      <c r="CE32" s="186">
        <f t="shared" si="14"/>
        <v>0</v>
      </c>
      <c r="CF32" s="73"/>
      <c r="CG32" s="73"/>
      <c r="CH32" s="73"/>
      <c r="CI32" s="73"/>
      <c r="CK32" s="185">
        <v>43885</v>
      </c>
      <c r="CL32" s="73"/>
      <c r="CM32" s="11" t="s">
        <v>567</v>
      </c>
      <c r="CN32" s="186">
        <v>6.17</v>
      </c>
      <c r="CO32" s="39">
        <v>0.13</v>
      </c>
      <c r="CP32" s="186">
        <f t="shared" si="12"/>
        <v>6.3</v>
      </c>
      <c r="CQ32" s="186"/>
      <c r="CR32" s="39" t="s">
        <v>2</v>
      </c>
      <c r="CS32" s="73"/>
      <c r="CT32" s="138" t="s">
        <v>45</v>
      </c>
      <c r="CU32" s="89">
        <v>43885</v>
      </c>
      <c r="CY32" s="185"/>
      <c r="CZ32" s="39"/>
      <c r="DA32" s="186"/>
      <c r="DB32" s="39"/>
      <c r="DC32" s="186">
        <f t="shared" si="7"/>
        <v>0</v>
      </c>
      <c r="DD32" s="39"/>
      <c r="DE32" s="186"/>
      <c r="DF32" s="138"/>
      <c r="DG32" s="89"/>
      <c r="DH32" s="73"/>
      <c r="DI32" s="73"/>
    </row>
    <row r="33" spans="1:113" ht="15" customHeight="1" x14ac:dyDescent="0.35">
      <c r="A33" s="229"/>
      <c r="B33" s="231"/>
      <c r="E33" s="46">
        <v>43953</v>
      </c>
      <c r="F33" s="73"/>
      <c r="G33" s="138" t="s">
        <v>441</v>
      </c>
      <c r="H33" s="39">
        <v>19.690000000000001</v>
      </c>
      <c r="I33" s="39"/>
      <c r="J33" s="186">
        <f t="shared" si="0"/>
        <v>19.690000000000001</v>
      </c>
      <c r="K33" s="39"/>
      <c r="L33" s="39" t="s">
        <v>4</v>
      </c>
      <c r="M33" s="73"/>
      <c r="N33" s="39" t="s">
        <v>45</v>
      </c>
      <c r="O33" s="89">
        <v>43923</v>
      </c>
      <c r="P33" s="15"/>
      <c r="Q33" s="185"/>
      <c r="R33" s="11"/>
      <c r="S33" s="186"/>
      <c r="T33" s="11"/>
      <c r="U33" s="186">
        <f t="shared" si="15"/>
        <v>0</v>
      </c>
      <c r="V33" s="186"/>
      <c r="W33" s="186"/>
      <c r="X33" s="11"/>
      <c r="Y33" s="11"/>
      <c r="Z33" s="39"/>
      <c r="AA33" s="11"/>
      <c r="AC33" s="185"/>
      <c r="AD33" s="11"/>
      <c r="AE33" s="186"/>
      <c r="AF33" s="11"/>
      <c r="AG33" s="186">
        <f t="shared" si="9"/>
        <v>0</v>
      </c>
      <c r="AH33" s="11"/>
      <c r="AI33" s="11"/>
      <c r="AJ33" s="11"/>
      <c r="AK33" s="11"/>
      <c r="AL33" s="39"/>
      <c r="AM33" s="11"/>
      <c r="AO33" s="185"/>
      <c r="AP33" s="11"/>
      <c r="AQ33" s="186"/>
      <c r="AR33" s="11"/>
      <c r="AS33" s="186">
        <f t="shared" si="8"/>
        <v>0</v>
      </c>
      <c r="AT33" s="186"/>
      <c r="AU33" s="186"/>
      <c r="AV33" s="11"/>
      <c r="AW33" s="11"/>
      <c r="AX33" s="39"/>
      <c r="AY33" s="11"/>
      <c r="BA33" s="185"/>
      <c r="BB33" s="11"/>
      <c r="BC33" s="73"/>
      <c r="BD33" s="11"/>
      <c r="BE33" s="11"/>
      <c r="BF33" s="11"/>
      <c r="BG33" s="186">
        <f t="shared" si="13"/>
        <v>0</v>
      </c>
      <c r="BH33" s="11"/>
      <c r="BI33" s="11"/>
      <c r="BJ33" s="39"/>
      <c r="BK33" s="11"/>
      <c r="BM33" s="185"/>
      <c r="BN33" s="39"/>
      <c r="BO33" s="186"/>
      <c r="BP33" s="39"/>
      <c r="BQ33" s="186">
        <f t="shared" si="10"/>
        <v>0</v>
      </c>
      <c r="BR33" s="39"/>
      <c r="BS33" s="39"/>
      <c r="BT33" s="39"/>
      <c r="BU33" s="39"/>
      <c r="BV33" s="39"/>
      <c r="BW33" s="39"/>
      <c r="BY33" s="73"/>
      <c r="BZ33" s="73"/>
      <c r="CA33" s="73"/>
      <c r="CB33" s="73"/>
      <c r="CC33" s="272"/>
      <c r="CD33" s="73"/>
      <c r="CE33" s="186">
        <f t="shared" si="14"/>
        <v>0</v>
      </c>
      <c r="CF33" s="73"/>
      <c r="CG33" s="73"/>
      <c r="CH33" s="73"/>
      <c r="CI33" s="73"/>
      <c r="CK33" s="185">
        <v>43877</v>
      </c>
      <c r="CL33" s="73"/>
      <c r="CM33" s="11" t="s">
        <v>568</v>
      </c>
      <c r="CN33" s="186">
        <v>38.1</v>
      </c>
      <c r="CO33" s="186"/>
      <c r="CP33" s="17">
        <f t="shared" si="12"/>
        <v>38.1</v>
      </c>
      <c r="CQ33" s="17"/>
      <c r="CR33" s="186" t="s">
        <v>2</v>
      </c>
      <c r="CS33" s="73"/>
      <c r="CT33" s="138" t="s">
        <v>45</v>
      </c>
      <c r="CU33" s="185">
        <v>43877</v>
      </c>
      <c r="CY33" s="185"/>
      <c r="CZ33" s="39"/>
      <c r="DA33" s="186"/>
      <c r="DB33" s="39"/>
      <c r="DC33" s="186">
        <f t="shared" si="7"/>
        <v>0</v>
      </c>
      <c r="DD33" s="39"/>
      <c r="DE33" s="186"/>
      <c r="DF33" s="138"/>
      <c r="DG33" s="89"/>
      <c r="DH33" s="73"/>
      <c r="DI33" s="73"/>
    </row>
    <row r="34" spans="1:113" ht="15" customHeight="1" x14ac:dyDescent="0.35">
      <c r="A34" s="229"/>
      <c r="B34" s="231"/>
      <c r="E34" s="185">
        <v>43952</v>
      </c>
      <c r="F34" s="73"/>
      <c r="G34" s="138" t="s">
        <v>442</v>
      </c>
      <c r="H34" s="39">
        <v>63</v>
      </c>
      <c r="I34" s="39">
        <v>1.32</v>
      </c>
      <c r="J34" s="186">
        <f t="shared" si="0"/>
        <v>64.319999999999993</v>
      </c>
      <c r="K34" s="39"/>
      <c r="L34" s="39" t="s">
        <v>4</v>
      </c>
      <c r="M34" s="73"/>
      <c r="N34" s="39" t="s">
        <v>55</v>
      </c>
      <c r="O34" s="89">
        <v>43952</v>
      </c>
      <c r="P34" s="15"/>
      <c r="Q34" s="185"/>
      <c r="R34" s="11"/>
      <c r="S34" s="186"/>
      <c r="T34" s="11"/>
      <c r="U34" s="186">
        <f t="shared" si="15"/>
        <v>0</v>
      </c>
      <c r="V34" s="186"/>
      <c r="W34" s="186"/>
      <c r="X34" s="11"/>
      <c r="Y34" s="11"/>
      <c r="Z34" s="39"/>
      <c r="AA34" s="11"/>
      <c r="AC34" s="185"/>
      <c r="AD34" s="11"/>
      <c r="AE34" s="186"/>
      <c r="AF34" s="11"/>
      <c r="AG34" s="186">
        <f t="shared" si="9"/>
        <v>0</v>
      </c>
      <c r="AH34" s="11"/>
      <c r="AI34" s="11"/>
      <c r="AJ34" s="11"/>
      <c r="AK34" s="11"/>
      <c r="AL34" s="39"/>
      <c r="AM34" s="11"/>
      <c r="AO34" s="185"/>
      <c r="AP34" s="11"/>
      <c r="AQ34" s="186"/>
      <c r="AR34" s="11"/>
      <c r="AS34" s="186">
        <f t="shared" si="8"/>
        <v>0</v>
      </c>
      <c r="AT34" s="186"/>
      <c r="AU34" s="186"/>
      <c r="AV34" s="11"/>
      <c r="AW34" s="11"/>
      <c r="AX34" s="39"/>
      <c r="AY34" s="11"/>
      <c r="BA34" s="185"/>
      <c r="BB34" s="11"/>
      <c r="BC34" s="73"/>
      <c r="BD34" s="11"/>
      <c r="BE34" s="11"/>
      <c r="BF34" s="11"/>
      <c r="BG34" s="186">
        <f t="shared" si="13"/>
        <v>0</v>
      </c>
      <c r="BH34" s="11"/>
      <c r="BI34" s="11"/>
      <c r="BJ34" s="39"/>
      <c r="BK34" s="11"/>
      <c r="BM34" s="185"/>
      <c r="BN34" s="39"/>
      <c r="BO34" s="186"/>
      <c r="BP34" s="39"/>
      <c r="BQ34" s="186">
        <f t="shared" si="10"/>
        <v>0</v>
      </c>
      <c r="BR34" s="39"/>
      <c r="BS34" s="39"/>
      <c r="BT34" s="39"/>
      <c r="BU34" s="39"/>
      <c r="BV34" s="39"/>
      <c r="BW34" s="39"/>
      <c r="BY34" s="73"/>
      <c r="BZ34" s="73"/>
      <c r="CA34" s="73"/>
      <c r="CB34" s="73"/>
      <c r="CC34" s="272"/>
      <c r="CD34" s="73"/>
      <c r="CE34" s="186">
        <f t="shared" si="14"/>
        <v>0</v>
      </c>
      <c r="CF34" s="73"/>
      <c r="CG34" s="73"/>
      <c r="CH34" s="73"/>
      <c r="CI34" s="73"/>
      <c r="CK34" s="185">
        <v>43875</v>
      </c>
      <c r="CL34" s="73"/>
      <c r="CM34" s="11" t="s">
        <v>569</v>
      </c>
      <c r="CN34" s="186">
        <v>27.6</v>
      </c>
      <c r="CO34" s="186"/>
      <c r="CP34" s="17">
        <f t="shared" si="12"/>
        <v>27.6</v>
      </c>
      <c r="CQ34" s="17"/>
      <c r="CR34" s="138" t="s">
        <v>2</v>
      </c>
      <c r="CS34" s="73"/>
      <c r="CT34" s="138" t="s">
        <v>45</v>
      </c>
      <c r="CU34" s="185">
        <v>43875</v>
      </c>
      <c r="CY34" s="185"/>
      <c r="CZ34" s="39"/>
      <c r="DA34" s="186"/>
      <c r="DB34" s="39"/>
      <c r="DC34" s="186">
        <f t="shared" si="7"/>
        <v>0</v>
      </c>
      <c r="DD34" s="39"/>
      <c r="DE34" s="186"/>
      <c r="DF34" s="138"/>
      <c r="DG34" s="89"/>
      <c r="DH34" s="73"/>
      <c r="DI34" s="73"/>
    </row>
    <row r="35" spans="1:113" ht="15" customHeight="1" x14ac:dyDescent="0.35">
      <c r="A35" s="229"/>
      <c r="B35" s="231"/>
      <c r="E35" s="185">
        <v>43950</v>
      </c>
      <c r="F35" s="73"/>
      <c r="G35" s="138" t="s">
        <v>443</v>
      </c>
      <c r="H35" s="39">
        <v>18.989999999999998</v>
      </c>
      <c r="I35" s="39">
        <v>1.61</v>
      </c>
      <c r="J35" s="186">
        <f t="shared" si="0"/>
        <v>20.599999999999998</v>
      </c>
      <c r="K35" s="39"/>
      <c r="L35" s="39" t="s">
        <v>4</v>
      </c>
      <c r="M35" s="73"/>
      <c r="N35" s="39" t="s">
        <v>79</v>
      </c>
      <c r="O35" s="89">
        <v>43950</v>
      </c>
      <c r="P35" s="15"/>
      <c r="Q35" s="185"/>
      <c r="R35" s="11"/>
      <c r="S35" s="186"/>
      <c r="T35" s="11"/>
      <c r="U35" s="186">
        <f t="shared" si="15"/>
        <v>0</v>
      </c>
      <c r="V35" s="186"/>
      <c r="W35" s="186"/>
      <c r="X35" s="11"/>
      <c r="Y35" s="11"/>
      <c r="Z35" s="39"/>
      <c r="AA35" s="11"/>
      <c r="AC35" s="185"/>
      <c r="AD35" s="11"/>
      <c r="AE35" s="186"/>
      <c r="AF35" s="11"/>
      <c r="AG35" s="186">
        <f t="shared" si="9"/>
        <v>0</v>
      </c>
      <c r="AH35" s="11"/>
      <c r="AI35" s="11"/>
      <c r="AJ35" s="11"/>
      <c r="AK35" s="11"/>
      <c r="AL35" s="39"/>
      <c r="AM35" s="11"/>
      <c r="AO35" s="185"/>
      <c r="AP35" s="11"/>
      <c r="AQ35" s="186"/>
      <c r="AR35" s="11"/>
      <c r="AS35" s="186">
        <f t="shared" si="8"/>
        <v>0</v>
      </c>
      <c r="AT35" s="186"/>
      <c r="AU35" s="186"/>
      <c r="AV35" s="11"/>
      <c r="AW35" s="11"/>
      <c r="AX35" s="39"/>
      <c r="AY35" s="11"/>
      <c r="BA35" s="185"/>
      <c r="BB35" s="11"/>
      <c r="BC35" s="73"/>
      <c r="BD35" s="11"/>
      <c r="BE35" s="11"/>
      <c r="BF35" s="11"/>
      <c r="BG35" s="186">
        <f t="shared" si="13"/>
        <v>0</v>
      </c>
      <c r="BH35" s="11"/>
      <c r="BI35" s="11"/>
      <c r="BJ35" s="39"/>
      <c r="BK35" s="11"/>
      <c r="BM35" s="185"/>
      <c r="BN35" s="39"/>
      <c r="BO35" s="186"/>
      <c r="BP35" s="39"/>
      <c r="BQ35" s="186">
        <f t="shared" si="10"/>
        <v>0</v>
      </c>
      <c r="BR35" s="39"/>
      <c r="BS35" s="39"/>
      <c r="BT35" s="39"/>
      <c r="BU35" s="39"/>
      <c r="BV35" s="39"/>
      <c r="BW35" s="39"/>
      <c r="BY35" s="73"/>
      <c r="BZ35" s="73"/>
      <c r="CA35" s="73"/>
      <c r="CB35" s="73"/>
      <c r="CC35" s="272"/>
      <c r="CD35" s="73"/>
      <c r="CE35" s="186">
        <f t="shared" si="14"/>
        <v>0</v>
      </c>
      <c r="CF35" s="73"/>
      <c r="CG35" s="73"/>
      <c r="CH35" s="73"/>
      <c r="CI35" s="73"/>
      <c r="CK35" s="185">
        <v>43874</v>
      </c>
      <c r="CL35" s="73"/>
      <c r="CM35" s="11" t="s">
        <v>570</v>
      </c>
      <c r="CN35" s="186">
        <v>39.4</v>
      </c>
      <c r="CO35" s="39"/>
      <c r="CP35" s="186">
        <f t="shared" si="12"/>
        <v>39.4</v>
      </c>
      <c r="CQ35" s="186"/>
      <c r="CR35" s="138" t="s">
        <v>57</v>
      </c>
      <c r="CS35" s="73"/>
      <c r="CT35" s="138" t="s">
        <v>45</v>
      </c>
      <c r="CU35" s="89">
        <v>43874</v>
      </c>
      <c r="CY35" s="185"/>
      <c r="CZ35" s="39"/>
      <c r="DA35" s="186"/>
      <c r="DB35" s="39"/>
      <c r="DC35" s="186">
        <f t="shared" si="7"/>
        <v>0</v>
      </c>
      <c r="DD35" s="39"/>
      <c r="DE35" s="186"/>
      <c r="DF35" s="138"/>
      <c r="DG35" s="89"/>
      <c r="DH35" s="73"/>
      <c r="DI35" s="73"/>
    </row>
    <row r="36" spans="1:113" ht="15" customHeight="1" x14ac:dyDescent="0.35">
      <c r="A36" s="230"/>
      <c r="B36" s="231"/>
      <c r="E36" s="185">
        <v>43950</v>
      </c>
      <c r="F36" s="73"/>
      <c r="G36" s="138" t="s">
        <v>444</v>
      </c>
      <c r="H36" s="186">
        <v>18.53</v>
      </c>
      <c r="I36" s="186">
        <v>1.57</v>
      </c>
      <c r="J36" s="186">
        <f t="shared" si="0"/>
        <v>20.100000000000001</v>
      </c>
      <c r="K36" s="186"/>
      <c r="L36" s="138" t="s">
        <v>4</v>
      </c>
      <c r="M36" s="73"/>
      <c r="N36" s="39" t="s">
        <v>54</v>
      </c>
      <c r="O36" s="89">
        <v>43950</v>
      </c>
      <c r="P36" s="15"/>
      <c r="Q36" s="73"/>
      <c r="R36" s="73"/>
      <c r="S36" s="73"/>
      <c r="T36" s="73"/>
      <c r="U36" s="186">
        <f t="shared" si="15"/>
        <v>0</v>
      </c>
      <c r="V36" s="186"/>
      <c r="W36" s="186"/>
      <c r="X36" s="11"/>
      <c r="Y36" s="11"/>
      <c r="Z36" s="39"/>
      <c r="AA36" s="69"/>
      <c r="AC36" s="185"/>
      <c r="AD36" s="11"/>
      <c r="AE36" s="186"/>
      <c r="AF36" s="11"/>
      <c r="AG36" s="186">
        <f t="shared" si="9"/>
        <v>0</v>
      </c>
      <c r="AH36" s="11"/>
      <c r="AI36" s="11"/>
      <c r="AJ36" s="11"/>
      <c r="AK36" s="11"/>
      <c r="AL36" s="39"/>
      <c r="AM36" s="11"/>
      <c r="AO36" s="185"/>
      <c r="AP36" s="11"/>
      <c r="AQ36" s="186"/>
      <c r="AR36" s="11"/>
      <c r="AS36" s="186">
        <f t="shared" si="8"/>
        <v>0</v>
      </c>
      <c r="AT36" s="186"/>
      <c r="AU36" s="186"/>
      <c r="AV36" s="11"/>
      <c r="AW36" s="11"/>
      <c r="AX36" s="39"/>
      <c r="AY36" s="11"/>
      <c r="BA36" s="20"/>
      <c r="BB36" s="20"/>
      <c r="BC36" s="73"/>
      <c r="BD36" s="20"/>
      <c r="BE36" s="20"/>
      <c r="BF36" s="20"/>
      <c r="BG36" s="186">
        <f t="shared" si="13"/>
        <v>0</v>
      </c>
      <c r="BH36" s="20"/>
      <c r="BI36" s="20"/>
      <c r="BJ36" s="39"/>
      <c r="BK36" s="11"/>
      <c r="BM36" s="185"/>
      <c r="BN36" s="39"/>
      <c r="BO36" s="186"/>
      <c r="BP36" s="39"/>
      <c r="BQ36" s="186">
        <f t="shared" si="10"/>
        <v>0</v>
      </c>
      <c r="BR36" s="39"/>
      <c r="BS36" s="39"/>
      <c r="BT36" s="39"/>
      <c r="BU36" s="39"/>
      <c r="BV36" s="39"/>
      <c r="BW36" s="39"/>
      <c r="BY36" s="73"/>
      <c r="BZ36" s="73"/>
      <c r="CA36" s="73"/>
      <c r="CB36" s="73"/>
      <c r="CC36" s="272"/>
      <c r="CD36" s="73"/>
      <c r="CE36" s="186">
        <f t="shared" si="14"/>
        <v>0</v>
      </c>
      <c r="CF36" s="73"/>
      <c r="CG36" s="73"/>
      <c r="CH36" s="73"/>
      <c r="CI36" s="73"/>
      <c r="CK36" s="185">
        <v>43873</v>
      </c>
      <c r="CL36" s="73"/>
      <c r="CM36" s="11" t="s">
        <v>571</v>
      </c>
      <c r="CN36" s="186">
        <v>53.93</v>
      </c>
      <c r="CO36" s="39"/>
      <c r="CP36" s="186">
        <f t="shared" si="12"/>
        <v>53.93</v>
      </c>
      <c r="CQ36" s="186"/>
      <c r="CR36" s="186" t="s">
        <v>57</v>
      </c>
      <c r="CS36" s="73"/>
      <c r="CT36" s="138" t="s">
        <v>45</v>
      </c>
      <c r="CU36" s="89">
        <v>43873</v>
      </c>
      <c r="CY36" s="185"/>
      <c r="CZ36" s="39"/>
      <c r="DA36" s="186"/>
      <c r="DB36" s="39"/>
      <c r="DC36" s="186">
        <f t="shared" si="7"/>
        <v>0</v>
      </c>
      <c r="DD36" s="39"/>
      <c r="DE36" s="186"/>
      <c r="DF36" s="138"/>
      <c r="DG36" s="89"/>
      <c r="DH36" s="73"/>
      <c r="DI36" s="73"/>
    </row>
    <row r="37" spans="1:113" ht="15" customHeight="1" x14ac:dyDescent="0.35">
      <c r="A37" s="230"/>
      <c r="B37" s="231"/>
      <c r="E37" s="185">
        <v>43950</v>
      </c>
      <c r="F37" s="73"/>
      <c r="G37" s="138" t="s">
        <v>445</v>
      </c>
      <c r="H37" s="186">
        <v>45.74</v>
      </c>
      <c r="I37" s="186">
        <v>3.89</v>
      </c>
      <c r="J37" s="186">
        <f t="shared" ref="J37:J56" si="16">H37+I37</f>
        <v>49.63</v>
      </c>
      <c r="K37" s="186"/>
      <c r="L37" s="186" t="s">
        <v>4</v>
      </c>
      <c r="M37" s="73"/>
      <c r="N37" s="186" t="s">
        <v>45</v>
      </c>
      <c r="O37" s="185">
        <v>43950</v>
      </c>
      <c r="P37" s="15"/>
      <c r="Q37" s="185"/>
      <c r="R37" s="11"/>
      <c r="S37" s="186"/>
      <c r="T37" s="11"/>
      <c r="U37" s="186">
        <f t="shared" si="15"/>
        <v>0</v>
      </c>
      <c r="V37" s="186"/>
      <c r="W37" s="186"/>
      <c r="X37" s="11"/>
      <c r="Y37" s="11"/>
      <c r="Z37" s="39"/>
      <c r="AA37" s="11"/>
      <c r="AC37" s="185"/>
      <c r="AD37" s="11"/>
      <c r="AE37" s="186"/>
      <c r="AF37" s="11"/>
      <c r="AG37" s="186">
        <f t="shared" si="9"/>
        <v>0</v>
      </c>
      <c r="AH37" s="11"/>
      <c r="AI37" s="11"/>
      <c r="AJ37" s="11"/>
      <c r="AK37" s="11"/>
      <c r="AL37" s="39"/>
      <c r="AM37" s="11"/>
      <c r="AO37" s="185"/>
      <c r="AP37" s="11"/>
      <c r="AQ37" s="186"/>
      <c r="AR37" s="11"/>
      <c r="AS37" s="186">
        <f t="shared" si="8"/>
        <v>0</v>
      </c>
      <c r="AT37" s="186"/>
      <c r="AU37" s="186"/>
      <c r="AV37" s="11"/>
      <c r="AW37" s="11"/>
      <c r="AX37" s="39"/>
      <c r="AY37" s="11"/>
      <c r="BA37" s="20"/>
      <c r="BB37" s="20"/>
      <c r="BC37" s="73"/>
      <c r="BD37" s="20"/>
      <c r="BE37" s="20"/>
      <c r="BF37" s="20"/>
      <c r="BG37" s="186">
        <f t="shared" si="13"/>
        <v>0</v>
      </c>
      <c r="BH37" s="20"/>
      <c r="BI37" s="20"/>
      <c r="BJ37" s="39"/>
      <c r="BK37" s="11"/>
      <c r="BM37" s="185"/>
      <c r="BN37" s="39"/>
      <c r="BO37" s="186"/>
      <c r="BP37" s="39"/>
      <c r="BQ37" s="186">
        <f t="shared" si="10"/>
        <v>0</v>
      </c>
      <c r="BR37" s="39"/>
      <c r="BS37" s="39"/>
      <c r="BT37" s="39"/>
      <c r="BU37" s="39"/>
      <c r="BV37" s="39"/>
      <c r="BW37" s="39"/>
      <c r="BY37" s="73"/>
      <c r="BZ37" s="73"/>
      <c r="CA37" s="73"/>
      <c r="CB37" s="73"/>
      <c r="CC37" s="272"/>
      <c r="CD37" s="73"/>
      <c r="CE37" s="186">
        <f t="shared" si="14"/>
        <v>0</v>
      </c>
      <c r="CF37" s="73"/>
      <c r="CG37" s="73"/>
      <c r="CH37" s="73"/>
      <c r="CI37" s="73"/>
      <c r="CK37" s="185">
        <v>43871</v>
      </c>
      <c r="CL37" s="73"/>
      <c r="CM37" s="11" t="s">
        <v>572</v>
      </c>
      <c r="CN37" s="186">
        <v>26.35</v>
      </c>
      <c r="CO37" s="39"/>
      <c r="CP37" s="186">
        <f t="shared" si="12"/>
        <v>26.35</v>
      </c>
      <c r="CQ37" s="186"/>
      <c r="CR37" s="138" t="s">
        <v>57</v>
      </c>
      <c r="CS37" s="73"/>
      <c r="CT37" s="138" t="s">
        <v>45</v>
      </c>
      <c r="CU37" s="89">
        <v>43871</v>
      </c>
      <c r="CY37" s="185"/>
      <c r="CZ37" s="39"/>
      <c r="DA37" s="186"/>
      <c r="DB37" s="39"/>
      <c r="DC37" s="186">
        <f t="shared" si="7"/>
        <v>0</v>
      </c>
      <c r="DD37" s="39"/>
      <c r="DE37" s="186"/>
      <c r="DF37" s="138"/>
      <c r="DG37" s="89"/>
      <c r="DH37" s="73"/>
      <c r="DI37" s="73"/>
    </row>
    <row r="38" spans="1:113" ht="15" customHeight="1" x14ac:dyDescent="0.35">
      <c r="A38" s="230"/>
      <c r="B38" s="231"/>
      <c r="E38" s="185">
        <v>43948</v>
      </c>
      <c r="F38" s="73"/>
      <c r="G38" s="138" t="s">
        <v>446</v>
      </c>
      <c r="H38" s="186">
        <v>125</v>
      </c>
      <c r="I38" s="186"/>
      <c r="J38" s="186">
        <f t="shared" si="16"/>
        <v>125</v>
      </c>
      <c r="K38" s="186"/>
      <c r="L38" s="138" t="s">
        <v>4</v>
      </c>
      <c r="M38" s="73"/>
      <c r="N38" s="39" t="s">
        <v>45</v>
      </c>
      <c r="O38" s="89">
        <v>43948</v>
      </c>
      <c r="P38" s="15"/>
      <c r="Q38" s="185"/>
      <c r="R38" s="11"/>
      <c r="S38" s="186"/>
      <c r="T38" s="11"/>
      <c r="U38" s="186">
        <f t="shared" si="15"/>
        <v>0</v>
      </c>
      <c r="V38" s="186"/>
      <c r="W38" s="186"/>
      <c r="X38" s="11"/>
      <c r="Y38" s="11"/>
      <c r="Z38" s="39"/>
      <c r="AA38" s="11"/>
      <c r="AC38" s="185"/>
      <c r="AD38" s="11"/>
      <c r="AE38" s="186"/>
      <c r="AF38" s="11"/>
      <c r="AG38" s="186">
        <f t="shared" si="9"/>
        <v>0</v>
      </c>
      <c r="AH38" s="11"/>
      <c r="AI38" s="11"/>
      <c r="AJ38" s="11"/>
      <c r="AK38" s="11"/>
      <c r="AL38" s="39"/>
      <c r="AM38" s="11"/>
      <c r="AO38" s="185"/>
      <c r="AP38" s="11"/>
      <c r="AQ38" s="186"/>
      <c r="AR38" s="11"/>
      <c r="AS38" s="186">
        <f t="shared" si="8"/>
        <v>0</v>
      </c>
      <c r="AT38" s="186"/>
      <c r="AU38" s="186"/>
      <c r="AV38" s="11"/>
      <c r="AW38" s="11"/>
      <c r="AX38" s="39"/>
      <c r="AY38" s="11"/>
      <c r="BA38" s="185"/>
      <c r="BB38" s="11"/>
      <c r="BC38" s="73"/>
      <c r="BD38" s="11"/>
      <c r="BE38" s="11"/>
      <c r="BF38" s="11"/>
      <c r="BG38" s="186">
        <f t="shared" si="13"/>
        <v>0</v>
      </c>
      <c r="BH38" s="11"/>
      <c r="BI38" s="11"/>
      <c r="BJ38" s="39"/>
      <c r="BK38" s="11"/>
      <c r="BM38" s="185"/>
      <c r="BN38" s="39"/>
      <c r="BO38" s="186"/>
      <c r="BP38" s="39"/>
      <c r="BQ38" s="186">
        <f t="shared" si="10"/>
        <v>0</v>
      </c>
      <c r="BR38" s="39"/>
      <c r="BS38" s="39"/>
      <c r="BT38" s="39"/>
      <c r="BU38" s="39"/>
      <c r="BV38" s="39"/>
      <c r="BW38" s="39"/>
      <c r="BY38" s="73"/>
      <c r="BZ38" s="73"/>
      <c r="CA38" s="73"/>
      <c r="CB38" s="73"/>
      <c r="CC38" s="272"/>
      <c r="CD38" s="73"/>
      <c r="CE38" s="186">
        <f t="shared" si="14"/>
        <v>0</v>
      </c>
      <c r="CF38" s="73"/>
      <c r="CG38" s="73"/>
      <c r="CH38" s="73"/>
      <c r="CI38" s="73"/>
      <c r="CK38" s="185">
        <v>43867</v>
      </c>
      <c r="CL38" s="73"/>
      <c r="CM38" s="11" t="s">
        <v>573</v>
      </c>
      <c r="CN38" s="186">
        <v>17.5</v>
      </c>
      <c r="CO38" s="39"/>
      <c r="CP38" s="186">
        <f t="shared" si="12"/>
        <v>17.5</v>
      </c>
      <c r="CQ38" s="186"/>
      <c r="CR38" s="186" t="s">
        <v>57</v>
      </c>
      <c r="CS38" s="73"/>
      <c r="CT38" s="138" t="s">
        <v>45</v>
      </c>
      <c r="CU38" s="89">
        <v>43871</v>
      </c>
      <c r="CY38" s="185"/>
      <c r="CZ38" s="39"/>
      <c r="DA38" s="186"/>
      <c r="DB38" s="39"/>
      <c r="DC38" s="186">
        <f t="shared" si="7"/>
        <v>0</v>
      </c>
      <c r="DD38" s="39"/>
      <c r="DE38" s="186"/>
      <c r="DF38" s="138"/>
      <c r="DG38" s="89"/>
      <c r="DH38" s="73"/>
      <c r="DI38" s="73"/>
    </row>
    <row r="39" spans="1:113" ht="15" customHeight="1" x14ac:dyDescent="0.35">
      <c r="A39" s="230"/>
      <c r="B39" s="231"/>
      <c r="E39" s="18">
        <v>43923</v>
      </c>
      <c r="F39" s="73"/>
      <c r="G39" s="138" t="s">
        <v>447</v>
      </c>
      <c r="H39" s="17">
        <v>86.8</v>
      </c>
      <c r="I39" s="17">
        <v>7.38</v>
      </c>
      <c r="J39" s="17">
        <f t="shared" si="16"/>
        <v>94.179999999999993</v>
      </c>
      <c r="K39" s="17"/>
      <c r="L39" s="19" t="s">
        <v>4</v>
      </c>
      <c r="M39" s="73"/>
      <c r="N39" s="19" t="s">
        <v>45</v>
      </c>
      <c r="O39" s="18">
        <v>43923</v>
      </c>
      <c r="P39" s="15"/>
      <c r="Q39" s="185"/>
      <c r="R39" s="11"/>
      <c r="S39" s="186"/>
      <c r="T39" s="11"/>
      <c r="U39" s="186">
        <f t="shared" si="15"/>
        <v>0</v>
      </c>
      <c r="V39" s="186"/>
      <c r="W39" s="186"/>
      <c r="X39" s="11"/>
      <c r="Y39" s="11"/>
      <c r="Z39" s="39"/>
      <c r="AA39" s="11"/>
      <c r="AC39" s="185"/>
      <c r="AD39" s="11"/>
      <c r="AE39" s="186"/>
      <c r="AF39" s="11"/>
      <c r="AG39" s="186">
        <f t="shared" si="9"/>
        <v>0</v>
      </c>
      <c r="AH39" s="11"/>
      <c r="AI39" s="11"/>
      <c r="AJ39" s="11"/>
      <c r="AK39" s="11"/>
      <c r="AL39" s="39"/>
      <c r="AM39" s="11"/>
      <c r="AO39" s="185"/>
      <c r="AP39" s="11"/>
      <c r="AQ39" s="186"/>
      <c r="AR39" s="11"/>
      <c r="AS39" s="186">
        <f t="shared" si="8"/>
        <v>0</v>
      </c>
      <c r="AT39" s="186"/>
      <c r="AU39" s="186"/>
      <c r="AV39" s="11"/>
      <c r="AW39" s="11"/>
      <c r="AX39" s="39"/>
      <c r="AY39" s="11"/>
      <c r="BA39" s="185"/>
      <c r="BB39" s="11"/>
      <c r="BC39" s="73"/>
      <c r="BD39" s="11"/>
      <c r="BE39" s="11"/>
      <c r="BF39" s="11"/>
      <c r="BG39" s="186">
        <f t="shared" si="13"/>
        <v>0</v>
      </c>
      <c r="BH39" s="11"/>
      <c r="BI39" s="11"/>
      <c r="BJ39" s="39"/>
      <c r="BK39" s="11"/>
      <c r="BM39" s="185"/>
      <c r="BN39" s="39"/>
      <c r="BO39" s="186"/>
      <c r="BP39" s="39"/>
      <c r="BQ39" s="186">
        <f t="shared" si="10"/>
        <v>0</v>
      </c>
      <c r="BR39" s="39"/>
      <c r="BS39" s="39"/>
      <c r="BT39" s="39"/>
      <c r="BU39" s="39"/>
      <c r="BV39" s="39"/>
      <c r="BW39" s="39"/>
      <c r="BY39" s="73"/>
      <c r="BZ39" s="73"/>
      <c r="CA39" s="73"/>
      <c r="CB39" s="73"/>
      <c r="CC39" s="272"/>
      <c r="CD39" s="73"/>
      <c r="CE39" s="186">
        <f t="shared" si="14"/>
        <v>0</v>
      </c>
      <c r="CF39" s="73"/>
      <c r="CG39" s="73"/>
      <c r="CH39" s="73"/>
      <c r="CI39" s="73"/>
      <c r="CK39" s="185">
        <v>43867</v>
      </c>
      <c r="CL39" s="73"/>
      <c r="CM39" s="11" t="s">
        <v>574</v>
      </c>
      <c r="CN39" s="186">
        <v>41.34</v>
      </c>
      <c r="CO39" s="39">
        <v>3.51</v>
      </c>
      <c r="CP39" s="186">
        <f t="shared" si="12"/>
        <v>44.85</v>
      </c>
      <c r="CQ39" s="186"/>
      <c r="CR39" s="39" t="s">
        <v>2</v>
      </c>
      <c r="CS39" s="73"/>
      <c r="CT39" s="138" t="s">
        <v>45</v>
      </c>
      <c r="CU39" s="89">
        <v>43867</v>
      </c>
      <c r="CY39" s="185"/>
      <c r="CZ39" s="39"/>
      <c r="DA39" s="186"/>
      <c r="DB39" s="39"/>
      <c r="DC39" s="186">
        <f t="shared" si="7"/>
        <v>0</v>
      </c>
      <c r="DD39" s="39"/>
      <c r="DE39" s="186"/>
      <c r="DF39" s="138"/>
      <c r="DG39" s="89"/>
      <c r="DH39" s="73"/>
      <c r="DI39" s="73"/>
    </row>
    <row r="40" spans="1:113" ht="15" customHeight="1" x14ac:dyDescent="0.35">
      <c r="A40" s="230"/>
      <c r="B40" s="231"/>
      <c r="E40" s="185">
        <v>43906</v>
      </c>
      <c r="F40" s="73"/>
      <c r="G40" s="138" t="s">
        <v>448</v>
      </c>
      <c r="H40" s="39">
        <v>23.26</v>
      </c>
      <c r="I40" s="39">
        <v>1.98</v>
      </c>
      <c r="J40" s="186">
        <f t="shared" si="16"/>
        <v>25.240000000000002</v>
      </c>
      <c r="K40" s="39"/>
      <c r="L40" s="39" t="s">
        <v>3</v>
      </c>
      <c r="M40" s="73"/>
      <c r="N40" s="39" t="s">
        <v>45</v>
      </c>
      <c r="O40" s="89">
        <v>43906</v>
      </c>
      <c r="P40" s="15"/>
      <c r="Q40" s="185"/>
      <c r="R40" s="11"/>
      <c r="S40" s="186"/>
      <c r="T40" s="11"/>
      <c r="U40" s="186">
        <f t="shared" si="15"/>
        <v>0</v>
      </c>
      <c r="V40" s="186"/>
      <c r="W40" s="186"/>
      <c r="X40" s="11"/>
      <c r="Y40" s="11"/>
      <c r="Z40" s="39"/>
      <c r="AA40" s="11"/>
      <c r="AC40" s="185"/>
      <c r="AD40" s="11"/>
      <c r="AE40" s="186"/>
      <c r="AF40" s="11"/>
      <c r="AG40" s="186">
        <f t="shared" si="9"/>
        <v>0</v>
      </c>
      <c r="AH40" s="11"/>
      <c r="AI40" s="11"/>
      <c r="AJ40" s="11"/>
      <c r="AK40" s="11"/>
      <c r="AL40" s="39"/>
      <c r="AM40" s="11"/>
      <c r="AO40" s="185"/>
      <c r="AP40" s="11"/>
      <c r="AQ40" s="186"/>
      <c r="AR40" s="11"/>
      <c r="AS40" s="186">
        <f t="shared" si="8"/>
        <v>0</v>
      </c>
      <c r="AT40" s="186"/>
      <c r="AU40" s="186"/>
      <c r="AV40" s="11"/>
      <c r="AW40" s="11"/>
      <c r="AX40" s="39"/>
      <c r="AY40" s="11"/>
      <c r="BA40" s="185"/>
      <c r="BB40" s="11"/>
      <c r="BC40" s="73"/>
      <c r="BD40" s="11"/>
      <c r="BE40" s="11"/>
      <c r="BF40" s="11"/>
      <c r="BG40" s="186">
        <f t="shared" si="13"/>
        <v>0</v>
      </c>
      <c r="BH40" s="11"/>
      <c r="BI40" s="11"/>
      <c r="BJ40" s="39"/>
      <c r="BK40" s="11"/>
      <c r="BM40" s="185"/>
      <c r="BN40" s="39"/>
      <c r="BO40" s="186"/>
      <c r="BP40" s="39"/>
      <c r="BQ40" s="186">
        <f t="shared" si="10"/>
        <v>0</v>
      </c>
      <c r="BR40" s="39"/>
      <c r="BS40" s="39"/>
      <c r="BT40" s="39"/>
      <c r="BU40" s="39"/>
      <c r="BV40" s="39"/>
      <c r="BW40" s="39"/>
      <c r="BY40" s="73"/>
      <c r="BZ40" s="73"/>
      <c r="CA40" s="73"/>
      <c r="CB40" s="73"/>
      <c r="CC40" s="272"/>
      <c r="CD40" s="73"/>
      <c r="CE40" s="186">
        <f t="shared" si="14"/>
        <v>0</v>
      </c>
      <c r="CF40" s="73"/>
      <c r="CG40" s="73"/>
      <c r="CH40" s="73"/>
      <c r="CI40" s="73"/>
      <c r="CK40" s="185">
        <v>43866</v>
      </c>
      <c r="CL40" s="73"/>
      <c r="CM40" s="11" t="s">
        <v>575</v>
      </c>
      <c r="CN40" s="39">
        <v>15.6</v>
      </c>
      <c r="CO40" s="39"/>
      <c r="CP40" s="186">
        <f t="shared" si="12"/>
        <v>15.6</v>
      </c>
      <c r="CQ40" s="186"/>
      <c r="CR40" s="138" t="s">
        <v>57</v>
      </c>
      <c r="CS40" s="73"/>
      <c r="CT40" s="138" t="s">
        <v>45</v>
      </c>
      <c r="CU40" s="89">
        <v>43866</v>
      </c>
      <c r="CY40" s="185"/>
      <c r="CZ40" s="39"/>
      <c r="DA40" s="186"/>
      <c r="DB40" s="39"/>
      <c r="DC40" s="186">
        <f t="shared" si="7"/>
        <v>0</v>
      </c>
      <c r="DD40" s="39"/>
      <c r="DE40" s="186"/>
      <c r="DF40" s="138"/>
      <c r="DG40" s="89"/>
      <c r="DH40" s="73"/>
      <c r="DI40" s="73"/>
    </row>
    <row r="41" spans="1:113" ht="15" customHeight="1" x14ac:dyDescent="0.35">
      <c r="B41" s="231"/>
      <c r="E41" s="185">
        <v>43900</v>
      </c>
      <c r="F41" s="73"/>
      <c r="G41" s="138" t="s">
        <v>449</v>
      </c>
      <c r="H41" s="39">
        <v>319.63</v>
      </c>
      <c r="I41" s="39">
        <v>6.62</v>
      </c>
      <c r="J41" s="186">
        <f t="shared" si="16"/>
        <v>326.25</v>
      </c>
      <c r="K41" s="39"/>
      <c r="L41" s="39" t="s">
        <v>3</v>
      </c>
      <c r="M41" s="73"/>
      <c r="N41" s="39" t="s">
        <v>56</v>
      </c>
      <c r="O41" s="89">
        <v>43900</v>
      </c>
      <c r="P41" s="15"/>
      <c r="Q41" s="185"/>
      <c r="R41" s="11"/>
      <c r="S41" s="186"/>
      <c r="T41" s="11"/>
      <c r="U41" s="186">
        <f t="shared" si="15"/>
        <v>0</v>
      </c>
      <c r="V41" s="186"/>
      <c r="W41" s="186"/>
      <c r="X41" s="11"/>
      <c r="Y41" s="11"/>
      <c r="Z41" s="39"/>
      <c r="AA41" s="11"/>
      <c r="AC41" s="185"/>
      <c r="AD41" s="11"/>
      <c r="AE41" s="186"/>
      <c r="AF41" s="11"/>
      <c r="AG41" s="186">
        <f t="shared" si="9"/>
        <v>0</v>
      </c>
      <c r="AH41" s="11"/>
      <c r="AI41" s="11"/>
      <c r="AJ41" s="11"/>
      <c r="AK41" s="11"/>
      <c r="AL41" s="39"/>
      <c r="AM41" s="11"/>
      <c r="AO41" s="185"/>
      <c r="AP41" s="11"/>
      <c r="AQ41" s="186"/>
      <c r="AR41" s="11"/>
      <c r="AS41" s="186">
        <f t="shared" si="8"/>
        <v>0</v>
      </c>
      <c r="AT41" s="186"/>
      <c r="AU41" s="186"/>
      <c r="AV41" s="11"/>
      <c r="AW41" s="11"/>
      <c r="AX41" s="39"/>
      <c r="AY41" s="11"/>
      <c r="BA41" s="185"/>
      <c r="BB41" s="11"/>
      <c r="BC41" s="73"/>
      <c r="BD41" s="11"/>
      <c r="BE41" s="11"/>
      <c r="BF41" s="11"/>
      <c r="BG41" s="186">
        <f t="shared" si="13"/>
        <v>0</v>
      </c>
      <c r="BH41" s="11"/>
      <c r="BI41" s="11"/>
      <c r="BJ41" s="39"/>
      <c r="BK41" s="11"/>
      <c r="BM41" s="185"/>
      <c r="BN41" s="39"/>
      <c r="BO41" s="186"/>
      <c r="BP41" s="39"/>
      <c r="BQ41" s="186">
        <f t="shared" si="10"/>
        <v>0</v>
      </c>
      <c r="BR41" s="39"/>
      <c r="BS41" s="39"/>
      <c r="BT41" s="39"/>
      <c r="BU41" s="39"/>
      <c r="BV41" s="39"/>
      <c r="BW41" s="39"/>
      <c r="BY41" s="73"/>
      <c r="BZ41" s="73"/>
      <c r="CA41" s="73"/>
      <c r="CB41" s="73"/>
      <c r="CC41" s="272"/>
      <c r="CD41" s="73"/>
      <c r="CE41" s="186">
        <f t="shared" si="14"/>
        <v>0</v>
      </c>
      <c r="CF41" s="73"/>
      <c r="CG41" s="73"/>
      <c r="CH41" s="73"/>
      <c r="CI41" s="73"/>
      <c r="CK41" s="185">
        <v>43866</v>
      </c>
      <c r="CL41" s="73"/>
      <c r="CM41" s="11" t="s">
        <v>576</v>
      </c>
      <c r="CN41" s="186">
        <v>31</v>
      </c>
      <c r="CO41" s="39"/>
      <c r="CP41" s="186">
        <f t="shared" si="12"/>
        <v>31</v>
      </c>
      <c r="CQ41" s="186"/>
      <c r="CR41" s="186" t="s">
        <v>57</v>
      </c>
      <c r="CS41" s="73"/>
      <c r="CT41" s="138" t="s">
        <v>45</v>
      </c>
      <c r="CU41" s="89">
        <v>43866</v>
      </c>
      <c r="CY41" s="185"/>
      <c r="CZ41" s="39"/>
      <c r="DA41" s="186"/>
      <c r="DB41" s="39"/>
      <c r="DC41" s="186">
        <f t="shared" si="7"/>
        <v>0</v>
      </c>
      <c r="DD41" s="39"/>
      <c r="DE41" s="186"/>
      <c r="DF41" s="138"/>
      <c r="DG41" s="89"/>
      <c r="DH41" s="73"/>
      <c r="DI41" s="73"/>
    </row>
    <row r="42" spans="1:113" ht="15" customHeight="1" x14ac:dyDescent="0.35">
      <c r="E42" s="185">
        <v>43882</v>
      </c>
      <c r="F42" s="73"/>
      <c r="G42" s="138" t="s">
        <v>450</v>
      </c>
      <c r="H42" s="39">
        <v>5.45</v>
      </c>
      <c r="I42" s="39"/>
      <c r="J42" s="186">
        <f t="shared" si="16"/>
        <v>5.45</v>
      </c>
      <c r="K42" s="39"/>
      <c r="L42" s="39" t="s">
        <v>3</v>
      </c>
      <c r="M42" s="73"/>
      <c r="N42" s="39" t="s">
        <v>45</v>
      </c>
      <c r="O42" s="89">
        <v>43882</v>
      </c>
      <c r="P42" s="15"/>
      <c r="Q42" s="185"/>
      <c r="R42" s="11"/>
      <c r="S42" s="186"/>
      <c r="T42" s="11"/>
      <c r="U42" s="186">
        <f t="shared" si="15"/>
        <v>0</v>
      </c>
      <c r="V42" s="186"/>
      <c r="W42" s="186"/>
      <c r="X42" s="11"/>
      <c r="Y42" s="11"/>
      <c r="Z42" s="39"/>
      <c r="AA42" s="11"/>
      <c r="AC42" s="185"/>
      <c r="AD42" s="11"/>
      <c r="AE42" s="186"/>
      <c r="AF42" s="11"/>
      <c r="AG42" s="186">
        <f t="shared" si="9"/>
        <v>0</v>
      </c>
      <c r="AH42" s="11"/>
      <c r="AI42" s="11"/>
      <c r="AJ42" s="11"/>
      <c r="AK42" s="11"/>
      <c r="AL42" s="39"/>
      <c r="AM42" s="11"/>
      <c r="AO42" s="185"/>
      <c r="AP42" s="11"/>
      <c r="AQ42" s="186"/>
      <c r="AR42" s="11"/>
      <c r="AS42" s="186">
        <f t="shared" si="8"/>
        <v>0</v>
      </c>
      <c r="AT42" s="186"/>
      <c r="AU42" s="186"/>
      <c r="AV42" s="11"/>
      <c r="AW42" s="11"/>
      <c r="AX42" s="39"/>
      <c r="AY42" s="11"/>
      <c r="BA42" s="185"/>
      <c r="BB42" s="11"/>
      <c r="BC42" s="73"/>
      <c r="BD42" s="11"/>
      <c r="BE42" s="11"/>
      <c r="BF42" s="11"/>
      <c r="BG42" s="186">
        <f t="shared" si="13"/>
        <v>0</v>
      </c>
      <c r="BH42" s="11"/>
      <c r="BI42" s="11"/>
      <c r="BJ42" s="39"/>
      <c r="BK42" s="11"/>
      <c r="BM42" s="185"/>
      <c r="BN42" s="39"/>
      <c r="BO42" s="186"/>
      <c r="BP42" s="39"/>
      <c r="BQ42" s="186">
        <f t="shared" si="10"/>
        <v>0</v>
      </c>
      <c r="BR42" s="39"/>
      <c r="BS42" s="39"/>
      <c r="BT42" s="39"/>
      <c r="BU42" s="39"/>
      <c r="BV42" s="39"/>
      <c r="BW42" s="39"/>
      <c r="BY42" s="73"/>
      <c r="BZ42" s="73"/>
      <c r="CA42" s="73"/>
      <c r="CB42" s="73"/>
      <c r="CC42" s="272"/>
      <c r="CD42" s="73"/>
      <c r="CE42" s="186">
        <f t="shared" si="14"/>
        <v>0</v>
      </c>
      <c r="CF42" s="73"/>
      <c r="CG42" s="73"/>
      <c r="CH42" s="73"/>
      <c r="CI42" s="73"/>
      <c r="CK42" s="185">
        <v>43864</v>
      </c>
      <c r="CL42" s="73"/>
      <c r="CM42" s="11" t="s">
        <v>577</v>
      </c>
      <c r="CN42" s="186">
        <v>10</v>
      </c>
      <c r="CO42" s="39"/>
      <c r="CP42" s="186">
        <f t="shared" si="12"/>
        <v>10</v>
      </c>
      <c r="CQ42" s="186"/>
      <c r="CR42" s="138" t="s">
        <v>57</v>
      </c>
      <c r="CS42" s="73"/>
      <c r="CT42" s="138" t="s">
        <v>45</v>
      </c>
      <c r="CU42" s="89">
        <v>43864</v>
      </c>
      <c r="CY42" s="185"/>
      <c r="CZ42" s="39"/>
      <c r="DA42" s="186"/>
      <c r="DB42" s="39"/>
      <c r="DC42" s="186">
        <f t="shared" si="7"/>
        <v>0</v>
      </c>
      <c r="DD42" s="39"/>
      <c r="DE42" s="186"/>
      <c r="DF42" s="138"/>
      <c r="DG42" s="89"/>
      <c r="DH42" s="73"/>
      <c r="DI42" s="73"/>
    </row>
    <row r="43" spans="1:113" ht="15" customHeight="1" x14ac:dyDescent="0.35">
      <c r="E43" s="185">
        <v>43882</v>
      </c>
      <c r="F43" s="73"/>
      <c r="G43" s="138" t="s">
        <v>451</v>
      </c>
      <c r="H43" s="39">
        <v>5.45</v>
      </c>
      <c r="I43" s="39"/>
      <c r="J43" s="186">
        <f t="shared" si="16"/>
        <v>5.45</v>
      </c>
      <c r="K43" s="39"/>
      <c r="L43" s="39" t="s">
        <v>2</v>
      </c>
      <c r="M43" s="73"/>
      <c r="N43" s="39" t="s">
        <v>45</v>
      </c>
      <c r="O43" s="89">
        <v>43882</v>
      </c>
      <c r="P43" s="15"/>
      <c r="Q43" s="185"/>
      <c r="R43" s="11"/>
      <c r="S43" s="186"/>
      <c r="T43" s="11"/>
      <c r="U43" s="186">
        <f t="shared" si="15"/>
        <v>0</v>
      </c>
      <c r="V43" s="186"/>
      <c r="W43" s="186"/>
      <c r="X43" s="11"/>
      <c r="Y43" s="11"/>
      <c r="Z43" s="39"/>
      <c r="AA43" s="11"/>
      <c r="AC43" s="185"/>
      <c r="AD43" s="11"/>
      <c r="AE43" s="186"/>
      <c r="AF43" s="11"/>
      <c r="AG43" s="186">
        <f t="shared" si="9"/>
        <v>0</v>
      </c>
      <c r="AH43" s="11"/>
      <c r="AI43" s="11"/>
      <c r="AJ43" s="11"/>
      <c r="AK43" s="11"/>
      <c r="AL43" s="39"/>
      <c r="AM43" s="11"/>
      <c r="AO43" s="185"/>
      <c r="AP43" s="11"/>
      <c r="AQ43" s="186"/>
      <c r="AR43" s="11"/>
      <c r="AS43" s="186">
        <f t="shared" si="8"/>
        <v>0</v>
      </c>
      <c r="AT43" s="186"/>
      <c r="AU43" s="186"/>
      <c r="AV43" s="11"/>
      <c r="AW43" s="11"/>
      <c r="AX43" s="39"/>
      <c r="AY43" s="11"/>
      <c r="BA43" s="185"/>
      <c r="BB43" s="11"/>
      <c r="BC43" s="73"/>
      <c r="BD43" s="11"/>
      <c r="BE43" s="11"/>
      <c r="BF43" s="11"/>
      <c r="BG43" s="186">
        <f t="shared" si="13"/>
        <v>0</v>
      </c>
      <c r="BH43" s="11"/>
      <c r="BI43" s="11"/>
      <c r="BJ43" s="39"/>
      <c r="BK43" s="11"/>
      <c r="BM43" s="185"/>
      <c r="BN43" s="39"/>
      <c r="BO43" s="186"/>
      <c r="BP43" s="39"/>
      <c r="BQ43" s="186">
        <f t="shared" si="10"/>
        <v>0</v>
      </c>
      <c r="BR43" s="39"/>
      <c r="BS43" s="39"/>
      <c r="BT43" s="39"/>
      <c r="BU43" s="39"/>
      <c r="BV43" s="39"/>
      <c r="BW43" s="39"/>
      <c r="BY43" s="73"/>
      <c r="BZ43" s="73"/>
      <c r="CA43" s="73"/>
      <c r="CB43" s="73"/>
      <c r="CC43" s="272"/>
      <c r="CD43" s="73"/>
      <c r="CE43" s="186">
        <f t="shared" si="14"/>
        <v>0</v>
      </c>
      <c r="CF43" s="73"/>
      <c r="CG43" s="73"/>
      <c r="CH43" s="73"/>
      <c r="CI43" s="73"/>
      <c r="CK43" s="185">
        <v>43857</v>
      </c>
      <c r="CL43" s="73"/>
      <c r="CM43" s="11" t="s">
        <v>578</v>
      </c>
      <c r="CN43" s="186">
        <v>37.5</v>
      </c>
      <c r="CO43" s="39"/>
      <c r="CP43" s="186">
        <f t="shared" si="12"/>
        <v>37.5</v>
      </c>
      <c r="CQ43" s="186"/>
      <c r="CR43" s="39" t="s">
        <v>1</v>
      </c>
      <c r="CS43" s="73"/>
      <c r="CT43" s="138" t="s">
        <v>45</v>
      </c>
      <c r="CU43" s="89">
        <v>43857</v>
      </c>
      <c r="CY43" s="185"/>
      <c r="CZ43" s="39"/>
      <c r="DA43" s="186"/>
      <c r="DB43" s="39"/>
      <c r="DC43" s="186">
        <f t="shared" si="7"/>
        <v>0</v>
      </c>
      <c r="DD43" s="39"/>
      <c r="DE43" s="186"/>
      <c r="DF43" s="138"/>
      <c r="DG43" s="89"/>
      <c r="DH43" s="73"/>
      <c r="DI43" s="73"/>
    </row>
    <row r="44" spans="1:113" ht="15" customHeight="1" x14ac:dyDescent="0.35">
      <c r="E44" s="185">
        <v>43882</v>
      </c>
      <c r="F44" s="73"/>
      <c r="G44" s="138" t="s">
        <v>452</v>
      </c>
      <c r="H44" s="39">
        <v>5.45</v>
      </c>
      <c r="I44" s="39"/>
      <c r="J44" s="186">
        <f t="shared" si="16"/>
        <v>5.45</v>
      </c>
      <c r="K44" s="39"/>
      <c r="L44" s="39" t="s">
        <v>2</v>
      </c>
      <c r="M44" s="73"/>
      <c r="N44" s="39" t="s">
        <v>45</v>
      </c>
      <c r="O44" s="89">
        <v>43882</v>
      </c>
      <c r="P44" s="15"/>
      <c r="Q44" s="185"/>
      <c r="R44" s="11"/>
      <c r="S44" s="186"/>
      <c r="T44" s="11"/>
      <c r="U44" s="186">
        <f t="shared" si="15"/>
        <v>0</v>
      </c>
      <c r="V44" s="186"/>
      <c r="W44" s="186"/>
      <c r="X44" s="11"/>
      <c r="Y44" s="11"/>
      <c r="Z44" s="39"/>
      <c r="AA44" s="11"/>
      <c r="AC44" s="185"/>
      <c r="AD44" s="11"/>
      <c r="AE44" s="186"/>
      <c r="AF44" s="11"/>
      <c r="AG44" s="186">
        <f t="shared" si="9"/>
        <v>0</v>
      </c>
      <c r="AH44" s="11"/>
      <c r="AI44" s="11"/>
      <c r="AJ44" s="11"/>
      <c r="AK44" s="11"/>
      <c r="AL44" s="39"/>
      <c r="AM44" s="11"/>
      <c r="AO44" s="185"/>
      <c r="AP44" s="11"/>
      <c r="AQ44" s="186"/>
      <c r="AR44" s="11"/>
      <c r="AS44" s="186">
        <f t="shared" si="8"/>
        <v>0</v>
      </c>
      <c r="AT44" s="186"/>
      <c r="AU44" s="186"/>
      <c r="AV44" s="11"/>
      <c r="AW44" s="11"/>
      <c r="AX44" s="39"/>
      <c r="AY44" s="11"/>
      <c r="BA44" s="185"/>
      <c r="BB44" s="11"/>
      <c r="BC44" s="73"/>
      <c r="BD44" s="11"/>
      <c r="BE44" s="11"/>
      <c r="BF44" s="11"/>
      <c r="BG44" s="186">
        <f t="shared" si="13"/>
        <v>0</v>
      </c>
      <c r="BH44" s="11"/>
      <c r="BI44" s="11"/>
      <c r="BJ44" s="39"/>
      <c r="BK44" s="11"/>
      <c r="BM44" s="185"/>
      <c r="BN44" s="39"/>
      <c r="BO44" s="186"/>
      <c r="BP44" s="39"/>
      <c r="BQ44" s="186">
        <f t="shared" si="10"/>
        <v>0</v>
      </c>
      <c r="BR44" s="39"/>
      <c r="BS44" s="39"/>
      <c r="BT44" s="39"/>
      <c r="BU44" s="39"/>
      <c r="BV44" s="39"/>
      <c r="BW44" s="39"/>
      <c r="BY44" s="73"/>
      <c r="BZ44" s="73"/>
      <c r="CA44" s="73"/>
      <c r="CB44" s="73"/>
      <c r="CC44" s="272"/>
      <c r="CD44" s="73"/>
      <c r="CE44" s="186">
        <f t="shared" si="14"/>
        <v>0</v>
      </c>
      <c r="CF44" s="73"/>
      <c r="CG44" s="73"/>
      <c r="CH44" s="73"/>
      <c r="CI44" s="73"/>
      <c r="CK44" s="185">
        <v>43854</v>
      </c>
      <c r="CL44" s="73"/>
      <c r="CM44" s="11" t="s">
        <v>579</v>
      </c>
      <c r="CN44" s="186">
        <v>35.75</v>
      </c>
      <c r="CO44" s="39">
        <v>0.75</v>
      </c>
      <c r="CP44" s="186">
        <f t="shared" si="12"/>
        <v>36.5</v>
      </c>
      <c r="CQ44" s="186"/>
      <c r="CR44" s="39" t="s">
        <v>1</v>
      </c>
      <c r="CS44" s="73"/>
      <c r="CT44" s="138" t="s">
        <v>45</v>
      </c>
      <c r="CU44" s="89">
        <v>43854</v>
      </c>
      <c r="CY44" s="185"/>
      <c r="CZ44" s="39"/>
      <c r="DA44" s="186"/>
      <c r="DB44" s="39"/>
      <c r="DC44" s="186">
        <f t="shared" si="7"/>
        <v>0</v>
      </c>
      <c r="DD44" s="39"/>
      <c r="DE44" s="186"/>
      <c r="DF44" s="138"/>
      <c r="DG44" s="89"/>
      <c r="DH44" s="73"/>
      <c r="DI44" s="73"/>
    </row>
    <row r="45" spans="1:113" ht="15" customHeight="1" x14ac:dyDescent="0.35">
      <c r="E45" s="185">
        <v>43882</v>
      </c>
      <c r="F45" s="73"/>
      <c r="G45" s="138" t="s">
        <v>453</v>
      </c>
      <c r="H45" s="186">
        <v>13.46</v>
      </c>
      <c r="I45" s="186">
        <v>1.1399999999999999</v>
      </c>
      <c r="J45" s="186">
        <f t="shared" si="16"/>
        <v>14.600000000000001</v>
      </c>
      <c r="K45" s="186"/>
      <c r="L45" s="138" t="s">
        <v>2</v>
      </c>
      <c r="M45" s="73"/>
      <c r="N45" s="138" t="s">
        <v>79</v>
      </c>
      <c r="O45" s="185">
        <v>43882</v>
      </c>
      <c r="P45" s="15"/>
      <c r="Q45" s="185"/>
      <c r="R45" s="11"/>
      <c r="S45" s="186"/>
      <c r="T45" s="11"/>
      <c r="U45" s="186">
        <f t="shared" si="15"/>
        <v>0</v>
      </c>
      <c r="V45" s="186"/>
      <c r="W45" s="186"/>
      <c r="X45" s="11"/>
      <c r="Y45" s="11"/>
      <c r="Z45" s="39"/>
      <c r="AA45" s="11"/>
      <c r="AC45" s="185"/>
      <c r="AD45" s="11"/>
      <c r="AE45" s="186"/>
      <c r="AF45" s="11"/>
      <c r="AG45" s="186">
        <f t="shared" si="9"/>
        <v>0</v>
      </c>
      <c r="AH45" s="11"/>
      <c r="AI45" s="11"/>
      <c r="AJ45" s="11"/>
      <c r="AK45" s="11"/>
      <c r="AL45" s="39"/>
      <c r="AM45" s="11"/>
      <c r="AO45" s="185"/>
      <c r="AP45" s="11"/>
      <c r="AQ45" s="186"/>
      <c r="AR45" s="11"/>
      <c r="AS45" s="186">
        <f t="shared" si="8"/>
        <v>0</v>
      </c>
      <c r="AT45" s="186"/>
      <c r="AU45" s="186"/>
      <c r="AV45" s="11"/>
      <c r="AW45" s="11"/>
      <c r="AX45" s="39"/>
      <c r="AY45" s="11"/>
      <c r="BA45" s="185"/>
      <c r="BB45" s="11"/>
      <c r="BC45" s="73"/>
      <c r="BD45" s="11"/>
      <c r="BE45" s="11"/>
      <c r="BF45" s="11"/>
      <c r="BG45" s="186">
        <f t="shared" si="13"/>
        <v>0</v>
      </c>
      <c r="BH45" s="11"/>
      <c r="BI45" s="11"/>
      <c r="BJ45" s="39"/>
      <c r="BK45" s="11"/>
      <c r="BM45" s="185"/>
      <c r="BN45" s="39"/>
      <c r="BO45" s="186"/>
      <c r="BP45" s="39"/>
      <c r="BQ45" s="186">
        <f t="shared" si="10"/>
        <v>0</v>
      </c>
      <c r="BR45" s="39"/>
      <c r="BS45" s="39"/>
      <c r="BT45" s="39"/>
      <c r="BU45" s="39"/>
      <c r="BV45" s="39"/>
      <c r="BW45" s="39"/>
      <c r="BY45" s="73"/>
      <c r="BZ45" s="73"/>
      <c r="CA45" s="73"/>
      <c r="CB45" s="73"/>
      <c r="CC45" s="272"/>
      <c r="CD45" s="73"/>
      <c r="CE45" s="186">
        <f t="shared" si="14"/>
        <v>0</v>
      </c>
      <c r="CF45" s="73"/>
      <c r="CG45" s="73"/>
      <c r="CH45" s="73"/>
      <c r="CI45" s="73"/>
      <c r="CK45" s="185">
        <v>43847</v>
      </c>
      <c r="CL45" s="73"/>
      <c r="CM45" s="11" t="s">
        <v>580</v>
      </c>
      <c r="CN45" s="186">
        <v>22.53</v>
      </c>
      <c r="CO45" s="39">
        <v>0.47</v>
      </c>
      <c r="CP45" s="186">
        <f t="shared" si="12"/>
        <v>23</v>
      </c>
      <c r="CQ45" s="186"/>
      <c r="CR45" s="39" t="s">
        <v>1</v>
      </c>
      <c r="CS45" s="73"/>
      <c r="CT45" s="138" t="s">
        <v>45</v>
      </c>
      <c r="CU45" s="89">
        <v>43847</v>
      </c>
      <c r="CY45" s="185"/>
      <c r="CZ45" s="39"/>
      <c r="DA45" s="186"/>
      <c r="DB45" s="39"/>
      <c r="DC45" s="186">
        <f t="shared" si="7"/>
        <v>0</v>
      </c>
      <c r="DD45" s="39"/>
      <c r="DE45" s="186"/>
      <c r="DF45" s="138"/>
      <c r="DG45" s="89"/>
      <c r="DH45" s="73"/>
      <c r="DI45" s="73"/>
    </row>
    <row r="46" spans="1:113" ht="15" customHeight="1" x14ac:dyDescent="0.35">
      <c r="E46" s="185">
        <v>43874</v>
      </c>
      <c r="F46" s="73"/>
      <c r="G46" s="138" t="s">
        <v>454</v>
      </c>
      <c r="H46" s="186">
        <v>9.5</v>
      </c>
      <c r="I46" s="186"/>
      <c r="J46" s="186">
        <f t="shared" si="16"/>
        <v>9.5</v>
      </c>
      <c r="K46" s="186"/>
      <c r="L46" s="138" t="s">
        <v>2</v>
      </c>
      <c r="M46" s="73"/>
      <c r="N46" s="138" t="s">
        <v>79</v>
      </c>
      <c r="O46" s="185">
        <v>43874</v>
      </c>
      <c r="P46" s="15"/>
      <c r="Q46" s="185"/>
      <c r="R46" s="11"/>
      <c r="S46" s="186"/>
      <c r="T46" s="11"/>
      <c r="U46" s="186">
        <f t="shared" si="15"/>
        <v>0</v>
      </c>
      <c r="V46" s="186"/>
      <c r="W46" s="186"/>
      <c r="X46" s="11"/>
      <c r="Y46" s="11"/>
      <c r="Z46" s="39"/>
      <c r="AA46" s="11"/>
      <c r="AC46" s="185"/>
      <c r="AD46" s="11"/>
      <c r="AE46" s="186"/>
      <c r="AF46" s="11"/>
      <c r="AG46" s="186">
        <f t="shared" si="9"/>
        <v>0</v>
      </c>
      <c r="AH46" s="11"/>
      <c r="AI46" s="11"/>
      <c r="AJ46" s="11"/>
      <c r="AK46" s="11"/>
      <c r="AL46" s="39"/>
      <c r="AM46" s="11"/>
      <c r="AO46" s="185"/>
      <c r="AP46" s="11"/>
      <c r="AQ46" s="186"/>
      <c r="AR46" s="11"/>
      <c r="AS46" s="186">
        <f t="shared" si="8"/>
        <v>0</v>
      </c>
      <c r="AT46" s="186"/>
      <c r="AU46" s="186"/>
      <c r="AV46" s="11"/>
      <c r="AW46" s="11"/>
      <c r="AX46" s="39"/>
      <c r="AY46" s="11"/>
      <c r="BA46" s="185"/>
      <c r="BB46" s="11"/>
      <c r="BC46" s="73"/>
      <c r="BD46" s="11"/>
      <c r="BE46" s="11"/>
      <c r="BF46" s="11"/>
      <c r="BG46" s="186">
        <f t="shared" si="13"/>
        <v>0</v>
      </c>
      <c r="BH46" s="11"/>
      <c r="BI46" s="11"/>
      <c r="BJ46" s="39"/>
      <c r="BK46" s="11"/>
      <c r="BM46" s="185"/>
      <c r="BN46" s="39"/>
      <c r="BO46" s="186"/>
      <c r="BP46" s="39"/>
      <c r="BQ46" s="186">
        <f t="shared" si="10"/>
        <v>0</v>
      </c>
      <c r="BR46" s="39"/>
      <c r="BS46" s="39"/>
      <c r="BT46" s="39"/>
      <c r="BU46" s="39"/>
      <c r="BV46" s="39"/>
      <c r="BW46" s="39"/>
      <c r="BY46" s="73"/>
      <c r="BZ46" s="73"/>
      <c r="CA46" s="73"/>
      <c r="CB46" s="73"/>
      <c r="CC46" s="272"/>
      <c r="CD46" s="73"/>
      <c r="CE46" s="186">
        <f t="shared" si="14"/>
        <v>0</v>
      </c>
      <c r="CF46" s="73"/>
      <c r="CG46" s="73"/>
      <c r="CH46" s="73"/>
      <c r="CI46" s="73"/>
      <c r="CK46" s="185">
        <v>43844</v>
      </c>
      <c r="CL46" s="73"/>
      <c r="CM46" s="11" t="s">
        <v>581</v>
      </c>
      <c r="CN46" s="186">
        <v>8.6999999999999993</v>
      </c>
      <c r="CO46" s="39"/>
      <c r="CP46" s="186">
        <f t="shared" si="12"/>
        <v>8.6999999999999993</v>
      </c>
      <c r="CQ46" s="186"/>
      <c r="CR46" s="39" t="s">
        <v>1</v>
      </c>
      <c r="CS46" s="73"/>
      <c r="CT46" s="138" t="s">
        <v>45</v>
      </c>
      <c r="CU46" s="89">
        <v>43844</v>
      </c>
      <c r="CY46" s="185"/>
      <c r="CZ46" s="39"/>
      <c r="DA46" s="186"/>
      <c r="DB46" s="39"/>
      <c r="DC46" s="186">
        <f t="shared" si="7"/>
        <v>0</v>
      </c>
      <c r="DD46" s="39"/>
      <c r="DE46" s="186"/>
      <c r="DF46" s="138"/>
      <c r="DG46" s="89"/>
      <c r="DH46" s="73"/>
      <c r="DI46" s="73"/>
    </row>
    <row r="47" spans="1:113" ht="15" customHeight="1" x14ac:dyDescent="0.35">
      <c r="E47" s="185">
        <v>43872</v>
      </c>
      <c r="F47" s="73"/>
      <c r="G47" s="138" t="s">
        <v>455</v>
      </c>
      <c r="H47" s="39">
        <v>6.65</v>
      </c>
      <c r="I47" s="39"/>
      <c r="J47" s="186">
        <f t="shared" si="16"/>
        <v>6.65</v>
      </c>
      <c r="K47" s="39"/>
      <c r="L47" s="39" t="s">
        <v>2</v>
      </c>
      <c r="M47" s="73"/>
      <c r="N47" s="39" t="s">
        <v>54</v>
      </c>
      <c r="O47" s="89">
        <v>43872</v>
      </c>
      <c r="P47" s="15"/>
      <c r="Q47" s="185"/>
      <c r="R47" s="11"/>
      <c r="S47" s="186"/>
      <c r="T47" s="11"/>
      <c r="U47" s="186">
        <f t="shared" si="15"/>
        <v>0</v>
      </c>
      <c r="V47" s="186"/>
      <c r="W47" s="186"/>
      <c r="X47" s="11"/>
      <c r="Y47" s="11"/>
      <c r="Z47" s="39"/>
      <c r="AA47" s="11"/>
      <c r="AC47" s="185"/>
      <c r="AD47" s="11"/>
      <c r="AE47" s="186"/>
      <c r="AF47" s="11"/>
      <c r="AG47" s="186">
        <f t="shared" si="9"/>
        <v>0</v>
      </c>
      <c r="AH47" s="11"/>
      <c r="AI47" s="11"/>
      <c r="AJ47" s="11"/>
      <c r="AK47" s="11"/>
      <c r="AL47" s="39"/>
      <c r="AM47" s="11"/>
      <c r="AO47" s="185"/>
      <c r="AP47" s="11"/>
      <c r="AQ47" s="186"/>
      <c r="AR47" s="11"/>
      <c r="AS47" s="186">
        <f t="shared" si="8"/>
        <v>0</v>
      </c>
      <c r="AT47" s="186"/>
      <c r="AU47" s="186"/>
      <c r="AV47" s="11"/>
      <c r="AW47" s="11"/>
      <c r="AX47" s="39"/>
      <c r="AY47" s="11"/>
      <c r="BA47" s="185"/>
      <c r="BB47" s="11"/>
      <c r="BC47" s="73"/>
      <c r="BD47" s="11"/>
      <c r="BE47" s="11"/>
      <c r="BF47" s="11"/>
      <c r="BG47" s="186">
        <f t="shared" si="13"/>
        <v>0</v>
      </c>
      <c r="BH47" s="11"/>
      <c r="BI47" s="11"/>
      <c r="BJ47" s="39"/>
      <c r="BK47" s="11"/>
      <c r="BM47" s="185"/>
      <c r="BN47" s="39"/>
      <c r="BO47" s="186"/>
      <c r="BP47" s="39"/>
      <c r="BQ47" s="186">
        <f t="shared" si="10"/>
        <v>0</v>
      </c>
      <c r="BR47" s="39"/>
      <c r="BS47" s="39"/>
      <c r="BT47" s="39"/>
      <c r="BU47" s="39"/>
      <c r="BV47" s="39"/>
      <c r="BW47" s="39"/>
      <c r="BY47" s="73"/>
      <c r="BZ47" s="73"/>
      <c r="CA47" s="73"/>
      <c r="CB47" s="73"/>
      <c r="CC47" s="272"/>
      <c r="CD47" s="73"/>
      <c r="CE47" s="186">
        <f t="shared" si="14"/>
        <v>0</v>
      </c>
      <c r="CF47" s="73"/>
      <c r="CG47" s="73"/>
      <c r="CH47" s="73"/>
      <c r="CI47" s="73"/>
      <c r="CK47" s="185">
        <v>43836</v>
      </c>
      <c r="CL47" s="73"/>
      <c r="CM47" s="11" t="s">
        <v>582</v>
      </c>
      <c r="CN47" s="186">
        <v>13.8</v>
      </c>
      <c r="CO47" s="39"/>
      <c r="CP47" s="186">
        <f t="shared" si="12"/>
        <v>13.8</v>
      </c>
      <c r="CQ47" s="186"/>
      <c r="CR47" s="39" t="s">
        <v>1</v>
      </c>
      <c r="CS47" s="73"/>
      <c r="CT47" s="138" t="s">
        <v>45</v>
      </c>
      <c r="CU47" s="89">
        <v>43836</v>
      </c>
      <c r="CY47" s="185"/>
      <c r="CZ47" s="39"/>
      <c r="DA47" s="186"/>
      <c r="DB47" s="39"/>
      <c r="DC47" s="186">
        <f t="shared" si="7"/>
        <v>0</v>
      </c>
      <c r="DD47" s="39"/>
      <c r="DE47" s="186"/>
      <c r="DF47" s="138"/>
      <c r="DG47" s="89"/>
      <c r="DH47" s="73"/>
      <c r="DI47" s="73"/>
    </row>
    <row r="48" spans="1:113" ht="15" customHeight="1" x14ac:dyDescent="0.35">
      <c r="E48" s="185">
        <v>43859</v>
      </c>
      <c r="F48" s="73"/>
      <c r="G48" s="138" t="s">
        <v>456</v>
      </c>
      <c r="H48" s="39">
        <v>5.45</v>
      </c>
      <c r="I48" s="39"/>
      <c r="J48" s="186">
        <f t="shared" si="16"/>
        <v>5.45</v>
      </c>
      <c r="K48" s="39"/>
      <c r="L48" s="39" t="s">
        <v>1</v>
      </c>
      <c r="M48" s="73"/>
      <c r="N48" s="39" t="s">
        <v>45</v>
      </c>
      <c r="O48" s="89">
        <v>43859</v>
      </c>
      <c r="P48" s="15"/>
      <c r="Q48" s="185"/>
      <c r="R48" s="11"/>
      <c r="S48" s="186"/>
      <c r="T48" s="11"/>
      <c r="U48" s="186">
        <f t="shared" si="15"/>
        <v>0</v>
      </c>
      <c r="V48" s="186"/>
      <c r="W48" s="186"/>
      <c r="X48" s="11"/>
      <c r="Y48" s="11"/>
      <c r="Z48" s="39"/>
      <c r="AA48" s="11"/>
      <c r="AC48" s="185"/>
      <c r="AD48" s="11"/>
      <c r="AE48" s="186"/>
      <c r="AF48" s="11"/>
      <c r="AG48" s="186">
        <f t="shared" si="9"/>
        <v>0</v>
      </c>
      <c r="AH48" s="11"/>
      <c r="AI48" s="11"/>
      <c r="AJ48" s="11"/>
      <c r="AK48" s="11"/>
      <c r="AL48" s="39"/>
      <c r="AM48" s="11"/>
      <c r="AO48" s="185"/>
      <c r="AP48" s="11"/>
      <c r="AQ48" s="186"/>
      <c r="AR48" s="11"/>
      <c r="AS48" s="186">
        <f t="shared" si="8"/>
        <v>0</v>
      </c>
      <c r="AT48" s="186"/>
      <c r="AU48" s="186"/>
      <c r="AV48" s="11"/>
      <c r="AW48" s="11"/>
      <c r="AX48" s="39"/>
      <c r="AY48" s="11"/>
      <c r="BA48" s="185"/>
      <c r="BB48" s="11"/>
      <c r="BC48" s="73"/>
      <c r="BD48" s="11"/>
      <c r="BE48" s="11"/>
      <c r="BF48" s="11"/>
      <c r="BG48" s="186">
        <f t="shared" si="13"/>
        <v>0</v>
      </c>
      <c r="BH48" s="11"/>
      <c r="BI48" s="11"/>
      <c r="BJ48" s="39"/>
      <c r="BK48" s="11"/>
      <c r="BM48" s="185"/>
      <c r="BN48" s="39"/>
      <c r="BO48" s="186"/>
      <c r="BP48" s="39"/>
      <c r="BQ48" s="186">
        <f t="shared" si="10"/>
        <v>0</v>
      </c>
      <c r="BR48" s="39"/>
      <c r="BS48" s="39"/>
      <c r="BT48" s="39"/>
      <c r="BU48" s="39"/>
      <c r="BV48" s="39"/>
      <c r="BW48" s="39"/>
      <c r="BY48" s="201"/>
      <c r="BZ48" s="201"/>
      <c r="CA48" s="201"/>
      <c r="CB48" s="201"/>
      <c r="CC48" s="275"/>
      <c r="CD48" s="201"/>
      <c r="CE48" s="186">
        <f t="shared" si="14"/>
        <v>0</v>
      </c>
      <c r="CF48" s="201"/>
      <c r="CG48" s="201"/>
      <c r="CH48" s="201"/>
      <c r="CI48" s="201"/>
      <c r="CK48" s="185">
        <v>43840</v>
      </c>
      <c r="CL48" s="73"/>
      <c r="CM48" s="11" t="s">
        <v>583</v>
      </c>
      <c r="CN48" s="186">
        <v>6.4</v>
      </c>
      <c r="CO48" s="11"/>
      <c r="CP48" s="186">
        <f t="shared" si="12"/>
        <v>6.4</v>
      </c>
      <c r="CQ48" s="186"/>
      <c r="CR48" s="11" t="s">
        <v>1</v>
      </c>
      <c r="CS48" s="73"/>
      <c r="CT48" s="39" t="s">
        <v>79</v>
      </c>
      <c r="CU48" s="69">
        <v>43840</v>
      </c>
      <c r="CY48" s="185"/>
      <c r="CZ48" s="39"/>
      <c r="DA48" s="186"/>
      <c r="DB48" s="39"/>
      <c r="DC48" s="186">
        <f t="shared" si="7"/>
        <v>0</v>
      </c>
      <c r="DD48" s="39"/>
      <c r="DE48" s="186"/>
      <c r="DF48" s="138"/>
      <c r="DG48" s="89"/>
      <c r="DH48" s="73"/>
      <c r="DI48" s="73"/>
    </row>
    <row r="49" spans="5:113" ht="15" customHeight="1" x14ac:dyDescent="0.35">
      <c r="E49" s="185">
        <v>43858</v>
      </c>
      <c r="F49" s="73"/>
      <c r="G49" s="138" t="s">
        <v>457</v>
      </c>
      <c r="H49" s="39">
        <v>49.99</v>
      </c>
      <c r="I49" s="39"/>
      <c r="J49" s="186">
        <f t="shared" si="16"/>
        <v>49.99</v>
      </c>
      <c r="K49" s="39"/>
      <c r="L49" s="39" t="s">
        <v>1</v>
      </c>
      <c r="M49" s="73"/>
      <c r="N49" s="39" t="s">
        <v>45</v>
      </c>
      <c r="O49" s="89">
        <v>43858</v>
      </c>
      <c r="P49" s="15"/>
      <c r="Q49" s="185"/>
      <c r="R49" s="11"/>
      <c r="S49" s="186"/>
      <c r="T49" s="11"/>
      <c r="U49" s="186">
        <f t="shared" si="15"/>
        <v>0</v>
      </c>
      <c r="V49" s="186"/>
      <c r="W49" s="186"/>
      <c r="X49" s="11"/>
      <c r="Y49" s="11"/>
      <c r="Z49" s="39"/>
      <c r="AA49" s="11"/>
      <c r="AC49" s="185"/>
      <c r="AD49" s="11"/>
      <c r="AE49" s="186"/>
      <c r="AF49" s="11"/>
      <c r="AG49" s="186">
        <f t="shared" si="9"/>
        <v>0</v>
      </c>
      <c r="AH49" s="11"/>
      <c r="AI49" s="11"/>
      <c r="AJ49" s="11"/>
      <c r="AK49" s="11"/>
      <c r="AL49" s="39"/>
      <c r="AM49" s="11"/>
      <c r="AO49" s="185"/>
      <c r="AP49" s="11"/>
      <c r="AQ49" s="186"/>
      <c r="AR49" s="11"/>
      <c r="AS49" s="186">
        <f t="shared" si="8"/>
        <v>0</v>
      </c>
      <c r="AT49" s="186"/>
      <c r="AU49" s="186"/>
      <c r="AV49" s="11"/>
      <c r="AW49" s="11"/>
      <c r="AX49" s="39"/>
      <c r="AY49" s="11"/>
      <c r="BA49" s="185"/>
      <c r="BB49" s="11"/>
      <c r="BC49" s="73"/>
      <c r="BD49" s="11"/>
      <c r="BE49" s="11"/>
      <c r="BF49" s="11"/>
      <c r="BG49" s="186">
        <f t="shared" si="13"/>
        <v>0</v>
      </c>
      <c r="BH49" s="11"/>
      <c r="BI49" s="11"/>
      <c r="BJ49" s="39"/>
      <c r="BK49" s="11"/>
      <c r="BM49" s="185"/>
      <c r="BN49" s="39"/>
      <c r="BO49" s="186"/>
      <c r="BP49" s="39"/>
      <c r="BQ49" s="186">
        <f t="shared" si="10"/>
        <v>0</v>
      </c>
      <c r="BR49" s="39"/>
      <c r="BS49" s="39"/>
      <c r="BT49" s="39"/>
      <c r="BU49" s="39"/>
      <c r="BV49" s="39"/>
      <c r="BW49" s="39"/>
      <c r="BY49" s="185"/>
      <c r="BZ49" s="185"/>
      <c r="CA49" s="185"/>
      <c r="CB49" s="11"/>
      <c r="CC49" s="186"/>
      <c r="CD49" s="11"/>
      <c r="CE49" s="186">
        <f t="shared" si="14"/>
        <v>0</v>
      </c>
      <c r="CF49" s="11"/>
      <c r="CG49" s="11"/>
      <c r="CH49" s="39"/>
      <c r="CI49" s="11"/>
      <c r="CK49" s="185"/>
      <c r="CL49" s="11"/>
      <c r="CM49" s="186"/>
      <c r="CN49" s="11"/>
      <c r="CO49" s="186">
        <f t="shared" ref="CO49:CO80" si="17">CM49+CN49</f>
        <v>0</v>
      </c>
      <c r="CP49" s="186"/>
      <c r="CQ49" s="186"/>
      <c r="CR49" s="11"/>
      <c r="CS49" s="11"/>
      <c r="CT49" s="39"/>
      <c r="CU49" s="11"/>
      <c r="CY49" s="185"/>
      <c r="CZ49" s="39"/>
      <c r="DA49" s="186"/>
      <c r="DB49" s="39"/>
      <c r="DC49" s="186">
        <f t="shared" si="7"/>
        <v>0</v>
      </c>
      <c r="DD49" s="39"/>
      <c r="DE49" s="186"/>
      <c r="DF49" s="138"/>
      <c r="DG49" s="89"/>
      <c r="DH49" s="73"/>
      <c r="DI49" s="73"/>
    </row>
    <row r="50" spans="5:113" ht="15" customHeight="1" x14ac:dyDescent="0.35">
      <c r="E50" s="185">
        <v>43854</v>
      </c>
      <c r="F50" s="73"/>
      <c r="G50" s="138" t="s">
        <v>458</v>
      </c>
      <c r="H50" s="39">
        <v>13</v>
      </c>
      <c r="I50" s="39">
        <v>1.1100000000000001</v>
      </c>
      <c r="J50" s="186">
        <f t="shared" si="16"/>
        <v>14.11</v>
      </c>
      <c r="K50" s="39"/>
      <c r="L50" s="39" t="s">
        <v>1</v>
      </c>
      <c r="M50" s="73"/>
      <c r="N50" s="39" t="s">
        <v>55</v>
      </c>
      <c r="O50" s="89">
        <v>43854</v>
      </c>
      <c r="P50" s="15"/>
      <c r="Q50" s="185"/>
      <c r="R50" s="11"/>
      <c r="S50" s="186"/>
      <c r="T50" s="11"/>
      <c r="U50" s="186">
        <f t="shared" si="15"/>
        <v>0</v>
      </c>
      <c r="V50" s="186"/>
      <c r="W50" s="186"/>
      <c r="X50" s="11"/>
      <c r="Y50" s="11"/>
      <c r="Z50" s="39"/>
      <c r="AA50" s="11"/>
      <c r="AC50" s="185"/>
      <c r="AD50" s="11"/>
      <c r="AE50" s="186"/>
      <c r="AF50" s="11"/>
      <c r="AG50" s="186">
        <f t="shared" si="9"/>
        <v>0</v>
      </c>
      <c r="AH50" s="11"/>
      <c r="AI50" s="11"/>
      <c r="AJ50" s="11"/>
      <c r="AK50" s="11"/>
      <c r="AL50" s="39"/>
      <c r="AM50" s="11"/>
      <c r="AO50" s="185"/>
      <c r="AP50" s="11"/>
      <c r="AQ50" s="186"/>
      <c r="AR50" s="11"/>
      <c r="AS50" s="186">
        <f t="shared" si="8"/>
        <v>0</v>
      </c>
      <c r="AT50" s="186"/>
      <c r="AU50" s="186"/>
      <c r="AV50" s="11"/>
      <c r="AW50" s="11"/>
      <c r="AX50" s="39"/>
      <c r="AY50" s="11"/>
      <c r="BA50" s="185"/>
      <c r="BB50" s="11"/>
      <c r="BC50" s="73"/>
      <c r="BD50" s="11"/>
      <c r="BE50" s="11"/>
      <c r="BF50" s="11"/>
      <c r="BG50" s="186">
        <f t="shared" si="13"/>
        <v>0</v>
      </c>
      <c r="BH50" s="11"/>
      <c r="BI50" s="11"/>
      <c r="BJ50" s="39"/>
      <c r="BK50" s="11"/>
      <c r="BM50" s="185"/>
      <c r="BN50" s="39"/>
      <c r="BO50" s="186"/>
      <c r="BP50" s="39"/>
      <c r="BQ50" s="186">
        <f t="shared" si="10"/>
        <v>0</v>
      </c>
      <c r="BR50" s="39"/>
      <c r="BS50" s="39"/>
      <c r="BT50" s="39"/>
      <c r="BU50" s="39"/>
      <c r="BV50" s="39"/>
      <c r="BW50" s="39"/>
      <c r="BY50" s="185"/>
      <c r="BZ50" s="185"/>
      <c r="CA50" s="185"/>
      <c r="CB50" s="11"/>
      <c r="CC50" s="186"/>
      <c r="CD50" s="11"/>
      <c r="CE50" s="186">
        <f t="shared" si="14"/>
        <v>0</v>
      </c>
      <c r="CF50" s="11"/>
      <c r="CG50" s="11"/>
      <c r="CH50" s="39"/>
      <c r="CI50" s="11"/>
      <c r="CK50" s="185"/>
      <c r="CL50" s="11"/>
      <c r="CM50" s="186"/>
      <c r="CN50" s="11"/>
      <c r="CO50" s="186">
        <f t="shared" si="17"/>
        <v>0</v>
      </c>
      <c r="CP50" s="186"/>
      <c r="CQ50" s="186"/>
      <c r="CR50" s="11"/>
      <c r="CS50" s="11"/>
      <c r="CT50" s="39"/>
      <c r="CU50" s="11"/>
      <c r="CY50" s="185"/>
      <c r="CZ50" s="39"/>
      <c r="DA50" s="186"/>
      <c r="DB50" s="39"/>
      <c r="DC50" s="186">
        <f t="shared" si="7"/>
        <v>0</v>
      </c>
      <c r="DD50" s="39"/>
      <c r="DE50" s="186"/>
      <c r="DF50" s="138"/>
      <c r="DG50" s="89"/>
      <c r="DH50" s="73"/>
      <c r="DI50" s="73"/>
    </row>
    <row r="51" spans="5:113" ht="15" customHeight="1" x14ac:dyDescent="0.35">
      <c r="E51" s="185">
        <v>43846</v>
      </c>
      <c r="F51" s="73"/>
      <c r="G51" s="138" t="s">
        <v>459</v>
      </c>
      <c r="H51" s="39">
        <v>54.84</v>
      </c>
      <c r="I51" s="39">
        <v>3.91</v>
      </c>
      <c r="J51" s="186">
        <f t="shared" si="16"/>
        <v>58.75</v>
      </c>
      <c r="K51" s="39"/>
      <c r="L51" s="39" t="s">
        <v>1</v>
      </c>
      <c r="M51" s="73"/>
      <c r="N51" s="39" t="s">
        <v>45</v>
      </c>
      <c r="O51" s="89">
        <v>43846</v>
      </c>
      <c r="P51" s="15"/>
      <c r="Q51" s="185"/>
      <c r="R51" s="11"/>
      <c r="S51" s="186"/>
      <c r="T51" s="11"/>
      <c r="U51" s="186">
        <f t="shared" si="15"/>
        <v>0</v>
      </c>
      <c r="V51" s="186"/>
      <c r="W51" s="186"/>
      <c r="X51" s="11"/>
      <c r="Y51" s="11"/>
      <c r="Z51" s="39"/>
      <c r="AA51" s="11"/>
      <c r="AC51" s="185"/>
      <c r="AD51" s="11"/>
      <c r="AE51" s="186"/>
      <c r="AF51" s="11"/>
      <c r="AG51" s="186">
        <f t="shared" si="9"/>
        <v>0</v>
      </c>
      <c r="AH51" s="11"/>
      <c r="AI51" s="11"/>
      <c r="AJ51" s="11"/>
      <c r="AK51" s="11"/>
      <c r="AL51" s="39"/>
      <c r="AM51" s="11"/>
      <c r="AO51" s="185"/>
      <c r="AP51" s="11"/>
      <c r="AQ51" s="186"/>
      <c r="AR51" s="11"/>
      <c r="AS51" s="186">
        <f t="shared" si="8"/>
        <v>0</v>
      </c>
      <c r="AT51" s="186"/>
      <c r="AU51" s="186"/>
      <c r="AV51" s="11"/>
      <c r="AW51" s="11"/>
      <c r="AX51" s="39"/>
      <c r="AY51" s="11"/>
      <c r="BA51" s="185"/>
      <c r="BB51" s="11"/>
      <c r="BC51" s="73"/>
      <c r="BD51" s="11"/>
      <c r="BE51" s="11"/>
      <c r="BF51" s="11"/>
      <c r="BG51" s="186">
        <f t="shared" si="13"/>
        <v>0</v>
      </c>
      <c r="BH51" s="11"/>
      <c r="BI51" s="11"/>
      <c r="BJ51" s="39"/>
      <c r="BK51" s="11"/>
      <c r="BM51" s="185"/>
      <c r="BN51" s="39"/>
      <c r="BO51" s="186"/>
      <c r="BP51" s="39"/>
      <c r="BQ51" s="186">
        <f t="shared" si="10"/>
        <v>0</v>
      </c>
      <c r="BR51" s="39"/>
      <c r="BS51" s="39"/>
      <c r="BT51" s="39"/>
      <c r="BU51" s="39"/>
      <c r="BV51" s="39"/>
      <c r="BW51" s="39"/>
      <c r="BY51" s="185"/>
      <c r="BZ51" s="185"/>
      <c r="CA51" s="185"/>
      <c r="CB51" s="11"/>
      <c r="CC51" s="186"/>
      <c r="CD51" s="11"/>
      <c r="CE51" s="186">
        <f t="shared" si="14"/>
        <v>0</v>
      </c>
      <c r="CF51" s="11"/>
      <c r="CG51" s="11"/>
      <c r="CH51" s="39"/>
      <c r="CI51" s="11"/>
      <c r="CK51" s="185"/>
      <c r="CL51" s="11"/>
      <c r="CM51" s="186"/>
      <c r="CN51" s="11"/>
      <c r="CO51" s="186">
        <f t="shared" si="17"/>
        <v>0</v>
      </c>
      <c r="CP51" s="186"/>
      <c r="CQ51" s="186"/>
      <c r="CR51" s="11"/>
      <c r="CS51" s="11"/>
      <c r="CT51" s="39"/>
      <c r="CU51" s="11"/>
      <c r="CY51" s="185"/>
      <c r="CZ51" s="39"/>
      <c r="DA51" s="186"/>
      <c r="DB51" s="39"/>
      <c r="DC51" s="186">
        <f t="shared" si="7"/>
        <v>0</v>
      </c>
      <c r="DD51" s="39"/>
      <c r="DE51" s="186"/>
      <c r="DF51" s="138"/>
      <c r="DG51" s="89"/>
      <c r="DH51" s="73"/>
      <c r="DI51" s="73"/>
    </row>
    <row r="52" spans="5:113" ht="15" customHeight="1" x14ac:dyDescent="0.35">
      <c r="E52" s="185">
        <v>43839</v>
      </c>
      <c r="F52" s="73"/>
      <c r="G52" s="138" t="s">
        <v>460</v>
      </c>
      <c r="H52" s="39">
        <v>2.35</v>
      </c>
      <c r="I52" s="39">
        <v>0.2</v>
      </c>
      <c r="J52" s="186">
        <f t="shared" si="16"/>
        <v>2.5500000000000003</v>
      </c>
      <c r="K52" s="39"/>
      <c r="L52" s="39" t="s">
        <v>1</v>
      </c>
      <c r="M52" s="73"/>
      <c r="N52" s="39" t="s">
        <v>45</v>
      </c>
      <c r="O52" s="89">
        <v>43839</v>
      </c>
      <c r="P52" s="15"/>
      <c r="Q52" s="185"/>
      <c r="R52" s="11"/>
      <c r="S52" s="186"/>
      <c r="T52" s="11"/>
      <c r="U52" s="186">
        <f t="shared" si="15"/>
        <v>0</v>
      </c>
      <c r="V52" s="186"/>
      <c r="W52" s="186"/>
      <c r="X52" s="11"/>
      <c r="Y52" s="11"/>
      <c r="Z52" s="39"/>
      <c r="AA52" s="11"/>
      <c r="AC52" s="185"/>
      <c r="AD52" s="11"/>
      <c r="AE52" s="186"/>
      <c r="AF52" s="11"/>
      <c r="AG52" s="186">
        <f t="shared" si="9"/>
        <v>0</v>
      </c>
      <c r="AH52" s="11"/>
      <c r="AI52" s="11"/>
      <c r="AJ52" s="11"/>
      <c r="AK52" s="11"/>
      <c r="AL52" s="39"/>
      <c r="AM52" s="11"/>
      <c r="AO52" s="185"/>
      <c r="AP52" s="11"/>
      <c r="AQ52" s="186"/>
      <c r="AR52" s="11"/>
      <c r="AS52" s="186">
        <f t="shared" si="8"/>
        <v>0</v>
      </c>
      <c r="AT52" s="186"/>
      <c r="AU52" s="186"/>
      <c r="AV52" s="11"/>
      <c r="AW52" s="11"/>
      <c r="AX52" s="39"/>
      <c r="AY52" s="11"/>
      <c r="BA52" s="185"/>
      <c r="BB52" s="11"/>
      <c r="BC52" s="73"/>
      <c r="BD52" s="11"/>
      <c r="BE52" s="11"/>
      <c r="BF52" s="11"/>
      <c r="BG52" s="186">
        <f t="shared" si="13"/>
        <v>0</v>
      </c>
      <c r="BH52" s="11"/>
      <c r="BI52" s="11"/>
      <c r="BJ52" s="39"/>
      <c r="BK52" s="11"/>
      <c r="BM52" s="185"/>
      <c r="BN52" s="39"/>
      <c r="BO52" s="186"/>
      <c r="BP52" s="39"/>
      <c r="BQ52" s="186">
        <f t="shared" si="10"/>
        <v>0</v>
      </c>
      <c r="BR52" s="39"/>
      <c r="BS52" s="39"/>
      <c r="BT52" s="39"/>
      <c r="BU52" s="39"/>
      <c r="BV52" s="39"/>
      <c r="BW52" s="39"/>
      <c r="BY52" s="185"/>
      <c r="BZ52" s="185"/>
      <c r="CA52" s="185"/>
      <c r="CB52" s="11"/>
      <c r="CC52" s="186"/>
      <c r="CD52" s="11"/>
      <c r="CE52" s="186">
        <f t="shared" si="14"/>
        <v>0</v>
      </c>
      <c r="CF52" s="11"/>
      <c r="CG52" s="11"/>
      <c r="CH52" s="39"/>
      <c r="CI52" s="11"/>
      <c r="CK52" s="185"/>
      <c r="CL52" s="11"/>
      <c r="CM52" s="186"/>
      <c r="CN52" s="11"/>
      <c r="CO52" s="186">
        <f t="shared" si="17"/>
        <v>0</v>
      </c>
      <c r="CP52" s="186"/>
      <c r="CQ52" s="186"/>
      <c r="CR52" s="11"/>
      <c r="CS52" s="11"/>
      <c r="CT52" s="39"/>
      <c r="CU52" s="11"/>
      <c r="CY52" s="185"/>
      <c r="CZ52" s="39"/>
      <c r="DA52" s="186"/>
      <c r="DB52" s="39"/>
      <c r="DC52" s="186">
        <f t="shared" si="7"/>
        <v>0</v>
      </c>
      <c r="DD52" s="39"/>
      <c r="DE52" s="186"/>
      <c r="DF52" s="138"/>
      <c r="DG52" s="89"/>
      <c r="DH52" s="73"/>
      <c r="DI52" s="73"/>
    </row>
    <row r="53" spans="5:113" ht="15" customHeight="1" x14ac:dyDescent="0.35">
      <c r="E53" s="185">
        <v>43832</v>
      </c>
      <c r="F53" s="73"/>
      <c r="G53" s="138" t="s">
        <v>461</v>
      </c>
      <c r="H53" s="39">
        <v>835</v>
      </c>
      <c r="I53" s="39">
        <v>70.98</v>
      </c>
      <c r="J53" s="186">
        <f t="shared" si="16"/>
        <v>905.98</v>
      </c>
      <c r="K53" s="39"/>
      <c r="L53" s="39" t="s">
        <v>1</v>
      </c>
      <c r="M53" s="73"/>
      <c r="N53" s="39" t="s">
        <v>70</v>
      </c>
      <c r="O53" s="89" t="s">
        <v>89</v>
      </c>
      <c r="P53" s="15"/>
      <c r="Q53" s="185"/>
      <c r="R53" s="11"/>
      <c r="S53" s="186"/>
      <c r="T53" s="11"/>
      <c r="U53" s="186">
        <f t="shared" si="15"/>
        <v>0</v>
      </c>
      <c r="V53" s="186"/>
      <c r="W53" s="186"/>
      <c r="X53" s="11"/>
      <c r="Y53" s="11"/>
      <c r="Z53" s="39"/>
      <c r="AA53" s="11"/>
      <c r="AC53" s="185"/>
      <c r="AD53" s="11"/>
      <c r="AE53" s="186"/>
      <c r="AF53" s="11"/>
      <c r="AG53" s="186">
        <f t="shared" si="9"/>
        <v>0</v>
      </c>
      <c r="AH53" s="11"/>
      <c r="AI53" s="11"/>
      <c r="AJ53" s="11"/>
      <c r="AK53" s="11"/>
      <c r="AL53" s="39"/>
      <c r="AM53" s="11"/>
      <c r="AO53" s="185"/>
      <c r="AP53" s="11"/>
      <c r="AQ53" s="186"/>
      <c r="AR53" s="11"/>
      <c r="AS53" s="186">
        <f t="shared" si="8"/>
        <v>0</v>
      </c>
      <c r="AT53" s="186"/>
      <c r="AU53" s="186"/>
      <c r="AV53" s="11"/>
      <c r="AW53" s="11"/>
      <c r="AX53" s="39"/>
      <c r="AY53" s="11"/>
      <c r="BA53" s="185"/>
      <c r="BB53" s="11"/>
      <c r="BC53" s="73"/>
      <c r="BD53" s="11"/>
      <c r="BE53" s="11"/>
      <c r="BF53" s="11"/>
      <c r="BG53" s="186">
        <f t="shared" si="13"/>
        <v>0</v>
      </c>
      <c r="BH53" s="11"/>
      <c r="BI53" s="11"/>
      <c r="BJ53" s="39"/>
      <c r="BK53" s="11"/>
      <c r="BM53" s="185"/>
      <c r="BN53" s="39"/>
      <c r="BO53" s="186"/>
      <c r="BP53" s="39"/>
      <c r="BQ53" s="186">
        <f t="shared" si="10"/>
        <v>0</v>
      </c>
      <c r="BR53" s="39"/>
      <c r="BS53" s="39"/>
      <c r="BT53" s="39"/>
      <c r="BU53" s="39"/>
      <c r="BV53" s="39"/>
      <c r="BW53" s="39"/>
      <c r="BY53" s="185"/>
      <c r="BZ53" s="185"/>
      <c r="CA53" s="185"/>
      <c r="CB53" s="11"/>
      <c r="CC53" s="186"/>
      <c r="CD53" s="11"/>
      <c r="CE53" s="186">
        <f t="shared" si="14"/>
        <v>0</v>
      </c>
      <c r="CF53" s="11"/>
      <c r="CG53" s="11"/>
      <c r="CH53" s="39"/>
      <c r="CI53" s="11"/>
      <c r="CK53" s="185"/>
      <c r="CL53" s="11"/>
      <c r="CM53" s="186"/>
      <c r="CN53" s="11"/>
      <c r="CO53" s="186">
        <f t="shared" si="17"/>
        <v>0</v>
      </c>
      <c r="CP53" s="186"/>
      <c r="CQ53" s="186"/>
      <c r="CR53" s="11"/>
      <c r="CS53" s="11"/>
      <c r="CT53" s="39"/>
      <c r="CU53" s="11"/>
      <c r="CY53" s="185"/>
      <c r="CZ53" s="39"/>
      <c r="DA53" s="186"/>
      <c r="DB53" s="39"/>
      <c r="DC53" s="186">
        <f t="shared" si="7"/>
        <v>0</v>
      </c>
      <c r="DD53" s="39"/>
      <c r="DE53" s="186"/>
      <c r="DF53" s="138"/>
      <c r="DG53" s="89"/>
      <c r="DH53" s="73"/>
      <c r="DI53" s="73"/>
    </row>
    <row r="54" spans="5:113" ht="15" customHeight="1" x14ac:dyDescent="0.35">
      <c r="E54" s="185">
        <v>44057</v>
      </c>
      <c r="F54" s="73"/>
      <c r="G54" s="138" t="s">
        <v>462</v>
      </c>
      <c r="H54" s="186">
        <v>3.64</v>
      </c>
      <c r="I54" s="186">
        <v>0.31</v>
      </c>
      <c r="J54" s="186">
        <f t="shared" si="16"/>
        <v>3.95</v>
      </c>
      <c r="K54" s="186"/>
      <c r="L54" s="138" t="s">
        <v>8</v>
      </c>
      <c r="M54" s="73"/>
      <c r="N54" s="138"/>
      <c r="O54" s="185"/>
      <c r="P54" s="15"/>
      <c r="Q54" s="185"/>
      <c r="R54" s="11"/>
      <c r="S54" s="186"/>
      <c r="T54" s="11"/>
      <c r="U54" s="186">
        <f t="shared" si="15"/>
        <v>0</v>
      </c>
      <c r="V54" s="186"/>
      <c r="W54" s="186"/>
      <c r="X54" s="11"/>
      <c r="Y54" s="11"/>
      <c r="Z54" s="39"/>
      <c r="AA54" s="11"/>
      <c r="AC54" s="185"/>
      <c r="AD54" s="11"/>
      <c r="AE54" s="186"/>
      <c r="AF54" s="11"/>
      <c r="AG54" s="186">
        <f t="shared" si="9"/>
        <v>0</v>
      </c>
      <c r="AH54" s="11"/>
      <c r="AI54" s="11"/>
      <c r="AJ54" s="11"/>
      <c r="AK54" s="11"/>
      <c r="AL54" s="39"/>
      <c r="AM54" s="11"/>
      <c r="AO54" s="185"/>
      <c r="AP54" s="11"/>
      <c r="AQ54" s="186"/>
      <c r="AR54" s="11"/>
      <c r="AS54" s="186">
        <f t="shared" si="8"/>
        <v>0</v>
      </c>
      <c r="AT54" s="186"/>
      <c r="AU54" s="186"/>
      <c r="AV54" s="11"/>
      <c r="AW54" s="11"/>
      <c r="AX54" s="39"/>
      <c r="AY54" s="11"/>
      <c r="BA54" s="185"/>
      <c r="BB54" s="11"/>
      <c r="BC54" s="73"/>
      <c r="BD54" s="11"/>
      <c r="BE54" s="11"/>
      <c r="BF54" s="11"/>
      <c r="BG54" s="186">
        <f t="shared" si="13"/>
        <v>0</v>
      </c>
      <c r="BH54" s="11"/>
      <c r="BI54" s="11"/>
      <c r="BJ54" s="39"/>
      <c r="BK54" s="11"/>
      <c r="BM54" s="185"/>
      <c r="BN54" s="39"/>
      <c r="BO54" s="186"/>
      <c r="BP54" s="39"/>
      <c r="BQ54" s="186">
        <f t="shared" si="10"/>
        <v>0</v>
      </c>
      <c r="BR54" s="39"/>
      <c r="BS54" s="39"/>
      <c r="BT54" s="39"/>
      <c r="BU54" s="39"/>
      <c r="BV54" s="39"/>
      <c r="BW54" s="39"/>
      <c r="BY54" s="185"/>
      <c r="BZ54" s="185"/>
      <c r="CA54" s="185"/>
      <c r="CB54" s="11"/>
      <c r="CC54" s="186"/>
      <c r="CD54" s="11"/>
      <c r="CE54" s="186">
        <f t="shared" si="14"/>
        <v>0</v>
      </c>
      <c r="CF54" s="11"/>
      <c r="CG54" s="11"/>
      <c r="CH54" s="39"/>
      <c r="CI54" s="11"/>
      <c r="CK54" s="185"/>
      <c r="CL54" s="11"/>
      <c r="CM54" s="186"/>
      <c r="CN54" s="11"/>
      <c r="CO54" s="186">
        <f t="shared" si="17"/>
        <v>0</v>
      </c>
      <c r="CP54" s="186"/>
      <c r="CQ54" s="186"/>
      <c r="CR54" s="11"/>
      <c r="CS54" s="11"/>
      <c r="CT54" s="39"/>
      <c r="CU54" s="11"/>
      <c r="CY54" s="185"/>
      <c r="CZ54" s="39"/>
      <c r="DA54" s="186"/>
      <c r="DB54" s="39"/>
      <c r="DC54" s="186">
        <f t="shared" si="7"/>
        <v>0</v>
      </c>
      <c r="DD54" s="39"/>
      <c r="DE54" s="186"/>
      <c r="DF54" s="138"/>
      <c r="DG54" s="89"/>
      <c r="DH54" s="73"/>
      <c r="DI54" s="73"/>
    </row>
    <row r="55" spans="5:113" ht="15" customHeight="1" x14ac:dyDescent="0.35">
      <c r="E55" s="271">
        <v>44104</v>
      </c>
      <c r="F55" s="73"/>
      <c r="G55" s="138" t="s">
        <v>463</v>
      </c>
      <c r="H55" s="73">
        <v>1320</v>
      </c>
      <c r="I55" s="73">
        <v>112.2</v>
      </c>
      <c r="J55" s="186">
        <f t="shared" si="16"/>
        <v>1432.2</v>
      </c>
      <c r="K55" s="73"/>
      <c r="L55" s="73" t="s">
        <v>9</v>
      </c>
      <c r="M55" s="73"/>
      <c r="N55" s="73" t="s">
        <v>45</v>
      </c>
      <c r="O55" s="271">
        <v>44104</v>
      </c>
      <c r="P55" s="15"/>
      <c r="Q55" s="185"/>
      <c r="R55" s="11"/>
      <c r="S55" s="186"/>
      <c r="T55" s="11"/>
      <c r="U55" s="186">
        <f t="shared" si="15"/>
        <v>0</v>
      </c>
      <c r="V55" s="186"/>
      <c r="W55" s="186"/>
      <c r="X55" s="11"/>
      <c r="Y55" s="11"/>
      <c r="Z55" s="39"/>
      <c r="AA55" s="11"/>
      <c r="AC55" s="185"/>
      <c r="AD55" s="11"/>
      <c r="AE55" s="186"/>
      <c r="AF55" s="11"/>
      <c r="AG55" s="186">
        <f t="shared" si="9"/>
        <v>0</v>
      </c>
      <c r="AH55" s="11"/>
      <c r="AI55" s="11"/>
      <c r="AJ55" s="11"/>
      <c r="AK55" s="11"/>
      <c r="AL55" s="39"/>
      <c r="AM55" s="11"/>
      <c r="AO55" s="185"/>
      <c r="AP55" s="11"/>
      <c r="AQ55" s="186"/>
      <c r="AR55" s="11"/>
      <c r="AS55" s="186">
        <f t="shared" si="8"/>
        <v>0</v>
      </c>
      <c r="AT55" s="186"/>
      <c r="AU55" s="186"/>
      <c r="AV55" s="11"/>
      <c r="AW55" s="11"/>
      <c r="AX55" s="39"/>
      <c r="AY55" s="11"/>
      <c r="BA55" s="185"/>
      <c r="BB55" s="11"/>
      <c r="BC55" s="73"/>
      <c r="BD55" s="11"/>
      <c r="BE55" s="11"/>
      <c r="BF55" s="11"/>
      <c r="BG55" s="186">
        <f t="shared" si="13"/>
        <v>0</v>
      </c>
      <c r="BH55" s="11"/>
      <c r="BI55" s="11"/>
      <c r="BJ55" s="39"/>
      <c r="BK55" s="11"/>
      <c r="BM55" s="185"/>
      <c r="BN55" s="39"/>
      <c r="BO55" s="186"/>
      <c r="BP55" s="39"/>
      <c r="BQ55" s="186">
        <f t="shared" si="10"/>
        <v>0</v>
      </c>
      <c r="BR55" s="39"/>
      <c r="BS55" s="39"/>
      <c r="BT55" s="39"/>
      <c r="BU55" s="39"/>
      <c r="BV55" s="39"/>
      <c r="BW55" s="39"/>
      <c r="BY55" s="185"/>
      <c r="BZ55" s="185"/>
      <c r="CA55" s="185"/>
      <c r="CB55" s="11"/>
      <c r="CC55" s="186"/>
      <c r="CD55" s="11"/>
      <c r="CE55" s="186">
        <f t="shared" si="14"/>
        <v>0</v>
      </c>
      <c r="CF55" s="11"/>
      <c r="CG55" s="11"/>
      <c r="CH55" s="39"/>
      <c r="CI55" s="11"/>
      <c r="CK55" s="185"/>
      <c r="CL55" s="11"/>
      <c r="CM55" s="186"/>
      <c r="CN55" s="11"/>
      <c r="CO55" s="186">
        <f t="shared" si="17"/>
        <v>0</v>
      </c>
      <c r="CP55" s="186"/>
      <c r="CQ55" s="186"/>
      <c r="CR55" s="11"/>
      <c r="CS55" s="11"/>
      <c r="CT55" s="39"/>
      <c r="CU55" s="11"/>
      <c r="CY55" s="185"/>
      <c r="CZ55" s="39"/>
      <c r="DA55" s="186"/>
      <c r="DB55" s="39"/>
      <c r="DC55" s="186">
        <f t="shared" si="7"/>
        <v>0</v>
      </c>
      <c r="DD55" s="39"/>
      <c r="DE55" s="186"/>
      <c r="DF55" s="138"/>
      <c r="DG55" s="89"/>
      <c r="DH55" s="73"/>
      <c r="DI55" s="73"/>
    </row>
    <row r="56" spans="5:113" ht="15" customHeight="1" x14ac:dyDescent="0.35">
      <c r="E56" s="271">
        <v>44105</v>
      </c>
      <c r="F56" s="73"/>
      <c r="G56" s="138" t="s">
        <v>464</v>
      </c>
      <c r="H56" s="73">
        <v>4778.7</v>
      </c>
      <c r="I56" s="73">
        <v>72.680000000000007</v>
      </c>
      <c r="J56" s="186">
        <f t="shared" si="16"/>
        <v>4851.38</v>
      </c>
      <c r="K56" s="73"/>
      <c r="L56" s="73" t="s">
        <v>10</v>
      </c>
      <c r="M56" s="73"/>
      <c r="N56" s="73" t="s">
        <v>80</v>
      </c>
      <c r="O56" s="271">
        <v>44111</v>
      </c>
      <c r="P56" s="15"/>
      <c r="Q56" s="185"/>
      <c r="R56" s="11"/>
      <c r="S56" s="186"/>
      <c r="T56" s="11"/>
      <c r="U56" s="186">
        <f t="shared" ref="U56:U80" si="18">S56+T56</f>
        <v>0</v>
      </c>
      <c r="V56" s="186"/>
      <c r="W56" s="186"/>
      <c r="X56" s="11"/>
      <c r="Y56" s="11"/>
      <c r="Z56" s="39"/>
      <c r="AA56" s="11"/>
      <c r="AC56" s="185"/>
      <c r="AD56" s="11"/>
      <c r="AE56" s="186"/>
      <c r="AF56" s="11"/>
      <c r="AG56" s="186">
        <f t="shared" si="9"/>
        <v>0</v>
      </c>
      <c r="AH56" s="11"/>
      <c r="AI56" s="11"/>
      <c r="AJ56" s="11"/>
      <c r="AK56" s="11"/>
      <c r="AL56" s="39"/>
      <c r="AM56" s="11"/>
      <c r="AO56" s="185"/>
      <c r="AP56" s="11"/>
      <c r="AQ56" s="186"/>
      <c r="AR56" s="11"/>
      <c r="AS56" s="186">
        <f t="shared" si="8"/>
        <v>0</v>
      </c>
      <c r="AT56" s="186"/>
      <c r="AU56" s="186"/>
      <c r="AV56" s="11"/>
      <c r="AW56" s="11"/>
      <c r="AX56" s="39"/>
      <c r="AY56" s="11"/>
      <c r="BA56" s="185"/>
      <c r="BB56" s="11"/>
      <c r="BC56" s="73"/>
      <c r="BD56" s="11"/>
      <c r="BE56" s="11"/>
      <c r="BF56" s="11"/>
      <c r="BG56" s="186">
        <f t="shared" si="13"/>
        <v>0</v>
      </c>
      <c r="BH56" s="11"/>
      <c r="BI56" s="11"/>
      <c r="BJ56" s="39"/>
      <c r="BK56" s="11"/>
      <c r="BM56" s="185"/>
      <c r="BN56" s="39"/>
      <c r="BO56" s="186"/>
      <c r="BP56" s="39"/>
      <c r="BQ56" s="186">
        <f t="shared" si="10"/>
        <v>0</v>
      </c>
      <c r="BR56" s="39"/>
      <c r="BS56" s="39"/>
      <c r="BT56" s="39"/>
      <c r="BU56" s="39"/>
      <c r="BV56" s="39"/>
      <c r="BW56" s="39"/>
      <c r="BY56" s="185"/>
      <c r="BZ56" s="185"/>
      <c r="CA56" s="185"/>
      <c r="CB56" s="11"/>
      <c r="CC56" s="186"/>
      <c r="CD56" s="11"/>
      <c r="CE56" s="186">
        <f t="shared" si="14"/>
        <v>0</v>
      </c>
      <c r="CF56" s="11"/>
      <c r="CG56" s="11"/>
      <c r="CH56" s="39"/>
      <c r="CI56" s="11"/>
      <c r="CK56" s="185"/>
      <c r="CL56" s="11"/>
      <c r="CM56" s="186"/>
      <c r="CN56" s="11"/>
      <c r="CO56" s="186">
        <f t="shared" si="17"/>
        <v>0</v>
      </c>
      <c r="CP56" s="186"/>
      <c r="CQ56" s="186"/>
      <c r="CR56" s="11"/>
      <c r="CS56" s="11"/>
      <c r="CT56" s="39"/>
      <c r="CU56" s="11"/>
      <c r="CY56" s="185"/>
      <c r="CZ56" s="39"/>
      <c r="DA56" s="186"/>
      <c r="DB56" s="39"/>
      <c r="DC56" s="186">
        <f t="shared" si="7"/>
        <v>0</v>
      </c>
      <c r="DD56" s="39"/>
      <c r="DE56" s="186"/>
      <c r="DF56" s="138"/>
      <c r="DG56" s="89"/>
      <c r="DH56" s="73"/>
      <c r="DI56" s="73"/>
    </row>
    <row r="57" spans="5:113" ht="15" customHeight="1" x14ac:dyDescent="0.35">
      <c r="E57" s="73"/>
      <c r="F57" s="73"/>
      <c r="G57" s="73"/>
      <c r="H57" s="73"/>
      <c r="I57" s="186">
        <f t="shared" ref="I57:I68" si="19">G57+H57</f>
        <v>0</v>
      </c>
      <c r="J57" s="73"/>
      <c r="K57" s="73"/>
      <c r="L57" s="73"/>
      <c r="M57" s="73"/>
      <c r="N57" s="73"/>
      <c r="O57" s="73"/>
      <c r="P57" s="15"/>
      <c r="Q57" s="185"/>
      <c r="R57" s="11"/>
      <c r="S57" s="186"/>
      <c r="T57" s="11"/>
      <c r="U57" s="186">
        <f t="shared" si="18"/>
        <v>0</v>
      </c>
      <c r="V57" s="186"/>
      <c r="W57" s="186"/>
      <c r="X57" s="11"/>
      <c r="Y57" s="11"/>
      <c r="Z57" s="39"/>
      <c r="AA57" s="11"/>
      <c r="AC57" s="185"/>
      <c r="AD57" s="11"/>
      <c r="AE57" s="186"/>
      <c r="AF57" s="11"/>
      <c r="AG57" s="186">
        <f t="shared" si="9"/>
        <v>0</v>
      </c>
      <c r="AH57" s="11"/>
      <c r="AI57" s="11"/>
      <c r="AJ57" s="11"/>
      <c r="AK57" s="11"/>
      <c r="AL57" s="39"/>
      <c r="AM57" s="11"/>
      <c r="AO57" s="185"/>
      <c r="AP57" s="11"/>
      <c r="AQ57" s="186"/>
      <c r="AR57" s="11"/>
      <c r="AS57" s="186">
        <f t="shared" si="8"/>
        <v>0</v>
      </c>
      <c r="AT57" s="186"/>
      <c r="AU57" s="186"/>
      <c r="AV57" s="11"/>
      <c r="AW57" s="11"/>
      <c r="AX57" s="39"/>
      <c r="AY57" s="11"/>
      <c r="BA57" s="185"/>
      <c r="BB57" s="11"/>
      <c r="BC57" s="73"/>
      <c r="BD57" s="11"/>
      <c r="BE57" s="11"/>
      <c r="BF57" s="11"/>
      <c r="BG57" s="186">
        <f t="shared" si="13"/>
        <v>0</v>
      </c>
      <c r="BH57" s="11"/>
      <c r="BI57" s="11"/>
      <c r="BJ57" s="39"/>
      <c r="BK57" s="11"/>
      <c r="BM57" s="185"/>
      <c r="BN57" s="39"/>
      <c r="BO57" s="186"/>
      <c r="BP57" s="39"/>
      <c r="BQ57" s="186">
        <f t="shared" si="10"/>
        <v>0</v>
      </c>
      <c r="BR57" s="39"/>
      <c r="BS57" s="39"/>
      <c r="BT57" s="39"/>
      <c r="BU57" s="39"/>
      <c r="BV57" s="39"/>
      <c r="BW57" s="39"/>
      <c r="BY57" s="185"/>
      <c r="BZ57" s="185"/>
      <c r="CA57" s="185"/>
      <c r="CB57" s="11"/>
      <c r="CC57" s="186"/>
      <c r="CD57" s="11"/>
      <c r="CE57" s="186">
        <f t="shared" si="14"/>
        <v>0</v>
      </c>
      <c r="CF57" s="11"/>
      <c r="CG57" s="11"/>
      <c r="CH57" s="39"/>
      <c r="CI57" s="11"/>
      <c r="CK57" s="185"/>
      <c r="CL57" s="11"/>
      <c r="CM57" s="186"/>
      <c r="CN57" s="11"/>
      <c r="CO57" s="186">
        <f t="shared" si="17"/>
        <v>0</v>
      </c>
      <c r="CP57" s="186"/>
      <c r="CQ57" s="186"/>
      <c r="CR57" s="11"/>
      <c r="CS57" s="11"/>
      <c r="CT57" s="39"/>
      <c r="CU57" s="11"/>
      <c r="CY57" s="185"/>
      <c r="CZ57" s="39"/>
      <c r="DA57" s="186"/>
      <c r="DB57" s="39"/>
      <c r="DC57" s="186">
        <f t="shared" si="7"/>
        <v>0</v>
      </c>
      <c r="DD57" s="39"/>
      <c r="DE57" s="186"/>
      <c r="DF57" s="138"/>
      <c r="DG57" s="89"/>
      <c r="DH57" s="73"/>
      <c r="DI57" s="73"/>
    </row>
    <row r="58" spans="5:113" ht="15" customHeight="1" x14ac:dyDescent="0.35">
      <c r="E58" s="73"/>
      <c r="F58" s="73"/>
      <c r="G58" s="73"/>
      <c r="H58" s="73"/>
      <c r="I58" s="186">
        <f t="shared" si="19"/>
        <v>0</v>
      </c>
      <c r="J58" s="73"/>
      <c r="K58" s="73"/>
      <c r="L58" s="73"/>
      <c r="M58" s="73"/>
      <c r="N58" s="73"/>
      <c r="O58" s="73"/>
      <c r="P58" s="15"/>
      <c r="Q58" s="185"/>
      <c r="R58" s="11"/>
      <c r="S58" s="186"/>
      <c r="T58" s="11"/>
      <c r="U58" s="186">
        <f t="shared" si="18"/>
        <v>0</v>
      </c>
      <c r="V58" s="186"/>
      <c r="W58" s="186"/>
      <c r="X58" s="11"/>
      <c r="Y58" s="11"/>
      <c r="Z58" s="39"/>
      <c r="AA58" s="11"/>
      <c r="AC58" s="185"/>
      <c r="AD58" s="11"/>
      <c r="AE58" s="186"/>
      <c r="AF58" s="11"/>
      <c r="AG58" s="186">
        <f t="shared" si="9"/>
        <v>0</v>
      </c>
      <c r="AH58" s="11"/>
      <c r="AI58" s="11"/>
      <c r="AJ58" s="11"/>
      <c r="AK58" s="11"/>
      <c r="AL58" s="39"/>
      <c r="AM58" s="11"/>
      <c r="AO58" s="185"/>
      <c r="AP58" s="11"/>
      <c r="AQ58" s="186"/>
      <c r="AR58" s="11"/>
      <c r="AS58" s="186">
        <f t="shared" si="8"/>
        <v>0</v>
      </c>
      <c r="AT58" s="186"/>
      <c r="AU58" s="186"/>
      <c r="AV58" s="11"/>
      <c r="AW58" s="11"/>
      <c r="AX58" s="39"/>
      <c r="AY58" s="11"/>
      <c r="BA58" s="185"/>
      <c r="BB58" s="11"/>
      <c r="BC58" s="73"/>
      <c r="BD58" s="11"/>
      <c r="BE58" s="11"/>
      <c r="BF58" s="11"/>
      <c r="BG58" s="186">
        <f t="shared" si="13"/>
        <v>0</v>
      </c>
      <c r="BH58" s="11"/>
      <c r="BI58" s="11"/>
      <c r="BJ58" s="39"/>
      <c r="BK58" s="11"/>
      <c r="BM58" s="185"/>
      <c r="BN58" s="39"/>
      <c r="BO58" s="186"/>
      <c r="BP58" s="39"/>
      <c r="BQ58" s="186">
        <f t="shared" si="10"/>
        <v>0</v>
      </c>
      <c r="BR58" s="39"/>
      <c r="BS58" s="39"/>
      <c r="BT58" s="39"/>
      <c r="BU58" s="39"/>
      <c r="BV58" s="39"/>
      <c r="BW58" s="39"/>
      <c r="BY58" s="185"/>
      <c r="BZ58" s="185"/>
      <c r="CA58" s="185"/>
      <c r="CB58" s="11"/>
      <c r="CC58" s="186"/>
      <c r="CD58" s="11"/>
      <c r="CE58" s="186">
        <f t="shared" si="14"/>
        <v>0</v>
      </c>
      <c r="CF58" s="11"/>
      <c r="CG58" s="11"/>
      <c r="CH58" s="39"/>
      <c r="CI58" s="11"/>
      <c r="CK58" s="185"/>
      <c r="CL58" s="11"/>
      <c r="CM58" s="186"/>
      <c r="CN58" s="11"/>
      <c r="CO58" s="186">
        <f t="shared" si="17"/>
        <v>0</v>
      </c>
      <c r="CP58" s="186"/>
      <c r="CQ58" s="186"/>
      <c r="CR58" s="11"/>
      <c r="CS58" s="11"/>
      <c r="CT58" s="39"/>
      <c r="CU58" s="11"/>
      <c r="CY58" s="185"/>
      <c r="CZ58" s="39"/>
      <c r="DA58" s="186"/>
      <c r="DB58" s="39"/>
      <c r="DC58" s="186">
        <f t="shared" si="7"/>
        <v>0</v>
      </c>
      <c r="DD58" s="39"/>
      <c r="DE58" s="186"/>
      <c r="DF58" s="138"/>
      <c r="DG58" s="89"/>
      <c r="DH58" s="73"/>
      <c r="DI58" s="73"/>
    </row>
    <row r="59" spans="5:113" ht="15" customHeight="1" x14ac:dyDescent="0.35">
      <c r="E59" s="73"/>
      <c r="F59" s="73"/>
      <c r="G59" s="73"/>
      <c r="H59" s="73"/>
      <c r="I59" s="186">
        <f t="shared" si="19"/>
        <v>0</v>
      </c>
      <c r="J59" s="73"/>
      <c r="K59" s="73"/>
      <c r="L59" s="73"/>
      <c r="M59" s="73"/>
      <c r="N59" s="73"/>
      <c r="O59" s="73"/>
      <c r="P59" s="15"/>
      <c r="Q59" s="185"/>
      <c r="R59" s="11"/>
      <c r="S59" s="186"/>
      <c r="T59" s="11"/>
      <c r="U59" s="186">
        <f t="shared" si="18"/>
        <v>0</v>
      </c>
      <c r="V59" s="186"/>
      <c r="W59" s="186"/>
      <c r="X59" s="11"/>
      <c r="Y59" s="11"/>
      <c r="Z59" s="39"/>
      <c r="AA59" s="11"/>
      <c r="AC59" s="185"/>
      <c r="AD59" s="11"/>
      <c r="AE59" s="186"/>
      <c r="AF59" s="11"/>
      <c r="AG59" s="186">
        <f t="shared" si="9"/>
        <v>0</v>
      </c>
      <c r="AH59" s="11"/>
      <c r="AI59" s="11"/>
      <c r="AJ59" s="11"/>
      <c r="AK59" s="11"/>
      <c r="AL59" s="39"/>
      <c r="AM59" s="11"/>
      <c r="AO59" s="185"/>
      <c r="AP59" s="11"/>
      <c r="AQ59" s="186"/>
      <c r="AR59" s="11"/>
      <c r="AS59" s="186">
        <f t="shared" si="8"/>
        <v>0</v>
      </c>
      <c r="AT59" s="186"/>
      <c r="AU59" s="186"/>
      <c r="AV59" s="11"/>
      <c r="AW59" s="11"/>
      <c r="AX59" s="39"/>
      <c r="AY59" s="11"/>
      <c r="BA59" s="185"/>
      <c r="BB59" s="11"/>
      <c r="BC59" s="73"/>
      <c r="BD59" s="11"/>
      <c r="BE59" s="11"/>
      <c r="BF59" s="11"/>
      <c r="BG59" s="186">
        <f t="shared" si="13"/>
        <v>0</v>
      </c>
      <c r="BH59" s="11"/>
      <c r="BI59" s="11"/>
      <c r="BJ59" s="39"/>
      <c r="BK59" s="11"/>
      <c r="BM59" s="185"/>
      <c r="BN59" s="39"/>
      <c r="BO59" s="186"/>
      <c r="BP59" s="39"/>
      <c r="BQ59" s="186">
        <f t="shared" si="10"/>
        <v>0</v>
      </c>
      <c r="BR59" s="39"/>
      <c r="BS59" s="39"/>
      <c r="BT59" s="39"/>
      <c r="BU59" s="39"/>
      <c r="BV59" s="39"/>
      <c r="BW59" s="39"/>
      <c r="BY59" s="185"/>
      <c r="BZ59" s="185"/>
      <c r="CA59" s="185"/>
      <c r="CB59" s="11"/>
      <c r="CC59" s="186"/>
      <c r="CD59" s="11"/>
      <c r="CE59" s="186">
        <f t="shared" si="14"/>
        <v>0</v>
      </c>
      <c r="CF59" s="11"/>
      <c r="CG59" s="11"/>
      <c r="CH59" s="39"/>
      <c r="CI59" s="11"/>
      <c r="CK59" s="185"/>
      <c r="CL59" s="11"/>
      <c r="CM59" s="186"/>
      <c r="CN59" s="11"/>
      <c r="CO59" s="186">
        <f t="shared" si="17"/>
        <v>0</v>
      </c>
      <c r="CP59" s="186"/>
      <c r="CQ59" s="186"/>
      <c r="CR59" s="11"/>
      <c r="CS59" s="11"/>
      <c r="CT59" s="39"/>
      <c r="CU59" s="11"/>
      <c r="CY59" s="185"/>
      <c r="CZ59" s="39"/>
      <c r="DA59" s="186"/>
      <c r="DB59" s="39"/>
      <c r="DC59" s="186">
        <f t="shared" si="7"/>
        <v>0</v>
      </c>
      <c r="DD59" s="39"/>
      <c r="DE59" s="186"/>
      <c r="DF59" s="138"/>
      <c r="DG59" s="89"/>
      <c r="DH59" s="73"/>
      <c r="DI59" s="73"/>
    </row>
    <row r="60" spans="5:113" ht="15" customHeight="1" x14ac:dyDescent="0.35">
      <c r="E60" s="73"/>
      <c r="F60" s="73"/>
      <c r="G60" s="73"/>
      <c r="H60" s="73"/>
      <c r="I60" s="186">
        <f t="shared" si="19"/>
        <v>0</v>
      </c>
      <c r="J60" s="73"/>
      <c r="K60" s="73"/>
      <c r="L60" s="73"/>
      <c r="M60" s="73"/>
      <c r="N60" s="73"/>
      <c r="O60" s="73"/>
      <c r="P60" s="15"/>
      <c r="Q60" s="185"/>
      <c r="R60" s="11"/>
      <c r="S60" s="186"/>
      <c r="T60" s="11"/>
      <c r="U60" s="186">
        <f t="shared" si="18"/>
        <v>0</v>
      </c>
      <c r="V60" s="186"/>
      <c r="W60" s="186"/>
      <c r="X60" s="11"/>
      <c r="Y60" s="11"/>
      <c r="Z60" s="39"/>
      <c r="AA60" s="11"/>
      <c r="AC60" s="185"/>
      <c r="AD60" s="11"/>
      <c r="AE60" s="186"/>
      <c r="AF60" s="11"/>
      <c r="AG60" s="186">
        <f t="shared" si="9"/>
        <v>0</v>
      </c>
      <c r="AH60" s="11"/>
      <c r="AI60" s="11"/>
      <c r="AJ60" s="11"/>
      <c r="AK60" s="11"/>
      <c r="AL60" s="39"/>
      <c r="AM60" s="11"/>
      <c r="AO60" s="185"/>
      <c r="AP60" s="11"/>
      <c r="AQ60" s="186"/>
      <c r="AR60" s="11"/>
      <c r="AS60" s="186">
        <f t="shared" si="8"/>
        <v>0</v>
      </c>
      <c r="AT60" s="186"/>
      <c r="AU60" s="186"/>
      <c r="AV60" s="11"/>
      <c r="AW60" s="11"/>
      <c r="AX60" s="39"/>
      <c r="AY60" s="11"/>
      <c r="BA60" s="185"/>
      <c r="BB60" s="11"/>
      <c r="BC60" s="73"/>
      <c r="BD60" s="11"/>
      <c r="BE60" s="11"/>
      <c r="BF60" s="11"/>
      <c r="BG60" s="186">
        <f t="shared" si="13"/>
        <v>0</v>
      </c>
      <c r="BH60" s="11"/>
      <c r="BI60" s="11"/>
      <c r="BJ60" s="39"/>
      <c r="BK60" s="11"/>
      <c r="BM60" s="185"/>
      <c r="BN60" s="39"/>
      <c r="BO60" s="186"/>
      <c r="BP60" s="39"/>
      <c r="BQ60" s="186">
        <f t="shared" si="10"/>
        <v>0</v>
      </c>
      <c r="BR60" s="39"/>
      <c r="BS60" s="39"/>
      <c r="BT60" s="39"/>
      <c r="BU60" s="39"/>
      <c r="BV60" s="39"/>
      <c r="BW60" s="39"/>
      <c r="BY60" s="185"/>
      <c r="BZ60" s="185"/>
      <c r="CA60" s="185"/>
      <c r="CB60" s="11"/>
      <c r="CC60" s="186"/>
      <c r="CD60" s="11"/>
      <c r="CE60" s="186">
        <f t="shared" si="14"/>
        <v>0</v>
      </c>
      <c r="CF60" s="11"/>
      <c r="CG60" s="11"/>
      <c r="CH60" s="39"/>
      <c r="CI60" s="11"/>
      <c r="CK60" s="185"/>
      <c r="CL60" s="11"/>
      <c r="CM60" s="186"/>
      <c r="CN60" s="11"/>
      <c r="CO60" s="186">
        <f t="shared" si="17"/>
        <v>0</v>
      </c>
      <c r="CP60" s="186"/>
      <c r="CQ60" s="186"/>
      <c r="CR60" s="11"/>
      <c r="CS60" s="11"/>
      <c r="CT60" s="39"/>
      <c r="CU60" s="11"/>
      <c r="CY60" s="185"/>
      <c r="CZ60" s="39"/>
      <c r="DA60" s="186"/>
      <c r="DB60" s="39"/>
      <c r="DC60" s="186">
        <f t="shared" si="7"/>
        <v>0</v>
      </c>
      <c r="DD60" s="39"/>
      <c r="DE60" s="186"/>
      <c r="DF60" s="138"/>
      <c r="DG60" s="89"/>
      <c r="DH60" s="73"/>
      <c r="DI60" s="73"/>
    </row>
    <row r="61" spans="5:113" ht="15" customHeight="1" x14ac:dyDescent="0.35">
      <c r="E61" s="73"/>
      <c r="F61" s="73"/>
      <c r="G61" s="73"/>
      <c r="H61" s="73"/>
      <c r="I61" s="186">
        <f t="shared" si="19"/>
        <v>0</v>
      </c>
      <c r="J61" s="73"/>
      <c r="K61" s="73"/>
      <c r="L61" s="73"/>
      <c r="M61" s="73"/>
      <c r="N61" s="73"/>
      <c r="O61" s="73"/>
      <c r="P61" s="15"/>
      <c r="Q61" s="185"/>
      <c r="R61" s="11"/>
      <c r="S61" s="186"/>
      <c r="T61" s="11"/>
      <c r="U61" s="186">
        <f t="shared" si="18"/>
        <v>0</v>
      </c>
      <c r="V61" s="186"/>
      <c r="W61" s="186"/>
      <c r="X61" s="11"/>
      <c r="Y61" s="11"/>
      <c r="Z61" s="39"/>
      <c r="AA61" s="11"/>
      <c r="AC61" s="185"/>
      <c r="AD61" s="11"/>
      <c r="AE61" s="186"/>
      <c r="AF61" s="11"/>
      <c r="AG61" s="186">
        <f t="shared" si="9"/>
        <v>0</v>
      </c>
      <c r="AH61" s="11"/>
      <c r="AI61" s="11"/>
      <c r="AJ61" s="11"/>
      <c r="AK61" s="11"/>
      <c r="AL61" s="39"/>
      <c r="AM61" s="11"/>
      <c r="AO61" s="185"/>
      <c r="AP61" s="11"/>
      <c r="AQ61" s="186"/>
      <c r="AR61" s="11"/>
      <c r="AS61" s="186">
        <f t="shared" si="8"/>
        <v>0</v>
      </c>
      <c r="AT61" s="186"/>
      <c r="AU61" s="186"/>
      <c r="AV61" s="11"/>
      <c r="AW61" s="11"/>
      <c r="AX61" s="39"/>
      <c r="AY61" s="11"/>
      <c r="BA61" s="185"/>
      <c r="BB61" s="11"/>
      <c r="BC61" s="73"/>
      <c r="BD61" s="11"/>
      <c r="BE61" s="11"/>
      <c r="BF61" s="11"/>
      <c r="BG61" s="186">
        <f t="shared" si="13"/>
        <v>0</v>
      </c>
      <c r="BH61" s="11"/>
      <c r="BI61" s="11"/>
      <c r="BJ61" s="39"/>
      <c r="BK61" s="11"/>
      <c r="BM61" s="185"/>
      <c r="BN61" s="39"/>
      <c r="BO61" s="186"/>
      <c r="BP61" s="39"/>
      <c r="BQ61" s="186">
        <f t="shared" si="10"/>
        <v>0</v>
      </c>
      <c r="BR61" s="39"/>
      <c r="BS61" s="39"/>
      <c r="BT61" s="39"/>
      <c r="BU61" s="39"/>
      <c r="BV61" s="39"/>
      <c r="BW61" s="39"/>
      <c r="BY61" s="185"/>
      <c r="BZ61" s="185"/>
      <c r="CA61" s="185"/>
      <c r="CB61" s="11"/>
      <c r="CC61" s="186"/>
      <c r="CD61" s="11"/>
      <c r="CE61" s="186">
        <f t="shared" si="14"/>
        <v>0</v>
      </c>
      <c r="CF61" s="11"/>
      <c r="CG61" s="11"/>
      <c r="CH61" s="39"/>
      <c r="CI61" s="11"/>
      <c r="CK61" s="185"/>
      <c r="CL61" s="11"/>
      <c r="CM61" s="186"/>
      <c r="CN61" s="11"/>
      <c r="CO61" s="186">
        <f t="shared" si="17"/>
        <v>0</v>
      </c>
      <c r="CP61" s="186"/>
      <c r="CQ61" s="186"/>
      <c r="CR61" s="11"/>
      <c r="CS61" s="11"/>
      <c r="CT61" s="39"/>
      <c r="CU61" s="11"/>
      <c r="CY61" s="185"/>
      <c r="CZ61" s="39"/>
      <c r="DA61" s="186"/>
      <c r="DB61" s="39"/>
      <c r="DC61" s="186">
        <f t="shared" si="7"/>
        <v>0</v>
      </c>
      <c r="DD61" s="39"/>
      <c r="DE61" s="186"/>
      <c r="DF61" s="138"/>
      <c r="DG61" s="89"/>
      <c r="DH61" s="73"/>
      <c r="DI61" s="73"/>
    </row>
    <row r="62" spans="5:113" ht="15" customHeight="1" x14ac:dyDescent="0.35">
      <c r="E62" s="73"/>
      <c r="F62" s="73"/>
      <c r="G62" s="73"/>
      <c r="H62" s="73"/>
      <c r="I62" s="186">
        <f t="shared" si="19"/>
        <v>0</v>
      </c>
      <c r="J62" s="73"/>
      <c r="K62" s="73"/>
      <c r="L62" s="73"/>
      <c r="M62" s="73"/>
      <c r="N62" s="73"/>
      <c r="O62" s="73"/>
      <c r="P62" s="15"/>
      <c r="Q62" s="185"/>
      <c r="R62" s="11"/>
      <c r="S62" s="186"/>
      <c r="T62" s="11"/>
      <c r="U62" s="186">
        <f t="shared" si="18"/>
        <v>0</v>
      </c>
      <c r="V62" s="186"/>
      <c r="W62" s="186"/>
      <c r="X62" s="11"/>
      <c r="Y62" s="11"/>
      <c r="Z62" s="39"/>
      <c r="AA62" s="11"/>
      <c r="AC62" s="185"/>
      <c r="AD62" s="11"/>
      <c r="AE62" s="186"/>
      <c r="AF62" s="11"/>
      <c r="AG62" s="186">
        <f t="shared" si="9"/>
        <v>0</v>
      </c>
      <c r="AH62" s="11"/>
      <c r="AI62" s="11"/>
      <c r="AJ62" s="11"/>
      <c r="AK62" s="11"/>
      <c r="AL62" s="39"/>
      <c r="AM62" s="11"/>
      <c r="AO62" s="185"/>
      <c r="AP62" s="11"/>
      <c r="AQ62" s="186"/>
      <c r="AR62" s="11"/>
      <c r="AS62" s="186">
        <f t="shared" si="8"/>
        <v>0</v>
      </c>
      <c r="AT62" s="186"/>
      <c r="AU62" s="186"/>
      <c r="AV62" s="11"/>
      <c r="AW62" s="11"/>
      <c r="AX62" s="39"/>
      <c r="AY62" s="11"/>
      <c r="BA62" s="185"/>
      <c r="BB62" s="11"/>
      <c r="BC62" s="73"/>
      <c r="BD62" s="11"/>
      <c r="BE62" s="11"/>
      <c r="BF62" s="11"/>
      <c r="BG62" s="186">
        <f t="shared" si="13"/>
        <v>0</v>
      </c>
      <c r="BH62" s="11"/>
      <c r="BI62" s="11"/>
      <c r="BJ62" s="39"/>
      <c r="BK62" s="11"/>
      <c r="BM62" s="185"/>
      <c r="BN62" s="39"/>
      <c r="BO62" s="186"/>
      <c r="BP62" s="39"/>
      <c r="BQ62" s="186">
        <f t="shared" si="10"/>
        <v>0</v>
      </c>
      <c r="BR62" s="39"/>
      <c r="BS62" s="39"/>
      <c r="BT62" s="39"/>
      <c r="BU62" s="39"/>
      <c r="BV62" s="39"/>
      <c r="BW62" s="39"/>
      <c r="BY62" s="185"/>
      <c r="BZ62" s="185"/>
      <c r="CA62" s="185"/>
      <c r="CB62" s="11"/>
      <c r="CC62" s="186"/>
      <c r="CD62" s="11"/>
      <c r="CE62" s="186">
        <f t="shared" si="14"/>
        <v>0</v>
      </c>
      <c r="CF62" s="11"/>
      <c r="CG62" s="11"/>
      <c r="CH62" s="39"/>
      <c r="CI62" s="11"/>
      <c r="CK62" s="185"/>
      <c r="CL62" s="11"/>
      <c r="CM62" s="186"/>
      <c r="CN62" s="11"/>
      <c r="CO62" s="186">
        <f t="shared" si="17"/>
        <v>0</v>
      </c>
      <c r="CP62" s="186"/>
      <c r="CQ62" s="186"/>
      <c r="CR62" s="11"/>
      <c r="CS62" s="11"/>
      <c r="CT62" s="39"/>
      <c r="CU62" s="11"/>
      <c r="CY62" s="185"/>
      <c r="CZ62" s="39"/>
      <c r="DA62" s="186"/>
      <c r="DB62" s="39"/>
      <c r="DC62" s="186">
        <f t="shared" si="7"/>
        <v>0</v>
      </c>
      <c r="DD62" s="39"/>
      <c r="DE62" s="186"/>
      <c r="DF62" s="138"/>
      <c r="DG62" s="89"/>
      <c r="DH62" s="73"/>
      <c r="DI62" s="73"/>
    </row>
    <row r="63" spans="5:113" ht="19.5" customHeight="1" x14ac:dyDescent="0.35">
      <c r="E63" s="73"/>
      <c r="F63" s="73"/>
      <c r="G63" s="73"/>
      <c r="H63" s="73"/>
      <c r="I63" s="186">
        <f t="shared" si="19"/>
        <v>0</v>
      </c>
      <c r="J63" s="73"/>
      <c r="K63" s="73"/>
      <c r="L63" s="73"/>
      <c r="M63" s="73"/>
      <c r="N63" s="73"/>
      <c r="O63" s="73"/>
      <c r="P63" s="15"/>
      <c r="Q63" s="185"/>
      <c r="R63" s="11"/>
      <c r="S63" s="186"/>
      <c r="T63" s="11"/>
      <c r="U63" s="186">
        <f t="shared" si="18"/>
        <v>0</v>
      </c>
      <c r="V63" s="186"/>
      <c r="W63" s="186"/>
      <c r="X63" s="11"/>
      <c r="Y63" s="11"/>
      <c r="Z63" s="39"/>
      <c r="AA63" s="11"/>
      <c r="AC63" s="185"/>
      <c r="AD63" s="11"/>
      <c r="AE63" s="186"/>
      <c r="AF63" s="11"/>
      <c r="AG63" s="186">
        <f t="shared" si="9"/>
        <v>0</v>
      </c>
      <c r="AH63" s="11"/>
      <c r="AI63" s="11"/>
      <c r="AJ63" s="11"/>
      <c r="AK63" s="11"/>
      <c r="AL63" s="39"/>
      <c r="AM63" s="11"/>
      <c r="AO63" s="185"/>
      <c r="AP63" s="11"/>
      <c r="AQ63" s="186"/>
      <c r="AR63" s="11"/>
      <c r="AS63" s="186">
        <f t="shared" si="8"/>
        <v>0</v>
      </c>
      <c r="AT63" s="186"/>
      <c r="AU63" s="186"/>
      <c r="AV63" s="11"/>
      <c r="AW63" s="11"/>
      <c r="AX63" s="39"/>
      <c r="AY63" s="11"/>
      <c r="BA63" s="185"/>
      <c r="BB63" s="11"/>
      <c r="BC63" s="73"/>
      <c r="BD63" s="11"/>
      <c r="BE63" s="11"/>
      <c r="BF63" s="11"/>
      <c r="BG63" s="186">
        <f t="shared" si="13"/>
        <v>0</v>
      </c>
      <c r="BH63" s="11"/>
      <c r="BI63" s="11"/>
      <c r="BJ63" s="39"/>
      <c r="BK63" s="11"/>
      <c r="BM63" s="185"/>
      <c r="BN63" s="39"/>
      <c r="BO63" s="186"/>
      <c r="BP63" s="39"/>
      <c r="BQ63" s="186">
        <f t="shared" si="10"/>
        <v>0</v>
      </c>
      <c r="BR63" s="39"/>
      <c r="BS63" s="39"/>
      <c r="BT63" s="39"/>
      <c r="BU63" s="39"/>
      <c r="BV63" s="39"/>
      <c r="BW63" s="39"/>
      <c r="BY63" s="185"/>
      <c r="BZ63" s="185"/>
      <c r="CA63" s="185"/>
      <c r="CB63" s="11"/>
      <c r="CC63" s="186"/>
      <c r="CD63" s="11"/>
      <c r="CE63" s="186">
        <f t="shared" si="14"/>
        <v>0</v>
      </c>
      <c r="CF63" s="11"/>
      <c r="CG63" s="11"/>
      <c r="CH63" s="39"/>
      <c r="CI63" s="11"/>
      <c r="CK63" s="185"/>
      <c r="CL63" s="11"/>
      <c r="CM63" s="186"/>
      <c r="CN63" s="11"/>
      <c r="CO63" s="186">
        <f t="shared" si="17"/>
        <v>0</v>
      </c>
      <c r="CP63" s="186"/>
      <c r="CQ63" s="186"/>
      <c r="CR63" s="11"/>
      <c r="CS63" s="11"/>
      <c r="CT63" s="39"/>
      <c r="CU63" s="11"/>
      <c r="CY63" s="185"/>
      <c r="CZ63" s="39"/>
      <c r="DA63" s="186"/>
      <c r="DB63" s="39"/>
      <c r="DC63" s="186">
        <f t="shared" si="7"/>
        <v>0</v>
      </c>
      <c r="DD63" s="39"/>
      <c r="DE63" s="186"/>
      <c r="DF63" s="138"/>
      <c r="DG63" s="89"/>
      <c r="DH63" s="73"/>
      <c r="DI63" s="73"/>
    </row>
    <row r="64" spans="5:113" ht="16.5" customHeight="1" x14ac:dyDescent="0.35">
      <c r="E64" s="73"/>
      <c r="F64" s="73"/>
      <c r="G64" s="73"/>
      <c r="H64" s="73"/>
      <c r="I64" s="186">
        <f t="shared" si="19"/>
        <v>0</v>
      </c>
      <c r="J64" s="73"/>
      <c r="K64" s="73"/>
      <c r="L64" s="73"/>
      <c r="M64" s="73"/>
      <c r="N64" s="73"/>
      <c r="O64" s="73"/>
      <c r="P64" s="15"/>
      <c r="Q64" s="185"/>
      <c r="R64" s="11"/>
      <c r="S64" s="186"/>
      <c r="T64" s="11"/>
      <c r="U64" s="186">
        <f t="shared" si="18"/>
        <v>0</v>
      </c>
      <c r="V64" s="186"/>
      <c r="W64" s="186"/>
      <c r="X64" s="11"/>
      <c r="Y64" s="11"/>
      <c r="Z64" s="39"/>
      <c r="AA64" s="11"/>
      <c r="AC64" s="185"/>
      <c r="AD64" s="11"/>
      <c r="AE64" s="186"/>
      <c r="AF64" s="11"/>
      <c r="AG64" s="186">
        <f t="shared" si="9"/>
        <v>0</v>
      </c>
      <c r="AH64" s="11"/>
      <c r="AI64" s="11"/>
      <c r="AJ64" s="11"/>
      <c r="AK64" s="11"/>
      <c r="AL64" s="39"/>
      <c r="AM64" s="11"/>
      <c r="AO64" s="185"/>
      <c r="AP64" s="11"/>
      <c r="AQ64" s="186"/>
      <c r="AR64" s="11"/>
      <c r="AS64" s="186">
        <f t="shared" si="8"/>
        <v>0</v>
      </c>
      <c r="AT64" s="186"/>
      <c r="AU64" s="186"/>
      <c r="AV64" s="11"/>
      <c r="AW64" s="11"/>
      <c r="AX64" s="39"/>
      <c r="AY64" s="11"/>
      <c r="BA64" s="185"/>
      <c r="BB64" s="11"/>
      <c r="BC64" s="73"/>
      <c r="BD64" s="11"/>
      <c r="BE64" s="11"/>
      <c r="BF64" s="11"/>
      <c r="BG64" s="186">
        <f t="shared" si="13"/>
        <v>0</v>
      </c>
      <c r="BH64" s="11"/>
      <c r="BI64" s="11"/>
      <c r="BJ64" s="39"/>
      <c r="BK64" s="11"/>
      <c r="BM64" s="185"/>
      <c r="BN64" s="39"/>
      <c r="BO64" s="186"/>
      <c r="BP64" s="39"/>
      <c r="BQ64" s="186">
        <f t="shared" si="10"/>
        <v>0</v>
      </c>
      <c r="BR64" s="39"/>
      <c r="BS64" s="39"/>
      <c r="BT64" s="39"/>
      <c r="BU64" s="39"/>
      <c r="BV64" s="39"/>
      <c r="BW64" s="39"/>
      <c r="BY64" s="185"/>
      <c r="BZ64" s="185"/>
      <c r="CA64" s="185"/>
      <c r="CB64" s="11"/>
      <c r="CC64" s="186"/>
      <c r="CD64" s="11"/>
      <c r="CE64" s="186">
        <f t="shared" si="14"/>
        <v>0</v>
      </c>
      <c r="CF64" s="11"/>
      <c r="CG64" s="11"/>
      <c r="CH64" s="39"/>
      <c r="CI64" s="11"/>
      <c r="CK64" s="185"/>
      <c r="CL64" s="11"/>
      <c r="CM64" s="186"/>
      <c r="CN64" s="11"/>
      <c r="CO64" s="186">
        <f t="shared" si="17"/>
        <v>0</v>
      </c>
      <c r="CP64" s="186"/>
      <c r="CQ64" s="186"/>
      <c r="CR64" s="11"/>
      <c r="CS64" s="11"/>
      <c r="CT64" s="39"/>
      <c r="CU64" s="11"/>
      <c r="CY64" s="185"/>
      <c r="CZ64" s="39"/>
      <c r="DA64" s="186"/>
      <c r="DB64" s="39"/>
      <c r="DC64" s="186">
        <f t="shared" si="7"/>
        <v>0</v>
      </c>
      <c r="DD64" s="39"/>
      <c r="DE64" s="186"/>
      <c r="DF64" s="138"/>
      <c r="DG64" s="89"/>
      <c r="DH64" s="73"/>
      <c r="DI64" s="73"/>
    </row>
    <row r="65" spans="5:113" ht="15.75" customHeight="1" x14ac:dyDescent="0.35">
      <c r="E65" s="73"/>
      <c r="F65" s="73"/>
      <c r="G65" s="73"/>
      <c r="H65" s="73"/>
      <c r="I65" s="186">
        <f t="shared" si="19"/>
        <v>0</v>
      </c>
      <c r="J65" s="73"/>
      <c r="K65" s="73"/>
      <c r="L65" s="73"/>
      <c r="M65" s="73"/>
      <c r="N65" s="73"/>
      <c r="O65" s="73"/>
      <c r="P65" s="15"/>
      <c r="Q65" s="185"/>
      <c r="R65" s="11"/>
      <c r="S65" s="186"/>
      <c r="T65" s="11"/>
      <c r="U65" s="186">
        <f t="shared" si="18"/>
        <v>0</v>
      </c>
      <c r="V65" s="186"/>
      <c r="W65" s="186"/>
      <c r="X65" s="11"/>
      <c r="Y65" s="11"/>
      <c r="Z65" s="39"/>
      <c r="AA65" s="11"/>
      <c r="AC65" s="185"/>
      <c r="AD65" s="11"/>
      <c r="AE65" s="186"/>
      <c r="AF65" s="11"/>
      <c r="AG65" s="186">
        <f t="shared" si="9"/>
        <v>0</v>
      </c>
      <c r="AH65" s="11"/>
      <c r="AI65" s="11"/>
      <c r="AJ65" s="11"/>
      <c r="AK65" s="11"/>
      <c r="AL65" s="39"/>
      <c r="AM65" s="11"/>
      <c r="AO65" s="185"/>
      <c r="AP65" s="11"/>
      <c r="AQ65" s="186"/>
      <c r="AR65" s="11"/>
      <c r="AS65" s="186">
        <f t="shared" si="8"/>
        <v>0</v>
      </c>
      <c r="AT65" s="186"/>
      <c r="AU65" s="186"/>
      <c r="AV65" s="11"/>
      <c r="AW65" s="11"/>
      <c r="AX65" s="39"/>
      <c r="AY65" s="11"/>
      <c r="BA65" s="185"/>
      <c r="BB65" s="11"/>
      <c r="BC65" s="73"/>
      <c r="BD65" s="11"/>
      <c r="BE65" s="11"/>
      <c r="BF65" s="11"/>
      <c r="BG65" s="186">
        <f t="shared" si="13"/>
        <v>0</v>
      </c>
      <c r="BH65" s="11"/>
      <c r="BI65" s="11"/>
      <c r="BJ65" s="39"/>
      <c r="BK65" s="11"/>
      <c r="BM65" s="185"/>
      <c r="BN65" s="39"/>
      <c r="BO65" s="186"/>
      <c r="BP65" s="39"/>
      <c r="BQ65" s="186">
        <f t="shared" si="10"/>
        <v>0</v>
      </c>
      <c r="BR65" s="39"/>
      <c r="BS65" s="39"/>
      <c r="BT65" s="39"/>
      <c r="BU65" s="39"/>
      <c r="BV65" s="39"/>
      <c r="BW65" s="39"/>
      <c r="BY65" s="185"/>
      <c r="BZ65" s="185"/>
      <c r="CA65" s="185"/>
      <c r="CB65" s="11"/>
      <c r="CC65" s="186"/>
      <c r="CD65" s="11"/>
      <c r="CE65" s="186">
        <f t="shared" si="14"/>
        <v>0</v>
      </c>
      <c r="CF65" s="11"/>
      <c r="CG65" s="11"/>
      <c r="CH65" s="39"/>
      <c r="CI65" s="11"/>
      <c r="CK65" s="185"/>
      <c r="CL65" s="11"/>
      <c r="CM65" s="186"/>
      <c r="CN65" s="11"/>
      <c r="CO65" s="186">
        <f t="shared" si="17"/>
        <v>0</v>
      </c>
      <c r="CP65" s="186"/>
      <c r="CQ65" s="186"/>
      <c r="CR65" s="11"/>
      <c r="CS65" s="11"/>
      <c r="CT65" s="39"/>
      <c r="CU65" s="11"/>
      <c r="CY65" s="185"/>
      <c r="CZ65" s="39"/>
      <c r="DA65" s="186"/>
      <c r="DB65" s="39"/>
      <c r="DC65" s="186">
        <f t="shared" si="7"/>
        <v>0</v>
      </c>
      <c r="DD65" s="39"/>
      <c r="DE65" s="186"/>
      <c r="DF65" s="138"/>
      <c r="DG65" s="89"/>
      <c r="DH65" s="73"/>
      <c r="DI65" s="73"/>
    </row>
    <row r="66" spans="5:113" x14ac:dyDescent="0.35">
      <c r="E66" s="73"/>
      <c r="F66" s="73"/>
      <c r="G66" s="73"/>
      <c r="H66" s="73"/>
      <c r="I66" s="186">
        <f t="shared" si="19"/>
        <v>0</v>
      </c>
      <c r="J66" s="73"/>
      <c r="K66" s="73"/>
      <c r="L66" s="73"/>
      <c r="M66" s="73"/>
      <c r="N66" s="73"/>
      <c r="O66" s="73"/>
      <c r="P66" s="15"/>
      <c r="Q66" s="185"/>
      <c r="R66" s="11"/>
      <c r="S66" s="186"/>
      <c r="T66" s="11"/>
      <c r="U66" s="186">
        <f t="shared" si="18"/>
        <v>0</v>
      </c>
      <c r="V66" s="186"/>
      <c r="W66" s="186"/>
      <c r="X66" s="11"/>
      <c r="Y66" s="11"/>
      <c r="Z66" s="39"/>
      <c r="AA66" s="11"/>
      <c r="AC66" s="185"/>
      <c r="AD66" s="11"/>
      <c r="AE66" s="186"/>
      <c r="AF66" s="11"/>
      <c r="AG66" s="186">
        <f t="shared" si="9"/>
        <v>0</v>
      </c>
      <c r="AH66" s="11"/>
      <c r="AI66" s="11"/>
      <c r="AJ66" s="11"/>
      <c r="AK66" s="11"/>
      <c r="AL66" s="39"/>
      <c r="AM66" s="11"/>
      <c r="AO66" s="185"/>
      <c r="AP66" s="11"/>
      <c r="AQ66" s="186"/>
      <c r="AR66" s="11"/>
      <c r="AS66" s="186">
        <f t="shared" si="8"/>
        <v>0</v>
      </c>
      <c r="AT66" s="186"/>
      <c r="AU66" s="186"/>
      <c r="AV66" s="11"/>
      <c r="AW66" s="11"/>
      <c r="AX66" s="39"/>
      <c r="AY66" s="11"/>
      <c r="BA66" s="185"/>
      <c r="BB66" s="11"/>
      <c r="BC66" s="73"/>
      <c r="BD66" s="11"/>
      <c r="BE66" s="11"/>
      <c r="BF66" s="11"/>
      <c r="BG66" s="186">
        <f t="shared" si="13"/>
        <v>0</v>
      </c>
      <c r="BH66" s="11"/>
      <c r="BI66" s="11"/>
      <c r="BJ66" s="39"/>
      <c r="BK66" s="11"/>
      <c r="BM66" s="185"/>
      <c r="BN66" s="39"/>
      <c r="BO66" s="186"/>
      <c r="BP66" s="39"/>
      <c r="BQ66" s="186">
        <f t="shared" si="10"/>
        <v>0</v>
      </c>
      <c r="BR66" s="39"/>
      <c r="BS66" s="39"/>
      <c r="BT66" s="39"/>
      <c r="BU66" s="39"/>
      <c r="BV66" s="39"/>
      <c r="BW66" s="39"/>
      <c r="BY66" s="185"/>
      <c r="BZ66" s="185"/>
      <c r="CA66" s="185"/>
      <c r="CB66" s="11"/>
      <c r="CC66" s="186"/>
      <c r="CD66" s="11"/>
      <c r="CE66" s="186">
        <f t="shared" si="14"/>
        <v>0</v>
      </c>
      <c r="CF66" s="11"/>
      <c r="CG66" s="11"/>
      <c r="CH66" s="39"/>
      <c r="CI66" s="11"/>
      <c r="CK66" s="185"/>
      <c r="CL66" s="11"/>
      <c r="CM66" s="186"/>
      <c r="CN66" s="11"/>
      <c r="CO66" s="186">
        <f t="shared" si="17"/>
        <v>0</v>
      </c>
      <c r="CP66" s="186"/>
      <c r="CQ66" s="186"/>
      <c r="CR66" s="11"/>
      <c r="CS66" s="11"/>
      <c r="CT66" s="39"/>
      <c r="CU66" s="11"/>
      <c r="CY66" s="185"/>
      <c r="CZ66" s="39"/>
      <c r="DA66" s="186"/>
      <c r="DB66" s="39"/>
      <c r="DC66" s="186">
        <f t="shared" si="7"/>
        <v>0</v>
      </c>
      <c r="DD66" s="39"/>
      <c r="DE66" s="186"/>
      <c r="DF66" s="138"/>
      <c r="DG66" s="89"/>
      <c r="DH66" s="73"/>
      <c r="DI66" s="73"/>
    </row>
    <row r="67" spans="5:113" x14ac:dyDescent="0.35">
      <c r="E67" s="73"/>
      <c r="F67" s="73"/>
      <c r="G67" s="73"/>
      <c r="H67" s="73"/>
      <c r="I67" s="186">
        <f t="shared" si="19"/>
        <v>0</v>
      </c>
      <c r="J67" s="73"/>
      <c r="K67" s="73"/>
      <c r="L67" s="73"/>
      <c r="M67" s="73"/>
      <c r="N67" s="73"/>
      <c r="O67" s="73"/>
      <c r="P67" s="15"/>
      <c r="Q67" s="185"/>
      <c r="R67" s="11"/>
      <c r="S67" s="186"/>
      <c r="T67" s="11"/>
      <c r="U67" s="186">
        <f t="shared" si="18"/>
        <v>0</v>
      </c>
      <c r="V67" s="186"/>
      <c r="W67" s="186"/>
      <c r="X67" s="11"/>
      <c r="Y67" s="11"/>
      <c r="Z67" s="39"/>
      <c r="AA67" s="11"/>
      <c r="AC67" s="185"/>
      <c r="AD67" s="11"/>
      <c r="AE67" s="186"/>
      <c r="AF67" s="11"/>
      <c r="AG67" s="186">
        <f t="shared" si="9"/>
        <v>0</v>
      </c>
      <c r="AH67" s="11"/>
      <c r="AI67" s="11"/>
      <c r="AJ67" s="11"/>
      <c r="AK67" s="11"/>
      <c r="AL67" s="39"/>
      <c r="AM67" s="11"/>
      <c r="AO67" s="185"/>
      <c r="AP67" s="11"/>
      <c r="AQ67" s="186"/>
      <c r="AR67" s="11"/>
      <c r="AS67" s="186">
        <f t="shared" si="8"/>
        <v>0</v>
      </c>
      <c r="AT67" s="186"/>
      <c r="AU67" s="186"/>
      <c r="AV67" s="11"/>
      <c r="AW67" s="11"/>
      <c r="AX67" s="39"/>
      <c r="AY67" s="11"/>
      <c r="BA67" s="185"/>
      <c r="BB67" s="11"/>
      <c r="BC67" s="73"/>
      <c r="BD67" s="11"/>
      <c r="BE67" s="11"/>
      <c r="BF67" s="11"/>
      <c r="BG67" s="186">
        <f t="shared" si="13"/>
        <v>0</v>
      </c>
      <c r="BH67" s="11"/>
      <c r="BI67" s="11"/>
      <c r="BJ67" s="39"/>
      <c r="BK67" s="11"/>
      <c r="BM67" s="185"/>
      <c r="BN67" s="39"/>
      <c r="BO67" s="186"/>
      <c r="BP67" s="39"/>
      <c r="BQ67" s="186">
        <f t="shared" si="10"/>
        <v>0</v>
      </c>
      <c r="BR67" s="39"/>
      <c r="BS67" s="39"/>
      <c r="BT67" s="39"/>
      <c r="BU67" s="39"/>
      <c r="BV67" s="39"/>
      <c r="BW67" s="39"/>
      <c r="BY67" s="185"/>
      <c r="BZ67" s="185"/>
      <c r="CA67" s="185"/>
      <c r="CB67" s="11"/>
      <c r="CC67" s="186"/>
      <c r="CD67" s="11"/>
      <c r="CE67" s="186">
        <f t="shared" si="14"/>
        <v>0</v>
      </c>
      <c r="CF67" s="11"/>
      <c r="CG67" s="11"/>
      <c r="CH67" s="39"/>
      <c r="CI67" s="11"/>
      <c r="CK67" s="185"/>
      <c r="CL67" s="11"/>
      <c r="CM67" s="186"/>
      <c r="CN67" s="11"/>
      <c r="CO67" s="186">
        <f t="shared" si="17"/>
        <v>0</v>
      </c>
      <c r="CP67" s="186"/>
      <c r="CQ67" s="186"/>
      <c r="CR67" s="11"/>
      <c r="CS67" s="11"/>
      <c r="CT67" s="39"/>
      <c r="CU67" s="11"/>
      <c r="CY67" s="185"/>
      <c r="CZ67" s="39"/>
      <c r="DA67" s="186"/>
      <c r="DB67" s="39"/>
      <c r="DC67" s="186">
        <f t="shared" si="7"/>
        <v>0</v>
      </c>
      <c r="DD67" s="39"/>
      <c r="DE67" s="186"/>
      <c r="DF67" s="138"/>
      <c r="DG67" s="89"/>
      <c r="DH67" s="73"/>
      <c r="DI67" s="73"/>
    </row>
    <row r="68" spans="5:113" x14ac:dyDescent="0.35">
      <c r="E68" s="73"/>
      <c r="F68" s="73"/>
      <c r="G68" s="73"/>
      <c r="H68" s="73"/>
      <c r="I68" s="186">
        <f t="shared" si="19"/>
        <v>0</v>
      </c>
      <c r="J68" s="73"/>
      <c r="K68" s="73"/>
      <c r="L68" s="73"/>
      <c r="M68" s="73"/>
      <c r="N68" s="73"/>
      <c r="O68" s="73"/>
      <c r="P68" s="15"/>
      <c r="Q68" s="185"/>
      <c r="R68" s="11"/>
      <c r="S68" s="186"/>
      <c r="T68" s="11"/>
      <c r="U68" s="186">
        <f t="shared" si="18"/>
        <v>0</v>
      </c>
      <c r="V68" s="186"/>
      <c r="W68" s="186"/>
      <c r="X68" s="11"/>
      <c r="Y68" s="11"/>
      <c r="Z68" s="39"/>
      <c r="AA68" s="11"/>
      <c r="AC68" s="185"/>
      <c r="AD68" s="11"/>
      <c r="AE68" s="186"/>
      <c r="AF68" s="11"/>
      <c r="AG68" s="186">
        <f t="shared" ref="AG68:AG80" si="20">AE68+AF68</f>
        <v>0</v>
      </c>
      <c r="AH68" s="11"/>
      <c r="AI68" s="11"/>
      <c r="AJ68" s="11"/>
      <c r="AK68" s="11"/>
      <c r="AL68" s="39"/>
      <c r="AM68" s="11"/>
      <c r="AO68" s="185"/>
      <c r="AP68" s="11"/>
      <c r="AQ68" s="186"/>
      <c r="AR68" s="11"/>
      <c r="AS68" s="186">
        <f t="shared" ref="AS68:AS77" si="21">AQ68+AR68</f>
        <v>0</v>
      </c>
      <c r="AT68" s="186"/>
      <c r="AU68" s="186"/>
      <c r="AV68" s="11"/>
      <c r="AW68" s="11"/>
      <c r="AX68" s="39"/>
      <c r="AY68" s="11"/>
      <c r="BA68" s="185"/>
      <c r="BB68" s="11"/>
      <c r="BC68" s="73"/>
      <c r="BD68" s="11"/>
      <c r="BE68" s="11"/>
      <c r="BF68" s="11"/>
      <c r="BG68" s="186">
        <f t="shared" ref="BG68:BG77" si="22">BC68+BD68</f>
        <v>0</v>
      </c>
      <c r="BH68" s="11"/>
      <c r="BI68" s="11"/>
      <c r="BJ68" s="39"/>
      <c r="BK68" s="11"/>
      <c r="BM68" s="185"/>
      <c r="BN68" s="39"/>
      <c r="BO68" s="186"/>
      <c r="BP68" s="39"/>
      <c r="BQ68" s="186">
        <f t="shared" ref="BQ68:BQ80" si="23">BO68+BP68</f>
        <v>0</v>
      </c>
      <c r="BR68" s="39"/>
      <c r="BS68" s="39"/>
      <c r="BT68" s="39"/>
      <c r="BU68" s="39"/>
      <c r="BV68" s="39"/>
      <c r="BW68" s="39"/>
      <c r="BY68" s="185"/>
      <c r="BZ68" s="185"/>
      <c r="CA68" s="185"/>
      <c r="CB68" s="11"/>
      <c r="CC68" s="186"/>
      <c r="CD68" s="11"/>
      <c r="CE68" s="186">
        <f t="shared" ref="CE68:CE80" si="24">CC68+CD68</f>
        <v>0</v>
      </c>
      <c r="CF68" s="11"/>
      <c r="CG68" s="11"/>
      <c r="CH68" s="39"/>
      <c r="CI68" s="11"/>
      <c r="CK68" s="185"/>
      <c r="CL68" s="11"/>
      <c r="CM68" s="186"/>
      <c r="CN68" s="11"/>
      <c r="CO68" s="186">
        <f t="shared" si="17"/>
        <v>0</v>
      </c>
      <c r="CP68" s="186"/>
      <c r="CQ68" s="186"/>
      <c r="CR68" s="11"/>
      <c r="CS68" s="11"/>
      <c r="CT68" s="39"/>
      <c r="CU68" s="11"/>
      <c r="CY68" s="185"/>
      <c r="CZ68" s="39"/>
      <c r="DA68" s="186"/>
      <c r="DB68" s="39"/>
      <c r="DC68" s="186">
        <f t="shared" si="7"/>
        <v>0</v>
      </c>
      <c r="DD68" s="39"/>
      <c r="DE68" s="186"/>
      <c r="DF68" s="138"/>
      <c r="DG68" s="89"/>
      <c r="DH68" s="73"/>
      <c r="DI68" s="73"/>
    </row>
    <row r="69" spans="5:113" x14ac:dyDescent="0.35">
      <c r="E69" s="185"/>
      <c r="F69" s="11"/>
      <c r="G69" s="11"/>
      <c r="H69" s="11"/>
      <c r="I69" s="186">
        <f t="shared" ref="I69:I79" si="25">G69+H69</f>
        <v>0</v>
      </c>
      <c r="J69" s="11"/>
      <c r="K69" s="11"/>
      <c r="L69" s="11"/>
      <c r="M69" s="11"/>
      <c r="N69" s="39"/>
      <c r="O69" s="69"/>
      <c r="P69" s="15"/>
      <c r="Q69" s="185"/>
      <c r="R69" s="11"/>
      <c r="S69" s="186"/>
      <c r="T69" s="11"/>
      <c r="U69" s="186">
        <f t="shared" si="18"/>
        <v>0</v>
      </c>
      <c r="V69" s="186"/>
      <c r="W69" s="186"/>
      <c r="X69" s="11"/>
      <c r="Y69" s="11"/>
      <c r="Z69" s="39"/>
      <c r="AA69" s="11"/>
      <c r="AC69" s="185"/>
      <c r="AD69" s="11"/>
      <c r="AE69" s="186"/>
      <c r="AF69" s="11"/>
      <c r="AG69" s="186">
        <f t="shared" si="20"/>
        <v>0</v>
      </c>
      <c r="AH69" s="11"/>
      <c r="AI69" s="11"/>
      <c r="AJ69" s="11"/>
      <c r="AK69" s="11"/>
      <c r="AL69" s="39"/>
      <c r="AM69" s="11"/>
      <c r="AO69" s="185"/>
      <c r="AP69" s="11"/>
      <c r="AQ69" s="186"/>
      <c r="AR69" s="11"/>
      <c r="AS69" s="186">
        <f t="shared" si="21"/>
        <v>0</v>
      </c>
      <c r="AT69" s="186"/>
      <c r="AU69" s="186"/>
      <c r="AV69" s="11"/>
      <c r="AW69" s="11"/>
      <c r="AX69" s="39"/>
      <c r="AY69" s="11"/>
      <c r="BA69" s="185"/>
      <c r="BB69" s="11"/>
      <c r="BC69" s="73"/>
      <c r="BD69" s="11"/>
      <c r="BE69" s="11"/>
      <c r="BF69" s="11"/>
      <c r="BG69" s="186">
        <f t="shared" si="22"/>
        <v>0</v>
      </c>
      <c r="BH69" s="11"/>
      <c r="BI69" s="11"/>
      <c r="BJ69" s="39"/>
      <c r="BK69" s="11"/>
      <c r="BM69" s="185"/>
      <c r="BN69" s="39"/>
      <c r="BO69" s="186"/>
      <c r="BP69" s="39"/>
      <c r="BQ69" s="186">
        <f t="shared" si="23"/>
        <v>0</v>
      </c>
      <c r="BR69" s="39"/>
      <c r="BS69" s="39"/>
      <c r="BT69" s="39"/>
      <c r="BU69" s="39"/>
      <c r="BV69" s="39"/>
      <c r="BW69" s="39"/>
      <c r="BY69" s="185"/>
      <c r="BZ69" s="185"/>
      <c r="CA69" s="185"/>
      <c r="CB69" s="11"/>
      <c r="CC69" s="186"/>
      <c r="CD69" s="11"/>
      <c r="CE69" s="186">
        <f t="shared" si="24"/>
        <v>0</v>
      </c>
      <c r="CF69" s="11"/>
      <c r="CG69" s="11"/>
      <c r="CH69" s="39"/>
      <c r="CI69" s="11"/>
      <c r="CK69" s="185"/>
      <c r="CL69" s="11"/>
      <c r="CM69" s="186"/>
      <c r="CN69" s="11"/>
      <c r="CO69" s="186">
        <f t="shared" si="17"/>
        <v>0</v>
      </c>
      <c r="CP69" s="186"/>
      <c r="CQ69" s="186"/>
      <c r="CR69" s="11"/>
      <c r="CS69" s="11"/>
      <c r="CT69" s="39"/>
      <c r="CU69" s="11"/>
      <c r="CY69" s="185"/>
      <c r="CZ69" s="39"/>
      <c r="DA69" s="186"/>
      <c r="DB69" s="39"/>
      <c r="DC69" s="186">
        <f t="shared" si="7"/>
        <v>0</v>
      </c>
      <c r="DD69" s="39"/>
      <c r="DE69" s="186"/>
      <c r="DF69" s="138"/>
      <c r="DG69" s="89"/>
      <c r="DH69" s="73"/>
      <c r="DI69" s="73"/>
    </row>
    <row r="70" spans="5:113" x14ac:dyDescent="0.35">
      <c r="E70" s="185"/>
      <c r="F70" s="11"/>
      <c r="G70" s="11"/>
      <c r="H70" s="11"/>
      <c r="I70" s="186">
        <f t="shared" si="25"/>
        <v>0</v>
      </c>
      <c r="J70" s="11"/>
      <c r="K70" s="11"/>
      <c r="L70" s="11"/>
      <c r="M70" s="11"/>
      <c r="N70" s="39"/>
      <c r="O70" s="69"/>
      <c r="P70" s="15"/>
      <c r="Q70" s="185"/>
      <c r="R70" s="11"/>
      <c r="S70" s="186"/>
      <c r="T70" s="11"/>
      <c r="U70" s="186">
        <f t="shared" si="18"/>
        <v>0</v>
      </c>
      <c r="V70" s="186"/>
      <c r="W70" s="186"/>
      <c r="X70" s="11"/>
      <c r="Y70" s="11"/>
      <c r="Z70" s="39"/>
      <c r="AA70" s="11"/>
      <c r="AC70" s="185"/>
      <c r="AD70" s="11"/>
      <c r="AE70" s="186"/>
      <c r="AF70" s="11"/>
      <c r="AG70" s="186">
        <f t="shared" si="20"/>
        <v>0</v>
      </c>
      <c r="AH70" s="11"/>
      <c r="AI70" s="11"/>
      <c r="AJ70" s="11"/>
      <c r="AK70" s="11"/>
      <c r="AL70" s="39"/>
      <c r="AM70" s="11"/>
      <c r="AO70" s="185"/>
      <c r="AP70" s="11"/>
      <c r="AQ70" s="186"/>
      <c r="AR70" s="11"/>
      <c r="AS70" s="186">
        <f t="shared" si="21"/>
        <v>0</v>
      </c>
      <c r="AT70" s="186"/>
      <c r="AU70" s="186"/>
      <c r="AV70" s="11"/>
      <c r="AW70" s="11"/>
      <c r="AX70" s="39"/>
      <c r="AY70" s="11"/>
      <c r="BA70" s="185"/>
      <c r="BB70" s="11"/>
      <c r="BC70" s="73"/>
      <c r="BD70" s="11"/>
      <c r="BE70" s="11"/>
      <c r="BF70" s="11"/>
      <c r="BG70" s="186">
        <f t="shared" si="22"/>
        <v>0</v>
      </c>
      <c r="BH70" s="11"/>
      <c r="BI70" s="11"/>
      <c r="BJ70" s="39"/>
      <c r="BK70" s="11"/>
      <c r="BM70" s="185"/>
      <c r="BN70" s="39"/>
      <c r="BO70" s="186"/>
      <c r="BP70" s="39"/>
      <c r="BQ70" s="186">
        <f t="shared" si="23"/>
        <v>0</v>
      </c>
      <c r="BR70" s="39"/>
      <c r="BS70" s="39"/>
      <c r="BT70" s="39"/>
      <c r="BU70" s="39"/>
      <c r="BV70" s="39"/>
      <c r="BW70" s="39"/>
      <c r="BY70" s="185"/>
      <c r="BZ70" s="185"/>
      <c r="CA70" s="185"/>
      <c r="CB70" s="11"/>
      <c r="CC70" s="186"/>
      <c r="CD70" s="11"/>
      <c r="CE70" s="186">
        <f t="shared" si="24"/>
        <v>0</v>
      </c>
      <c r="CF70" s="11"/>
      <c r="CG70" s="11"/>
      <c r="CH70" s="39"/>
      <c r="CI70" s="11"/>
      <c r="CK70" s="185"/>
      <c r="CL70" s="11"/>
      <c r="CM70" s="186"/>
      <c r="CN70" s="11"/>
      <c r="CO70" s="186">
        <f t="shared" si="17"/>
        <v>0</v>
      </c>
      <c r="CP70" s="186"/>
      <c r="CQ70" s="186"/>
      <c r="CR70" s="11"/>
      <c r="CS70" s="11"/>
      <c r="CT70" s="39"/>
      <c r="CU70" s="11"/>
      <c r="CY70" s="185"/>
      <c r="CZ70" s="39"/>
      <c r="DA70" s="186"/>
      <c r="DB70" s="39"/>
      <c r="DC70" s="186">
        <f t="shared" si="7"/>
        <v>0</v>
      </c>
      <c r="DD70" s="39"/>
      <c r="DE70" s="138"/>
      <c r="DF70" s="138"/>
      <c r="DG70" s="89"/>
      <c r="DH70" s="73"/>
      <c r="DI70" s="73"/>
    </row>
    <row r="71" spans="5:113" x14ac:dyDescent="0.35">
      <c r="E71" s="185"/>
      <c r="F71" s="11"/>
      <c r="G71" s="11"/>
      <c r="H71" s="11"/>
      <c r="I71" s="186">
        <f t="shared" si="25"/>
        <v>0</v>
      </c>
      <c r="J71" s="11"/>
      <c r="K71" s="11"/>
      <c r="L71" s="11"/>
      <c r="M71" s="11"/>
      <c r="N71" s="39"/>
      <c r="O71" s="69"/>
      <c r="P71" s="15"/>
      <c r="Q71" s="185"/>
      <c r="R71" s="11"/>
      <c r="S71" s="186"/>
      <c r="T71" s="11"/>
      <c r="U71" s="186">
        <f t="shared" si="18"/>
        <v>0</v>
      </c>
      <c r="V71" s="186"/>
      <c r="W71" s="186"/>
      <c r="X71" s="11"/>
      <c r="Y71" s="11"/>
      <c r="Z71" s="39"/>
      <c r="AA71" s="11"/>
      <c r="AC71" s="185"/>
      <c r="AD71" s="11"/>
      <c r="AE71" s="186"/>
      <c r="AF71" s="11"/>
      <c r="AG71" s="186">
        <f t="shared" si="20"/>
        <v>0</v>
      </c>
      <c r="AH71" s="11"/>
      <c r="AI71" s="11"/>
      <c r="AJ71" s="11"/>
      <c r="AK71" s="11"/>
      <c r="AL71" s="39"/>
      <c r="AM71" s="11"/>
      <c r="AO71" s="185"/>
      <c r="AP71" s="11"/>
      <c r="AQ71" s="186"/>
      <c r="AR71" s="11"/>
      <c r="AS71" s="186">
        <f t="shared" si="21"/>
        <v>0</v>
      </c>
      <c r="AT71" s="186"/>
      <c r="AU71" s="186"/>
      <c r="AV71" s="11"/>
      <c r="AW71" s="11"/>
      <c r="AX71" s="39"/>
      <c r="AY71" s="11"/>
      <c r="BA71" s="185"/>
      <c r="BB71" s="11"/>
      <c r="BC71" s="73"/>
      <c r="BD71" s="11"/>
      <c r="BE71" s="11"/>
      <c r="BF71" s="11"/>
      <c r="BG71" s="186">
        <f t="shared" si="22"/>
        <v>0</v>
      </c>
      <c r="BH71" s="11"/>
      <c r="BI71" s="11"/>
      <c r="BJ71" s="39"/>
      <c r="BK71" s="11"/>
      <c r="BM71" s="185"/>
      <c r="BN71" s="39"/>
      <c r="BO71" s="186"/>
      <c r="BP71" s="39"/>
      <c r="BQ71" s="186">
        <f t="shared" si="23"/>
        <v>0</v>
      </c>
      <c r="BR71" s="39"/>
      <c r="BS71" s="39"/>
      <c r="BT71" s="39"/>
      <c r="BU71" s="39"/>
      <c r="BV71" s="39"/>
      <c r="BW71" s="39"/>
      <c r="BY71" s="185"/>
      <c r="BZ71" s="185"/>
      <c r="CA71" s="185"/>
      <c r="CB71" s="11"/>
      <c r="CC71" s="186"/>
      <c r="CD71" s="11"/>
      <c r="CE71" s="186">
        <f t="shared" si="24"/>
        <v>0</v>
      </c>
      <c r="CF71" s="11"/>
      <c r="CG71" s="11"/>
      <c r="CH71" s="39"/>
      <c r="CI71" s="11"/>
      <c r="CK71" s="185"/>
      <c r="CL71" s="11"/>
      <c r="CM71" s="186"/>
      <c r="CN71" s="11"/>
      <c r="CO71" s="186">
        <f t="shared" si="17"/>
        <v>0</v>
      </c>
      <c r="CP71" s="186"/>
      <c r="CQ71" s="186"/>
      <c r="CR71" s="11"/>
      <c r="CS71" s="11"/>
      <c r="CT71" s="39"/>
      <c r="CU71" s="11"/>
      <c r="CY71" s="185"/>
      <c r="CZ71" s="39"/>
      <c r="DA71" s="186"/>
      <c r="DB71" s="39"/>
      <c r="DC71" s="186">
        <f t="shared" si="7"/>
        <v>0</v>
      </c>
      <c r="DD71" s="39"/>
      <c r="DE71" s="186"/>
      <c r="DF71" s="138"/>
      <c r="DG71" s="89"/>
      <c r="DH71" s="73"/>
      <c r="DI71" s="73"/>
    </row>
    <row r="72" spans="5:113" x14ac:dyDescent="0.35">
      <c r="E72" s="185"/>
      <c r="F72" s="11"/>
      <c r="G72" s="11"/>
      <c r="H72" s="11"/>
      <c r="I72" s="186">
        <f t="shared" si="25"/>
        <v>0</v>
      </c>
      <c r="J72" s="11"/>
      <c r="K72" s="11"/>
      <c r="L72" s="11"/>
      <c r="M72" s="11"/>
      <c r="N72" s="39"/>
      <c r="O72" s="69"/>
      <c r="P72" s="15"/>
      <c r="Q72" s="185"/>
      <c r="R72" s="11"/>
      <c r="S72" s="186"/>
      <c r="T72" s="11"/>
      <c r="U72" s="186">
        <f t="shared" si="18"/>
        <v>0</v>
      </c>
      <c r="V72" s="186"/>
      <c r="W72" s="186"/>
      <c r="X72" s="11"/>
      <c r="Y72" s="11"/>
      <c r="Z72" s="39"/>
      <c r="AA72" s="11"/>
      <c r="AC72" s="185"/>
      <c r="AD72" s="11"/>
      <c r="AE72" s="186"/>
      <c r="AF72" s="11"/>
      <c r="AG72" s="186">
        <f t="shared" si="20"/>
        <v>0</v>
      </c>
      <c r="AH72" s="11"/>
      <c r="AI72" s="11"/>
      <c r="AJ72" s="11"/>
      <c r="AK72" s="11"/>
      <c r="AL72" s="39"/>
      <c r="AM72" s="11"/>
      <c r="AO72" s="185"/>
      <c r="AP72" s="11"/>
      <c r="AQ72" s="186"/>
      <c r="AR72" s="11"/>
      <c r="AS72" s="186">
        <f t="shared" si="21"/>
        <v>0</v>
      </c>
      <c r="AT72" s="186"/>
      <c r="AU72" s="186"/>
      <c r="AV72" s="11"/>
      <c r="AW72" s="11"/>
      <c r="AX72" s="39"/>
      <c r="AY72" s="11"/>
      <c r="BA72" s="185"/>
      <c r="BB72" s="11"/>
      <c r="BC72" s="73"/>
      <c r="BD72" s="11"/>
      <c r="BE72" s="11"/>
      <c r="BF72" s="11"/>
      <c r="BG72" s="186">
        <f t="shared" si="22"/>
        <v>0</v>
      </c>
      <c r="BH72" s="11"/>
      <c r="BI72" s="11"/>
      <c r="BJ72" s="39"/>
      <c r="BK72" s="11"/>
      <c r="BM72" s="185"/>
      <c r="BN72" s="39"/>
      <c r="BO72" s="186"/>
      <c r="BP72" s="39"/>
      <c r="BQ72" s="186">
        <f t="shared" si="23"/>
        <v>0</v>
      </c>
      <c r="BR72" s="39"/>
      <c r="BS72" s="39"/>
      <c r="BT72" s="39"/>
      <c r="BU72" s="39"/>
      <c r="BV72" s="39"/>
      <c r="BW72" s="39"/>
      <c r="BY72" s="185"/>
      <c r="BZ72" s="185"/>
      <c r="CA72" s="185"/>
      <c r="CB72" s="11"/>
      <c r="CC72" s="186"/>
      <c r="CD72" s="11"/>
      <c r="CE72" s="186">
        <f t="shared" si="24"/>
        <v>0</v>
      </c>
      <c r="CF72" s="11"/>
      <c r="CG72" s="11"/>
      <c r="CH72" s="39"/>
      <c r="CI72" s="11"/>
      <c r="CK72" s="185"/>
      <c r="CL72" s="11"/>
      <c r="CM72" s="186"/>
      <c r="CN72" s="11"/>
      <c r="CO72" s="186">
        <f t="shared" si="17"/>
        <v>0</v>
      </c>
      <c r="CP72" s="186"/>
      <c r="CQ72" s="186"/>
      <c r="CR72" s="11"/>
      <c r="CS72" s="11"/>
      <c r="CT72" s="39"/>
      <c r="CU72" s="11"/>
      <c r="CY72" s="185"/>
      <c r="CZ72" s="39"/>
      <c r="DA72" s="186"/>
      <c r="DB72" s="39"/>
      <c r="DC72" s="186">
        <f t="shared" si="7"/>
        <v>0</v>
      </c>
      <c r="DD72" s="39"/>
      <c r="DE72" s="138"/>
      <c r="DF72" s="138"/>
      <c r="DG72" s="89"/>
      <c r="DH72" s="73"/>
      <c r="DI72" s="73"/>
    </row>
    <row r="73" spans="5:113" x14ac:dyDescent="0.35">
      <c r="E73" s="185"/>
      <c r="F73" s="11"/>
      <c r="G73" s="11"/>
      <c r="H73" s="11"/>
      <c r="I73" s="186">
        <f t="shared" si="25"/>
        <v>0</v>
      </c>
      <c r="J73" s="11"/>
      <c r="K73" s="11"/>
      <c r="L73" s="11"/>
      <c r="M73" s="11"/>
      <c r="N73" s="39"/>
      <c r="O73" s="69"/>
      <c r="P73" s="15"/>
      <c r="Q73" s="185"/>
      <c r="R73" s="11"/>
      <c r="S73" s="186"/>
      <c r="T73" s="11"/>
      <c r="U73" s="186">
        <f t="shared" si="18"/>
        <v>0</v>
      </c>
      <c r="V73" s="186"/>
      <c r="W73" s="186"/>
      <c r="X73" s="11"/>
      <c r="Y73" s="11"/>
      <c r="Z73" s="39"/>
      <c r="AA73" s="11"/>
      <c r="AC73" s="185"/>
      <c r="AD73" s="11"/>
      <c r="AE73" s="186"/>
      <c r="AF73" s="11"/>
      <c r="AG73" s="186">
        <f t="shared" si="20"/>
        <v>0</v>
      </c>
      <c r="AH73" s="11"/>
      <c r="AI73" s="11"/>
      <c r="AJ73" s="11"/>
      <c r="AK73" s="11"/>
      <c r="AL73" s="39"/>
      <c r="AM73" s="11"/>
      <c r="AO73" s="185"/>
      <c r="AP73" s="11"/>
      <c r="AQ73" s="186"/>
      <c r="AR73" s="11"/>
      <c r="AS73" s="186">
        <f t="shared" si="21"/>
        <v>0</v>
      </c>
      <c r="AT73" s="186"/>
      <c r="AU73" s="186"/>
      <c r="AV73" s="11"/>
      <c r="AW73" s="11"/>
      <c r="AX73" s="39"/>
      <c r="AY73" s="11"/>
      <c r="BA73" s="185"/>
      <c r="BB73" s="11"/>
      <c r="BC73" s="73"/>
      <c r="BD73" s="11"/>
      <c r="BE73" s="11"/>
      <c r="BF73" s="11"/>
      <c r="BG73" s="186">
        <f t="shared" si="22"/>
        <v>0</v>
      </c>
      <c r="BH73" s="11"/>
      <c r="BI73" s="11"/>
      <c r="BJ73" s="39"/>
      <c r="BK73" s="11"/>
      <c r="BM73" s="185"/>
      <c r="BN73" s="39"/>
      <c r="BO73" s="186"/>
      <c r="BP73" s="39"/>
      <c r="BQ73" s="186">
        <f t="shared" si="23"/>
        <v>0</v>
      </c>
      <c r="BR73" s="39"/>
      <c r="BS73" s="39"/>
      <c r="BT73" s="39"/>
      <c r="BU73" s="39"/>
      <c r="BV73" s="39"/>
      <c r="BW73" s="39"/>
      <c r="BY73" s="185"/>
      <c r="BZ73" s="185"/>
      <c r="CA73" s="185"/>
      <c r="CB73" s="11"/>
      <c r="CC73" s="186"/>
      <c r="CD73" s="11"/>
      <c r="CE73" s="186">
        <f t="shared" si="24"/>
        <v>0</v>
      </c>
      <c r="CF73" s="11"/>
      <c r="CG73" s="11"/>
      <c r="CH73" s="39"/>
      <c r="CI73" s="11"/>
      <c r="CK73" s="185"/>
      <c r="CL73" s="11"/>
      <c r="CM73" s="186"/>
      <c r="CN73" s="11"/>
      <c r="CO73" s="186">
        <f t="shared" si="17"/>
        <v>0</v>
      </c>
      <c r="CP73" s="186"/>
      <c r="CQ73" s="186"/>
      <c r="CR73" s="11"/>
      <c r="CS73" s="11"/>
      <c r="CT73" s="39"/>
      <c r="CU73" s="11"/>
      <c r="CY73" s="185"/>
      <c r="CZ73" s="138"/>
      <c r="DA73" s="186"/>
      <c r="DB73" s="186"/>
      <c r="DC73" s="186">
        <f t="shared" si="7"/>
        <v>0</v>
      </c>
      <c r="DD73" s="186"/>
      <c r="DE73" s="138"/>
      <c r="DF73" s="138"/>
      <c r="DG73" s="185"/>
      <c r="DH73" s="73"/>
      <c r="DI73" s="73"/>
    </row>
    <row r="74" spans="5:113" x14ac:dyDescent="0.35">
      <c r="E74" s="185"/>
      <c r="F74" s="11"/>
      <c r="G74" s="11"/>
      <c r="H74" s="11"/>
      <c r="I74" s="186">
        <f t="shared" si="25"/>
        <v>0</v>
      </c>
      <c r="J74" s="11"/>
      <c r="K74" s="11"/>
      <c r="L74" s="11"/>
      <c r="M74" s="11"/>
      <c r="N74" s="39"/>
      <c r="O74" s="69"/>
      <c r="P74" s="15"/>
      <c r="Q74" s="185"/>
      <c r="R74" s="11"/>
      <c r="S74" s="186"/>
      <c r="T74" s="11"/>
      <c r="U74" s="186">
        <f t="shared" si="18"/>
        <v>0</v>
      </c>
      <c r="V74" s="186"/>
      <c r="W74" s="186"/>
      <c r="X74" s="11"/>
      <c r="Y74" s="11"/>
      <c r="Z74" s="39"/>
      <c r="AA74" s="11"/>
      <c r="AC74" s="185"/>
      <c r="AD74" s="11"/>
      <c r="AE74" s="186"/>
      <c r="AF74" s="11"/>
      <c r="AG74" s="186">
        <f t="shared" si="20"/>
        <v>0</v>
      </c>
      <c r="AH74" s="11"/>
      <c r="AI74" s="11"/>
      <c r="AJ74" s="11"/>
      <c r="AK74" s="11"/>
      <c r="AL74" s="39"/>
      <c r="AM74" s="11"/>
      <c r="AO74" s="185"/>
      <c r="AP74" s="11"/>
      <c r="AQ74" s="186"/>
      <c r="AR74" s="11"/>
      <c r="AS74" s="186">
        <f t="shared" si="21"/>
        <v>0</v>
      </c>
      <c r="AT74" s="186"/>
      <c r="AU74" s="186"/>
      <c r="AV74" s="11"/>
      <c r="AW74" s="11"/>
      <c r="AX74" s="39"/>
      <c r="AY74" s="11"/>
      <c r="BA74" s="185"/>
      <c r="BB74" s="11"/>
      <c r="BC74" s="73"/>
      <c r="BD74" s="11"/>
      <c r="BE74" s="11"/>
      <c r="BF74" s="11"/>
      <c r="BG74" s="186">
        <f t="shared" si="22"/>
        <v>0</v>
      </c>
      <c r="BH74" s="11"/>
      <c r="BI74" s="11"/>
      <c r="BJ74" s="39"/>
      <c r="BK74" s="11"/>
      <c r="BM74" s="185"/>
      <c r="BN74" s="39"/>
      <c r="BO74" s="186"/>
      <c r="BP74" s="39"/>
      <c r="BQ74" s="186">
        <f t="shared" si="23"/>
        <v>0</v>
      </c>
      <c r="BR74" s="39"/>
      <c r="BS74" s="39"/>
      <c r="BT74" s="39"/>
      <c r="BU74" s="39"/>
      <c r="BV74" s="39"/>
      <c r="BW74" s="39"/>
      <c r="BY74" s="185"/>
      <c r="BZ74" s="185"/>
      <c r="CA74" s="185"/>
      <c r="CB74" s="11"/>
      <c r="CC74" s="186"/>
      <c r="CD74" s="11"/>
      <c r="CE74" s="186">
        <f t="shared" si="24"/>
        <v>0</v>
      </c>
      <c r="CF74" s="11"/>
      <c r="CG74" s="11"/>
      <c r="CH74" s="39"/>
      <c r="CI74" s="11"/>
      <c r="CK74" s="185"/>
      <c r="CL74" s="11"/>
      <c r="CM74" s="186"/>
      <c r="CN74" s="11"/>
      <c r="CO74" s="186">
        <f t="shared" si="17"/>
        <v>0</v>
      </c>
      <c r="CP74" s="186"/>
      <c r="CQ74" s="186"/>
      <c r="CR74" s="11"/>
      <c r="CS74" s="11"/>
      <c r="CT74" s="39"/>
      <c r="CU74" s="11"/>
      <c r="CY74" s="185"/>
      <c r="CZ74" s="138"/>
      <c r="DA74" s="186"/>
      <c r="DB74" s="186"/>
      <c r="DC74" s="186">
        <f t="shared" si="7"/>
        <v>0</v>
      </c>
      <c r="DD74" s="186"/>
      <c r="DE74" s="186"/>
      <c r="DF74" s="138"/>
      <c r="DG74" s="185"/>
      <c r="DH74" s="73"/>
      <c r="DI74" s="73"/>
    </row>
    <row r="75" spans="5:113" x14ac:dyDescent="0.35">
      <c r="E75" s="185"/>
      <c r="F75" s="11"/>
      <c r="G75" s="11"/>
      <c r="H75" s="11"/>
      <c r="I75" s="186">
        <f t="shared" si="25"/>
        <v>0</v>
      </c>
      <c r="J75" s="11"/>
      <c r="K75" s="11"/>
      <c r="L75" s="11"/>
      <c r="M75" s="11"/>
      <c r="N75" s="39"/>
      <c r="O75" s="69"/>
      <c r="P75" s="15"/>
      <c r="Q75" s="185"/>
      <c r="R75" s="11"/>
      <c r="S75" s="186"/>
      <c r="T75" s="11"/>
      <c r="U75" s="186">
        <f t="shared" si="18"/>
        <v>0</v>
      </c>
      <c r="V75" s="186"/>
      <c r="W75" s="186"/>
      <c r="X75" s="11"/>
      <c r="Y75" s="11"/>
      <c r="Z75" s="39"/>
      <c r="AA75" s="11"/>
      <c r="AC75" s="185"/>
      <c r="AD75" s="11"/>
      <c r="AE75" s="186"/>
      <c r="AF75" s="11"/>
      <c r="AG75" s="186">
        <f t="shared" si="20"/>
        <v>0</v>
      </c>
      <c r="AH75" s="11"/>
      <c r="AI75" s="11"/>
      <c r="AJ75" s="11"/>
      <c r="AK75" s="11"/>
      <c r="AL75" s="39"/>
      <c r="AM75" s="11"/>
      <c r="AO75" s="185"/>
      <c r="AP75" s="11"/>
      <c r="AQ75" s="186"/>
      <c r="AR75" s="11"/>
      <c r="AS75" s="186">
        <f t="shared" si="21"/>
        <v>0</v>
      </c>
      <c r="AT75" s="186"/>
      <c r="AU75" s="186"/>
      <c r="AV75" s="11"/>
      <c r="AW75" s="11"/>
      <c r="AX75" s="39"/>
      <c r="AY75" s="11"/>
      <c r="BA75" s="185"/>
      <c r="BB75" s="11"/>
      <c r="BC75" s="73"/>
      <c r="BD75" s="11"/>
      <c r="BE75" s="11"/>
      <c r="BF75" s="11"/>
      <c r="BG75" s="186">
        <f t="shared" si="22"/>
        <v>0</v>
      </c>
      <c r="BH75" s="11"/>
      <c r="BI75" s="11"/>
      <c r="BJ75" s="39"/>
      <c r="BK75" s="11"/>
      <c r="BM75" s="185"/>
      <c r="BN75" s="39"/>
      <c r="BO75" s="186"/>
      <c r="BP75" s="39"/>
      <c r="BQ75" s="186">
        <f t="shared" si="23"/>
        <v>0</v>
      </c>
      <c r="BR75" s="39"/>
      <c r="BS75" s="39"/>
      <c r="BT75" s="39"/>
      <c r="BU75" s="39"/>
      <c r="BV75" s="39"/>
      <c r="BW75" s="39"/>
      <c r="BY75" s="185"/>
      <c r="BZ75" s="185"/>
      <c r="CA75" s="185"/>
      <c r="CB75" s="11"/>
      <c r="CC75" s="186"/>
      <c r="CD75" s="11"/>
      <c r="CE75" s="186">
        <f t="shared" si="24"/>
        <v>0</v>
      </c>
      <c r="CF75" s="11"/>
      <c r="CG75" s="11"/>
      <c r="CH75" s="39"/>
      <c r="CI75" s="11"/>
      <c r="CK75" s="185"/>
      <c r="CL75" s="11"/>
      <c r="CM75" s="186"/>
      <c r="CN75" s="11"/>
      <c r="CO75" s="186">
        <f t="shared" si="17"/>
        <v>0</v>
      </c>
      <c r="CP75" s="186"/>
      <c r="CQ75" s="186"/>
      <c r="CR75" s="11"/>
      <c r="CS75" s="11"/>
      <c r="CT75" s="39"/>
      <c r="CU75" s="11"/>
      <c r="CY75" s="185"/>
      <c r="CZ75" s="138"/>
      <c r="DA75" s="186"/>
      <c r="DB75" s="40"/>
      <c r="DC75" s="186">
        <f t="shared" si="7"/>
        <v>0</v>
      </c>
      <c r="DD75" s="40"/>
      <c r="DE75" s="138"/>
      <c r="DF75" s="138"/>
      <c r="DG75" s="185"/>
      <c r="DH75" s="73"/>
      <c r="DI75" s="73"/>
    </row>
    <row r="76" spans="5:113" x14ac:dyDescent="0.35">
      <c r="E76" s="185"/>
      <c r="F76" s="11"/>
      <c r="G76" s="11"/>
      <c r="H76" s="11"/>
      <c r="I76" s="186">
        <f t="shared" si="25"/>
        <v>0</v>
      </c>
      <c r="J76" s="11"/>
      <c r="K76" s="11"/>
      <c r="L76" s="11"/>
      <c r="M76" s="11"/>
      <c r="N76" s="39"/>
      <c r="O76" s="69"/>
      <c r="P76" s="15"/>
      <c r="Q76" s="185"/>
      <c r="R76" s="11"/>
      <c r="S76" s="186"/>
      <c r="T76" s="11"/>
      <c r="U76" s="186">
        <f t="shared" si="18"/>
        <v>0</v>
      </c>
      <c r="V76" s="186"/>
      <c r="W76" s="186"/>
      <c r="X76" s="11"/>
      <c r="Y76" s="11"/>
      <c r="Z76" s="39"/>
      <c r="AA76" s="11"/>
      <c r="AC76" s="185"/>
      <c r="AD76" s="11"/>
      <c r="AE76" s="186"/>
      <c r="AF76" s="11"/>
      <c r="AG76" s="186">
        <f t="shared" si="20"/>
        <v>0</v>
      </c>
      <c r="AH76" s="11"/>
      <c r="AI76" s="11"/>
      <c r="AJ76" s="11"/>
      <c r="AK76" s="11"/>
      <c r="AL76" s="39"/>
      <c r="AM76" s="11"/>
      <c r="AO76" s="185"/>
      <c r="AP76" s="11"/>
      <c r="AQ76" s="186"/>
      <c r="AR76" s="11"/>
      <c r="AS76" s="186">
        <f t="shared" si="21"/>
        <v>0</v>
      </c>
      <c r="AT76" s="186"/>
      <c r="AU76" s="186"/>
      <c r="AV76" s="11"/>
      <c r="AW76" s="11"/>
      <c r="AX76" s="39"/>
      <c r="AY76" s="11"/>
      <c r="BA76" s="185"/>
      <c r="BB76" s="11"/>
      <c r="BC76" s="73"/>
      <c r="BD76" s="11"/>
      <c r="BE76" s="11"/>
      <c r="BF76" s="11"/>
      <c r="BG76" s="186">
        <f t="shared" si="22"/>
        <v>0</v>
      </c>
      <c r="BH76" s="11"/>
      <c r="BI76" s="11"/>
      <c r="BJ76" s="39"/>
      <c r="BK76" s="11"/>
      <c r="BM76" s="185"/>
      <c r="BN76" s="39"/>
      <c r="BO76" s="186"/>
      <c r="BP76" s="39"/>
      <c r="BQ76" s="186">
        <f t="shared" si="23"/>
        <v>0</v>
      </c>
      <c r="BR76" s="39"/>
      <c r="BS76" s="39"/>
      <c r="BT76" s="39"/>
      <c r="BU76" s="39"/>
      <c r="BV76" s="39"/>
      <c r="BW76" s="39"/>
      <c r="BY76" s="185"/>
      <c r="BZ76" s="185"/>
      <c r="CA76" s="185"/>
      <c r="CB76" s="11"/>
      <c r="CC76" s="186"/>
      <c r="CD76" s="11"/>
      <c r="CE76" s="186">
        <f t="shared" si="24"/>
        <v>0</v>
      </c>
      <c r="CF76" s="11"/>
      <c r="CG76" s="11"/>
      <c r="CH76" s="39"/>
      <c r="CI76" s="11"/>
      <c r="CK76" s="185"/>
      <c r="CL76" s="11"/>
      <c r="CM76" s="186"/>
      <c r="CN76" s="11"/>
      <c r="CO76" s="186">
        <f t="shared" si="17"/>
        <v>0</v>
      </c>
      <c r="CP76" s="186"/>
      <c r="CQ76" s="186"/>
      <c r="CR76" s="11"/>
      <c r="CS76" s="11"/>
      <c r="CT76" s="39"/>
      <c r="CU76" s="11"/>
      <c r="CY76" s="185"/>
      <c r="CZ76" s="138"/>
      <c r="DA76" s="186"/>
      <c r="DB76" s="186"/>
      <c r="DC76" s="186">
        <f t="shared" si="7"/>
        <v>0</v>
      </c>
      <c r="DD76" s="186"/>
      <c r="DE76" s="138"/>
      <c r="DF76" s="138"/>
      <c r="DG76" s="185"/>
      <c r="DH76" s="73"/>
      <c r="DI76" s="73"/>
    </row>
    <row r="77" spans="5:113" x14ac:dyDescent="0.35">
      <c r="E77" s="185"/>
      <c r="F77" s="11"/>
      <c r="G77" s="11"/>
      <c r="H77" s="11"/>
      <c r="I77" s="186">
        <f t="shared" si="25"/>
        <v>0</v>
      </c>
      <c r="J77" s="11"/>
      <c r="K77" s="11"/>
      <c r="L77" s="11"/>
      <c r="M77" s="11"/>
      <c r="N77" s="39"/>
      <c r="O77" s="11"/>
      <c r="P77" s="15"/>
      <c r="Q77" s="185"/>
      <c r="R77" s="11"/>
      <c r="S77" s="186"/>
      <c r="T77" s="11"/>
      <c r="U77" s="186">
        <f t="shared" si="18"/>
        <v>0</v>
      </c>
      <c r="V77" s="186"/>
      <c r="W77" s="186"/>
      <c r="X77" s="11"/>
      <c r="Y77" s="11"/>
      <c r="Z77" s="39"/>
      <c r="AA77" s="11"/>
      <c r="AC77" s="185"/>
      <c r="AD77" s="11"/>
      <c r="AE77" s="186"/>
      <c r="AF77" s="11"/>
      <c r="AG77" s="186">
        <f t="shared" si="20"/>
        <v>0</v>
      </c>
      <c r="AH77" s="11"/>
      <c r="AI77" s="11"/>
      <c r="AJ77" s="11"/>
      <c r="AK77" s="11"/>
      <c r="AL77" s="39"/>
      <c r="AM77" s="11"/>
      <c r="AO77" s="185"/>
      <c r="AP77" s="11"/>
      <c r="AQ77" s="186"/>
      <c r="AR77" s="11"/>
      <c r="AS77" s="186">
        <f t="shared" si="21"/>
        <v>0</v>
      </c>
      <c r="AT77" s="186"/>
      <c r="AU77" s="186"/>
      <c r="AV77" s="11"/>
      <c r="AW77" s="11"/>
      <c r="AX77" s="39"/>
      <c r="AY77" s="11"/>
      <c r="BA77" s="185"/>
      <c r="BB77" s="11"/>
      <c r="BC77" s="73"/>
      <c r="BD77" s="11"/>
      <c r="BE77" s="11"/>
      <c r="BF77" s="11"/>
      <c r="BG77" s="186">
        <f t="shared" si="22"/>
        <v>0</v>
      </c>
      <c r="BH77" s="11"/>
      <c r="BI77" s="11"/>
      <c r="BJ77" s="39"/>
      <c r="BK77" s="11"/>
      <c r="BM77" s="185"/>
      <c r="BN77" s="39"/>
      <c r="BO77" s="186"/>
      <c r="BP77" s="39"/>
      <c r="BQ77" s="186">
        <f t="shared" si="23"/>
        <v>0</v>
      </c>
      <c r="BR77" s="39"/>
      <c r="BS77" s="39"/>
      <c r="BT77" s="39"/>
      <c r="BU77" s="39"/>
      <c r="BV77" s="39"/>
      <c r="BW77" s="39"/>
      <c r="BY77" s="185"/>
      <c r="BZ77" s="185"/>
      <c r="CA77" s="185"/>
      <c r="CB77" s="11"/>
      <c r="CC77" s="186"/>
      <c r="CD77" s="11"/>
      <c r="CE77" s="186">
        <f t="shared" si="24"/>
        <v>0</v>
      </c>
      <c r="CF77" s="11"/>
      <c r="CG77" s="11"/>
      <c r="CH77" s="39"/>
      <c r="CI77" s="11"/>
      <c r="CK77" s="185"/>
      <c r="CL77" s="11"/>
      <c r="CM77" s="186"/>
      <c r="CN77" s="11"/>
      <c r="CO77" s="186">
        <f t="shared" si="17"/>
        <v>0</v>
      </c>
      <c r="CP77" s="186"/>
      <c r="CQ77" s="186"/>
      <c r="CR77" s="11"/>
      <c r="CS77" s="11"/>
      <c r="CT77" s="39"/>
      <c r="CU77" s="11"/>
      <c r="CY77" s="185"/>
      <c r="CZ77" s="39"/>
      <c r="DA77" s="186"/>
      <c r="DB77" s="39"/>
      <c r="DC77" s="186">
        <f t="shared" si="7"/>
        <v>0</v>
      </c>
      <c r="DD77" s="39"/>
      <c r="DE77" s="39"/>
      <c r="DF77" s="138"/>
      <c r="DG77" s="89"/>
      <c r="DH77" s="73"/>
      <c r="DI77" s="73"/>
    </row>
    <row r="78" spans="5:113" x14ac:dyDescent="0.35">
      <c r="E78" s="138"/>
      <c r="F78" s="11"/>
      <c r="G78" s="11"/>
      <c r="H78" s="11"/>
      <c r="I78" s="186">
        <f t="shared" si="25"/>
        <v>0</v>
      </c>
      <c r="J78" s="11"/>
      <c r="K78" s="11"/>
      <c r="L78" s="11"/>
      <c r="M78" s="11"/>
      <c r="N78" s="39"/>
      <c r="O78" s="11"/>
      <c r="P78" s="15"/>
      <c r="Q78" s="185"/>
      <c r="R78" s="11"/>
      <c r="S78" s="186"/>
      <c r="T78" s="11"/>
      <c r="U78" s="186">
        <f t="shared" si="18"/>
        <v>0</v>
      </c>
      <c r="V78" s="186"/>
      <c r="W78" s="186"/>
      <c r="X78" s="11"/>
      <c r="Y78" s="11"/>
      <c r="Z78" s="39"/>
      <c r="AA78" s="11"/>
      <c r="AC78" s="185"/>
      <c r="AD78" s="11"/>
      <c r="AE78" s="186"/>
      <c r="AF78" s="11"/>
      <c r="AG78" s="186">
        <f t="shared" si="20"/>
        <v>0</v>
      </c>
      <c r="AH78" s="11"/>
      <c r="AI78" s="11"/>
      <c r="AJ78" s="11"/>
      <c r="AK78" s="11"/>
      <c r="AL78" s="39"/>
      <c r="AM78" s="11"/>
      <c r="AO78" s="185"/>
      <c r="AP78" s="11"/>
      <c r="AQ78" s="186"/>
      <c r="AR78" s="11"/>
      <c r="AS78" s="186">
        <f t="shared" ref="AS78:AS80" si="26">AQ78+AR78</f>
        <v>0</v>
      </c>
      <c r="AT78" s="186"/>
      <c r="AU78" s="186"/>
      <c r="AV78" s="11"/>
      <c r="AW78" s="11"/>
      <c r="AX78" s="39"/>
      <c r="AY78" s="11"/>
      <c r="BA78" s="185"/>
      <c r="BB78" s="11"/>
      <c r="BC78" s="73"/>
      <c r="BD78" s="11"/>
      <c r="BE78" s="11"/>
      <c r="BF78" s="11"/>
      <c r="BG78" s="186">
        <f t="shared" ref="BG78:BG80" si="27">BC78+BD78</f>
        <v>0</v>
      </c>
      <c r="BH78" s="11"/>
      <c r="BI78" s="11"/>
      <c r="BJ78" s="39"/>
      <c r="BK78" s="11"/>
      <c r="BM78" s="185"/>
      <c r="BN78" s="39"/>
      <c r="BO78" s="186"/>
      <c r="BP78" s="39"/>
      <c r="BQ78" s="186">
        <f t="shared" si="23"/>
        <v>0</v>
      </c>
      <c r="BR78" s="39"/>
      <c r="BS78" s="39"/>
      <c r="BT78" s="39"/>
      <c r="BU78" s="39"/>
      <c r="BV78" s="39"/>
      <c r="BW78" s="39"/>
      <c r="BY78" s="185"/>
      <c r="BZ78" s="185"/>
      <c r="CA78" s="185"/>
      <c r="CB78" s="11"/>
      <c r="CC78" s="186"/>
      <c r="CD78" s="11"/>
      <c r="CE78" s="186">
        <f t="shared" si="24"/>
        <v>0</v>
      </c>
      <c r="CF78" s="11"/>
      <c r="CG78" s="11"/>
      <c r="CH78" s="39"/>
      <c r="CI78" s="11"/>
      <c r="CK78" s="185"/>
      <c r="CL78" s="11"/>
      <c r="CM78" s="186"/>
      <c r="CN78" s="11"/>
      <c r="CO78" s="186">
        <f t="shared" si="17"/>
        <v>0</v>
      </c>
      <c r="CP78" s="186"/>
      <c r="CQ78" s="186"/>
      <c r="CR78" s="11"/>
      <c r="CS78" s="11"/>
      <c r="CT78" s="39"/>
      <c r="CU78" s="11"/>
      <c r="CY78" s="185"/>
      <c r="CZ78" s="39"/>
      <c r="DA78" s="186"/>
      <c r="DB78" s="39"/>
      <c r="DC78" s="186">
        <f t="shared" si="7"/>
        <v>0</v>
      </c>
      <c r="DD78" s="39"/>
      <c r="DE78" s="39"/>
      <c r="DF78" s="138"/>
      <c r="DG78" s="89"/>
      <c r="DH78" s="73"/>
      <c r="DI78" s="73"/>
    </row>
    <row r="79" spans="5:113" x14ac:dyDescent="0.35">
      <c r="E79" s="73"/>
      <c r="F79" s="10"/>
      <c r="G79" s="189"/>
      <c r="H79" s="189"/>
      <c r="I79" s="186">
        <f t="shared" si="25"/>
        <v>0</v>
      </c>
      <c r="J79" s="189"/>
      <c r="K79" s="189"/>
      <c r="L79" s="189"/>
      <c r="M79" s="11"/>
      <c r="N79" s="39"/>
      <c r="O79" s="11"/>
      <c r="P79" s="15"/>
      <c r="Q79" s="138"/>
      <c r="R79" s="11"/>
      <c r="S79" s="186"/>
      <c r="T79" s="11"/>
      <c r="U79" s="186">
        <f t="shared" si="18"/>
        <v>0</v>
      </c>
      <c r="V79" s="186"/>
      <c r="W79" s="186"/>
      <c r="X79" s="11"/>
      <c r="Y79" s="11"/>
      <c r="Z79" s="39"/>
      <c r="AA79" s="42"/>
      <c r="AC79" s="138"/>
      <c r="AD79" s="11"/>
      <c r="AE79" s="186"/>
      <c r="AF79" s="11"/>
      <c r="AG79" s="186">
        <f t="shared" si="20"/>
        <v>0</v>
      </c>
      <c r="AH79" s="11"/>
      <c r="AI79" s="11"/>
      <c r="AJ79" s="11"/>
      <c r="AK79" s="11"/>
      <c r="AL79" s="39"/>
      <c r="AM79" s="11"/>
      <c r="AO79" s="138"/>
      <c r="AP79" s="11"/>
      <c r="AQ79" s="186"/>
      <c r="AR79" s="11"/>
      <c r="AS79" s="186">
        <f t="shared" si="26"/>
        <v>0</v>
      </c>
      <c r="AT79" s="186"/>
      <c r="AU79" s="186"/>
      <c r="AV79" s="11"/>
      <c r="AW79" s="11"/>
      <c r="AX79" s="39"/>
      <c r="AY79" s="11"/>
      <c r="BA79" s="138"/>
      <c r="BB79" s="11"/>
      <c r="BC79" s="73"/>
      <c r="BD79" s="11"/>
      <c r="BE79" s="11"/>
      <c r="BF79" s="11"/>
      <c r="BG79" s="186">
        <f t="shared" si="27"/>
        <v>0</v>
      </c>
      <c r="BH79" s="11"/>
      <c r="BI79" s="11"/>
      <c r="BJ79" s="39"/>
      <c r="BK79" s="11"/>
      <c r="BM79" s="138"/>
      <c r="BN79" s="39"/>
      <c r="BO79" s="186"/>
      <c r="BP79" s="39"/>
      <c r="BQ79" s="186">
        <f t="shared" si="23"/>
        <v>0</v>
      </c>
      <c r="BR79" s="39"/>
      <c r="BS79" s="39"/>
      <c r="BT79" s="39"/>
      <c r="BU79" s="39"/>
      <c r="BV79" s="39"/>
      <c r="BW79" s="39"/>
      <c r="BY79" s="138"/>
      <c r="BZ79" s="138"/>
      <c r="CA79" s="138"/>
      <c r="CB79" s="11"/>
      <c r="CC79" s="186"/>
      <c r="CD79" s="11"/>
      <c r="CE79" s="186">
        <f t="shared" si="24"/>
        <v>0</v>
      </c>
      <c r="CF79" s="11"/>
      <c r="CG79" s="11"/>
      <c r="CH79" s="39"/>
      <c r="CI79" s="11"/>
      <c r="CK79" s="138"/>
      <c r="CL79" s="11"/>
      <c r="CM79" s="186"/>
      <c r="CN79" s="11"/>
      <c r="CO79" s="186">
        <f t="shared" si="17"/>
        <v>0</v>
      </c>
      <c r="CP79" s="186"/>
      <c r="CQ79" s="186"/>
      <c r="CR79" s="11"/>
      <c r="CS79" s="11"/>
      <c r="CT79" s="39"/>
      <c r="CU79" s="11"/>
      <c r="CY79" s="185"/>
      <c r="CZ79" s="39"/>
      <c r="DA79" s="186"/>
      <c r="DB79" s="39"/>
      <c r="DC79" s="186">
        <f t="shared" si="7"/>
        <v>0</v>
      </c>
      <c r="DD79" s="39"/>
      <c r="DE79" s="39"/>
      <c r="DF79" s="138"/>
      <c r="DG79" s="89"/>
      <c r="DH79" s="73"/>
      <c r="DI79" s="73"/>
    </row>
    <row r="80" spans="5:113" ht="19" thickBot="1" x14ac:dyDescent="0.5">
      <c r="E80" s="310"/>
      <c r="F80" s="311"/>
      <c r="G80" s="312">
        <f>SUBTOTAL(9,G5:G79)</f>
        <v>0</v>
      </c>
      <c r="H80" s="312">
        <f>SUBTOTAL(9,H5:H79)</f>
        <v>12723.919999999998</v>
      </c>
      <c r="I80" s="312">
        <f>SUBTOTAL(9,I5:I79)</f>
        <v>532.01</v>
      </c>
      <c r="J80" s="312">
        <f>SUM(J57:J78)</f>
        <v>0</v>
      </c>
      <c r="K80" s="312"/>
      <c r="L80" s="312"/>
      <c r="M80" s="312"/>
      <c r="N80" s="312"/>
      <c r="O80" s="312"/>
      <c r="P80" s="15"/>
      <c r="Q80" s="163"/>
      <c r="R80" s="10"/>
      <c r="S80" s="203"/>
      <c r="T80" s="189"/>
      <c r="U80" s="186">
        <f t="shared" si="18"/>
        <v>0</v>
      </c>
      <c r="V80" s="203"/>
      <c r="W80" s="203"/>
      <c r="X80" s="189"/>
      <c r="Y80" s="11"/>
      <c r="Z80" s="39"/>
      <c r="AA80" s="42"/>
      <c r="AB80" s="205"/>
      <c r="AC80" s="306"/>
      <c r="AD80" s="189"/>
      <c r="AE80" s="203"/>
      <c r="AF80" s="189"/>
      <c r="AG80" s="203">
        <f t="shared" si="20"/>
        <v>0</v>
      </c>
      <c r="AH80" s="189"/>
      <c r="AI80" s="189"/>
      <c r="AJ80" s="189"/>
      <c r="AK80" s="307"/>
      <c r="AL80" s="308"/>
      <c r="AM80" s="309"/>
      <c r="AO80" s="163"/>
      <c r="AP80" s="10"/>
      <c r="AQ80" s="203"/>
      <c r="AR80" s="189"/>
      <c r="AS80" s="203">
        <f t="shared" si="26"/>
        <v>0</v>
      </c>
      <c r="AT80" s="203"/>
      <c r="AU80" s="203"/>
      <c r="AV80" s="189"/>
      <c r="AW80" s="11"/>
      <c r="AX80" s="39"/>
      <c r="AY80" s="11"/>
      <c r="BA80" s="163"/>
      <c r="BB80" s="10"/>
      <c r="BC80" s="73"/>
      <c r="BD80" s="189"/>
      <c r="BE80" s="189"/>
      <c r="BF80" s="189"/>
      <c r="BG80" s="203">
        <f t="shared" si="27"/>
        <v>0</v>
      </c>
      <c r="BH80" s="189"/>
      <c r="BI80" s="11"/>
      <c r="BJ80" s="39"/>
      <c r="BK80" s="11"/>
      <c r="BM80" s="163"/>
      <c r="BN80" s="202"/>
      <c r="BO80" s="203"/>
      <c r="BP80" s="204"/>
      <c r="BQ80" s="186">
        <f t="shared" si="23"/>
        <v>0</v>
      </c>
      <c r="BR80" s="204"/>
      <c r="BS80" s="204"/>
      <c r="BT80" s="204"/>
      <c r="BU80" s="39"/>
      <c r="BV80" s="39"/>
      <c r="BW80" s="39"/>
      <c r="BY80" s="163"/>
      <c r="BZ80" s="163"/>
      <c r="CA80" s="163"/>
      <c r="CB80" s="10"/>
      <c r="CC80" s="203"/>
      <c r="CD80" s="189"/>
      <c r="CE80" s="203">
        <f t="shared" si="24"/>
        <v>0</v>
      </c>
      <c r="CF80" s="189"/>
      <c r="CG80" s="11"/>
      <c r="CH80" s="39"/>
      <c r="CI80" s="11"/>
      <c r="CK80" s="163"/>
      <c r="CL80" s="165"/>
      <c r="CM80" s="203"/>
      <c r="CN80" s="206"/>
      <c r="CO80" s="186">
        <f t="shared" si="17"/>
        <v>0</v>
      </c>
      <c r="CP80" s="203"/>
      <c r="CQ80" s="203"/>
      <c r="CR80" s="206"/>
      <c r="CS80" s="11"/>
      <c r="CT80" s="39"/>
      <c r="CU80" s="11"/>
      <c r="CY80" s="185"/>
      <c r="CZ80" s="39"/>
      <c r="DA80" s="186"/>
      <c r="DB80" s="39"/>
      <c r="DC80" s="186">
        <f t="shared" si="7"/>
        <v>0</v>
      </c>
      <c r="DD80" s="39"/>
      <c r="DE80" s="39"/>
      <c r="DF80" s="138"/>
      <c r="DG80" s="89"/>
      <c r="DH80" s="73"/>
      <c r="DI80" s="73"/>
    </row>
    <row r="81" spans="8:113" ht="15" thickTop="1" x14ac:dyDescent="0.35">
      <c r="H81" s="52"/>
      <c r="P81" s="16"/>
      <c r="Q81" s="310"/>
      <c r="R81" s="311"/>
      <c r="S81" s="312">
        <f>SUBTOTAL(9,S5:S80)</f>
        <v>0</v>
      </c>
      <c r="T81" s="312">
        <f>SUBTOTAL(9,T5:T80)</f>
        <v>1560.6199999999997</v>
      </c>
      <c r="U81" s="312">
        <f>SUBTOTAL(9,U5:U80)</f>
        <v>68.959999999999994</v>
      </c>
      <c r="V81" s="312"/>
      <c r="W81" s="312"/>
      <c r="X81" s="312">
        <f>SUBTOTAL(9,X5:X80)</f>
        <v>0</v>
      </c>
      <c r="Y81" s="312"/>
      <c r="Z81" s="312"/>
      <c r="AA81" s="312"/>
      <c r="AB81" s="27"/>
      <c r="AC81" s="310"/>
      <c r="AD81" s="311"/>
      <c r="AE81" s="312">
        <f>SUBTOTAL(9,AE5:AE80)</f>
        <v>0</v>
      </c>
      <c r="AF81" s="312">
        <f>SUBTOTAL(9,AF5:AF80)</f>
        <v>3282.62</v>
      </c>
      <c r="AG81" s="312">
        <f>SUBTOTAL(9,AG5:AG80)</f>
        <v>26.04</v>
      </c>
      <c r="AH81" s="312">
        <f>SUBTOTAL(9,AH5:AH80)</f>
        <v>3308.66</v>
      </c>
      <c r="AI81" s="312"/>
      <c r="AJ81" s="312"/>
      <c r="AK81" s="312"/>
      <c r="AL81" s="312"/>
      <c r="AM81" s="312"/>
      <c r="AO81" s="310"/>
      <c r="AP81" s="311"/>
      <c r="AQ81" s="312">
        <f>SUBTOTAL(9,AQ5:AQ80)</f>
        <v>0</v>
      </c>
      <c r="AR81" s="312">
        <f>SUBTOTAL(9,AR5:AR80)</f>
        <v>453.47</v>
      </c>
      <c r="AS81" s="312">
        <f>SUBTOTAL(9,AS5:AS80)</f>
        <v>38.549999999999997</v>
      </c>
      <c r="AT81" s="312"/>
      <c r="AU81" s="312"/>
      <c r="AV81" s="312">
        <f>SUBTOTAL(9,AV5:AV80)</f>
        <v>0</v>
      </c>
      <c r="AW81" s="312"/>
      <c r="AX81" s="312"/>
      <c r="AY81" s="312"/>
      <c r="BA81" s="310"/>
      <c r="BB81" s="311"/>
      <c r="BC81" s="312">
        <f>SUBTOTAL(9,BC5:BC80)</f>
        <v>0</v>
      </c>
      <c r="BD81" s="312">
        <f>SUBTOTAL(9,BD5:BD80)</f>
        <v>0</v>
      </c>
      <c r="BE81" s="312"/>
      <c r="BF81" s="312"/>
      <c r="BG81" s="312">
        <f>SUBTOTAL(9,BG5:BG80)</f>
        <v>2957.16</v>
      </c>
      <c r="BH81" s="312">
        <f>SUBTOTAL(9,BH5:BH80)</f>
        <v>0</v>
      </c>
      <c r="BI81" s="312"/>
      <c r="BJ81" s="312"/>
      <c r="BK81" s="312"/>
      <c r="BM81" s="310"/>
      <c r="BN81" s="311"/>
      <c r="BO81" s="312">
        <f>SUBTOTAL(9,BO5:BO80)</f>
        <v>0</v>
      </c>
      <c r="BP81" s="312">
        <f>SUBTOTAL(9,BP5:BP80)</f>
        <v>371.28000000000003</v>
      </c>
      <c r="BQ81" s="312">
        <f>SUBTOTAL(9,BQ5:BQ80)</f>
        <v>30.51</v>
      </c>
      <c r="BR81" s="312">
        <f>SUBTOTAL(9,BR5:BR80)</f>
        <v>401.79</v>
      </c>
      <c r="BS81" s="312"/>
      <c r="BT81" s="312"/>
      <c r="BU81" s="312"/>
      <c r="BV81" s="312"/>
      <c r="BW81" s="312"/>
      <c r="BY81" s="310"/>
      <c r="BZ81" s="311"/>
      <c r="CA81" s="312"/>
      <c r="CB81" s="312"/>
      <c r="CC81" s="312">
        <f>SUBTOTAL(9,CC48:CC80)</f>
        <v>0</v>
      </c>
      <c r="CD81" s="312">
        <f>SUBTOTAL(9,CD48:CD80)</f>
        <v>0</v>
      </c>
      <c r="CE81" s="312">
        <f>SUBTOTAL(9,CE48:CE80)</f>
        <v>0</v>
      </c>
      <c r="CF81" s="312">
        <f>SUBTOTAL(9,CF48:CF80)</f>
        <v>0</v>
      </c>
      <c r="CG81" s="312"/>
      <c r="CH81" s="312"/>
      <c r="CI81" s="312"/>
      <c r="CK81" s="310"/>
      <c r="CL81" s="311"/>
      <c r="CM81" s="312">
        <f t="shared" ref="CM81:CO81" si="28">SUBTOTAL(9,CM5:CM80)</f>
        <v>0</v>
      </c>
      <c r="CN81" s="312">
        <f t="shared" si="28"/>
        <v>821.43999999999994</v>
      </c>
      <c r="CO81" s="312">
        <f t="shared" si="28"/>
        <v>6.37</v>
      </c>
      <c r="CP81" s="312"/>
      <c r="CQ81" s="312"/>
      <c r="CR81" s="312">
        <f>SUBTOTAL(9,CR5:CR80)</f>
        <v>0</v>
      </c>
      <c r="CS81" s="312"/>
      <c r="CT81" s="312"/>
      <c r="CU81" s="312"/>
      <c r="CY81" s="310"/>
      <c r="CZ81" s="311"/>
      <c r="DA81" s="312"/>
      <c r="DB81" s="312">
        <f>SUBTOTAL(9,DB5:DB80)</f>
        <v>3510.1</v>
      </c>
      <c r="DC81" s="312">
        <f>SUBTOTAL(9,DC5:DC80)</f>
        <v>27.06</v>
      </c>
      <c r="DD81" s="312">
        <f>SUBTOTAL(9,DD5:DD80)</f>
        <v>3310.16</v>
      </c>
      <c r="DE81" s="312">
        <f>SUBTOTAL(9,DE5:DE80)</f>
        <v>0</v>
      </c>
      <c r="DF81" s="312"/>
      <c r="DG81" s="312"/>
      <c r="DH81" s="312"/>
      <c r="DI81" s="312"/>
    </row>
  </sheetData>
  <autoFilter ref="BA4:BK80" xr:uid="{00000000-0009-0000-0000-000004000000}"/>
  <sortState xmlns:xlrd2="http://schemas.microsoft.com/office/spreadsheetml/2017/richdata2" ref="Q5:Y5">
    <sortCondition ref="Q4"/>
  </sortState>
  <mergeCells count="17">
    <mergeCell ref="BM3:BW3"/>
    <mergeCell ref="BY3:CI3"/>
    <mergeCell ref="CK3:CU3"/>
    <mergeCell ref="CY3:DI3"/>
    <mergeCell ref="B18:B20"/>
    <mergeCell ref="B10:B12"/>
    <mergeCell ref="A5:B5"/>
    <mergeCell ref="AO3:AY3"/>
    <mergeCell ref="BA3:BK3"/>
    <mergeCell ref="A4:B4"/>
    <mergeCell ref="A3:B3"/>
    <mergeCell ref="E3:O3"/>
    <mergeCell ref="Q3:AA3"/>
    <mergeCell ref="AC3:AM3"/>
    <mergeCell ref="B6:B8"/>
    <mergeCell ref="A16:B16"/>
    <mergeCell ref="B13:B14"/>
  </mergeCells>
  <phoneticPr fontId="38" type="noConversion"/>
  <conditionalFormatting sqref="AC11:AM80 AL5:AM9 AI5:AJ9 AI10:AM10 AC5:AC10 AE5:AH10">
    <cfRule type="expression" dxfId="532" priority="12">
      <formula>$AL5=""</formula>
    </cfRule>
  </conditionalFormatting>
  <conditionalFormatting sqref="AO11:AY80 AX5:AY10 AO10:AV10 AO5:AO9 AQ5:AV9">
    <cfRule type="expression" dxfId="531" priority="11">
      <formula>$AX5=""</formula>
    </cfRule>
  </conditionalFormatting>
  <conditionalFormatting sqref="BM13:BW80 BV5:BW12 BM5:BM12 BO5:BT12">
    <cfRule type="expression" dxfId="530" priority="9">
      <formula>$BV5=""</formula>
    </cfRule>
  </conditionalFormatting>
  <conditionalFormatting sqref="BY21:CI80 CH5:CI20 CF5:CF20 BY5:CD20">
    <cfRule type="expression" dxfId="529" priority="8">
      <formula>$CH5=""</formula>
    </cfRule>
  </conditionalFormatting>
  <conditionalFormatting sqref="CK49:CU80 CT5:CU48 CK5:CK48 CM5:CR48">
    <cfRule type="expression" dxfId="528" priority="7">
      <formula>$CT5=""</formula>
    </cfRule>
  </conditionalFormatting>
  <conditionalFormatting sqref="BA21:BB80 BJ5:BK20 BA5:BA20 BD5:BH20 BD21:BK80">
    <cfRule type="expression" dxfId="527" priority="5">
      <formula>$BJ5=""</formula>
    </cfRule>
  </conditionalFormatting>
  <conditionalFormatting sqref="Q33:AA80 Q31:W32 Y32:AA32 Z5:AA31 Q5:Q30 S5:W30">
    <cfRule type="expression" dxfId="526" priority="4">
      <formula>$Z5=""</formula>
    </cfRule>
  </conditionalFormatting>
  <conditionalFormatting sqref="E57:O79 N5:O56 E5:E56 G5:L56">
    <cfRule type="expression" dxfId="525" priority="2">
      <formula>$N5=""</formula>
    </cfRule>
  </conditionalFormatting>
  <conditionalFormatting sqref="CY7:DG80">
    <cfRule type="expression" dxfId="524" priority="1">
      <formula>$DF7=""</formula>
    </cfRule>
  </conditionalFormatting>
  <conditionalFormatting sqref="X5:X31">
    <cfRule type="expression" dxfId="523" priority="1135">
      <formula>$Z5=""</formula>
    </cfRule>
  </conditionalFormatting>
  <conditionalFormatting sqref="DH5:DI6 DF5:DF6 CY5:CY6 DA5:DD6">
    <cfRule type="expression" dxfId="522" priority="1137">
      <formula>$DH5=""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Tabelle6"/>
  <dimension ref="A2:DO119"/>
  <sheetViews>
    <sheetView showGridLines="0" zoomScale="50" zoomScaleNormal="50" workbookViewId="0">
      <selection activeCell="R5" sqref="R5:R23"/>
    </sheetView>
  </sheetViews>
  <sheetFormatPr baseColWidth="10" defaultRowHeight="14.5" x14ac:dyDescent="0.35"/>
  <cols>
    <col min="1" max="1" width="37" customWidth="1"/>
    <col min="2" max="2" width="17.453125" customWidth="1"/>
    <col min="3" max="3" width="20.1796875" customWidth="1"/>
    <col min="4" max="4" width="18.453125" customWidth="1"/>
    <col min="5" max="5" width="16.1796875" customWidth="1"/>
    <col min="6" max="6" width="18" customWidth="1"/>
    <col min="7" max="7" width="32.81640625" customWidth="1"/>
    <col min="8" max="8" width="16.1796875" customWidth="1"/>
    <col min="9" max="10" width="14.54296875" customWidth="1"/>
    <col min="11" max="11" width="13.81640625" customWidth="1"/>
    <col min="12" max="13" width="19" customWidth="1"/>
    <col min="14" max="14" width="25.1796875" bestFit="1" customWidth="1"/>
    <col min="15" max="15" width="24.54296875" bestFit="1" customWidth="1"/>
    <col min="17" max="17" width="18.7265625" customWidth="1"/>
    <col min="18" max="18" width="19.1796875" bestFit="1" customWidth="1"/>
    <col min="19" max="19" width="20.7265625" customWidth="1"/>
    <col min="20" max="20" width="12.1796875" customWidth="1"/>
    <col min="21" max="21" width="15.81640625" customWidth="1"/>
    <col min="22" max="22" width="10.453125" bestFit="1" customWidth="1"/>
    <col min="23" max="24" width="10.453125" customWidth="1"/>
    <col min="25" max="25" width="20.453125" customWidth="1"/>
    <col min="26" max="26" width="21" customWidth="1"/>
    <col min="27" max="27" width="16.7265625" customWidth="1"/>
    <col min="29" max="29" width="17.7265625" bestFit="1" customWidth="1"/>
    <col min="30" max="30" width="15.54296875" bestFit="1" customWidth="1"/>
    <col min="33" max="33" width="15.7265625" bestFit="1" customWidth="1"/>
    <col min="36" max="36" width="14.7265625" bestFit="1" customWidth="1"/>
    <col min="37" max="37" width="15" bestFit="1" customWidth="1"/>
    <col min="39" max="39" width="17.7265625" bestFit="1" customWidth="1"/>
    <col min="40" max="40" width="15.54296875" bestFit="1" customWidth="1"/>
    <col min="43" max="43" width="15.7265625" bestFit="1" customWidth="1"/>
    <col min="47" max="47" width="15" bestFit="1" customWidth="1"/>
    <col min="49" max="49" width="17.7265625" bestFit="1" customWidth="1"/>
    <col min="50" max="50" width="15.54296875" bestFit="1" customWidth="1"/>
    <col min="53" max="53" width="15.7265625" bestFit="1" customWidth="1"/>
    <col min="59" max="59" width="17.7265625" bestFit="1" customWidth="1"/>
    <col min="60" max="60" width="15.54296875" bestFit="1" customWidth="1"/>
    <col min="63" max="63" width="15.7265625" bestFit="1" customWidth="1"/>
    <col min="69" max="69" width="17.7265625" bestFit="1" customWidth="1"/>
    <col min="70" max="70" width="15.54296875" bestFit="1" customWidth="1"/>
    <col min="73" max="73" width="15.7265625" bestFit="1" customWidth="1"/>
    <col min="79" max="79" width="17.7265625" bestFit="1" customWidth="1"/>
    <col min="80" max="80" width="20.26953125" bestFit="1" customWidth="1"/>
    <col min="83" max="83" width="15.7265625" bestFit="1" customWidth="1"/>
    <col min="87" max="87" width="15" bestFit="1" customWidth="1"/>
    <col min="89" max="89" width="17.7265625" bestFit="1" customWidth="1"/>
    <col min="90" max="90" width="19.453125" bestFit="1" customWidth="1"/>
    <col min="93" max="93" width="15.7265625" bestFit="1" customWidth="1"/>
    <col min="96" max="96" width="15.453125" bestFit="1" customWidth="1"/>
    <col min="99" max="99" width="17.7265625" bestFit="1" customWidth="1"/>
    <col min="100" max="100" width="26.453125" bestFit="1" customWidth="1"/>
    <col min="103" max="103" width="15.7265625" bestFit="1" customWidth="1"/>
    <col min="107" max="107" width="15" bestFit="1" customWidth="1"/>
    <col min="109" max="109" width="17.7265625" bestFit="1" customWidth="1"/>
    <col min="110" max="110" width="15.54296875" bestFit="1" customWidth="1"/>
    <col min="113" max="113" width="15.7265625" bestFit="1" customWidth="1"/>
    <col min="116" max="116" width="10.54296875" bestFit="1" customWidth="1"/>
  </cols>
  <sheetData>
    <row r="2" spans="1:119" ht="15" customHeight="1" thickBot="1" x14ac:dyDescent="0.4"/>
    <row r="3" spans="1:119" ht="18.75" customHeight="1" thickBot="1" x14ac:dyDescent="0.5">
      <c r="A3" s="368" t="s">
        <v>48</v>
      </c>
      <c r="B3" s="369"/>
      <c r="D3" s="21"/>
      <c r="E3" s="359" t="s">
        <v>74</v>
      </c>
      <c r="F3" s="360"/>
      <c r="G3" s="360"/>
      <c r="H3" s="360"/>
      <c r="I3" s="360"/>
      <c r="J3" s="360"/>
      <c r="K3" s="360"/>
      <c r="L3" s="360"/>
      <c r="M3" s="360"/>
      <c r="N3" s="360"/>
      <c r="O3" s="360"/>
      <c r="Q3" s="359" t="s">
        <v>73</v>
      </c>
      <c r="R3" s="360"/>
      <c r="S3" s="360"/>
      <c r="T3" s="360"/>
      <c r="U3" s="360"/>
      <c r="V3" s="360"/>
      <c r="W3" s="360"/>
      <c r="X3" s="360"/>
      <c r="Y3" s="360"/>
      <c r="Z3" s="360"/>
      <c r="AA3" s="360"/>
      <c r="AC3" s="371"/>
      <c r="AD3" s="371"/>
      <c r="AE3" s="371"/>
      <c r="AF3" s="371"/>
      <c r="AG3" s="371"/>
      <c r="AH3" s="371"/>
      <c r="AI3" s="371"/>
      <c r="AJ3" s="371"/>
      <c r="AK3" s="371"/>
      <c r="AL3" s="23"/>
      <c r="AM3" s="371"/>
      <c r="AN3" s="371"/>
      <c r="AO3" s="371"/>
      <c r="AP3" s="371"/>
      <c r="AQ3" s="371"/>
      <c r="AR3" s="371"/>
      <c r="AS3" s="371"/>
      <c r="AT3" s="371"/>
      <c r="AU3" s="371"/>
      <c r="AV3" s="23"/>
      <c r="AW3" s="371"/>
      <c r="AX3" s="371"/>
      <c r="AY3" s="371"/>
      <c r="AZ3" s="371"/>
      <c r="BA3" s="371"/>
      <c r="BB3" s="371"/>
      <c r="BC3" s="371"/>
      <c r="BD3" s="371"/>
      <c r="BE3" s="371"/>
      <c r="BF3" s="23"/>
      <c r="BG3" s="371"/>
      <c r="BH3" s="371"/>
      <c r="BI3" s="371"/>
      <c r="BJ3" s="371"/>
      <c r="BK3" s="371"/>
      <c r="BL3" s="371"/>
      <c r="BM3" s="371"/>
      <c r="BN3" s="371"/>
      <c r="BO3" s="371"/>
      <c r="BP3" s="23"/>
      <c r="BQ3" s="371"/>
      <c r="BR3" s="371"/>
      <c r="BS3" s="371"/>
      <c r="BT3" s="371"/>
      <c r="BU3" s="371"/>
      <c r="BV3" s="371"/>
      <c r="BW3" s="371"/>
      <c r="BX3" s="371"/>
      <c r="BY3" s="371"/>
      <c r="BZ3" s="23"/>
      <c r="CA3" s="371"/>
      <c r="CB3" s="371"/>
      <c r="CC3" s="371"/>
      <c r="CD3" s="371"/>
      <c r="CE3" s="371"/>
      <c r="CF3" s="371"/>
      <c r="CG3" s="371"/>
      <c r="CH3" s="371"/>
      <c r="CI3" s="371"/>
      <c r="CJ3" s="23"/>
      <c r="CK3" s="371"/>
      <c r="CL3" s="371"/>
      <c r="CM3" s="371"/>
      <c r="CN3" s="371"/>
      <c r="CO3" s="371"/>
      <c r="CP3" s="371"/>
      <c r="CQ3" s="371"/>
      <c r="CR3" s="371"/>
      <c r="CS3" s="371"/>
      <c r="CT3" s="23"/>
      <c r="CU3" s="371"/>
      <c r="CV3" s="371"/>
      <c r="CW3" s="371"/>
      <c r="CX3" s="371"/>
      <c r="CY3" s="371"/>
      <c r="CZ3" s="371"/>
      <c r="DA3" s="371"/>
      <c r="DB3" s="371"/>
      <c r="DC3" s="371"/>
      <c r="DD3" s="23"/>
      <c r="DE3" s="371"/>
      <c r="DF3" s="371"/>
      <c r="DG3" s="371"/>
      <c r="DH3" s="371"/>
      <c r="DI3" s="371"/>
      <c r="DJ3" s="371"/>
      <c r="DK3" s="371"/>
      <c r="DL3" s="371"/>
      <c r="DM3" s="371"/>
      <c r="DN3" s="23"/>
      <c r="DO3" s="23"/>
    </row>
    <row r="4" spans="1:119" s="329" customFormat="1" ht="39" customHeight="1" x14ac:dyDescent="0.35">
      <c r="A4" s="336" t="s">
        <v>33</v>
      </c>
      <c r="B4" s="380" t="s">
        <v>74</v>
      </c>
      <c r="D4" s="330"/>
      <c r="E4" s="303" t="s">
        <v>180</v>
      </c>
      <c r="F4" s="303" t="s">
        <v>181</v>
      </c>
      <c r="G4" s="71" t="s">
        <v>182</v>
      </c>
      <c r="H4" s="71" t="s">
        <v>34</v>
      </c>
      <c r="I4" s="71" t="s">
        <v>178</v>
      </c>
      <c r="J4" s="71" t="s">
        <v>179</v>
      </c>
      <c r="K4" s="71" t="s">
        <v>103</v>
      </c>
      <c r="L4" s="71" t="s">
        <v>37</v>
      </c>
      <c r="M4" s="71" t="s">
        <v>177</v>
      </c>
      <c r="N4" s="71" t="s">
        <v>44</v>
      </c>
      <c r="O4" s="71" t="s">
        <v>47</v>
      </c>
      <c r="P4" s="331"/>
      <c r="Q4" s="303" t="s">
        <v>180</v>
      </c>
      <c r="R4" s="303" t="s">
        <v>181</v>
      </c>
      <c r="S4" s="71" t="s">
        <v>182</v>
      </c>
      <c r="T4" s="71" t="s">
        <v>34</v>
      </c>
      <c r="U4" s="71" t="s">
        <v>178</v>
      </c>
      <c r="V4" s="71" t="s">
        <v>179</v>
      </c>
      <c r="W4" s="71" t="s">
        <v>103</v>
      </c>
      <c r="X4" s="71" t="s">
        <v>37</v>
      </c>
      <c r="Y4" s="71" t="s">
        <v>177</v>
      </c>
      <c r="Z4" s="71" t="s">
        <v>44</v>
      </c>
      <c r="AA4" s="71" t="s">
        <v>47</v>
      </c>
      <c r="AC4" s="70"/>
      <c r="AD4" s="70"/>
      <c r="AE4" s="70"/>
      <c r="AF4" s="70"/>
      <c r="AG4" s="70"/>
      <c r="AH4" s="70"/>
      <c r="AI4" s="70"/>
      <c r="AJ4" s="70"/>
      <c r="AK4" s="70"/>
      <c r="AL4" s="337"/>
      <c r="AM4" s="70"/>
      <c r="AN4" s="70"/>
      <c r="AO4" s="70"/>
      <c r="AP4" s="70"/>
      <c r="AQ4" s="70"/>
      <c r="AR4" s="70"/>
      <c r="AS4" s="70"/>
      <c r="AT4" s="70"/>
      <c r="AU4" s="70"/>
      <c r="AV4" s="337"/>
      <c r="AW4" s="70"/>
      <c r="AX4" s="70"/>
      <c r="AY4" s="70"/>
      <c r="AZ4" s="70"/>
      <c r="BA4" s="70"/>
      <c r="BB4" s="70"/>
      <c r="BC4" s="70"/>
      <c r="BD4" s="70"/>
      <c r="BE4" s="70"/>
      <c r="BF4" s="337"/>
      <c r="BG4" s="70"/>
      <c r="BH4" s="70"/>
      <c r="BI4" s="70"/>
      <c r="BJ4" s="70"/>
      <c r="BK4" s="70"/>
      <c r="BL4" s="70"/>
      <c r="BM4" s="70"/>
      <c r="BN4" s="70"/>
      <c r="BO4" s="70"/>
      <c r="BP4" s="337"/>
      <c r="BQ4" s="70"/>
      <c r="BR4" s="70"/>
      <c r="BS4" s="70"/>
      <c r="BT4" s="70"/>
      <c r="BU4" s="70"/>
      <c r="BV4" s="70"/>
      <c r="BW4" s="70"/>
      <c r="BX4" s="70"/>
      <c r="BY4" s="70"/>
      <c r="BZ4" s="337"/>
      <c r="CA4" s="70"/>
      <c r="CB4" s="70"/>
      <c r="CC4" s="70"/>
      <c r="CD4" s="70"/>
      <c r="CE4" s="70"/>
      <c r="CF4" s="70"/>
      <c r="CG4" s="70"/>
      <c r="CH4" s="70"/>
      <c r="CI4" s="70"/>
      <c r="CJ4" s="337"/>
      <c r="CK4" s="70"/>
      <c r="CL4" s="70"/>
      <c r="CM4" s="70"/>
      <c r="CN4" s="70"/>
      <c r="CO4" s="70"/>
      <c r="CP4" s="70"/>
      <c r="CQ4" s="70"/>
      <c r="CR4" s="70"/>
      <c r="CS4" s="70"/>
      <c r="CT4" s="337"/>
      <c r="CU4" s="70"/>
      <c r="CV4" s="70"/>
      <c r="CW4" s="70"/>
      <c r="CX4" s="70"/>
      <c r="CY4" s="70"/>
      <c r="CZ4" s="70"/>
      <c r="DA4" s="70"/>
      <c r="DB4" s="70"/>
      <c r="DC4" s="70"/>
      <c r="DD4" s="337"/>
      <c r="DE4" s="70"/>
      <c r="DF4" s="70"/>
      <c r="DG4" s="70"/>
      <c r="DH4" s="70"/>
      <c r="DI4" s="70"/>
      <c r="DJ4" s="70"/>
      <c r="DK4" s="70"/>
      <c r="DL4" s="70"/>
      <c r="DM4" s="70"/>
      <c r="DN4" s="337"/>
      <c r="DO4" s="337"/>
    </row>
    <row r="5" spans="1:119" ht="18.649999999999999" customHeight="1" x14ac:dyDescent="0.35">
      <c r="A5" s="119" t="s">
        <v>121</v>
      </c>
      <c r="B5" s="381"/>
      <c r="E5" s="134">
        <v>43874</v>
      </c>
      <c r="F5" s="73"/>
      <c r="G5" s="135" t="s">
        <v>586</v>
      </c>
      <c r="H5" s="136">
        <v>704.96</v>
      </c>
      <c r="I5" s="136"/>
      <c r="J5" s="40">
        <f>H5+I5</f>
        <v>704.96</v>
      </c>
      <c r="K5" s="73"/>
      <c r="L5" s="135" t="s">
        <v>2</v>
      </c>
      <c r="M5" s="135"/>
      <c r="N5" s="114" t="s">
        <v>80</v>
      </c>
      <c r="O5" s="137">
        <v>44025</v>
      </c>
      <c r="P5" s="13"/>
      <c r="Q5" s="18">
        <v>43844</v>
      </c>
      <c r="R5" s="19" t="s">
        <v>607</v>
      </c>
      <c r="S5" s="17">
        <v>164</v>
      </c>
      <c r="T5" s="17"/>
      <c r="U5" s="17">
        <f t="shared" ref="U5:U34" si="0">S5+T5</f>
        <v>164</v>
      </c>
      <c r="V5" s="139"/>
      <c r="W5" s="139"/>
      <c r="X5" s="139"/>
      <c r="Y5" s="17" t="s">
        <v>1</v>
      </c>
      <c r="Z5" s="19" t="s">
        <v>56</v>
      </c>
      <c r="AA5" s="18">
        <v>43845</v>
      </c>
      <c r="AC5" s="59"/>
      <c r="AD5" s="60"/>
      <c r="AE5" s="55"/>
      <c r="AF5" s="55"/>
      <c r="AG5" s="55"/>
      <c r="AH5" s="55"/>
      <c r="AI5" s="60"/>
      <c r="AJ5" s="60"/>
      <c r="AK5" s="59"/>
      <c r="AL5" s="23"/>
      <c r="AM5" s="59"/>
      <c r="AN5" s="60"/>
      <c r="AO5" s="55"/>
      <c r="AP5" s="55"/>
      <c r="AQ5" s="55"/>
      <c r="AR5" s="55"/>
      <c r="AS5" s="60"/>
      <c r="AT5" s="60"/>
      <c r="AU5" s="60"/>
      <c r="AV5" s="23"/>
      <c r="AW5" s="59"/>
      <c r="AX5" s="60"/>
      <c r="AY5" s="55"/>
      <c r="AZ5" s="55"/>
      <c r="BA5" s="55"/>
      <c r="BB5" s="55"/>
      <c r="BC5" s="60"/>
      <c r="BD5" s="61"/>
      <c r="BE5" s="13"/>
      <c r="BF5" s="23"/>
      <c r="BG5" s="59"/>
      <c r="BH5" s="60"/>
      <c r="BI5" s="55"/>
      <c r="BJ5" s="55"/>
      <c r="BK5" s="55"/>
      <c r="BL5" s="55"/>
      <c r="BM5" s="60"/>
      <c r="BN5" s="60"/>
      <c r="BO5" s="60"/>
      <c r="BP5" s="23"/>
      <c r="BQ5" s="59"/>
      <c r="BR5" s="60"/>
      <c r="BS5" s="55"/>
      <c r="BT5" s="55"/>
      <c r="BU5" s="55"/>
      <c r="BV5" s="55"/>
      <c r="BW5" s="60"/>
      <c r="BX5" s="60"/>
      <c r="BY5" s="13"/>
      <c r="BZ5" s="23"/>
      <c r="CA5" s="59"/>
      <c r="CB5" s="60"/>
      <c r="CC5" s="55"/>
      <c r="CD5" s="55"/>
      <c r="CE5" s="55"/>
      <c r="CF5" s="55"/>
      <c r="CG5" s="60"/>
      <c r="CH5" s="60"/>
      <c r="CI5" s="60"/>
      <c r="CJ5" s="23"/>
      <c r="CK5" s="59"/>
      <c r="CL5" s="60"/>
      <c r="CM5" s="55"/>
      <c r="CN5" s="55"/>
      <c r="CO5" s="55"/>
      <c r="CP5" s="55"/>
      <c r="CQ5" s="60"/>
      <c r="CR5" s="60"/>
      <c r="CS5" s="77"/>
      <c r="CT5" s="23"/>
      <c r="CU5" s="59"/>
      <c r="CV5" s="60"/>
      <c r="CW5" s="55"/>
      <c r="CX5" s="55"/>
      <c r="CY5" s="55"/>
      <c r="CZ5" s="55"/>
      <c r="DA5" s="60"/>
      <c r="DB5" s="60"/>
      <c r="DC5" s="59"/>
      <c r="DD5" s="23"/>
      <c r="DE5" s="59"/>
      <c r="DF5" s="60"/>
      <c r="DG5" s="55"/>
      <c r="DH5" s="55"/>
      <c r="DI5" s="55"/>
      <c r="DJ5" s="55"/>
      <c r="DK5" s="60"/>
      <c r="DL5" s="61"/>
      <c r="DM5" s="13"/>
      <c r="DN5" s="23"/>
      <c r="DO5" s="23"/>
    </row>
    <row r="6" spans="1:119" ht="18.649999999999999" customHeight="1" x14ac:dyDescent="0.35">
      <c r="A6" s="233" t="s">
        <v>77</v>
      </c>
      <c r="B6" s="381"/>
      <c r="E6" s="18">
        <v>44047</v>
      </c>
      <c r="F6" s="73"/>
      <c r="G6" s="135" t="s">
        <v>587</v>
      </c>
      <c r="H6" s="17">
        <v>294.3</v>
      </c>
      <c r="I6" s="17"/>
      <c r="J6" s="17">
        <f t="shared" ref="J6:J18" si="1">H6+I6</f>
        <v>294.3</v>
      </c>
      <c r="K6" s="73"/>
      <c r="L6" s="19" t="s">
        <v>8</v>
      </c>
      <c r="M6" s="19"/>
      <c r="N6" s="39"/>
      <c r="O6" s="69"/>
      <c r="P6" s="13"/>
      <c r="Q6" s="18">
        <v>43879</v>
      </c>
      <c r="R6" s="19" t="s">
        <v>608</v>
      </c>
      <c r="S6" s="17">
        <v>149</v>
      </c>
      <c r="T6" s="88"/>
      <c r="U6" s="17">
        <f t="shared" si="0"/>
        <v>149</v>
      </c>
      <c r="V6" s="88"/>
      <c r="W6" s="88"/>
      <c r="X6" s="88"/>
      <c r="Y6" s="39" t="s">
        <v>2</v>
      </c>
      <c r="Z6" s="39" t="s">
        <v>56</v>
      </c>
      <c r="AA6" s="89">
        <v>43879</v>
      </c>
      <c r="AC6" s="59"/>
      <c r="AD6" s="60"/>
      <c r="AE6" s="55"/>
      <c r="AF6" s="55"/>
      <c r="AG6" s="55"/>
      <c r="AH6" s="55"/>
      <c r="AI6" s="60"/>
      <c r="AJ6" s="60"/>
      <c r="AK6" s="60"/>
      <c r="AL6" s="23"/>
      <c r="AM6" s="59"/>
      <c r="AN6" s="60"/>
      <c r="AO6" s="55"/>
      <c r="AP6" s="55"/>
      <c r="AQ6" s="55"/>
      <c r="AR6" s="55"/>
      <c r="AS6" s="60"/>
      <c r="AT6" s="60"/>
      <c r="AU6" s="60"/>
      <c r="AV6" s="23"/>
      <c r="AW6" s="59"/>
      <c r="AX6" s="60"/>
      <c r="AY6" s="55"/>
      <c r="AZ6" s="55"/>
      <c r="BA6" s="55"/>
      <c r="BB6" s="55"/>
      <c r="BC6" s="60"/>
      <c r="BD6" s="61"/>
      <c r="BE6" s="13"/>
      <c r="BF6" s="23"/>
      <c r="BG6" s="59"/>
      <c r="BH6" s="60"/>
      <c r="BI6" s="55"/>
      <c r="BJ6" s="55"/>
      <c r="BK6" s="55"/>
      <c r="BL6" s="55"/>
      <c r="BM6" s="60"/>
      <c r="BN6" s="60"/>
      <c r="BO6" s="60"/>
      <c r="BP6" s="23"/>
      <c r="BQ6" s="59"/>
      <c r="BR6" s="60"/>
      <c r="BS6" s="55"/>
      <c r="BT6" s="55"/>
      <c r="BU6" s="55"/>
      <c r="BV6" s="55"/>
      <c r="BW6" s="60"/>
      <c r="BX6" s="60"/>
      <c r="BY6" s="13"/>
      <c r="BZ6" s="23"/>
      <c r="CA6" s="59"/>
      <c r="CB6" s="60"/>
      <c r="CC6" s="55"/>
      <c r="CD6" s="55"/>
      <c r="CE6" s="55"/>
      <c r="CF6" s="55"/>
      <c r="CG6" s="60"/>
      <c r="CH6" s="60"/>
      <c r="CI6" s="60"/>
      <c r="CJ6" s="23"/>
      <c r="CK6" s="59"/>
      <c r="CL6" s="60"/>
      <c r="CM6" s="55"/>
      <c r="CN6" s="55"/>
      <c r="CO6" s="55"/>
      <c r="CP6" s="55"/>
      <c r="CQ6" s="60"/>
      <c r="CR6" s="66"/>
      <c r="CS6" s="77"/>
      <c r="CT6" s="23"/>
      <c r="CU6" s="59"/>
      <c r="CV6" s="60"/>
      <c r="CW6" s="55"/>
      <c r="CX6" s="55"/>
      <c r="CY6" s="55"/>
      <c r="CZ6" s="55"/>
      <c r="DA6" s="60"/>
      <c r="DB6" s="60"/>
      <c r="DC6" s="59"/>
      <c r="DD6" s="23"/>
      <c r="DE6" s="59"/>
      <c r="DF6" s="60"/>
      <c r="DG6" s="55"/>
      <c r="DH6" s="55"/>
      <c r="DI6" s="55"/>
      <c r="DJ6" s="55"/>
      <c r="DK6" s="60"/>
      <c r="DL6" s="61"/>
      <c r="DM6" s="13"/>
      <c r="DN6" s="23"/>
      <c r="DO6" s="23"/>
    </row>
    <row r="7" spans="1:119" ht="18.649999999999999" customHeight="1" x14ac:dyDescent="0.35">
      <c r="A7" s="233" t="s">
        <v>118</v>
      </c>
      <c r="B7" s="381"/>
      <c r="E7" s="18">
        <v>44043</v>
      </c>
      <c r="F7" s="73"/>
      <c r="G7" s="135" t="s">
        <v>588</v>
      </c>
      <c r="H7" s="17">
        <v>1072.4000000000001</v>
      </c>
      <c r="I7" s="17"/>
      <c r="J7" s="17">
        <f t="shared" si="1"/>
        <v>1072.4000000000001</v>
      </c>
      <c r="K7" s="73"/>
      <c r="L7" s="19" t="s">
        <v>7</v>
      </c>
      <c r="M7" s="19"/>
      <c r="N7" s="39"/>
      <c r="O7" s="69"/>
      <c r="P7" s="13"/>
      <c r="Q7" s="18">
        <v>43915</v>
      </c>
      <c r="R7" s="19" t="s">
        <v>609</v>
      </c>
      <c r="S7" s="17">
        <v>2294.16</v>
      </c>
      <c r="T7" s="17">
        <v>37.15</v>
      </c>
      <c r="U7" s="17">
        <f t="shared" si="0"/>
        <v>2331.31</v>
      </c>
      <c r="V7" s="139"/>
      <c r="W7" s="139"/>
      <c r="X7" s="139"/>
      <c r="Y7" s="17" t="s">
        <v>3</v>
      </c>
      <c r="Z7" s="19" t="s">
        <v>80</v>
      </c>
      <c r="AA7" s="18">
        <v>44018</v>
      </c>
      <c r="AC7" s="59"/>
      <c r="AD7" s="60"/>
      <c r="AE7" s="55"/>
      <c r="AF7" s="55"/>
      <c r="AG7" s="55"/>
      <c r="AH7" s="55"/>
      <c r="AI7" s="60"/>
      <c r="AJ7" s="60"/>
      <c r="AK7" s="60"/>
      <c r="AL7" s="23"/>
      <c r="AM7" s="59"/>
      <c r="AN7" s="60"/>
      <c r="AO7" s="55"/>
      <c r="AP7" s="55"/>
      <c r="AQ7" s="55"/>
      <c r="AR7" s="55"/>
      <c r="AS7" s="60"/>
      <c r="AT7" s="60"/>
      <c r="AU7" s="59"/>
      <c r="AV7" s="23"/>
      <c r="AW7" s="59"/>
      <c r="AX7" s="60"/>
      <c r="AY7" s="55"/>
      <c r="AZ7" s="55"/>
      <c r="BA7" s="55"/>
      <c r="BB7" s="55"/>
      <c r="BC7" s="60"/>
      <c r="BD7" s="61"/>
      <c r="BE7" s="13"/>
      <c r="BF7" s="23"/>
      <c r="BG7" s="59"/>
      <c r="BH7" s="60"/>
      <c r="BI7" s="55"/>
      <c r="BJ7" s="55"/>
      <c r="BK7" s="55"/>
      <c r="BL7" s="55"/>
      <c r="BM7" s="60"/>
      <c r="BN7" s="60"/>
      <c r="BO7" s="60"/>
      <c r="BP7" s="23"/>
      <c r="BQ7" s="59"/>
      <c r="BR7" s="60"/>
      <c r="BS7" s="55"/>
      <c r="BT7" s="55"/>
      <c r="BU7" s="55"/>
      <c r="BV7" s="55"/>
      <c r="BW7" s="60"/>
      <c r="BX7" s="60"/>
      <c r="BY7" s="13"/>
      <c r="BZ7" s="23"/>
      <c r="CA7" s="59"/>
      <c r="CB7" s="60"/>
      <c r="CC7" s="55"/>
      <c r="CD7" s="55"/>
      <c r="CE7" s="55"/>
      <c r="CF7" s="55"/>
      <c r="CG7" s="60"/>
      <c r="CH7" s="60"/>
      <c r="CI7" s="59"/>
      <c r="CJ7" s="23"/>
      <c r="CK7" s="59"/>
      <c r="CL7" s="60"/>
      <c r="CM7" s="55"/>
      <c r="CN7" s="55"/>
      <c r="CO7" s="55"/>
      <c r="CP7" s="55"/>
      <c r="CQ7" s="60"/>
      <c r="CR7" s="66"/>
      <c r="CS7" s="77"/>
      <c r="CT7" s="23"/>
      <c r="CU7" s="59"/>
      <c r="CV7" s="60"/>
      <c r="CW7" s="55"/>
      <c r="CX7" s="55"/>
      <c r="CY7" s="55"/>
      <c r="CZ7" s="55"/>
      <c r="DA7" s="60"/>
      <c r="DB7" s="60"/>
      <c r="DC7" s="59"/>
      <c r="DD7" s="23"/>
      <c r="DE7" s="59"/>
      <c r="DF7" s="60"/>
      <c r="DG7" s="55"/>
      <c r="DH7" s="55"/>
      <c r="DI7" s="55"/>
      <c r="DJ7" s="55"/>
      <c r="DK7" s="60"/>
      <c r="DL7" s="61"/>
      <c r="DM7" s="13"/>
      <c r="DN7" s="23"/>
      <c r="DO7" s="23"/>
    </row>
    <row r="8" spans="1:119" ht="18.649999999999999" customHeight="1" x14ac:dyDescent="0.35">
      <c r="A8" s="233" t="s">
        <v>119</v>
      </c>
      <c r="B8" s="381"/>
      <c r="E8" s="18">
        <v>44035</v>
      </c>
      <c r="F8" s="73"/>
      <c r="G8" s="135" t="s">
        <v>589</v>
      </c>
      <c r="H8" s="36">
        <v>11139.07</v>
      </c>
      <c r="I8" s="36"/>
      <c r="J8" s="17">
        <f t="shared" si="1"/>
        <v>11139.07</v>
      </c>
      <c r="K8" s="73"/>
      <c r="L8" s="11" t="s">
        <v>7</v>
      </c>
      <c r="M8" s="11"/>
      <c r="N8" s="39"/>
      <c r="O8" s="69"/>
      <c r="P8" s="13"/>
      <c r="Q8" s="18">
        <v>43937</v>
      </c>
      <c r="R8" s="19" t="s">
        <v>610</v>
      </c>
      <c r="S8" s="296">
        <v>906.91</v>
      </c>
      <c r="T8" s="40"/>
      <c r="U8" s="17">
        <f t="shared" si="0"/>
        <v>906.91</v>
      </c>
      <c r="V8" s="139"/>
      <c r="W8" s="139"/>
      <c r="X8" s="139"/>
      <c r="Y8" s="40" t="s">
        <v>4</v>
      </c>
      <c r="Z8" s="60" t="s">
        <v>134</v>
      </c>
      <c r="AA8" s="18">
        <v>44016</v>
      </c>
      <c r="AC8" s="62"/>
      <c r="AD8" s="60"/>
      <c r="AE8" s="55"/>
      <c r="AF8" s="55"/>
      <c r="AG8" s="55"/>
      <c r="AH8" s="55"/>
      <c r="AI8" s="60"/>
      <c r="AJ8" s="78"/>
      <c r="AK8" s="60"/>
      <c r="AL8" s="23"/>
      <c r="AM8" s="62"/>
      <c r="AN8" s="60"/>
      <c r="AO8" s="55"/>
      <c r="AP8" s="55"/>
      <c r="AQ8" s="55"/>
      <c r="AR8" s="55"/>
      <c r="AS8" s="60"/>
      <c r="AT8" s="78"/>
      <c r="AU8" s="60"/>
      <c r="AV8" s="23"/>
      <c r="AW8" s="62"/>
      <c r="AX8" s="60"/>
      <c r="AY8" s="55"/>
      <c r="AZ8" s="55"/>
      <c r="BA8" s="55"/>
      <c r="BB8" s="55"/>
      <c r="BC8" s="60"/>
      <c r="BD8" s="23"/>
      <c r="BE8" s="13"/>
      <c r="BF8" s="23"/>
      <c r="BG8" s="62"/>
      <c r="BH8" s="60"/>
      <c r="BI8" s="55"/>
      <c r="BJ8" s="55"/>
      <c r="BK8" s="55"/>
      <c r="BL8" s="55"/>
      <c r="BM8" s="60"/>
      <c r="BN8" s="78"/>
      <c r="BO8" s="60"/>
      <c r="BP8" s="23"/>
      <c r="BQ8" s="62"/>
      <c r="BR8" s="60"/>
      <c r="BS8" s="55"/>
      <c r="BT8" s="55"/>
      <c r="BU8" s="55"/>
      <c r="BV8" s="55"/>
      <c r="BW8" s="60"/>
      <c r="BX8" s="78"/>
      <c r="BY8" s="13"/>
      <c r="BZ8" s="23"/>
      <c r="CA8" s="62"/>
      <c r="CB8" s="60"/>
      <c r="CC8" s="55"/>
      <c r="CD8" s="55"/>
      <c r="CE8" s="55"/>
      <c r="CF8" s="55"/>
      <c r="CG8" s="60"/>
      <c r="CH8" s="78"/>
      <c r="CI8" s="59"/>
      <c r="CJ8" s="23"/>
      <c r="CK8" s="62"/>
      <c r="CL8" s="60"/>
      <c r="CM8" s="55"/>
      <c r="CN8" s="55"/>
      <c r="CO8" s="55"/>
      <c r="CP8" s="55"/>
      <c r="CQ8" s="60"/>
      <c r="CR8" s="66"/>
      <c r="CS8" s="77"/>
      <c r="CT8" s="23"/>
      <c r="CU8" s="62"/>
      <c r="CV8" s="60"/>
      <c r="CW8" s="55"/>
      <c r="CX8" s="55"/>
      <c r="CY8" s="55"/>
      <c r="CZ8" s="55"/>
      <c r="DA8" s="60"/>
      <c r="DB8" s="78"/>
      <c r="DC8" s="59"/>
      <c r="DD8" s="23"/>
      <c r="DE8" s="62"/>
      <c r="DF8" s="60"/>
      <c r="DG8" s="55"/>
      <c r="DH8" s="55"/>
      <c r="DI8" s="55"/>
      <c r="DJ8" s="55"/>
      <c r="DK8" s="60"/>
      <c r="DL8" s="23"/>
      <c r="DM8" s="13"/>
      <c r="DN8" s="23"/>
      <c r="DO8" s="23"/>
    </row>
    <row r="9" spans="1:119" ht="18.649999999999999" customHeight="1" x14ac:dyDescent="0.35">
      <c r="A9" s="119" t="s">
        <v>146</v>
      </c>
      <c r="B9" s="381"/>
      <c r="E9" s="18">
        <v>44001</v>
      </c>
      <c r="F9" s="73"/>
      <c r="G9" s="135" t="s">
        <v>590</v>
      </c>
      <c r="H9" s="36">
        <v>31.2</v>
      </c>
      <c r="I9" s="36"/>
      <c r="J9" s="17">
        <f t="shared" si="1"/>
        <v>31.2</v>
      </c>
      <c r="K9" s="73"/>
      <c r="L9" s="11" t="s">
        <v>6</v>
      </c>
      <c r="M9" s="11"/>
      <c r="N9" s="89" t="s">
        <v>80</v>
      </c>
      <c r="O9" s="69">
        <v>44106</v>
      </c>
      <c r="P9" s="13"/>
      <c r="Q9" s="18">
        <v>44002</v>
      </c>
      <c r="R9" s="19" t="s">
        <v>611</v>
      </c>
      <c r="S9" s="17">
        <v>49.51</v>
      </c>
      <c r="T9" s="17">
        <v>30.49</v>
      </c>
      <c r="U9" s="17">
        <f t="shared" si="0"/>
        <v>80</v>
      </c>
      <c r="V9" s="139"/>
      <c r="W9" s="139"/>
      <c r="X9" s="139"/>
      <c r="Y9" s="17" t="s">
        <v>6</v>
      </c>
      <c r="Z9" s="17" t="s">
        <v>79</v>
      </c>
      <c r="AA9" s="18">
        <v>44002</v>
      </c>
      <c r="AC9" s="59"/>
      <c r="AD9" s="60"/>
      <c r="AE9" s="55"/>
      <c r="AF9" s="55"/>
      <c r="AG9" s="55"/>
      <c r="AH9" s="55"/>
      <c r="AI9" s="60"/>
      <c r="AJ9" s="60"/>
      <c r="AK9" s="60"/>
      <c r="AL9" s="23"/>
      <c r="AM9" s="59"/>
      <c r="AN9" s="60"/>
      <c r="AO9" s="55"/>
      <c r="AP9" s="55"/>
      <c r="AQ9" s="55"/>
      <c r="AR9" s="55"/>
      <c r="AS9" s="60"/>
      <c r="AT9" s="60"/>
      <c r="AU9" s="60"/>
      <c r="AV9" s="23"/>
      <c r="AW9" s="59"/>
      <c r="AX9" s="60"/>
      <c r="AY9" s="55"/>
      <c r="AZ9" s="55"/>
      <c r="BA9" s="55"/>
      <c r="BB9" s="55"/>
      <c r="BC9" s="60"/>
      <c r="BD9" s="61"/>
      <c r="BE9" s="13"/>
      <c r="BF9" s="23"/>
      <c r="BG9" s="59"/>
      <c r="BH9" s="60"/>
      <c r="BI9" s="55"/>
      <c r="BJ9" s="55"/>
      <c r="BK9" s="55"/>
      <c r="BL9" s="55"/>
      <c r="BM9" s="60"/>
      <c r="BN9" s="60"/>
      <c r="BO9" s="60"/>
      <c r="BP9" s="23"/>
      <c r="BQ9" s="59"/>
      <c r="BR9" s="60"/>
      <c r="BS9" s="55"/>
      <c r="BT9" s="55"/>
      <c r="BU9" s="55"/>
      <c r="BV9" s="55"/>
      <c r="BW9" s="60"/>
      <c r="BX9" s="60"/>
      <c r="BY9" s="13"/>
      <c r="BZ9" s="23"/>
      <c r="CA9" s="59"/>
      <c r="CB9" s="60"/>
      <c r="CC9" s="55"/>
      <c r="CD9" s="55"/>
      <c r="CE9" s="55"/>
      <c r="CF9" s="55"/>
      <c r="CG9" s="60"/>
      <c r="CH9" s="60"/>
      <c r="CI9" s="60"/>
      <c r="CJ9" s="23"/>
      <c r="CK9" s="59"/>
      <c r="CL9" s="60"/>
      <c r="CM9" s="55"/>
      <c r="CN9" s="55"/>
      <c r="CO9" s="55"/>
      <c r="CP9" s="55"/>
      <c r="CQ9" s="60"/>
      <c r="CR9" s="66"/>
      <c r="CS9" s="77"/>
      <c r="CT9" s="23"/>
      <c r="CU9" s="59"/>
      <c r="CV9" s="60"/>
      <c r="CW9" s="55"/>
      <c r="CX9" s="55"/>
      <c r="CY9" s="55"/>
      <c r="CZ9" s="55"/>
      <c r="DA9" s="60"/>
      <c r="DB9" s="60"/>
      <c r="DC9" s="59"/>
      <c r="DD9" s="23"/>
      <c r="DE9" s="59"/>
      <c r="DF9" s="60"/>
      <c r="DG9" s="55"/>
      <c r="DH9" s="55"/>
      <c r="DI9" s="55"/>
      <c r="DJ9" s="55"/>
      <c r="DK9" s="60"/>
      <c r="DL9" s="61"/>
      <c r="DM9" s="13"/>
      <c r="DN9" s="23"/>
      <c r="DO9" s="23"/>
    </row>
    <row r="10" spans="1:119" ht="14.5" customHeight="1" x14ac:dyDescent="0.35">
      <c r="A10" s="233" t="s">
        <v>120</v>
      </c>
      <c r="B10" s="381"/>
      <c r="C10" s="57"/>
      <c r="E10" s="18">
        <v>43839</v>
      </c>
      <c r="F10" s="73"/>
      <c r="G10" s="135" t="s">
        <v>591</v>
      </c>
      <c r="H10" s="17">
        <v>1069.96</v>
      </c>
      <c r="I10" s="17"/>
      <c r="J10" s="17">
        <f t="shared" si="1"/>
        <v>1069.96</v>
      </c>
      <c r="K10" s="73"/>
      <c r="L10" s="19" t="s">
        <v>1</v>
      </c>
      <c r="M10" s="19"/>
      <c r="N10" s="19" t="s">
        <v>80</v>
      </c>
      <c r="O10" s="18">
        <v>43971</v>
      </c>
      <c r="P10" s="14"/>
      <c r="Q10" s="164">
        <v>44006</v>
      </c>
      <c r="R10" s="19" t="s">
        <v>612</v>
      </c>
      <c r="S10" s="17">
        <v>40.51</v>
      </c>
      <c r="T10" s="17">
        <v>21.49</v>
      </c>
      <c r="U10" s="17">
        <f t="shared" si="0"/>
        <v>62</v>
      </c>
      <c r="V10" s="139"/>
      <c r="W10" s="139"/>
      <c r="X10" s="139"/>
      <c r="Y10" s="39" t="s">
        <v>6</v>
      </c>
      <c r="Z10" s="138" t="s">
        <v>45</v>
      </c>
      <c r="AA10" s="18">
        <v>44006</v>
      </c>
      <c r="AC10" s="59"/>
      <c r="AD10" s="63"/>
      <c r="AE10" s="55"/>
      <c r="AF10" s="55"/>
      <c r="AG10" s="55"/>
      <c r="AH10" s="55"/>
      <c r="AI10" s="55"/>
      <c r="AJ10" s="55"/>
      <c r="AK10" s="55"/>
      <c r="AL10" s="23"/>
      <c r="AM10" s="59"/>
      <c r="AN10" s="60"/>
      <c r="AO10" s="55"/>
      <c r="AP10" s="55"/>
      <c r="AQ10" s="55"/>
      <c r="AR10" s="55"/>
      <c r="AS10" s="55"/>
      <c r="AT10" s="55"/>
      <c r="AU10" s="59"/>
      <c r="AV10" s="23"/>
      <c r="AW10" s="59"/>
      <c r="AX10" s="63"/>
      <c r="AY10" s="55"/>
      <c r="AZ10" s="55"/>
      <c r="BA10" s="55"/>
      <c r="BB10" s="55"/>
      <c r="BC10" s="55"/>
      <c r="BD10" s="55"/>
      <c r="BE10" s="14"/>
      <c r="BF10" s="23"/>
      <c r="BG10" s="59"/>
      <c r="BH10" s="63"/>
      <c r="BI10" s="55"/>
      <c r="BJ10" s="55"/>
      <c r="BK10" s="55"/>
      <c r="BL10" s="55"/>
      <c r="BM10" s="55"/>
      <c r="BN10" s="55"/>
      <c r="BO10" s="55"/>
      <c r="BP10" s="23"/>
      <c r="BQ10" s="59"/>
      <c r="BR10" s="63"/>
      <c r="BS10" s="55"/>
      <c r="BT10" s="55"/>
      <c r="BU10" s="55"/>
      <c r="BV10" s="55"/>
      <c r="BW10" s="55"/>
      <c r="BX10" s="55"/>
      <c r="BY10" s="14"/>
      <c r="BZ10" s="23"/>
      <c r="CA10" s="59"/>
      <c r="CB10" s="63"/>
      <c r="CC10" s="55"/>
      <c r="CD10" s="55"/>
      <c r="CE10" s="55"/>
      <c r="CF10" s="55"/>
      <c r="CG10" s="55"/>
      <c r="CH10" s="55"/>
      <c r="CI10" s="55"/>
      <c r="CJ10" s="23"/>
      <c r="CK10" s="59"/>
      <c r="CL10" s="63"/>
      <c r="CM10" s="55"/>
      <c r="CN10" s="55"/>
      <c r="CO10" s="55"/>
      <c r="CP10" s="55"/>
      <c r="CQ10" s="60"/>
      <c r="CR10" s="66"/>
      <c r="CS10" s="77"/>
      <c r="CT10" s="23"/>
      <c r="CU10" s="59"/>
      <c r="CV10" s="63"/>
      <c r="CW10" s="55"/>
      <c r="CX10" s="55"/>
      <c r="CY10" s="55"/>
      <c r="CZ10" s="55"/>
      <c r="DA10" s="55"/>
      <c r="DB10" s="55"/>
      <c r="DC10" s="59"/>
      <c r="DD10" s="23"/>
      <c r="DE10" s="59"/>
      <c r="DF10" s="63"/>
      <c r="DG10" s="55"/>
      <c r="DH10" s="55"/>
      <c r="DI10" s="55"/>
      <c r="DJ10" s="55"/>
      <c r="DK10" s="55"/>
      <c r="DL10" s="55"/>
      <c r="DM10" s="14"/>
      <c r="DN10" s="23"/>
      <c r="DO10" s="23"/>
    </row>
    <row r="11" spans="1:119" ht="38.5" customHeight="1" thickBot="1" x14ac:dyDescent="0.4">
      <c r="A11" s="234" t="s">
        <v>122</v>
      </c>
      <c r="B11" s="383"/>
      <c r="C11" s="57"/>
      <c r="E11" s="18">
        <v>43847</v>
      </c>
      <c r="F11" s="73"/>
      <c r="G11" s="135" t="s">
        <v>592</v>
      </c>
      <c r="H11" s="36">
        <v>5448.24</v>
      </c>
      <c r="I11" s="36"/>
      <c r="J11" s="17">
        <f t="shared" si="1"/>
        <v>5448.24</v>
      </c>
      <c r="K11" s="73"/>
      <c r="L11" s="11" t="s">
        <v>1</v>
      </c>
      <c r="M11" s="11"/>
      <c r="N11" s="140" t="s">
        <v>90</v>
      </c>
      <c r="O11" s="141" t="s">
        <v>91</v>
      </c>
      <c r="P11" s="15"/>
      <c r="Q11" s="18">
        <v>44012</v>
      </c>
      <c r="R11" s="19" t="s">
        <v>613</v>
      </c>
      <c r="S11" s="17">
        <v>31</v>
      </c>
      <c r="T11" s="88">
        <v>2.64</v>
      </c>
      <c r="U11" s="17">
        <f t="shared" si="0"/>
        <v>33.64</v>
      </c>
      <c r="V11" s="139"/>
      <c r="W11" s="139"/>
      <c r="X11" s="139"/>
      <c r="Y11" s="88" t="s">
        <v>6</v>
      </c>
      <c r="Z11" s="39" t="s">
        <v>60</v>
      </c>
      <c r="AA11" s="89">
        <v>44043</v>
      </c>
      <c r="AC11" s="59"/>
      <c r="AD11" s="64"/>
      <c r="AE11" s="55"/>
      <c r="AF11" s="65"/>
      <c r="AG11" s="55"/>
      <c r="AH11" s="65"/>
      <c r="AI11" s="64"/>
      <c r="AJ11" s="66"/>
      <c r="AK11" s="64"/>
      <c r="AL11" s="23"/>
      <c r="AM11" s="59"/>
      <c r="AN11" s="60"/>
      <c r="AO11" s="55"/>
      <c r="AP11" s="65"/>
      <c r="AQ11" s="55"/>
      <c r="AR11" s="65"/>
      <c r="AS11" s="64"/>
      <c r="AT11" s="66"/>
      <c r="AU11" s="77"/>
      <c r="AV11" s="23"/>
      <c r="AW11" s="59"/>
      <c r="AX11" s="64"/>
      <c r="AY11" s="55"/>
      <c r="AZ11" s="65"/>
      <c r="BA11" s="55"/>
      <c r="BB11" s="65"/>
      <c r="BC11" s="64"/>
      <c r="BD11" s="66"/>
      <c r="BE11" s="15"/>
      <c r="BF11" s="23"/>
      <c r="BG11" s="59"/>
      <c r="BH11" s="64"/>
      <c r="BI11" s="55"/>
      <c r="BJ11" s="65"/>
      <c r="BK11" s="55"/>
      <c r="BL11" s="65"/>
      <c r="BM11" s="64"/>
      <c r="BN11" s="66"/>
      <c r="BO11" s="64"/>
      <c r="BP11" s="23"/>
      <c r="BQ11" s="59"/>
      <c r="BR11" s="64"/>
      <c r="BS11" s="55"/>
      <c r="BT11" s="65"/>
      <c r="BU11" s="55"/>
      <c r="BV11" s="65"/>
      <c r="BW11" s="64"/>
      <c r="BX11" s="66"/>
      <c r="BY11" s="15"/>
      <c r="BZ11" s="23"/>
      <c r="CA11" s="59"/>
      <c r="CB11" s="64"/>
      <c r="CC11" s="55"/>
      <c r="CD11" s="65"/>
      <c r="CE11" s="55"/>
      <c r="CF11" s="65"/>
      <c r="CG11" s="64"/>
      <c r="CH11" s="66"/>
      <c r="CI11" s="64"/>
      <c r="CJ11" s="23"/>
      <c r="CK11" s="59"/>
      <c r="CL11" s="64"/>
      <c r="CM11" s="55"/>
      <c r="CN11" s="65"/>
      <c r="CO11" s="55"/>
      <c r="CP11" s="65"/>
      <c r="CQ11" s="60"/>
      <c r="CR11" s="66"/>
      <c r="CS11" s="77"/>
      <c r="CT11" s="23"/>
      <c r="CU11" s="59"/>
      <c r="CV11" s="64"/>
      <c r="CW11" s="55"/>
      <c r="CX11" s="65"/>
      <c r="CY11" s="55"/>
      <c r="CZ11" s="65"/>
      <c r="DA11" s="60"/>
      <c r="DB11" s="66"/>
      <c r="DC11" s="77"/>
      <c r="DD11" s="23"/>
      <c r="DE11" s="59"/>
      <c r="DF11" s="64"/>
      <c r="DG11" s="55"/>
      <c r="DH11" s="65"/>
      <c r="DI11" s="55"/>
      <c r="DJ11" s="65"/>
      <c r="DK11" s="64"/>
      <c r="DL11" s="66"/>
      <c r="DM11" s="15"/>
      <c r="DN11" s="23"/>
      <c r="DO11" s="23"/>
    </row>
    <row r="12" spans="1:119" ht="21" customHeight="1" x14ac:dyDescent="0.35">
      <c r="A12" s="232" t="s">
        <v>123</v>
      </c>
      <c r="B12" s="380" t="s">
        <v>73</v>
      </c>
      <c r="C12" s="44"/>
      <c r="E12" s="18">
        <v>44000</v>
      </c>
      <c r="F12" s="73"/>
      <c r="G12" s="135" t="s">
        <v>593</v>
      </c>
      <c r="H12" s="17">
        <v>1183.1300000000001</v>
      </c>
      <c r="I12" s="17"/>
      <c r="J12" s="17">
        <f t="shared" si="1"/>
        <v>1183.1300000000001</v>
      </c>
      <c r="K12" s="73"/>
      <c r="L12" s="19" t="s">
        <v>6</v>
      </c>
      <c r="M12" s="19"/>
      <c r="N12" s="89" t="s">
        <v>80</v>
      </c>
      <c r="O12" s="69">
        <v>44106</v>
      </c>
      <c r="P12" s="15"/>
      <c r="Q12" s="18">
        <v>44012</v>
      </c>
      <c r="R12" s="19" t="s">
        <v>614</v>
      </c>
      <c r="S12" s="17">
        <v>105.25</v>
      </c>
      <c r="T12" s="88"/>
      <c r="U12" s="17">
        <f t="shared" si="0"/>
        <v>105.25</v>
      </c>
      <c r="V12" s="139"/>
      <c r="W12" s="139"/>
      <c r="X12" s="139"/>
      <c r="Y12" s="88" t="s">
        <v>6</v>
      </c>
      <c r="Z12" s="39" t="s">
        <v>60</v>
      </c>
      <c r="AA12" s="89">
        <v>44043</v>
      </c>
      <c r="AB12" s="23"/>
      <c r="AC12" s="59"/>
      <c r="AD12" s="64"/>
      <c r="AE12" s="55"/>
      <c r="AF12" s="65"/>
      <c r="AG12" s="55"/>
      <c r="AH12" s="65"/>
      <c r="AI12" s="64"/>
      <c r="AJ12" s="66"/>
      <c r="AK12" s="64"/>
      <c r="AL12" s="23"/>
      <c r="AM12" s="59"/>
      <c r="AN12" s="60"/>
      <c r="AO12" s="55"/>
      <c r="AP12" s="65"/>
      <c r="AQ12" s="55"/>
      <c r="AR12" s="65"/>
      <c r="AS12" s="64"/>
      <c r="AT12" s="66"/>
      <c r="AU12" s="59"/>
      <c r="AV12" s="23"/>
      <c r="AW12" s="59"/>
      <c r="AX12" s="64"/>
      <c r="AY12" s="55"/>
      <c r="AZ12" s="65"/>
      <c r="BA12" s="55"/>
      <c r="BB12" s="65"/>
      <c r="BC12" s="64"/>
      <c r="BD12" s="66"/>
      <c r="BE12" s="15"/>
      <c r="BF12" s="23"/>
      <c r="BG12" s="59"/>
      <c r="BH12" s="64"/>
      <c r="BI12" s="55"/>
      <c r="BJ12" s="65"/>
      <c r="BK12" s="55"/>
      <c r="BL12" s="65"/>
      <c r="BM12" s="64"/>
      <c r="BN12" s="66"/>
      <c r="BO12" s="64"/>
      <c r="BP12" s="23"/>
      <c r="BQ12" s="59"/>
      <c r="BR12" s="64"/>
      <c r="BS12" s="55"/>
      <c r="BT12" s="65"/>
      <c r="BU12" s="55"/>
      <c r="BV12" s="65"/>
      <c r="BW12" s="64"/>
      <c r="BX12" s="66"/>
      <c r="BY12" s="15"/>
      <c r="BZ12" s="23"/>
      <c r="CA12" s="59"/>
      <c r="CB12" s="64"/>
      <c r="CC12" s="55"/>
      <c r="CD12" s="65"/>
      <c r="CE12" s="55"/>
      <c r="CF12" s="65"/>
      <c r="CG12" s="64"/>
      <c r="CH12" s="66"/>
      <c r="CI12" s="64"/>
      <c r="CJ12" s="23"/>
      <c r="CK12" s="59"/>
      <c r="CL12" s="64"/>
      <c r="CM12" s="55"/>
      <c r="CN12" s="65"/>
      <c r="CO12" s="55"/>
      <c r="CP12" s="65"/>
      <c r="CQ12" s="60"/>
      <c r="CR12" s="66"/>
      <c r="CS12" s="77"/>
      <c r="CT12" s="23"/>
      <c r="CU12" s="59"/>
      <c r="CV12" s="64"/>
      <c r="CW12" s="55"/>
      <c r="CX12" s="65"/>
      <c r="CY12" s="55"/>
      <c r="CZ12" s="65"/>
      <c r="DA12" s="55"/>
      <c r="DB12" s="66"/>
      <c r="DC12" s="77"/>
      <c r="DD12" s="23"/>
      <c r="DE12" s="59"/>
      <c r="DF12" s="64"/>
      <c r="DG12" s="55"/>
      <c r="DH12" s="65"/>
      <c r="DI12" s="55"/>
      <c r="DJ12" s="65"/>
      <c r="DK12" s="64"/>
      <c r="DL12" s="66"/>
      <c r="DM12" s="15"/>
      <c r="DN12" s="23"/>
      <c r="DO12" s="23"/>
    </row>
    <row r="13" spans="1:119" x14ac:dyDescent="0.35">
      <c r="A13" s="119" t="s">
        <v>147</v>
      </c>
      <c r="B13" s="381"/>
      <c r="C13" s="43"/>
      <c r="E13" s="18">
        <v>43998</v>
      </c>
      <c r="F13" s="73"/>
      <c r="G13" s="135" t="s">
        <v>594</v>
      </c>
      <c r="H13" s="88">
        <v>306</v>
      </c>
      <c r="I13" s="88"/>
      <c r="J13" s="17">
        <f t="shared" si="1"/>
        <v>306</v>
      </c>
      <c r="K13" s="73"/>
      <c r="L13" s="39" t="s">
        <v>6</v>
      </c>
      <c r="M13" s="39"/>
      <c r="N13" s="39" t="s">
        <v>80</v>
      </c>
      <c r="O13" s="69">
        <v>44110</v>
      </c>
      <c r="P13" s="15"/>
      <c r="Q13" s="18">
        <v>44022</v>
      </c>
      <c r="R13" s="19" t="s">
        <v>615</v>
      </c>
      <c r="S13" s="17">
        <v>21.51</v>
      </c>
      <c r="T13" s="17">
        <v>6.49</v>
      </c>
      <c r="U13" s="17">
        <f t="shared" si="0"/>
        <v>28</v>
      </c>
      <c r="V13" s="139"/>
      <c r="W13" s="139"/>
      <c r="X13" s="139"/>
      <c r="Y13" s="17" t="s">
        <v>7</v>
      </c>
      <c r="Z13" s="19" t="s">
        <v>79</v>
      </c>
      <c r="AA13" s="18">
        <v>44021</v>
      </c>
      <c r="AB13" s="23"/>
      <c r="AC13" s="59"/>
      <c r="AD13" s="64"/>
      <c r="AE13" s="55"/>
      <c r="AF13" s="65"/>
      <c r="AG13" s="55"/>
      <c r="AH13" s="65"/>
      <c r="AI13" s="64"/>
      <c r="AJ13" s="66"/>
      <c r="AK13" s="64"/>
      <c r="AL13" s="23"/>
      <c r="AM13" s="59"/>
      <c r="AN13" s="60"/>
      <c r="AO13" s="55"/>
      <c r="AP13" s="65"/>
      <c r="AQ13" s="55"/>
      <c r="AR13" s="65"/>
      <c r="AS13" s="64"/>
      <c r="AT13" s="66"/>
      <c r="AU13" s="77"/>
      <c r="AV13" s="23"/>
      <c r="AW13" s="59"/>
      <c r="AX13" s="64"/>
      <c r="AY13" s="55"/>
      <c r="AZ13" s="65"/>
      <c r="BA13" s="55"/>
      <c r="BB13" s="65"/>
      <c r="BC13" s="64"/>
      <c r="BD13" s="66"/>
      <c r="BE13" s="15"/>
      <c r="BF13" s="23"/>
      <c r="BG13" s="59"/>
      <c r="BH13" s="64"/>
      <c r="BI13" s="55"/>
      <c r="BJ13" s="65"/>
      <c r="BK13" s="55"/>
      <c r="BL13" s="65"/>
      <c r="BM13" s="64"/>
      <c r="BN13" s="66"/>
      <c r="BO13" s="64"/>
      <c r="BP13" s="23"/>
      <c r="BQ13" s="59"/>
      <c r="BR13" s="64"/>
      <c r="BS13" s="55"/>
      <c r="BT13" s="65"/>
      <c r="BU13" s="55"/>
      <c r="BV13" s="65"/>
      <c r="BW13" s="64"/>
      <c r="BX13" s="66"/>
      <c r="BY13" s="15"/>
      <c r="BZ13" s="23"/>
      <c r="CA13" s="59"/>
      <c r="CB13" s="64"/>
      <c r="CC13" s="55"/>
      <c r="CD13" s="65"/>
      <c r="CE13" s="55"/>
      <c r="CF13" s="65"/>
      <c r="CG13" s="64"/>
      <c r="CH13" s="66"/>
      <c r="CI13" s="64"/>
      <c r="CJ13" s="23"/>
      <c r="CK13" s="59"/>
      <c r="CL13" s="64"/>
      <c r="CM13" s="55"/>
      <c r="CN13" s="65"/>
      <c r="CO13" s="55"/>
      <c r="CP13" s="65"/>
      <c r="CQ13" s="64"/>
      <c r="CR13" s="66"/>
      <c r="CS13" s="77"/>
      <c r="CT13" s="23"/>
      <c r="CU13" s="59"/>
      <c r="CV13" s="64"/>
      <c r="CW13" s="55"/>
      <c r="CX13" s="65"/>
      <c r="CY13" s="55"/>
      <c r="CZ13" s="65"/>
      <c r="DA13" s="60"/>
      <c r="DB13" s="66"/>
      <c r="DC13" s="77"/>
      <c r="DD13" s="23"/>
      <c r="DE13" s="59"/>
      <c r="DF13" s="64"/>
      <c r="DG13" s="55"/>
      <c r="DH13" s="65"/>
      <c r="DI13" s="55"/>
      <c r="DJ13" s="65"/>
      <c r="DK13" s="64"/>
      <c r="DL13" s="66"/>
      <c r="DM13" s="15"/>
      <c r="DN13" s="23"/>
      <c r="DO13" s="23"/>
    </row>
    <row r="14" spans="1:119" s="8" customFormat="1" x14ac:dyDescent="0.35">
      <c r="A14" s="119" t="s">
        <v>124</v>
      </c>
      <c r="B14" s="381"/>
      <c r="C14" s="43"/>
      <c r="E14" s="249">
        <v>43998</v>
      </c>
      <c r="F14" s="163"/>
      <c r="G14" s="135" t="s">
        <v>595</v>
      </c>
      <c r="H14" s="36">
        <v>211.22</v>
      </c>
      <c r="I14" s="36"/>
      <c r="J14" s="17">
        <f t="shared" si="1"/>
        <v>211.22</v>
      </c>
      <c r="K14" s="163"/>
      <c r="L14" s="11" t="s">
        <v>6</v>
      </c>
      <c r="M14" s="11"/>
      <c r="N14" s="39" t="s">
        <v>80</v>
      </c>
      <c r="O14" s="89">
        <v>44090</v>
      </c>
      <c r="P14" s="169"/>
      <c r="Q14" s="18">
        <v>44026</v>
      </c>
      <c r="R14" s="19" t="s">
        <v>616</v>
      </c>
      <c r="S14" s="17">
        <v>134</v>
      </c>
      <c r="T14" s="88"/>
      <c r="U14" s="17">
        <f t="shared" si="0"/>
        <v>134</v>
      </c>
      <c r="V14" s="139"/>
      <c r="W14" s="139"/>
      <c r="X14" s="139"/>
      <c r="Y14" s="88" t="s">
        <v>7</v>
      </c>
      <c r="Z14" s="39" t="s">
        <v>56</v>
      </c>
      <c r="AA14" s="89">
        <v>44026</v>
      </c>
      <c r="AB14" s="67"/>
      <c r="AC14" s="59"/>
      <c r="AD14" s="66"/>
      <c r="AE14" s="55"/>
      <c r="AF14" s="181"/>
      <c r="AG14" s="55"/>
      <c r="AH14" s="181"/>
      <c r="AI14" s="66"/>
      <c r="AJ14" s="66"/>
      <c r="AK14" s="66"/>
      <c r="AL14" s="67"/>
      <c r="AM14" s="59"/>
      <c r="AN14" s="60"/>
      <c r="AO14" s="55"/>
      <c r="AP14" s="181"/>
      <c r="AQ14" s="55"/>
      <c r="AR14" s="181"/>
      <c r="AS14" s="66"/>
      <c r="AT14" s="66"/>
      <c r="AU14" s="59"/>
      <c r="AV14" s="67"/>
      <c r="AW14" s="59"/>
      <c r="AX14" s="66"/>
      <c r="AY14" s="55"/>
      <c r="AZ14" s="181"/>
      <c r="BA14" s="55"/>
      <c r="BB14" s="181"/>
      <c r="BC14" s="66"/>
      <c r="BD14" s="66"/>
      <c r="BE14" s="169"/>
      <c r="BF14" s="67"/>
      <c r="BG14" s="59"/>
      <c r="BH14" s="66"/>
      <c r="BI14" s="55"/>
      <c r="BJ14" s="181"/>
      <c r="BK14" s="55"/>
      <c r="BL14" s="181"/>
      <c r="BM14" s="66"/>
      <c r="BN14" s="66"/>
      <c r="BO14" s="66"/>
      <c r="BP14" s="67"/>
      <c r="BQ14" s="59"/>
      <c r="BR14" s="66"/>
      <c r="BS14" s="55"/>
      <c r="BT14" s="181"/>
      <c r="BU14" s="55"/>
      <c r="BV14" s="181"/>
      <c r="BW14" s="66"/>
      <c r="BX14" s="66"/>
      <c r="BY14" s="169"/>
      <c r="BZ14" s="67"/>
      <c r="CA14" s="59"/>
      <c r="CB14" s="66"/>
      <c r="CC14" s="55"/>
      <c r="CD14" s="181"/>
      <c r="CE14" s="55"/>
      <c r="CF14" s="181"/>
      <c r="CG14" s="66"/>
      <c r="CH14" s="66"/>
      <c r="CI14" s="66"/>
      <c r="CJ14" s="67"/>
      <c r="CK14" s="59"/>
      <c r="CL14" s="66"/>
      <c r="CM14" s="181"/>
      <c r="CN14" s="181"/>
      <c r="CO14" s="55"/>
      <c r="CP14" s="181"/>
      <c r="CQ14" s="66"/>
      <c r="CR14" s="66"/>
      <c r="CS14" s="250"/>
      <c r="CT14" s="67"/>
      <c r="CU14" s="59"/>
      <c r="CV14" s="66"/>
      <c r="CW14" s="55"/>
      <c r="CX14" s="181"/>
      <c r="CY14" s="55"/>
      <c r="CZ14" s="181"/>
      <c r="DA14" s="55"/>
      <c r="DB14" s="66"/>
      <c r="DC14" s="250"/>
      <c r="DD14" s="67"/>
      <c r="DE14" s="59"/>
      <c r="DF14" s="66"/>
      <c r="DG14" s="55"/>
      <c r="DH14" s="181"/>
      <c r="DI14" s="55"/>
      <c r="DJ14" s="181"/>
      <c r="DK14" s="66"/>
      <c r="DL14" s="66"/>
      <c r="DM14" s="169"/>
      <c r="DN14" s="67"/>
      <c r="DO14" s="67"/>
    </row>
    <row r="15" spans="1:119" ht="15" thickBot="1" x14ac:dyDescent="0.4">
      <c r="A15" s="120" t="s">
        <v>100</v>
      </c>
      <c r="B15" s="382"/>
      <c r="C15" s="43"/>
      <c r="E15" s="18">
        <v>43881</v>
      </c>
      <c r="F15" s="73"/>
      <c r="G15" s="135" t="s">
        <v>596</v>
      </c>
      <c r="H15" s="36">
        <v>1690.01</v>
      </c>
      <c r="I15" s="36">
        <v>88</v>
      </c>
      <c r="J15" s="17">
        <f t="shared" si="1"/>
        <v>1778.01</v>
      </c>
      <c r="K15" s="73"/>
      <c r="L15" s="11" t="s">
        <v>2</v>
      </c>
      <c r="M15" s="11"/>
      <c r="N15" s="39" t="s">
        <v>80</v>
      </c>
      <c r="O15" s="69">
        <v>43994</v>
      </c>
      <c r="P15" s="15"/>
      <c r="Q15" s="18">
        <v>44043</v>
      </c>
      <c r="R15" s="19" t="s">
        <v>617</v>
      </c>
      <c r="S15" s="17">
        <v>53</v>
      </c>
      <c r="T15" s="88">
        <v>4.5</v>
      </c>
      <c r="U15" s="17">
        <f t="shared" si="0"/>
        <v>57.5</v>
      </c>
      <c r="V15" s="88"/>
      <c r="W15" s="88"/>
      <c r="X15" s="88"/>
      <c r="Y15" s="39" t="s">
        <v>7</v>
      </c>
      <c r="Z15" s="39" t="s">
        <v>60</v>
      </c>
      <c r="AA15" s="89">
        <v>44074</v>
      </c>
      <c r="AB15" s="23"/>
      <c r="AC15" s="59"/>
      <c r="AD15" s="64"/>
      <c r="AE15" s="65"/>
      <c r="AF15" s="65"/>
      <c r="AG15" s="55"/>
      <c r="AH15" s="65"/>
      <c r="AI15" s="64"/>
      <c r="AJ15" s="66"/>
      <c r="AK15" s="64"/>
      <c r="AL15" s="23"/>
      <c r="AM15" s="59"/>
      <c r="AN15" s="60"/>
      <c r="AO15" s="65"/>
      <c r="AP15" s="65"/>
      <c r="AQ15" s="55"/>
      <c r="AR15" s="65"/>
      <c r="AS15" s="64"/>
      <c r="AT15" s="66"/>
      <c r="AU15" s="77"/>
      <c r="AV15" s="23"/>
      <c r="AW15" s="59"/>
      <c r="AX15" s="64"/>
      <c r="AY15" s="65"/>
      <c r="AZ15" s="65"/>
      <c r="BA15" s="55"/>
      <c r="BB15" s="65"/>
      <c r="BC15" s="64"/>
      <c r="BD15" s="66"/>
      <c r="BE15" s="15"/>
      <c r="BF15" s="23"/>
      <c r="BG15" s="59"/>
      <c r="BH15" s="64"/>
      <c r="BI15" s="65"/>
      <c r="BJ15" s="65"/>
      <c r="BK15" s="55"/>
      <c r="BL15" s="65"/>
      <c r="BM15" s="64"/>
      <c r="BN15" s="66"/>
      <c r="BO15" s="64"/>
      <c r="BP15" s="23"/>
      <c r="BQ15" s="59"/>
      <c r="BR15" s="64"/>
      <c r="BS15" s="65"/>
      <c r="BT15" s="65"/>
      <c r="BU15" s="55"/>
      <c r="BV15" s="65"/>
      <c r="BW15" s="64"/>
      <c r="BX15" s="66"/>
      <c r="BY15" s="15"/>
      <c r="BZ15" s="23"/>
      <c r="CA15" s="59"/>
      <c r="CB15" s="64"/>
      <c r="CC15" s="65"/>
      <c r="CD15" s="65"/>
      <c r="CE15" s="55"/>
      <c r="CF15" s="65"/>
      <c r="CG15" s="64"/>
      <c r="CH15" s="66"/>
      <c r="CI15" s="64"/>
      <c r="CJ15" s="23"/>
      <c r="CK15" s="59"/>
      <c r="CL15" s="64"/>
      <c r="CM15" s="55"/>
      <c r="CN15" s="65"/>
      <c r="CO15" s="55"/>
      <c r="CP15" s="65"/>
      <c r="CQ15" s="64"/>
      <c r="CR15" s="66"/>
      <c r="CS15" s="77"/>
      <c r="CT15" s="23"/>
      <c r="CU15" s="59"/>
      <c r="CV15" s="64"/>
      <c r="CW15" s="65"/>
      <c r="CX15" s="65"/>
      <c r="CY15" s="55"/>
      <c r="CZ15" s="65"/>
      <c r="DA15" s="60"/>
      <c r="DB15" s="66"/>
      <c r="DC15" s="77"/>
      <c r="DD15" s="23"/>
      <c r="DE15" s="59"/>
      <c r="DF15" s="64"/>
      <c r="DG15" s="65"/>
      <c r="DH15" s="65"/>
      <c r="DI15" s="55"/>
      <c r="DJ15" s="65"/>
      <c r="DK15" s="64"/>
      <c r="DL15" s="66"/>
      <c r="DM15" s="15"/>
      <c r="DN15" s="23"/>
      <c r="DO15" s="23"/>
    </row>
    <row r="16" spans="1:119" ht="14.5" customHeight="1" x14ac:dyDescent="0.35">
      <c r="C16" s="43"/>
      <c r="E16" s="161">
        <v>43881</v>
      </c>
      <c r="F16" s="73"/>
      <c r="G16" s="135" t="s">
        <v>597</v>
      </c>
      <c r="H16" s="295">
        <v>-1111.2</v>
      </c>
      <c r="I16" s="295"/>
      <c r="J16" s="162">
        <f t="shared" si="1"/>
        <v>-1111.2</v>
      </c>
      <c r="K16" s="73"/>
      <c r="L16" s="94" t="s">
        <v>2</v>
      </c>
      <c r="M16" s="94"/>
      <c r="N16" s="167" t="s">
        <v>80</v>
      </c>
      <c r="O16" s="283">
        <v>43994</v>
      </c>
      <c r="P16" s="15"/>
      <c r="Q16" s="18">
        <v>44047</v>
      </c>
      <c r="R16" s="19" t="s">
        <v>618</v>
      </c>
      <c r="S16" s="17">
        <v>24</v>
      </c>
      <c r="T16" s="88"/>
      <c r="U16" s="17">
        <f t="shared" si="0"/>
        <v>24</v>
      </c>
      <c r="V16" s="139"/>
      <c r="W16" s="139"/>
      <c r="X16" s="139"/>
      <c r="Y16" s="88" t="s">
        <v>8</v>
      </c>
      <c r="Z16" s="39" t="s">
        <v>45</v>
      </c>
      <c r="AA16" s="89">
        <v>44048</v>
      </c>
      <c r="AB16" s="23"/>
      <c r="AC16" s="59"/>
      <c r="AD16" s="64"/>
      <c r="AE16" s="55"/>
      <c r="AF16" s="65"/>
      <c r="AG16" s="55"/>
      <c r="AH16" s="65"/>
      <c r="AI16" s="64"/>
      <c r="AJ16" s="66"/>
      <c r="AK16" s="64"/>
      <c r="AL16" s="23"/>
      <c r="AM16" s="59"/>
      <c r="AN16" s="64"/>
      <c r="AO16" s="55"/>
      <c r="AP16" s="65"/>
      <c r="AQ16" s="55"/>
      <c r="AR16" s="65"/>
      <c r="AS16" s="64"/>
      <c r="AT16" s="66"/>
      <c r="AU16" s="64"/>
      <c r="AV16" s="23"/>
      <c r="AW16" s="59"/>
      <c r="AX16" s="64"/>
      <c r="AY16" s="55"/>
      <c r="AZ16" s="65"/>
      <c r="BA16" s="55"/>
      <c r="BB16" s="65"/>
      <c r="BC16" s="64"/>
      <c r="BD16" s="66"/>
      <c r="BE16" s="15"/>
      <c r="BF16" s="23"/>
      <c r="BG16" s="59"/>
      <c r="BH16" s="64"/>
      <c r="BI16" s="55"/>
      <c r="BJ16" s="65"/>
      <c r="BK16" s="55"/>
      <c r="BL16" s="65"/>
      <c r="BM16" s="64"/>
      <c r="BN16" s="66"/>
      <c r="BO16" s="64"/>
      <c r="BP16" s="23"/>
      <c r="BQ16" s="59"/>
      <c r="BR16" s="64"/>
      <c r="BS16" s="55"/>
      <c r="BT16" s="65"/>
      <c r="BU16" s="55"/>
      <c r="BV16" s="65"/>
      <c r="BW16" s="64"/>
      <c r="BX16" s="66"/>
      <c r="BY16" s="15"/>
      <c r="BZ16" s="23"/>
      <c r="CA16" s="59"/>
      <c r="CB16" s="64"/>
      <c r="CC16" s="55"/>
      <c r="CD16" s="65"/>
      <c r="CE16" s="55"/>
      <c r="CF16" s="65"/>
      <c r="CG16" s="64"/>
      <c r="CH16" s="66"/>
      <c r="CI16" s="64"/>
      <c r="CJ16" s="23"/>
      <c r="CK16" s="59"/>
      <c r="CL16" s="64"/>
      <c r="CM16" s="55"/>
      <c r="CN16" s="65"/>
      <c r="CO16" s="55"/>
      <c r="CP16" s="65"/>
      <c r="CQ16" s="64"/>
      <c r="CR16" s="66"/>
      <c r="CS16" s="77"/>
      <c r="CT16" s="23"/>
      <c r="CU16" s="59"/>
      <c r="CV16" s="64"/>
      <c r="CW16" s="55"/>
      <c r="CX16" s="65"/>
      <c r="CY16" s="55"/>
      <c r="CZ16" s="65"/>
      <c r="DA16" s="60"/>
      <c r="DB16" s="66"/>
      <c r="DC16" s="77"/>
      <c r="DD16" s="23"/>
      <c r="DE16" s="59"/>
      <c r="DF16" s="64"/>
      <c r="DG16" s="55"/>
      <c r="DH16" s="65"/>
      <c r="DI16" s="55"/>
      <c r="DJ16" s="65"/>
      <c r="DK16" s="64"/>
      <c r="DL16" s="66"/>
      <c r="DM16" s="15"/>
      <c r="DN16" s="23"/>
      <c r="DO16" s="23"/>
    </row>
    <row r="17" spans="1:119" ht="15" customHeight="1" x14ac:dyDescent="0.35">
      <c r="C17" s="43"/>
      <c r="E17" s="161">
        <v>43881</v>
      </c>
      <c r="F17" s="73"/>
      <c r="G17" s="135" t="s">
        <v>598</v>
      </c>
      <c r="H17" s="162">
        <v>-613.79999999999995</v>
      </c>
      <c r="I17" s="162"/>
      <c r="J17" s="162">
        <f t="shared" si="1"/>
        <v>-613.79999999999995</v>
      </c>
      <c r="K17" s="73"/>
      <c r="L17" s="95" t="s">
        <v>2</v>
      </c>
      <c r="M17" s="95"/>
      <c r="N17" s="167" t="s">
        <v>80</v>
      </c>
      <c r="O17" s="283">
        <v>43994</v>
      </c>
      <c r="P17" s="15"/>
      <c r="Q17" s="18">
        <v>44056</v>
      </c>
      <c r="R17" s="19" t="s">
        <v>619</v>
      </c>
      <c r="S17" s="88">
        <v>128</v>
      </c>
      <c r="T17" s="88"/>
      <c r="U17" s="17">
        <f t="shared" si="0"/>
        <v>128</v>
      </c>
      <c r="V17" s="88"/>
      <c r="W17" s="88"/>
      <c r="X17" s="88"/>
      <c r="Y17" s="39" t="s">
        <v>8</v>
      </c>
      <c r="Z17" s="39" t="s">
        <v>56</v>
      </c>
      <c r="AA17" s="89">
        <v>44056</v>
      </c>
      <c r="AB17" s="23"/>
      <c r="AC17" s="59"/>
      <c r="AD17" s="64"/>
      <c r="AE17" s="55"/>
      <c r="AF17" s="65"/>
      <c r="AG17" s="55"/>
      <c r="AH17" s="65"/>
      <c r="AI17" s="64"/>
      <c r="AJ17" s="66"/>
      <c r="AK17" s="64"/>
      <c r="AL17" s="23"/>
      <c r="AM17" s="59"/>
      <c r="AN17" s="64"/>
      <c r="AO17" s="55"/>
      <c r="AP17" s="65"/>
      <c r="AQ17" s="55"/>
      <c r="AR17" s="65"/>
      <c r="AS17" s="64"/>
      <c r="AT17" s="66"/>
      <c r="AU17" s="64"/>
      <c r="AV17" s="23"/>
      <c r="AW17" s="59"/>
      <c r="AX17" s="64"/>
      <c r="AY17" s="55"/>
      <c r="AZ17" s="65"/>
      <c r="BA17" s="55"/>
      <c r="BB17" s="65"/>
      <c r="BC17" s="64"/>
      <c r="BD17" s="66"/>
      <c r="BE17" s="15"/>
      <c r="BF17" s="23"/>
      <c r="BG17" s="59"/>
      <c r="BH17" s="64"/>
      <c r="BI17" s="55"/>
      <c r="BJ17" s="65"/>
      <c r="BK17" s="55"/>
      <c r="BL17" s="65"/>
      <c r="BM17" s="64"/>
      <c r="BN17" s="66"/>
      <c r="BO17" s="64"/>
      <c r="BP17" s="23"/>
      <c r="BQ17" s="59"/>
      <c r="BR17" s="64"/>
      <c r="BS17" s="55"/>
      <c r="BT17" s="65"/>
      <c r="BU17" s="55"/>
      <c r="BV17" s="65"/>
      <c r="BW17" s="64"/>
      <c r="BX17" s="66"/>
      <c r="BY17" s="15"/>
      <c r="BZ17" s="23"/>
      <c r="CA17" s="59"/>
      <c r="CB17" s="64"/>
      <c r="CC17" s="55"/>
      <c r="CD17" s="65"/>
      <c r="CE17" s="55"/>
      <c r="CF17" s="65"/>
      <c r="CG17" s="64"/>
      <c r="CH17" s="66"/>
      <c r="CI17" s="64"/>
      <c r="CJ17" s="23"/>
      <c r="CK17" s="59"/>
      <c r="CL17" s="64"/>
      <c r="CM17" s="55"/>
      <c r="CN17" s="65"/>
      <c r="CO17" s="55"/>
      <c r="CP17" s="65"/>
      <c r="CQ17" s="64"/>
      <c r="CR17" s="66"/>
      <c r="CS17" s="77"/>
      <c r="CT17" s="23"/>
      <c r="CU17" s="59"/>
      <c r="CV17" s="64"/>
      <c r="CW17" s="55"/>
      <c r="CX17" s="65"/>
      <c r="CY17" s="55"/>
      <c r="CZ17" s="65"/>
      <c r="DA17" s="64"/>
      <c r="DB17" s="66"/>
      <c r="DC17" s="77"/>
      <c r="DD17" s="23"/>
      <c r="DE17" s="59"/>
      <c r="DF17" s="64"/>
      <c r="DG17" s="55"/>
      <c r="DH17" s="65"/>
      <c r="DI17" s="55"/>
      <c r="DJ17" s="65"/>
      <c r="DK17" s="64"/>
      <c r="DL17" s="66"/>
      <c r="DM17" s="15"/>
      <c r="DN17" s="23"/>
      <c r="DO17" s="23"/>
    </row>
    <row r="18" spans="1:119" ht="15" customHeight="1" x14ac:dyDescent="0.35">
      <c r="A18" s="90"/>
      <c r="B18" s="92"/>
      <c r="C18" s="43"/>
      <c r="E18" s="18">
        <v>43880</v>
      </c>
      <c r="F18" s="73"/>
      <c r="G18" s="135" t="s">
        <v>599</v>
      </c>
      <c r="H18" s="36">
        <v>995.28</v>
      </c>
      <c r="I18" s="36"/>
      <c r="J18" s="17">
        <f t="shared" si="1"/>
        <v>995.28</v>
      </c>
      <c r="K18" s="73"/>
      <c r="L18" s="11" t="s">
        <v>2</v>
      </c>
      <c r="M18" s="11"/>
      <c r="N18" s="39" t="s">
        <v>80</v>
      </c>
      <c r="O18" s="69">
        <v>43994</v>
      </c>
      <c r="P18" s="15"/>
      <c r="Q18" s="18">
        <v>44071</v>
      </c>
      <c r="R18" s="19" t="s">
        <v>620</v>
      </c>
      <c r="S18" s="17">
        <v>7</v>
      </c>
      <c r="T18" s="88"/>
      <c r="U18" s="17">
        <f t="shared" si="0"/>
        <v>7</v>
      </c>
      <c r="V18" s="88"/>
      <c r="W18" s="88"/>
      <c r="X18" s="88"/>
      <c r="Y18" s="39" t="s">
        <v>8</v>
      </c>
      <c r="Z18" s="39" t="s">
        <v>45</v>
      </c>
      <c r="AA18" s="89">
        <v>44075</v>
      </c>
      <c r="AB18" s="23"/>
      <c r="AC18" s="59"/>
      <c r="AD18" s="64"/>
      <c r="AE18" s="55"/>
      <c r="AF18" s="65"/>
      <c r="AG18" s="55"/>
      <c r="AH18" s="65"/>
      <c r="AI18" s="64"/>
      <c r="AJ18" s="66"/>
      <c r="AK18" s="64"/>
      <c r="AL18" s="23"/>
      <c r="AM18" s="59"/>
      <c r="AN18" s="64"/>
      <c r="AO18" s="55"/>
      <c r="AP18" s="65"/>
      <c r="AQ18" s="55"/>
      <c r="AR18" s="65"/>
      <c r="AS18" s="64"/>
      <c r="AT18" s="66"/>
      <c r="AU18" s="64"/>
      <c r="AV18" s="23"/>
      <c r="AW18" s="59"/>
      <c r="AX18" s="64"/>
      <c r="AY18" s="55"/>
      <c r="AZ18" s="65"/>
      <c r="BA18" s="55"/>
      <c r="BB18" s="65"/>
      <c r="BC18" s="64"/>
      <c r="BD18" s="66"/>
      <c r="BE18" s="15"/>
      <c r="BF18" s="23"/>
      <c r="BG18" s="59"/>
      <c r="BH18" s="64"/>
      <c r="BI18" s="55"/>
      <c r="BJ18" s="65"/>
      <c r="BK18" s="55"/>
      <c r="BL18" s="65"/>
      <c r="BM18" s="64"/>
      <c r="BN18" s="66"/>
      <c r="BO18" s="64"/>
      <c r="BP18" s="23"/>
      <c r="BQ18" s="59"/>
      <c r="BR18" s="64"/>
      <c r="BS18" s="55"/>
      <c r="BT18" s="65"/>
      <c r="BU18" s="55"/>
      <c r="BV18" s="65"/>
      <c r="BW18" s="64"/>
      <c r="BX18" s="66"/>
      <c r="BY18" s="15"/>
      <c r="BZ18" s="23"/>
      <c r="CA18" s="59"/>
      <c r="CB18" s="64"/>
      <c r="CC18" s="55"/>
      <c r="CD18" s="65"/>
      <c r="CE18" s="55"/>
      <c r="CF18" s="65"/>
      <c r="CG18" s="64"/>
      <c r="CH18" s="66"/>
      <c r="CI18" s="64"/>
      <c r="CJ18" s="23"/>
      <c r="CK18" s="59"/>
      <c r="CL18" s="64"/>
      <c r="CM18" s="55"/>
      <c r="CN18" s="65"/>
      <c r="CO18" s="55"/>
      <c r="CP18" s="65"/>
      <c r="CQ18" s="64"/>
      <c r="CR18" s="66"/>
      <c r="CS18" s="77"/>
      <c r="CT18" s="23"/>
      <c r="CU18" s="59"/>
      <c r="CV18" s="64"/>
      <c r="CW18" s="55"/>
      <c r="CX18" s="65"/>
      <c r="CY18" s="55"/>
      <c r="CZ18" s="65"/>
      <c r="DA18" s="64"/>
      <c r="DB18" s="66"/>
      <c r="DC18" s="77"/>
      <c r="DD18" s="23"/>
      <c r="DE18" s="59"/>
      <c r="DF18" s="64"/>
      <c r="DG18" s="55"/>
      <c r="DH18" s="65"/>
      <c r="DI18" s="55"/>
      <c r="DJ18" s="65"/>
      <c r="DK18" s="64"/>
      <c r="DL18" s="66"/>
      <c r="DM18" s="15"/>
      <c r="DN18" s="23"/>
      <c r="DO18" s="23"/>
    </row>
    <row r="19" spans="1:119" ht="15" customHeight="1" x14ac:dyDescent="0.35">
      <c r="A19" s="90"/>
      <c r="B19" s="92"/>
      <c r="C19" s="44"/>
      <c r="E19" s="18">
        <v>44014</v>
      </c>
      <c r="F19" s="73"/>
      <c r="G19" s="135" t="s">
        <v>600</v>
      </c>
      <c r="H19" s="17">
        <v>528.04</v>
      </c>
      <c r="I19" s="17"/>
      <c r="J19" s="17">
        <f t="shared" ref="J19:J25" si="2">H19+I19</f>
        <v>528.04</v>
      </c>
      <c r="K19" s="73"/>
      <c r="L19" s="17" t="s">
        <v>7</v>
      </c>
      <c r="M19" s="17"/>
      <c r="N19" s="17" t="s">
        <v>80</v>
      </c>
      <c r="O19" s="18">
        <v>44106</v>
      </c>
      <c r="P19" s="15"/>
      <c r="Q19" s="18">
        <v>44074</v>
      </c>
      <c r="R19" s="19" t="s">
        <v>621</v>
      </c>
      <c r="S19" s="17">
        <v>989.35</v>
      </c>
      <c r="T19" s="88"/>
      <c r="U19" s="17">
        <f t="shared" si="0"/>
        <v>989.35</v>
      </c>
      <c r="V19" s="88"/>
      <c r="W19" s="88"/>
      <c r="X19" s="88"/>
      <c r="Y19" s="39" t="s">
        <v>8</v>
      </c>
      <c r="Z19" s="39"/>
      <c r="AA19" s="89"/>
      <c r="AB19" s="23"/>
      <c r="AC19" s="59"/>
      <c r="AD19" s="64"/>
      <c r="AE19" s="55"/>
      <c r="AF19" s="65"/>
      <c r="AG19" s="55"/>
      <c r="AH19" s="65"/>
      <c r="AI19" s="64"/>
      <c r="AJ19" s="66"/>
      <c r="AK19" s="64"/>
      <c r="AL19" s="23"/>
      <c r="AM19" s="59"/>
      <c r="AN19" s="64"/>
      <c r="AO19" s="55"/>
      <c r="AP19" s="65"/>
      <c r="AQ19" s="55"/>
      <c r="AR19" s="65"/>
      <c r="AS19" s="64"/>
      <c r="AT19" s="66"/>
      <c r="AU19" s="64"/>
      <c r="AV19" s="23"/>
      <c r="AW19" s="59"/>
      <c r="AX19" s="64"/>
      <c r="AY19" s="55"/>
      <c r="AZ19" s="65"/>
      <c r="BA19" s="55"/>
      <c r="BB19" s="65"/>
      <c r="BC19" s="64"/>
      <c r="BD19" s="66"/>
      <c r="BE19" s="15"/>
      <c r="BF19" s="23"/>
      <c r="BG19" s="59"/>
      <c r="BH19" s="64"/>
      <c r="BI19" s="55"/>
      <c r="BJ19" s="65"/>
      <c r="BK19" s="55"/>
      <c r="BL19" s="65"/>
      <c r="BM19" s="64"/>
      <c r="BN19" s="66"/>
      <c r="BO19" s="64"/>
      <c r="BP19" s="23"/>
      <c r="BQ19" s="59"/>
      <c r="BR19" s="64"/>
      <c r="BS19" s="55"/>
      <c r="BT19" s="65"/>
      <c r="BU19" s="55"/>
      <c r="BV19" s="65"/>
      <c r="BW19" s="64"/>
      <c r="BX19" s="66"/>
      <c r="BY19" s="15"/>
      <c r="BZ19" s="23"/>
      <c r="CA19" s="59"/>
      <c r="CB19" s="64"/>
      <c r="CC19" s="55"/>
      <c r="CD19" s="65"/>
      <c r="CE19" s="55"/>
      <c r="CF19" s="65"/>
      <c r="CG19" s="64"/>
      <c r="CH19" s="66"/>
      <c r="CI19" s="64"/>
      <c r="CJ19" s="23"/>
      <c r="CK19" s="59"/>
      <c r="CL19" s="64"/>
      <c r="CM19" s="55"/>
      <c r="CN19" s="65"/>
      <c r="CO19" s="55"/>
      <c r="CP19" s="65"/>
      <c r="CQ19" s="64"/>
      <c r="CR19" s="66"/>
      <c r="CS19" s="77"/>
      <c r="CT19" s="23"/>
      <c r="CU19" s="59"/>
      <c r="CV19" s="64"/>
      <c r="CW19" s="55"/>
      <c r="CX19" s="65"/>
      <c r="CY19" s="55"/>
      <c r="CZ19" s="65"/>
      <c r="DA19" s="64"/>
      <c r="DB19" s="66"/>
      <c r="DC19" s="77"/>
      <c r="DD19" s="23"/>
      <c r="DE19" s="59"/>
      <c r="DF19" s="64"/>
      <c r="DG19" s="55"/>
      <c r="DH19" s="65"/>
      <c r="DI19" s="55"/>
      <c r="DJ19" s="65"/>
      <c r="DK19" s="64"/>
      <c r="DL19" s="66"/>
      <c r="DM19" s="15"/>
      <c r="DN19" s="23"/>
      <c r="DO19" s="23"/>
    </row>
    <row r="20" spans="1:119" ht="15.75" customHeight="1" x14ac:dyDescent="0.35">
      <c r="A20" s="90"/>
      <c r="B20" s="92"/>
      <c r="C20" s="45"/>
      <c r="E20" s="18">
        <v>44050</v>
      </c>
      <c r="F20" s="73"/>
      <c r="G20" s="135" t="s">
        <v>601</v>
      </c>
      <c r="H20" s="36">
        <v>988.8</v>
      </c>
      <c r="I20" s="36"/>
      <c r="J20" s="17">
        <f t="shared" si="2"/>
        <v>988.8</v>
      </c>
      <c r="K20" s="73"/>
      <c r="L20" s="11" t="s">
        <v>8</v>
      </c>
      <c r="M20" s="11"/>
      <c r="N20" s="39" t="s">
        <v>80</v>
      </c>
      <c r="O20" s="69">
        <v>44110</v>
      </c>
      <c r="P20" s="15"/>
      <c r="Q20" s="18">
        <v>44075</v>
      </c>
      <c r="R20" s="19" t="s">
        <v>622</v>
      </c>
      <c r="S20" s="17">
        <v>2600.73</v>
      </c>
      <c r="T20" s="88"/>
      <c r="U20" s="17">
        <f t="shared" si="0"/>
        <v>2600.73</v>
      </c>
      <c r="V20" s="88"/>
      <c r="W20" s="88"/>
      <c r="X20" s="88"/>
      <c r="Y20" s="39" t="s">
        <v>9</v>
      </c>
      <c r="Z20" s="39" t="s">
        <v>80</v>
      </c>
      <c r="AA20" s="89">
        <v>44106</v>
      </c>
      <c r="AB20" s="23"/>
      <c r="AC20" s="59"/>
      <c r="AD20" s="64"/>
      <c r="AE20" s="55"/>
      <c r="AF20" s="65"/>
      <c r="AG20" s="55"/>
      <c r="AH20" s="65"/>
      <c r="AI20" s="64"/>
      <c r="AJ20" s="66"/>
      <c r="AK20" s="64"/>
      <c r="AL20" s="23"/>
      <c r="AM20" s="59"/>
      <c r="AN20" s="64"/>
      <c r="AO20" s="55"/>
      <c r="AP20" s="65"/>
      <c r="AQ20" s="55"/>
      <c r="AR20" s="65"/>
      <c r="AS20" s="64"/>
      <c r="AT20" s="66"/>
      <c r="AU20" s="64"/>
      <c r="AV20" s="23"/>
      <c r="AW20" s="59"/>
      <c r="AX20" s="64"/>
      <c r="AY20" s="55"/>
      <c r="AZ20" s="65"/>
      <c r="BA20" s="55"/>
      <c r="BB20" s="65"/>
      <c r="BC20" s="64"/>
      <c r="BD20" s="66"/>
      <c r="BE20" s="15"/>
      <c r="BF20" s="23"/>
      <c r="BG20" s="59"/>
      <c r="BH20" s="64"/>
      <c r="BI20" s="55"/>
      <c r="BJ20" s="65"/>
      <c r="BK20" s="55"/>
      <c r="BL20" s="65"/>
      <c r="BM20" s="64"/>
      <c r="BN20" s="66"/>
      <c r="BO20" s="64"/>
      <c r="BP20" s="23"/>
      <c r="BQ20" s="59"/>
      <c r="BR20" s="64"/>
      <c r="BS20" s="55"/>
      <c r="BT20" s="65"/>
      <c r="BU20" s="55"/>
      <c r="BV20" s="65"/>
      <c r="BW20" s="64"/>
      <c r="BX20" s="66"/>
      <c r="BY20" s="15"/>
      <c r="BZ20" s="23"/>
      <c r="CA20" s="59"/>
      <c r="CB20" s="64"/>
      <c r="CC20" s="55"/>
      <c r="CD20" s="65"/>
      <c r="CE20" s="55"/>
      <c r="CF20" s="65"/>
      <c r="CG20" s="64"/>
      <c r="CH20" s="66"/>
      <c r="CI20" s="64"/>
      <c r="CJ20" s="23"/>
      <c r="CK20" s="59"/>
      <c r="CL20" s="64"/>
      <c r="CM20" s="55"/>
      <c r="CN20" s="65"/>
      <c r="CO20" s="55"/>
      <c r="CP20" s="65"/>
      <c r="CQ20" s="64"/>
      <c r="CR20" s="66"/>
      <c r="CS20" s="77"/>
      <c r="CT20" s="23"/>
      <c r="CU20" s="59"/>
      <c r="CV20" s="64"/>
      <c r="CW20" s="55"/>
      <c r="CX20" s="65"/>
      <c r="CY20" s="55"/>
      <c r="CZ20" s="65"/>
      <c r="DA20" s="64"/>
      <c r="DB20" s="66"/>
      <c r="DC20" s="77"/>
      <c r="DD20" s="23"/>
      <c r="DE20" s="59"/>
      <c r="DF20" s="64"/>
      <c r="DG20" s="55"/>
      <c r="DH20" s="65"/>
      <c r="DI20" s="55"/>
      <c r="DJ20" s="65"/>
      <c r="DK20" s="64"/>
      <c r="DL20" s="66"/>
      <c r="DM20" s="15"/>
      <c r="DN20" s="23"/>
      <c r="DO20" s="23"/>
    </row>
    <row r="21" spans="1:119" ht="15" customHeight="1" x14ac:dyDescent="0.35">
      <c r="A21" s="90"/>
      <c r="B21" s="92"/>
      <c r="C21" s="43"/>
      <c r="E21" s="18">
        <v>44050</v>
      </c>
      <c r="F21" s="73"/>
      <c r="G21" s="135" t="s">
        <v>602</v>
      </c>
      <c r="H21" s="36">
        <v>117.2</v>
      </c>
      <c r="I21" s="36"/>
      <c r="J21" s="17">
        <f t="shared" si="2"/>
        <v>117.2</v>
      </c>
      <c r="K21" s="73"/>
      <c r="L21" s="11" t="s">
        <v>8</v>
      </c>
      <c r="M21" s="11"/>
      <c r="N21" s="39" t="s">
        <v>80</v>
      </c>
      <c r="O21" s="69">
        <v>44110</v>
      </c>
      <c r="P21" s="15"/>
      <c r="Q21" s="18">
        <v>44074</v>
      </c>
      <c r="R21" s="19" t="s">
        <v>623</v>
      </c>
      <c r="S21" s="17">
        <v>75</v>
      </c>
      <c r="T21" s="88">
        <v>6.38</v>
      </c>
      <c r="U21" s="17">
        <f t="shared" si="0"/>
        <v>81.38</v>
      </c>
      <c r="V21" s="88"/>
      <c r="W21" s="88"/>
      <c r="X21" s="88"/>
      <c r="Y21" s="39" t="s">
        <v>8</v>
      </c>
      <c r="Z21" s="39" t="s">
        <v>60</v>
      </c>
      <c r="AA21" s="89">
        <v>44104</v>
      </c>
      <c r="AB21" s="23"/>
      <c r="AC21" s="59"/>
      <c r="AD21" s="64"/>
      <c r="AE21" s="55"/>
      <c r="AF21" s="65"/>
      <c r="AG21" s="55"/>
      <c r="AH21" s="65"/>
      <c r="AI21" s="64"/>
      <c r="AJ21" s="66"/>
      <c r="AK21" s="64"/>
      <c r="AL21" s="23"/>
      <c r="AM21" s="59"/>
      <c r="AN21" s="64"/>
      <c r="AO21" s="55"/>
      <c r="AP21" s="65"/>
      <c r="AQ21" s="55"/>
      <c r="AR21" s="65"/>
      <c r="AS21" s="64"/>
      <c r="AT21" s="66"/>
      <c r="AU21" s="64"/>
      <c r="AV21" s="23"/>
      <c r="AW21" s="59"/>
      <c r="AX21" s="64"/>
      <c r="AY21" s="55"/>
      <c r="AZ21" s="65"/>
      <c r="BA21" s="55"/>
      <c r="BB21" s="65"/>
      <c r="BC21" s="64"/>
      <c r="BD21" s="66"/>
      <c r="BE21" s="15"/>
      <c r="BF21" s="23"/>
      <c r="BG21" s="59"/>
      <c r="BH21" s="64"/>
      <c r="BI21" s="55"/>
      <c r="BJ21" s="65"/>
      <c r="BK21" s="55"/>
      <c r="BL21" s="65"/>
      <c r="BM21" s="64"/>
      <c r="BN21" s="66"/>
      <c r="BO21" s="64"/>
      <c r="BP21" s="23"/>
      <c r="BQ21" s="59"/>
      <c r="BR21" s="64"/>
      <c r="BS21" s="55"/>
      <c r="BT21" s="65"/>
      <c r="BU21" s="55"/>
      <c r="BV21" s="65"/>
      <c r="BW21" s="64"/>
      <c r="BX21" s="66"/>
      <c r="BY21" s="15"/>
      <c r="BZ21" s="23"/>
      <c r="CA21" s="59"/>
      <c r="CB21" s="64"/>
      <c r="CC21" s="55"/>
      <c r="CD21" s="65"/>
      <c r="CE21" s="55"/>
      <c r="CF21" s="65"/>
      <c r="CG21" s="64"/>
      <c r="CH21" s="66"/>
      <c r="CI21" s="64"/>
      <c r="CJ21" s="23"/>
      <c r="CK21" s="59"/>
      <c r="CL21" s="64"/>
      <c r="CM21" s="55"/>
      <c r="CN21" s="65"/>
      <c r="CO21" s="55"/>
      <c r="CP21" s="65"/>
      <c r="CQ21" s="64"/>
      <c r="CR21" s="66"/>
      <c r="CS21" s="77"/>
      <c r="CT21" s="23"/>
      <c r="CU21" s="59"/>
      <c r="CV21" s="64"/>
      <c r="CW21" s="55"/>
      <c r="CX21" s="65"/>
      <c r="CY21" s="55"/>
      <c r="CZ21" s="65"/>
      <c r="DA21" s="64"/>
      <c r="DB21" s="66"/>
      <c r="DC21" s="77"/>
      <c r="DD21" s="23"/>
      <c r="DE21" s="59"/>
      <c r="DF21" s="64"/>
      <c r="DG21" s="55"/>
      <c r="DH21" s="65"/>
      <c r="DI21" s="55"/>
      <c r="DJ21" s="65"/>
      <c r="DK21" s="64"/>
      <c r="DL21" s="66"/>
      <c r="DM21" s="15"/>
      <c r="DN21" s="23"/>
      <c r="DO21" s="23"/>
    </row>
    <row r="22" spans="1:119" ht="15" customHeight="1" x14ac:dyDescent="0.35">
      <c r="A22" s="91"/>
      <c r="B22" s="92"/>
      <c r="C22" s="43"/>
      <c r="E22" s="18">
        <v>44081</v>
      </c>
      <c r="F22" s="73"/>
      <c r="G22" s="135" t="s">
        <v>603</v>
      </c>
      <c r="H22" s="36">
        <v>257.16000000000003</v>
      </c>
      <c r="I22" s="36"/>
      <c r="J22" s="17">
        <f t="shared" si="2"/>
        <v>257.16000000000003</v>
      </c>
      <c r="K22" s="73"/>
      <c r="L22" s="11" t="s">
        <v>9</v>
      </c>
      <c r="M22" s="11"/>
      <c r="N22" s="39"/>
      <c r="O22" s="69"/>
      <c r="P22" s="15"/>
      <c r="Q22" s="18">
        <v>44096</v>
      </c>
      <c r="R22" s="19" t="s">
        <v>624</v>
      </c>
      <c r="S22" s="17">
        <v>81</v>
      </c>
      <c r="T22" s="88"/>
      <c r="U22" s="17">
        <f t="shared" si="0"/>
        <v>81</v>
      </c>
      <c r="V22" s="88"/>
      <c r="W22" s="88"/>
      <c r="X22" s="88"/>
      <c r="Y22" s="39" t="s">
        <v>9</v>
      </c>
      <c r="Z22" s="39" t="s">
        <v>45</v>
      </c>
      <c r="AA22" s="89">
        <v>44097</v>
      </c>
      <c r="AB22" s="23"/>
      <c r="AC22" s="59"/>
      <c r="AD22" s="64"/>
      <c r="AE22" s="55"/>
      <c r="AF22" s="65"/>
      <c r="AG22" s="55"/>
      <c r="AH22" s="65"/>
      <c r="AI22" s="64"/>
      <c r="AJ22" s="66"/>
      <c r="AK22" s="64"/>
      <c r="AL22" s="23"/>
      <c r="AM22" s="59"/>
      <c r="AN22" s="64"/>
      <c r="AO22" s="55"/>
      <c r="AP22" s="65"/>
      <c r="AQ22" s="55"/>
      <c r="AR22" s="65"/>
      <c r="AS22" s="64"/>
      <c r="AT22" s="66"/>
      <c r="AU22" s="64"/>
      <c r="AV22" s="23"/>
      <c r="AW22" s="59"/>
      <c r="AX22" s="64"/>
      <c r="AY22" s="55"/>
      <c r="AZ22" s="65"/>
      <c r="BA22" s="55"/>
      <c r="BB22" s="65"/>
      <c r="BC22" s="64"/>
      <c r="BD22" s="66"/>
      <c r="BE22" s="15"/>
      <c r="BF22" s="23"/>
      <c r="BG22" s="59"/>
      <c r="BH22" s="64"/>
      <c r="BI22" s="55"/>
      <c r="BJ22" s="65"/>
      <c r="BK22" s="55"/>
      <c r="BL22" s="65"/>
      <c r="BM22" s="64"/>
      <c r="BN22" s="66"/>
      <c r="BO22" s="64"/>
      <c r="BP22" s="23"/>
      <c r="BQ22" s="59"/>
      <c r="BR22" s="64"/>
      <c r="BS22" s="55"/>
      <c r="BT22" s="65"/>
      <c r="BU22" s="55"/>
      <c r="BV22" s="65"/>
      <c r="BW22" s="64"/>
      <c r="BX22" s="66"/>
      <c r="BY22" s="15"/>
      <c r="BZ22" s="23"/>
      <c r="CA22" s="59"/>
      <c r="CB22" s="64"/>
      <c r="CC22" s="55"/>
      <c r="CD22" s="65"/>
      <c r="CE22" s="55"/>
      <c r="CF22" s="65"/>
      <c r="CG22" s="64"/>
      <c r="CH22" s="66"/>
      <c r="CI22" s="64"/>
      <c r="CJ22" s="23"/>
      <c r="CK22" s="59"/>
      <c r="CL22" s="64"/>
      <c r="CM22" s="55"/>
      <c r="CN22" s="65"/>
      <c r="CO22" s="55"/>
      <c r="CP22" s="65"/>
      <c r="CQ22" s="64"/>
      <c r="CR22" s="66"/>
      <c r="CS22" s="77"/>
      <c r="CT22" s="23"/>
      <c r="CU22" s="59"/>
      <c r="CV22" s="64"/>
      <c r="CW22" s="55"/>
      <c r="CX22" s="65"/>
      <c r="CY22" s="55"/>
      <c r="CZ22" s="65"/>
      <c r="DA22" s="64"/>
      <c r="DB22" s="66"/>
      <c r="DC22" s="64"/>
      <c r="DD22" s="23"/>
      <c r="DE22" s="59"/>
      <c r="DF22" s="64"/>
      <c r="DG22" s="55"/>
      <c r="DH22" s="65"/>
      <c r="DI22" s="55"/>
      <c r="DJ22" s="65"/>
      <c r="DK22" s="64"/>
      <c r="DL22" s="66"/>
      <c r="DM22" s="15"/>
      <c r="DN22" s="23"/>
      <c r="DO22" s="23"/>
    </row>
    <row r="23" spans="1:119" ht="15" customHeight="1" x14ac:dyDescent="0.35">
      <c r="A23" s="90"/>
      <c r="B23" s="92"/>
      <c r="C23" s="43"/>
      <c r="E23" s="18">
        <v>44062</v>
      </c>
      <c r="F23" s="73"/>
      <c r="G23" s="135" t="s">
        <v>604</v>
      </c>
      <c r="H23" s="36">
        <v>74.900000000000006</v>
      </c>
      <c r="I23" s="36"/>
      <c r="J23" s="17">
        <f t="shared" si="2"/>
        <v>74.900000000000006</v>
      </c>
      <c r="K23" s="73"/>
      <c r="L23" s="11" t="s">
        <v>8</v>
      </c>
      <c r="M23" s="11"/>
      <c r="N23" s="39" t="s">
        <v>45</v>
      </c>
      <c r="O23" s="69">
        <v>44062</v>
      </c>
      <c r="P23" s="15"/>
      <c r="Q23" s="18">
        <v>44084</v>
      </c>
      <c r="R23" s="19" t="s">
        <v>625</v>
      </c>
      <c r="S23" s="17">
        <v>218.08</v>
      </c>
      <c r="T23" s="88"/>
      <c r="U23" s="17">
        <f t="shared" si="0"/>
        <v>218.08</v>
      </c>
      <c r="V23" s="88"/>
      <c r="W23" s="88"/>
      <c r="X23" s="88"/>
      <c r="Y23" s="39" t="s">
        <v>9</v>
      </c>
      <c r="Z23" s="39" t="s">
        <v>80</v>
      </c>
      <c r="AA23" s="89">
        <v>44106</v>
      </c>
      <c r="AB23" s="23"/>
      <c r="AC23" s="59"/>
      <c r="AD23" s="64"/>
      <c r="AE23" s="55"/>
      <c r="AF23" s="65"/>
      <c r="AG23" s="55"/>
      <c r="AH23" s="65"/>
      <c r="AI23" s="64"/>
      <c r="AJ23" s="66"/>
      <c r="AK23" s="64"/>
      <c r="AL23" s="23"/>
      <c r="AM23" s="59"/>
      <c r="AN23" s="64"/>
      <c r="AO23" s="55"/>
      <c r="AP23" s="65"/>
      <c r="AQ23" s="55"/>
      <c r="AR23" s="65"/>
      <c r="AS23" s="64"/>
      <c r="AT23" s="66"/>
      <c r="AU23" s="64"/>
      <c r="AV23" s="23"/>
      <c r="AW23" s="59"/>
      <c r="AX23" s="64"/>
      <c r="AY23" s="55"/>
      <c r="AZ23" s="65"/>
      <c r="BA23" s="55"/>
      <c r="BB23" s="65"/>
      <c r="BC23" s="64"/>
      <c r="BD23" s="66"/>
      <c r="BE23" s="15"/>
      <c r="BF23" s="23"/>
      <c r="BG23" s="59"/>
      <c r="BH23" s="64"/>
      <c r="BI23" s="55"/>
      <c r="BJ23" s="65"/>
      <c r="BK23" s="55"/>
      <c r="BL23" s="65"/>
      <c r="BM23" s="64"/>
      <c r="BN23" s="66"/>
      <c r="BO23" s="64"/>
      <c r="BP23" s="23"/>
      <c r="BQ23" s="59"/>
      <c r="BR23" s="64"/>
      <c r="BS23" s="55"/>
      <c r="BT23" s="65"/>
      <c r="BU23" s="55"/>
      <c r="BV23" s="65"/>
      <c r="BW23" s="64"/>
      <c r="BX23" s="66"/>
      <c r="BY23" s="15"/>
      <c r="BZ23" s="23"/>
      <c r="CA23" s="59"/>
      <c r="CB23" s="64"/>
      <c r="CC23" s="55"/>
      <c r="CD23" s="65"/>
      <c r="CE23" s="55"/>
      <c r="CF23" s="65"/>
      <c r="CG23" s="64"/>
      <c r="CH23" s="66"/>
      <c r="CI23" s="64"/>
      <c r="CJ23" s="23"/>
      <c r="CK23" s="79"/>
      <c r="CL23" s="23"/>
      <c r="CM23" s="23"/>
      <c r="CN23" s="23"/>
      <c r="CO23" s="23"/>
      <c r="CP23" s="23"/>
      <c r="CQ23" s="64"/>
      <c r="CR23" s="23"/>
      <c r="CS23" s="79"/>
      <c r="CT23" s="23"/>
      <c r="CU23" s="59"/>
      <c r="CV23" s="64"/>
      <c r="CW23" s="55"/>
      <c r="CX23" s="65"/>
      <c r="CY23" s="55"/>
      <c r="CZ23" s="65"/>
      <c r="DA23" s="64"/>
      <c r="DB23" s="66"/>
      <c r="DC23" s="64"/>
      <c r="DD23" s="23"/>
      <c r="DE23" s="59"/>
      <c r="DF23" s="64"/>
      <c r="DG23" s="55"/>
      <c r="DH23" s="65"/>
      <c r="DI23" s="55"/>
      <c r="DJ23" s="65"/>
      <c r="DK23" s="64"/>
      <c r="DL23" s="66"/>
      <c r="DM23" s="15"/>
      <c r="DN23" s="23"/>
      <c r="DO23" s="23"/>
    </row>
    <row r="24" spans="1:119" ht="15" customHeight="1" x14ac:dyDescent="0.35">
      <c r="A24" s="90"/>
      <c r="B24" s="92"/>
      <c r="C24" s="43"/>
      <c r="E24" s="18">
        <v>36798</v>
      </c>
      <c r="F24" s="73"/>
      <c r="G24" s="135" t="s">
        <v>605</v>
      </c>
      <c r="H24" s="36">
        <v>231.12</v>
      </c>
      <c r="I24" s="36"/>
      <c r="J24" s="17">
        <f t="shared" si="2"/>
        <v>231.12</v>
      </c>
      <c r="K24" s="73"/>
      <c r="L24" s="11" t="s">
        <v>9</v>
      </c>
      <c r="M24" s="11"/>
      <c r="N24" s="39"/>
      <c r="O24" s="69"/>
      <c r="P24" s="15"/>
      <c r="Q24" s="18"/>
      <c r="R24" s="39"/>
      <c r="S24" s="17"/>
      <c r="T24" s="88"/>
      <c r="U24" s="17">
        <f t="shared" si="0"/>
        <v>0</v>
      </c>
      <c r="V24" s="88"/>
      <c r="W24" s="88"/>
      <c r="X24" s="88"/>
      <c r="Y24" s="39"/>
      <c r="Z24" s="39"/>
      <c r="AA24" s="39"/>
      <c r="AB24" s="23"/>
      <c r="AC24" s="59"/>
      <c r="AD24" s="64"/>
      <c r="AE24" s="55"/>
      <c r="AF24" s="65"/>
      <c r="AG24" s="55"/>
      <c r="AH24" s="65"/>
      <c r="AI24" s="64"/>
      <c r="AJ24" s="66"/>
      <c r="AK24" s="64"/>
      <c r="AL24" s="23"/>
      <c r="AM24" s="59"/>
      <c r="AN24" s="64"/>
      <c r="AO24" s="55"/>
      <c r="AP24" s="65"/>
      <c r="AQ24" s="55"/>
      <c r="AR24" s="65"/>
      <c r="AS24" s="64"/>
      <c r="AT24" s="66"/>
      <c r="AU24" s="64"/>
      <c r="AV24" s="23"/>
      <c r="AW24" s="59"/>
      <c r="AX24" s="64"/>
      <c r="AY24" s="55"/>
      <c r="AZ24" s="65"/>
      <c r="BA24" s="55"/>
      <c r="BB24" s="65"/>
      <c r="BC24" s="64"/>
      <c r="BD24" s="66"/>
      <c r="BE24" s="15"/>
      <c r="BF24" s="23"/>
      <c r="BG24" s="59"/>
      <c r="BH24" s="64"/>
      <c r="BI24" s="55"/>
      <c r="BJ24" s="65"/>
      <c r="BK24" s="55"/>
      <c r="BL24" s="65"/>
      <c r="BM24" s="64"/>
      <c r="BN24" s="66"/>
      <c r="BO24" s="64"/>
      <c r="BP24" s="23"/>
      <c r="BQ24" s="59"/>
      <c r="BR24" s="64"/>
      <c r="BS24" s="55"/>
      <c r="BT24" s="65"/>
      <c r="BU24" s="55"/>
      <c r="BV24" s="65"/>
      <c r="BW24" s="64"/>
      <c r="BX24" s="66"/>
      <c r="BY24" s="15"/>
      <c r="BZ24" s="23"/>
      <c r="CA24" s="59"/>
      <c r="CB24" s="64"/>
      <c r="CC24" s="55"/>
      <c r="CD24" s="65"/>
      <c r="CE24" s="55"/>
      <c r="CF24" s="65"/>
      <c r="CG24" s="64"/>
      <c r="CH24" s="66"/>
      <c r="CI24" s="64"/>
      <c r="CJ24" s="23"/>
      <c r="CK24" s="59"/>
      <c r="CL24" s="64"/>
      <c r="CM24" s="55"/>
      <c r="CN24" s="65"/>
      <c r="CO24" s="55"/>
      <c r="CP24" s="65"/>
      <c r="CQ24" s="64"/>
      <c r="CR24" s="66"/>
      <c r="CS24" s="77"/>
      <c r="CT24" s="23"/>
      <c r="CU24" s="59"/>
      <c r="CV24" s="64"/>
      <c r="CW24" s="55"/>
      <c r="CX24" s="65"/>
      <c r="CY24" s="55"/>
      <c r="CZ24" s="65"/>
      <c r="DA24" s="64"/>
      <c r="DB24" s="66"/>
      <c r="DC24" s="64"/>
      <c r="DD24" s="23"/>
      <c r="DE24" s="59"/>
      <c r="DF24" s="64"/>
      <c r="DG24" s="55"/>
      <c r="DH24" s="65"/>
      <c r="DI24" s="55"/>
      <c r="DJ24" s="65"/>
      <c r="DK24" s="64"/>
      <c r="DL24" s="66"/>
      <c r="DM24" s="15"/>
      <c r="DN24" s="23"/>
      <c r="DO24" s="23"/>
    </row>
    <row r="25" spans="1:119" ht="15" customHeight="1" x14ac:dyDescent="0.35">
      <c r="A25" s="90"/>
      <c r="B25" s="92"/>
      <c r="C25" s="43"/>
      <c r="E25" s="161">
        <v>44102</v>
      </c>
      <c r="F25" s="73"/>
      <c r="G25" s="135" t="s">
        <v>606</v>
      </c>
      <c r="H25" s="295">
        <v>-588.6</v>
      </c>
      <c r="I25" s="295"/>
      <c r="J25" s="162">
        <f t="shared" si="2"/>
        <v>-588.6</v>
      </c>
      <c r="K25" s="73"/>
      <c r="L25" s="94" t="s">
        <v>9</v>
      </c>
      <c r="M25" s="94"/>
      <c r="N25" s="167"/>
      <c r="O25" s="283"/>
      <c r="P25" s="15"/>
      <c r="Q25" s="18"/>
      <c r="R25" s="39"/>
      <c r="S25" s="17"/>
      <c r="T25" s="88"/>
      <c r="U25" s="17">
        <f t="shared" si="0"/>
        <v>0</v>
      </c>
      <c r="V25" s="88"/>
      <c r="W25" s="88"/>
      <c r="X25" s="88"/>
      <c r="Y25" s="39"/>
      <c r="Z25" s="39"/>
      <c r="AA25" s="39"/>
      <c r="AB25" s="23"/>
      <c r="AC25" s="59"/>
      <c r="AD25" s="64"/>
      <c r="AE25" s="55"/>
      <c r="AF25" s="65"/>
      <c r="AG25" s="55"/>
      <c r="AH25" s="65"/>
      <c r="AI25" s="64"/>
      <c r="AJ25" s="66"/>
      <c r="AK25" s="64"/>
      <c r="AL25" s="23"/>
      <c r="AM25" s="59"/>
      <c r="AN25" s="64"/>
      <c r="AO25" s="55"/>
      <c r="AP25" s="65"/>
      <c r="AQ25" s="55"/>
      <c r="AR25" s="65"/>
      <c r="AS25" s="64"/>
      <c r="AT25" s="66"/>
      <c r="AU25" s="64"/>
      <c r="AV25" s="23"/>
      <c r="AW25" s="59"/>
      <c r="AX25" s="64"/>
      <c r="AY25" s="55"/>
      <c r="AZ25" s="65"/>
      <c r="BA25" s="55"/>
      <c r="BB25" s="65"/>
      <c r="BC25" s="64"/>
      <c r="BD25" s="66"/>
      <c r="BE25" s="15"/>
      <c r="BF25" s="23"/>
      <c r="BG25" s="59"/>
      <c r="BH25" s="64"/>
      <c r="BI25" s="55"/>
      <c r="BJ25" s="65"/>
      <c r="BK25" s="55"/>
      <c r="BL25" s="65"/>
      <c r="BM25" s="64"/>
      <c r="BN25" s="66"/>
      <c r="BO25" s="64"/>
      <c r="BP25" s="23"/>
      <c r="BQ25" s="59"/>
      <c r="BR25" s="64"/>
      <c r="BS25" s="55"/>
      <c r="BT25" s="65"/>
      <c r="BU25" s="55"/>
      <c r="BV25" s="65"/>
      <c r="BW25" s="64"/>
      <c r="BX25" s="66"/>
      <c r="BY25" s="15"/>
      <c r="BZ25" s="23"/>
      <c r="CA25" s="59"/>
      <c r="CB25" s="64"/>
      <c r="CC25" s="55"/>
      <c r="CD25" s="65"/>
      <c r="CE25" s="55"/>
      <c r="CF25" s="65"/>
      <c r="CG25" s="64"/>
      <c r="CH25" s="66"/>
      <c r="CI25" s="64"/>
      <c r="CJ25" s="23"/>
      <c r="CK25" s="59"/>
      <c r="CL25" s="64"/>
      <c r="CM25" s="55"/>
      <c r="CN25" s="65"/>
      <c r="CO25" s="55"/>
      <c r="CP25" s="65"/>
      <c r="CQ25" s="64"/>
      <c r="CR25" s="66"/>
      <c r="CS25" s="64"/>
      <c r="CT25" s="23"/>
      <c r="CU25" s="59"/>
      <c r="CV25" s="64"/>
      <c r="CW25" s="55"/>
      <c r="CX25" s="65"/>
      <c r="CY25" s="55"/>
      <c r="CZ25" s="65"/>
      <c r="DA25" s="64"/>
      <c r="DB25" s="66"/>
      <c r="DC25" s="64"/>
      <c r="DD25" s="23"/>
      <c r="DE25" s="59"/>
      <c r="DF25" s="64"/>
      <c r="DG25" s="55"/>
      <c r="DH25" s="65"/>
      <c r="DI25" s="55"/>
      <c r="DJ25" s="65"/>
      <c r="DK25" s="64"/>
      <c r="DL25" s="66"/>
      <c r="DM25" s="15"/>
      <c r="DN25" s="23"/>
      <c r="DO25" s="23"/>
    </row>
    <row r="26" spans="1:119" ht="15" customHeight="1" x14ac:dyDescent="0.35">
      <c r="A26" s="90"/>
      <c r="B26" s="92"/>
      <c r="C26" s="43"/>
      <c r="E26" s="18"/>
      <c r="F26" s="11"/>
      <c r="G26" s="36"/>
      <c r="H26" s="36"/>
      <c r="I26" s="17">
        <f t="shared" ref="I26:I34" si="3">G26+H26</f>
        <v>0</v>
      </c>
      <c r="J26" s="36"/>
      <c r="K26" s="11"/>
      <c r="L26" s="11"/>
      <c r="M26" s="11"/>
      <c r="N26" s="39"/>
      <c r="O26" s="69"/>
      <c r="P26" s="15"/>
      <c r="Q26" s="18"/>
      <c r="R26" s="39"/>
      <c r="S26" s="17"/>
      <c r="T26" s="88"/>
      <c r="U26" s="17">
        <f t="shared" si="0"/>
        <v>0</v>
      </c>
      <c r="V26" s="88"/>
      <c r="W26" s="88"/>
      <c r="X26" s="88"/>
      <c r="Y26" s="39"/>
      <c r="Z26" s="39"/>
      <c r="AA26" s="39"/>
      <c r="AB26" s="23"/>
      <c r="AC26" s="59"/>
      <c r="AD26" s="64"/>
      <c r="AE26" s="55"/>
      <c r="AF26" s="65"/>
      <c r="AG26" s="55"/>
      <c r="AH26" s="65"/>
      <c r="AI26" s="64"/>
      <c r="AJ26" s="66"/>
      <c r="AK26" s="64"/>
      <c r="AL26" s="23"/>
      <c r="AM26" s="59"/>
      <c r="AN26" s="64"/>
      <c r="AO26" s="55"/>
      <c r="AP26" s="65"/>
      <c r="AQ26" s="55"/>
      <c r="AR26" s="65"/>
      <c r="AS26" s="64"/>
      <c r="AT26" s="66"/>
      <c r="AU26" s="64"/>
      <c r="AV26" s="23"/>
      <c r="AW26" s="59"/>
      <c r="AX26" s="64"/>
      <c r="AY26" s="55"/>
      <c r="AZ26" s="65"/>
      <c r="BA26" s="55"/>
      <c r="BB26" s="65"/>
      <c r="BC26" s="64"/>
      <c r="BD26" s="66"/>
      <c r="BE26" s="15"/>
      <c r="BF26" s="23"/>
      <c r="BG26" s="59"/>
      <c r="BH26" s="64"/>
      <c r="BI26" s="55"/>
      <c r="BJ26" s="65"/>
      <c r="BK26" s="55"/>
      <c r="BL26" s="65"/>
      <c r="BM26" s="64"/>
      <c r="BN26" s="66"/>
      <c r="BO26" s="64"/>
      <c r="BP26" s="23"/>
      <c r="BQ26" s="59"/>
      <c r="BR26" s="64"/>
      <c r="BS26" s="55"/>
      <c r="BT26" s="65"/>
      <c r="BU26" s="55"/>
      <c r="BV26" s="65"/>
      <c r="BW26" s="64"/>
      <c r="BX26" s="66"/>
      <c r="BY26" s="15"/>
      <c r="BZ26" s="23"/>
      <c r="CA26" s="59"/>
      <c r="CB26" s="64"/>
      <c r="CC26" s="55"/>
      <c r="CD26" s="65"/>
      <c r="CE26" s="55"/>
      <c r="CF26" s="65"/>
      <c r="CG26" s="64"/>
      <c r="CH26" s="66"/>
      <c r="CI26" s="64"/>
      <c r="CJ26" s="23"/>
      <c r="CK26" s="59"/>
      <c r="CL26" s="64"/>
      <c r="CM26" s="55"/>
      <c r="CN26" s="65"/>
      <c r="CO26" s="55"/>
      <c r="CP26" s="65"/>
      <c r="CQ26" s="64"/>
      <c r="CR26" s="66"/>
      <c r="CS26" s="64"/>
      <c r="CT26" s="23"/>
      <c r="CU26" s="59"/>
      <c r="CV26" s="64"/>
      <c r="CW26" s="55"/>
      <c r="CX26" s="65"/>
      <c r="CY26" s="55"/>
      <c r="CZ26" s="65"/>
      <c r="DA26" s="64"/>
      <c r="DB26" s="66"/>
      <c r="DC26" s="64"/>
      <c r="DD26" s="23"/>
      <c r="DE26" s="59"/>
      <c r="DF26" s="64"/>
      <c r="DG26" s="55"/>
      <c r="DH26" s="65"/>
      <c r="DI26" s="55"/>
      <c r="DJ26" s="65"/>
      <c r="DK26" s="64"/>
      <c r="DL26" s="66"/>
      <c r="DM26" s="15"/>
      <c r="DN26" s="23"/>
      <c r="DO26" s="23"/>
    </row>
    <row r="27" spans="1:119" ht="15" customHeight="1" x14ac:dyDescent="0.35">
      <c r="A27" s="90"/>
      <c r="B27" s="92"/>
      <c r="C27" s="44"/>
      <c r="E27" s="18"/>
      <c r="F27" s="11"/>
      <c r="G27" s="36"/>
      <c r="H27" s="36"/>
      <c r="I27" s="17">
        <f t="shared" si="3"/>
        <v>0</v>
      </c>
      <c r="J27" s="36"/>
      <c r="K27" s="11"/>
      <c r="L27" s="11"/>
      <c r="M27" s="11"/>
      <c r="N27" s="39"/>
      <c r="O27" s="69"/>
      <c r="P27" s="15"/>
      <c r="Q27" s="18"/>
      <c r="R27" s="39"/>
      <c r="S27" s="17"/>
      <c r="T27" s="88"/>
      <c r="U27" s="17">
        <f t="shared" si="0"/>
        <v>0</v>
      </c>
      <c r="V27" s="88"/>
      <c r="W27" s="88"/>
      <c r="X27" s="88"/>
      <c r="Y27" s="39"/>
      <c r="Z27" s="39"/>
      <c r="AA27" s="39"/>
      <c r="AB27" s="23"/>
      <c r="AC27" s="59"/>
      <c r="AD27" s="64"/>
      <c r="AE27" s="55"/>
      <c r="AF27" s="65"/>
      <c r="AG27" s="55"/>
      <c r="AH27" s="65"/>
      <c r="AI27" s="64"/>
      <c r="AJ27" s="66"/>
      <c r="AK27" s="64"/>
      <c r="AL27" s="23"/>
      <c r="AM27" s="59"/>
      <c r="AN27" s="64"/>
      <c r="AO27" s="55"/>
      <c r="AP27" s="65"/>
      <c r="AQ27" s="55"/>
      <c r="AR27" s="65"/>
      <c r="AS27" s="64"/>
      <c r="AT27" s="66"/>
      <c r="AU27" s="64"/>
      <c r="AV27" s="23"/>
      <c r="AW27" s="59"/>
      <c r="AX27" s="64"/>
      <c r="AY27" s="55"/>
      <c r="AZ27" s="65"/>
      <c r="BA27" s="55"/>
      <c r="BB27" s="65"/>
      <c r="BC27" s="64"/>
      <c r="BD27" s="66"/>
      <c r="BE27" s="15"/>
      <c r="BF27" s="23"/>
      <c r="BG27" s="59"/>
      <c r="BH27" s="64"/>
      <c r="BI27" s="55"/>
      <c r="BJ27" s="65"/>
      <c r="BK27" s="55"/>
      <c r="BL27" s="65"/>
      <c r="BM27" s="64"/>
      <c r="BN27" s="66"/>
      <c r="BO27" s="64"/>
      <c r="BP27" s="23"/>
      <c r="BQ27" s="59"/>
      <c r="BR27" s="64"/>
      <c r="BS27" s="55"/>
      <c r="BT27" s="65"/>
      <c r="BU27" s="55"/>
      <c r="BV27" s="65"/>
      <c r="BW27" s="64"/>
      <c r="BX27" s="66"/>
      <c r="BY27" s="15"/>
      <c r="BZ27" s="23"/>
      <c r="CA27" s="59"/>
      <c r="CB27" s="64"/>
      <c r="CC27" s="55"/>
      <c r="CD27" s="65"/>
      <c r="CE27" s="55"/>
      <c r="CF27" s="65"/>
      <c r="CG27" s="64"/>
      <c r="CH27" s="66"/>
      <c r="CI27" s="64"/>
      <c r="CJ27" s="23"/>
      <c r="CK27" s="59"/>
      <c r="CL27" s="64"/>
      <c r="CM27" s="55"/>
      <c r="CN27" s="65"/>
      <c r="CO27" s="55"/>
      <c r="CP27" s="65"/>
      <c r="CQ27" s="64"/>
      <c r="CR27" s="66"/>
      <c r="CS27" s="64"/>
      <c r="CT27" s="23"/>
      <c r="CU27" s="59"/>
      <c r="CV27" s="64"/>
      <c r="CW27" s="55"/>
      <c r="CX27" s="65"/>
      <c r="CY27" s="55"/>
      <c r="CZ27" s="65"/>
      <c r="DA27" s="64"/>
      <c r="DB27" s="66"/>
      <c r="DC27" s="64"/>
      <c r="DD27" s="23"/>
      <c r="DE27" s="59"/>
      <c r="DF27" s="64"/>
      <c r="DG27" s="55"/>
      <c r="DH27" s="65"/>
      <c r="DI27" s="55"/>
      <c r="DJ27" s="65"/>
      <c r="DK27" s="64"/>
      <c r="DL27" s="66"/>
      <c r="DM27" s="15"/>
      <c r="DN27" s="23"/>
      <c r="DO27" s="23"/>
    </row>
    <row r="28" spans="1:119" ht="15" customHeight="1" x14ac:dyDescent="0.35">
      <c r="A28" s="90"/>
      <c r="B28" s="179"/>
      <c r="C28" s="44"/>
      <c r="E28" s="18"/>
      <c r="F28" s="11"/>
      <c r="G28" s="36"/>
      <c r="H28" s="36"/>
      <c r="I28" s="17">
        <f t="shared" si="3"/>
        <v>0</v>
      </c>
      <c r="J28" s="36"/>
      <c r="K28" s="11"/>
      <c r="L28" s="11"/>
      <c r="M28" s="11"/>
      <c r="N28" s="39"/>
      <c r="O28" s="69"/>
      <c r="P28" s="15"/>
      <c r="Q28" s="18"/>
      <c r="R28" s="39"/>
      <c r="S28" s="17"/>
      <c r="T28" s="88"/>
      <c r="U28" s="17">
        <f t="shared" si="0"/>
        <v>0</v>
      </c>
      <c r="V28" s="88"/>
      <c r="W28" s="88"/>
      <c r="X28" s="88"/>
      <c r="Y28" s="39"/>
      <c r="Z28" s="39"/>
      <c r="AA28" s="39"/>
      <c r="AB28" s="23"/>
      <c r="AC28" s="59"/>
      <c r="AD28" s="64"/>
      <c r="AE28" s="55"/>
      <c r="AF28" s="65"/>
      <c r="AG28" s="55"/>
      <c r="AH28" s="65"/>
      <c r="AI28" s="64"/>
      <c r="AJ28" s="66"/>
      <c r="AK28" s="64"/>
      <c r="AL28" s="23"/>
      <c r="AM28" s="59"/>
      <c r="AN28" s="64"/>
      <c r="AO28" s="55"/>
      <c r="AP28" s="65"/>
      <c r="AQ28" s="55"/>
      <c r="AR28" s="65"/>
      <c r="AS28" s="64"/>
      <c r="AT28" s="66"/>
      <c r="AU28" s="64"/>
      <c r="AV28" s="23"/>
      <c r="AW28" s="59"/>
      <c r="AX28" s="64"/>
      <c r="AY28" s="55"/>
      <c r="AZ28" s="65"/>
      <c r="BA28" s="55"/>
      <c r="BB28" s="65"/>
      <c r="BC28" s="64"/>
      <c r="BD28" s="66"/>
      <c r="BE28" s="15"/>
      <c r="BF28" s="23"/>
      <c r="BG28" s="59"/>
      <c r="BH28" s="64"/>
      <c r="BI28" s="55"/>
      <c r="BJ28" s="65"/>
      <c r="BK28" s="55"/>
      <c r="BL28" s="65"/>
      <c r="BM28" s="64"/>
      <c r="BN28" s="66"/>
      <c r="BO28" s="64"/>
      <c r="BP28" s="23"/>
      <c r="BQ28" s="59"/>
      <c r="BR28" s="64"/>
      <c r="BS28" s="55"/>
      <c r="BT28" s="65"/>
      <c r="BU28" s="55"/>
      <c r="BV28" s="65"/>
      <c r="BW28" s="64"/>
      <c r="BX28" s="66"/>
      <c r="BY28" s="15"/>
      <c r="BZ28" s="23"/>
      <c r="CA28" s="59"/>
      <c r="CB28" s="64"/>
      <c r="CC28" s="55"/>
      <c r="CD28" s="65"/>
      <c r="CE28" s="55"/>
      <c r="CF28" s="65"/>
      <c r="CG28" s="64"/>
      <c r="CH28" s="66"/>
      <c r="CI28" s="64"/>
      <c r="CJ28" s="23"/>
      <c r="CK28" s="59"/>
      <c r="CL28" s="64"/>
      <c r="CM28" s="55"/>
      <c r="CN28" s="65"/>
      <c r="CO28" s="55"/>
      <c r="CP28" s="65"/>
      <c r="CQ28" s="64"/>
      <c r="CR28" s="66"/>
      <c r="CS28" s="64"/>
      <c r="CT28" s="23"/>
      <c r="CU28" s="59"/>
      <c r="CV28" s="64"/>
      <c r="CW28" s="55"/>
      <c r="CX28" s="65"/>
      <c r="CY28" s="55"/>
      <c r="CZ28" s="65"/>
      <c r="DA28" s="64"/>
      <c r="DB28" s="66"/>
      <c r="DC28" s="64"/>
      <c r="DD28" s="23"/>
      <c r="DE28" s="59"/>
      <c r="DF28" s="64"/>
      <c r="DG28" s="55"/>
      <c r="DH28" s="65"/>
      <c r="DI28" s="55"/>
      <c r="DJ28" s="65"/>
      <c r="DK28" s="64"/>
      <c r="DL28" s="66"/>
      <c r="DM28" s="15"/>
      <c r="DN28" s="23"/>
      <c r="DO28" s="23"/>
    </row>
    <row r="29" spans="1:119" ht="15" customHeight="1" x14ac:dyDescent="0.35">
      <c r="A29" s="91"/>
      <c r="B29" s="179"/>
      <c r="E29" s="18"/>
      <c r="F29" s="11"/>
      <c r="G29" s="36"/>
      <c r="H29" s="36"/>
      <c r="I29" s="17">
        <f t="shared" si="3"/>
        <v>0</v>
      </c>
      <c r="J29" s="36"/>
      <c r="K29" s="11"/>
      <c r="L29" s="11"/>
      <c r="M29" s="11"/>
      <c r="N29" s="39"/>
      <c r="O29" s="69"/>
      <c r="P29" s="15"/>
      <c r="Q29" s="18"/>
      <c r="R29" s="39"/>
      <c r="S29" s="17"/>
      <c r="T29" s="88"/>
      <c r="U29" s="17">
        <f t="shared" si="0"/>
        <v>0</v>
      </c>
      <c r="V29" s="88"/>
      <c r="W29" s="88"/>
      <c r="X29" s="88"/>
      <c r="Y29" s="39"/>
      <c r="Z29" s="39"/>
      <c r="AA29" s="39"/>
      <c r="AB29" s="23"/>
      <c r="AC29" s="59"/>
      <c r="AD29" s="64"/>
      <c r="AE29" s="55"/>
      <c r="AF29" s="65"/>
      <c r="AG29" s="55"/>
      <c r="AH29" s="65"/>
      <c r="AI29" s="64"/>
      <c r="AJ29" s="66"/>
      <c r="AK29" s="64"/>
      <c r="AL29" s="23"/>
      <c r="AM29" s="59"/>
      <c r="AN29" s="64"/>
      <c r="AO29" s="55"/>
      <c r="AP29" s="65"/>
      <c r="AQ29" s="55"/>
      <c r="AR29" s="65"/>
      <c r="AS29" s="64"/>
      <c r="AT29" s="66"/>
      <c r="AU29" s="64"/>
      <c r="AV29" s="23"/>
      <c r="AW29" s="59"/>
      <c r="AX29" s="64"/>
      <c r="AY29" s="55"/>
      <c r="AZ29" s="65"/>
      <c r="BA29" s="55"/>
      <c r="BB29" s="65"/>
      <c r="BC29" s="64"/>
      <c r="BD29" s="66"/>
      <c r="BE29" s="15"/>
      <c r="BF29" s="23"/>
      <c r="BG29" s="59"/>
      <c r="BH29" s="64"/>
      <c r="BI29" s="55"/>
      <c r="BJ29" s="65"/>
      <c r="BK29" s="55"/>
      <c r="BL29" s="65"/>
      <c r="BM29" s="64"/>
      <c r="BN29" s="66"/>
      <c r="BO29" s="64"/>
      <c r="BP29" s="23"/>
      <c r="BQ29" s="59"/>
      <c r="BR29" s="64"/>
      <c r="BS29" s="55"/>
      <c r="BT29" s="65"/>
      <c r="BU29" s="55"/>
      <c r="BV29" s="65"/>
      <c r="BW29" s="64"/>
      <c r="BX29" s="66"/>
      <c r="BY29" s="15"/>
      <c r="BZ29" s="23"/>
      <c r="CA29" s="59"/>
      <c r="CB29" s="64"/>
      <c r="CC29" s="55"/>
      <c r="CD29" s="65"/>
      <c r="CE29" s="55"/>
      <c r="CF29" s="65"/>
      <c r="CG29" s="64"/>
      <c r="CH29" s="66"/>
      <c r="CI29" s="64"/>
      <c r="CJ29" s="23"/>
      <c r="CK29" s="59"/>
      <c r="CL29" s="64"/>
      <c r="CM29" s="55"/>
      <c r="CN29" s="65"/>
      <c r="CO29" s="55"/>
      <c r="CP29" s="65"/>
      <c r="CQ29" s="64"/>
      <c r="CR29" s="66"/>
      <c r="CS29" s="64"/>
      <c r="CT29" s="23"/>
      <c r="CU29" s="59"/>
      <c r="CV29" s="64"/>
      <c r="CW29" s="55"/>
      <c r="CX29" s="65"/>
      <c r="CY29" s="55"/>
      <c r="CZ29" s="65"/>
      <c r="DA29" s="64"/>
      <c r="DB29" s="66"/>
      <c r="DC29" s="64"/>
      <c r="DD29" s="23"/>
      <c r="DE29" s="59"/>
      <c r="DF29" s="64"/>
      <c r="DG29" s="55"/>
      <c r="DH29" s="65"/>
      <c r="DI29" s="55"/>
      <c r="DJ29" s="65"/>
      <c r="DK29" s="64"/>
      <c r="DL29" s="66"/>
      <c r="DM29" s="15"/>
      <c r="DN29" s="23"/>
      <c r="DO29" s="23"/>
    </row>
    <row r="30" spans="1:119" ht="15" customHeight="1" x14ac:dyDescent="0.35">
      <c r="A30" s="90"/>
      <c r="B30" s="179"/>
      <c r="E30" s="18"/>
      <c r="F30" s="11"/>
      <c r="G30" s="36"/>
      <c r="H30" s="36"/>
      <c r="I30" s="17">
        <f t="shared" si="3"/>
        <v>0</v>
      </c>
      <c r="J30" s="36"/>
      <c r="K30" s="11"/>
      <c r="L30" s="11"/>
      <c r="M30" s="11"/>
      <c r="N30" s="39"/>
      <c r="O30" s="69"/>
      <c r="P30" s="15"/>
      <c r="Q30" s="18"/>
      <c r="R30" s="39"/>
      <c r="S30" s="17"/>
      <c r="T30" s="88"/>
      <c r="U30" s="17">
        <f t="shared" si="0"/>
        <v>0</v>
      </c>
      <c r="V30" s="88"/>
      <c r="W30" s="88"/>
      <c r="X30" s="88"/>
      <c r="Y30" s="39"/>
      <c r="Z30" s="39"/>
      <c r="AA30" s="39"/>
      <c r="AB30" s="23"/>
      <c r="AC30" s="59"/>
      <c r="AD30" s="64"/>
      <c r="AE30" s="55"/>
      <c r="AF30" s="65"/>
      <c r="AG30" s="55"/>
      <c r="AH30" s="65"/>
      <c r="AI30" s="64"/>
      <c r="AJ30" s="66"/>
      <c r="AK30" s="64"/>
      <c r="AL30" s="23"/>
      <c r="AM30" s="59"/>
      <c r="AN30" s="64"/>
      <c r="AO30" s="55"/>
      <c r="AP30" s="65"/>
      <c r="AQ30" s="55"/>
      <c r="AR30" s="65"/>
      <c r="AS30" s="64"/>
      <c r="AT30" s="66"/>
      <c r="AU30" s="64"/>
      <c r="AV30" s="23"/>
      <c r="AW30" s="59"/>
      <c r="AX30" s="64"/>
      <c r="AY30" s="55"/>
      <c r="AZ30" s="65"/>
      <c r="BA30" s="55"/>
      <c r="BB30" s="65"/>
      <c r="BC30" s="64"/>
      <c r="BD30" s="66"/>
      <c r="BE30" s="15"/>
      <c r="BF30" s="23"/>
      <c r="BG30" s="59"/>
      <c r="BH30" s="64"/>
      <c r="BI30" s="55"/>
      <c r="BJ30" s="65"/>
      <c r="BK30" s="55"/>
      <c r="BL30" s="65"/>
      <c r="BM30" s="64"/>
      <c r="BN30" s="66"/>
      <c r="BO30" s="64"/>
      <c r="BP30" s="23"/>
      <c r="BQ30" s="59"/>
      <c r="BR30" s="64"/>
      <c r="BS30" s="55"/>
      <c r="BT30" s="65"/>
      <c r="BU30" s="55"/>
      <c r="BV30" s="65"/>
      <c r="BW30" s="64"/>
      <c r="BX30" s="66"/>
      <c r="BY30" s="15"/>
      <c r="BZ30" s="23"/>
      <c r="CA30" s="59"/>
      <c r="CB30" s="64"/>
      <c r="CC30" s="55"/>
      <c r="CD30" s="65"/>
      <c r="CE30" s="55"/>
      <c r="CF30" s="65"/>
      <c r="CG30" s="64"/>
      <c r="CH30" s="66"/>
      <c r="CI30" s="64"/>
      <c r="CJ30" s="23"/>
      <c r="CK30" s="59"/>
      <c r="CL30" s="64"/>
      <c r="CM30" s="55"/>
      <c r="CN30" s="65"/>
      <c r="CO30" s="55"/>
      <c r="CP30" s="65"/>
      <c r="CQ30" s="64"/>
      <c r="CR30" s="66"/>
      <c r="CS30" s="64"/>
      <c r="CT30" s="23"/>
      <c r="CU30" s="59"/>
      <c r="CV30" s="64"/>
      <c r="CW30" s="55"/>
      <c r="CX30" s="65"/>
      <c r="CY30" s="55"/>
      <c r="CZ30" s="65"/>
      <c r="DA30" s="64"/>
      <c r="DB30" s="66"/>
      <c r="DC30" s="64"/>
      <c r="DD30" s="23"/>
      <c r="DE30" s="59"/>
      <c r="DF30" s="64"/>
      <c r="DG30" s="55"/>
      <c r="DH30" s="65"/>
      <c r="DI30" s="55"/>
      <c r="DJ30" s="65"/>
      <c r="DK30" s="64"/>
      <c r="DL30" s="66"/>
      <c r="DM30" s="15"/>
      <c r="DN30" s="23"/>
      <c r="DO30" s="23"/>
    </row>
    <row r="31" spans="1:119" ht="15" customHeight="1" x14ac:dyDescent="0.35">
      <c r="A31" s="90"/>
      <c r="B31" s="179"/>
      <c r="E31" s="18"/>
      <c r="F31" s="11"/>
      <c r="G31" s="36"/>
      <c r="H31" s="36"/>
      <c r="I31" s="17">
        <f t="shared" si="3"/>
        <v>0</v>
      </c>
      <c r="J31" s="36"/>
      <c r="K31" s="11"/>
      <c r="L31" s="11"/>
      <c r="M31" s="11"/>
      <c r="N31" s="39"/>
      <c r="O31" s="69"/>
      <c r="P31" s="15"/>
      <c r="Q31" s="18"/>
      <c r="R31" s="39"/>
      <c r="S31" s="17"/>
      <c r="T31" s="88"/>
      <c r="U31" s="17">
        <f t="shared" si="0"/>
        <v>0</v>
      </c>
      <c r="V31" s="88"/>
      <c r="W31" s="88"/>
      <c r="X31" s="88"/>
      <c r="Y31" s="39"/>
      <c r="Z31" s="39"/>
      <c r="AA31" s="39"/>
      <c r="AB31" s="23"/>
      <c r="AC31" s="59"/>
      <c r="AD31" s="64"/>
      <c r="AE31" s="55"/>
      <c r="AF31" s="65"/>
      <c r="AG31" s="55"/>
      <c r="AH31" s="65"/>
      <c r="AI31" s="64"/>
      <c r="AJ31" s="66"/>
      <c r="AK31" s="64"/>
      <c r="AL31" s="23"/>
      <c r="AM31" s="59"/>
      <c r="AN31" s="64"/>
      <c r="AO31" s="55"/>
      <c r="AP31" s="65"/>
      <c r="AQ31" s="55"/>
      <c r="AR31" s="65"/>
      <c r="AS31" s="64"/>
      <c r="AT31" s="66"/>
      <c r="AU31" s="64"/>
      <c r="AV31" s="23"/>
      <c r="AW31" s="59"/>
      <c r="AX31" s="64"/>
      <c r="AY31" s="55"/>
      <c r="AZ31" s="65"/>
      <c r="BA31" s="55"/>
      <c r="BB31" s="65"/>
      <c r="BC31" s="64"/>
      <c r="BD31" s="66"/>
      <c r="BE31" s="15"/>
      <c r="BF31" s="23"/>
      <c r="BG31" s="59"/>
      <c r="BH31" s="64"/>
      <c r="BI31" s="55"/>
      <c r="BJ31" s="65"/>
      <c r="BK31" s="55"/>
      <c r="BL31" s="65"/>
      <c r="BM31" s="64"/>
      <c r="BN31" s="66"/>
      <c r="BO31" s="64"/>
      <c r="BP31" s="23"/>
      <c r="BQ31" s="59"/>
      <c r="BR31" s="64"/>
      <c r="BS31" s="55"/>
      <c r="BT31" s="65"/>
      <c r="BU31" s="55"/>
      <c r="BV31" s="65"/>
      <c r="BW31" s="64"/>
      <c r="BX31" s="66"/>
      <c r="BY31" s="15"/>
      <c r="BZ31" s="23"/>
      <c r="CA31" s="59"/>
      <c r="CB31" s="64"/>
      <c r="CC31" s="55"/>
      <c r="CD31" s="65"/>
      <c r="CE31" s="55"/>
      <c r="CF31" s="65"/>
      <c r="CG31" s="64"/>
      <c r="CH31" s="66"/>
      <c r="CI31" s="64"/>
      <c r="CJ31" s="23"/>
      <c r="CK31" s="59"/>
      <c r="CL31" s="64"/>
      <c r="CM31" s="55"/>
      <c r="CN31" s="65"/>
      <c r="CO31" s="55"/>
      <c r="CP31" s="65"/>
      <c r="CQ31" s="64"/>
      <c r="CR31" s="66"/>
      <c r="CS31" s="64"/>
      <c r="CT31" s="23"/>
      <c r="CU31" s="59"/>
      <c r="CV31" s="64"/>
      <c r="CW31" s="55"/>
      <c r="CX31" s="65"/>
      <c r="CY31" s="55"/>
      <c r="CZ31" s="65"/>
      <c r="DA31" s="64"/>
      <c r="DB31" s="66"/>
      <c r="DC31" s="64"/>
      <c r="DD31" s="23"/>
      <c r="DE31" s="59"/>
      <c r="DF31" s="64"/>
      <c r="DG31" s="55"/>
      <c r="DH31" s="65"/>
      <c r="DI31" s="55"/>
      <c r="DJ31" s="65"/>
      <c r="DK31" s="64"/>
      <c r="DL31" s="66"/>
      <c r="DM31" s="15"/>
      <c r="DN31" s="23"/>
      <c r="DO31" s="23"/>
    </row>
    <row r="32" spans="1:119" ht="15" customHeight="1" x14ac:dyDescent="0.35">
      <c r="A32" s="90"/>
      <c r="B32" s="179"/>
      <c r="E32" s="18"/>
      <c r="F32" s="11"/>
      <c r="G32" s="36"/>
      <c r="H32" s="36"/>
      <c r="I32" s="17">
        <f t="shared" si="3"/>
        <v>0</v>
      </c>
      <c r="J32" s="36"/>
      <c r="K32" s="11"/>
      <c r="L32" s="11"/>
      <c r="M32" s="11"/>
      <c r="N32" s="39"/>
      <c r="O32" s="69"/>
      <c r="P32" s="15"/>
      <c r="Q32" s="18"/>
      <c r="R32" s="39"/>
      <c r="S32" s="17"/>
      <c r="T32" s="88"/>
      <c r="U32" s="17">
        <f t="shared" si="0"/>
        <v>0</v>
      </c>
      <c r="V32" s="88"/>
      <c r="W32" s="88"/>
      <c r="X32" s="88"/>
      <c r="Y32" s="39"/>
      <c r="Z32" s="39"/>
      <c r="AA32" s="39"/>
      <c r="AB32" s="23"/>
      <c r="AC32" s="59"/>
      <c r="AD32" s="64"/>
      <c r="AE32" s="55"/>
      <c r="AF32" s="65"/>
      <c r="AG32" s="55"/>
      <c r="AH32" s="65"/>
      <c r="AI32" s="64"/>
      <c r="AJ32" s="66"/>
      <c r="AK32" s="64"/>
      <c r="AL32" s="23"/>
      <c r="AM32" s="59"/>
      <c r="AN32" s="64"/>
      <c r="AO32" s="55"/>
      <c r="AP32" s="65"/>
      <c r="AQ32" s="55"/>
      <c r="AR32" s="65"/>
      <c r="AS32" s="64"/>
      <c r="AT32" s="66"/>
      <c r="AU32" s="64"/>
      <c r="AV32" s="23"/>
      <c r="AW32" s="59"/>
      <c r="AX32" s="64"/>
      <c r="AY32" s="55"/>
      <c r="AZ32" s="65"/>
      <c r="BA32" s="55"/>
      <c r="BB32" s="65"/>
      <c r="BC32" s="64"/>
      <c r="BD32" s="66"/>
      <c r="BE32" s="15"/>
      <c r="BF32" s="23"/>
      <c r="BG32" s="59"/>
      <c r="BH32" s="64"/>
      <c r="BI32" s="55"/>
      <c r="BJ32" s="65"/>
      <c r="BK32" s="55"/>
      <c r="BL32" s="65"/>
      <c r="BM32" s="64"/>
      <c r="BN32" s="66"/>
      <c r="BO32" s="64"/>
      <c r="BP32" s="23"/>
      <c r="BQ32" s="59"/>
      <c r="BR32" s="64"/>
      <c r="BS32" s="55"/>
      <c r="BT32" s="65"/>
      <c r="BU32" s="55"/>
      <c r="BV32" s="65"/>
      <c r="BW32" s="64"/>
      <c r="BX32" s="66"/>
      <c r="BY32" s="15"/>
      <c r="BZ32" s="23"/>
      <c r="CA32" s="59"/>
      <c r="CB32" s="64"/>
      <c r="CC32" s="55"/>
      <c r="CD32" s="65"/>
      <c r="CE32" s="55"/>
      <c r="CF32" s="65"/>
      <c r="CG32" s="64"/>
      <c r="CH32" s="66"/>
      <c r="CI32" s="64"/>
      <c r="CJ32" s="23"/>
      <c r="CK32" s="59"/>
      <c r="CL32" s="64"/>
      <c r="CM32" s="55"/>
      <c r="CN32" s="65"/>
      <c r="CO32" s="55"/>
      <c r="CP32" s="65"/>
      <c r="CQ32" s="64"/>
      <c r="CR32" s="66"/>
      <c r="CS32" s="64"/>
      <c r="CT32" s="23"/>
      <c r="CU32" s="59"/>
      <c r="CV32" s="64"/>
      <c r="CW32" s="55"/>
      <c r="CX32" s="65"/>
      <c r="CY32" s="55"/>
      <c r="CZ32" s="65"/>
      <c r="DA32" s="64"/>
      <c r="DB32" s="66"/>
      <c r="DC32" s="64"/>
      <c r="DD32" s="23"/>
      <c r="DE32" s="59"/>
      <c r="DF32" s="64"/>
      <c r="DG32" s="55"/>
      <c r="DH32" s="65"/>
      <c r="DI32" s="55"/>
      <c r="DJ32" s="65"/>
      <c r="DK32" s="64"/>
      <c r="DL32" s="66"/>
      <c r="DM32" s="15"/>
      <c r="DN32" s="23"/>
      <c r="DO32" s="23"/>
    </row>
    <row r="33" spans="1:119" ht="15" customHeight="1" x14ac:dyDescent="0.35">
      <c r="A33" s="117"/>
      <c r="B33" s="118" t="s">
        <v>86</v>
      </c>
      <c r="E33" s="18"/>
      <c r="F33" s="11"/>
      <c r="G33" s="36"/>
      <c r="H33" s="36"/>
      <c r="I33" s="17">
        <f t="shared" si="3"/>
        <v>0</v>
      </c>
      <c r="J33" s="36"/>
      <c r="K33" s="11"/>
      <c r="L33" s="11"/>
      <c r="M33" s="11"/>
      <c r="N33" s="39"/>
      <c r="O33" s="69"/>
      <c r="P33" s="15"/>
      <c r="Q33" s="18"/>
      <c r="R33" s="39"/>
      <c r="S33" s="17"/>
      <c r="T33" s="88"/>
      <c r="U33" s="17">
        <f t="shared" si="0"/>
        <v>0</v>
      </c>
      <c r="V33" s="88"/>
      <c r="W33" s="88"/>
      <c r="X33" s="88"/>
      <c r="Y33" s="39"/>
      <c r="Z33" s="39"/>
      <c r="AA33" s="39"/>
      <c r="AB33" s="23"/>
      <c r="AC33" s="59"/>
      <c r="AD33" s="64"/>
      <c r="AE33" s="55"/>
      <c r="AF33" s="65"/>
      <c r="AG33" s="55"/>
      <c r="AH33" s="65"/>
      <c r="AI33" s="64"/>
      <c r="AJ33" s="66"/>
      <c r="AK33" s="64"/>
      <c r="AL33" s="23"/>
      <c r="AM33" s="59"/>
      <c r="AN33" s="64"/>
      <c r="AO33" s="55"/>
      <c r="AP33" s="65"/>
      <c r="AQ33" s="55"/>
      <c r="AR33" s="65"/>
      <c r="AS33" s="64"/>
      <c r="AT33" s="66"/>
      <c r="AU33" s="64"/>
      <c r="AV33" s="23"/>
      <c r="AW33" s="59"/>
      <c r="AX33" s="64"/>
      <c r="AY33" s="55"/>
      <c r="AZ33" s="65"/>
      <c r="BA33" s="55"/>
      <c r="BB33" s="65"/>
      <c r="BC33" s="64"/>
      <c r="BD33" s="66"/>
      <c r="BE33" s="15"/>
      <c r="BF33" s="23"/>
      <c r="BG33" s="59"/>
      <c r="BH33" s="64"/>
      <c r="BI33" s="55"/>
      <c r="BJ33" s="65"/>
      <c r="BK33" s="55"/>
      <c r="BL33" s="65"/>
      <c r="BM33" s="64"/>
      <c r="BN33" s="66"/>
      <c r="BO33" s="64"/>
      <c r="BP33" s="23"/>
      <c r="BQ33" s="59"/>
      <c r="BR33" s="64"/>
      <c r="BS33" s="55"/>
      <c r="BT33" s="65"/>
      <c r="BU33" s="55"/>
      <c r="BV33" s="65"/>
      <c r="BW33" s="64"/>
      <c r="BX33" s="66"/>
      <c r="BY33" s="15"/>
      <c r="BZ33" s="23"/>
      <c r="CA33" s="59"/>
      <c r="CB33" s="64"/>
      <c r="CC33" s="55"/>
      <c r="CD33" s="65"/>
      <c r="CE33" s="55"/>
      <c r="CF33" s="65"/>
      <c r="CG33" s="64"/>
      <c r="CH33" s="66"/>
      <c r="CI33" s="64"/>
      <c r="CJ33" s="23"/>
      <c r="CK33" s="59"/>
      <c r="CL33" s="64"/>
      <c r="CM33" s="55"/>
      <c r="CN33" s="65"/>
      <c r="CO33" s="55"/>
      <c r="CP33" s="65"/>
      <c r="CQ33" s="64"/>
      <c r="CR33" s="66"/>
      <c r="CS33" s="64"/>
      <c r="CT33" s="23"/>
      <c r="CU33" s="59"/>
      <c r="CV33" s="64"/>
      <c r="CW33" s="55"/>
      <c r="CX33" s="65"/>
      <c r="CY33" s="55"/>
      <c r="CZ33" s="65"/>
      <c r="DA33" s="64"/>
      <c r="DB33" s="66"/>
      <c r="DC33" s="64"/>
      <c r="DD33" s="23"/>
      <c r="DE33" s="59"/>
      <c r="DF33" s="64"/>
      <c r="DG33" s="55"/>
      <c r="DH33" s="65"/>
      <c r="DI33" s="55"/>
      <c r="DJ33" s="65"/>
      <c r="DK33" s="64"/>
      <c r="DL33" s="66"/>
      <c r="DM33" s="15"/>
      <c r="DN33" s="23"/>
      <c r="DO33" s="23"/>
    </row>
    <row r="34" spans="1:119" ht="15" customHeight="1" x14ac:dyDescent="0.35">
      <c r="A34" s="116"/>
      <c r="B34" s="118" t="s">
        <v>99</v>
      </c>
      <c r="E34" s="18"/>
      <c r="F34" s="11"/>
      <c r="G34" s="36"/>
      <c r="H34" s="36"/>
      <c r="I34" s="17">
        <f t="shared" si="3"/>
        <v>0</v>
      </c>
      <c r="J34" s="36"/>
      <c r="K34" s="11"/>
      <c r="L34" s="11"/>
      <c r="M34" s="11"/>
      <c r="N34" s="39"/>
      <c r="O34" s="11"/>
      <c r="P34" s="15"/>
      <c r="Q34" s="18"/>
      <c r="R34" s="39"/>
      <c r="S34" s="17"/>
      <c r="T34" s="88"/>
      <c r="U34" s="17">
        <f t="shared" si="0"/>
        <v>0</v>
      </c>
      <c r="V34" s="88"/>
      <c r="W34" s="88"/>
      <c r="X34" s="88"/>
      <c r="Y34" s="39"/>
      <c r="Z34" s="39"/>
      <c r="AA34" s="39"/>
      <c r="AB34" s="23"/>
      <c r="AC34" s="59"/>
      <c r="AD34" s="64"/>
      <c r="AE34" s="55"/>
      <c r="AF34" s="65"/>
      <c r="AG34" s="55"/>
      <c r="AH34" s="65"/>
      <c r="AI34" s="64"/>
      <c r="AJ34" s="66"/>
      <c r="AK34" s="64"/>
      <c r="AL34" s="23"/>
      <c r="AM34" s="59"/>
      <c r="AN34" s="64"/>
      <c r="AO34" s="55"/>
      <c r="AP34" s="65"/>
      <c r="AQ34" s="55"/>
      <c r="AR34" s="65"/>
      <c r="AS34" s="64"/>
      <c r="AT34" s="66"/>
      <c r="AU34" s="64"/>
      <c r="AV34" s="23"/>
      <c r="AW34" s="59"/>
      <c r="AX34" s="64"/>
      <c r="AY34" s="55"/>
      <c r="AZ34" s="65"/>
      <c r="BA34" s="55"/>
      <c r="BB34" s="65"/>
      <c r="BC34" s="64"/>
      <c r="BD34" s="66"/>
      <c r="BE34" s="15"/>
      <c r="BF34" s="23"/>
      <c r="BG34" s="59"/>
      <c r="BH34" s="64"/>
      <c r="BI34" s="55"/>
      <c r="BJ34" s="65"/>
      <c r="BK34" s="55"/>
      <c r="BL34" s="65"/>
      <c r="BM34" s="64"/>
      <c r="BN34" s="66"/>
      <c r="BO34" s="64"/>
      <c r="BP34" s="23"/>
      <c r="BQ34" s="59"/>
      <c r="BR34" s="64"/>
      <c r="BS34" s="55"/>
      <c r="BT34" s="65"/>
      <c r="BU34" s="55"/>
      <c r="BV34" s="65"/>
      <c r="BW34" s="64"/>
      <c r="BX34" s="66"/>
      <c r="BY34" s="15"/>
      <c r="BZ34" s="23"/>
      <c r="CA34" s="59"/>
      <c r="CB34" s="64"/>
      <c r="CC34" s="55"/>
      <c r="CD34" s="65"/>
      <c r="CE34" s="55"/>
      <c r="CF34" s="65"/>
      <c r="CG34" s="64"/>
      <c r="CH34" s="66"/>
      <c r="CI34" s="64"/>
      <c r="CJ34" s="23"/>
      <c r="CK34" s="59"/>
      <c r="CL34" s="64"/>
      <c r="CM34" s="55"/>
      <c r="CN34" s="65"/>
      <c r="CO34" s="55"/>
      <c r="CP34" s="65"/>
      <c r="CQ34" s="64"/>
      <c r="CR34" s="66"/>
      <c r="CS34" s="64"/>
      <c r="CT34" s="23"/>
      <c r="CU34" s="59"/>
      <c r="CV34" s="64"/>
      <c r="CW34" s="55"/>
      <c r="CX34" s="65"/>
      <c r="CY34" s="55"/>
      <c r="CZ34" s="65"/>
      <c r="DA34" s="64"/>
      <c r="DB34" s="66"/>
      <c r="DC34" s="64"/>
      <c r="DD34" s="23"/>
      <c r="DE34" s="59"/>
      <c r="DF34" s="64"/>
      <c r="DG34" s="55"/>
      <c r="DH34" s="65"/>
      <c r="DI34" s="55"/>
      <c r="DJ34" s="65"/>
      <c r="DK34" s="64"/>
      <c r="DL34" s="66"/>
      <c r="DM34" s="15"/>
      <c r="DN34" s="23"/>
      <c r="DO34" s="23"/>
    </row>
    <row r="35" spans="1:119" ht="15" customHeight="1" x14ac:dyDescent="0.35">
      <c r="A35" s="170" t="s">
        <v>96</v>
      </c>
      <c r="B35" s="92"/>
      <c r="E35" s="18"/>
      <c r="F35" s="11"/>
      <c r="G35" s="36"/>
      <c r="H35" s="36"/>
      <c r="I35" s="17">
        <f t="shared" ref="I35:I62" si="4">G35+H35</f>
        <v>0</v>
      </c>
      <c r="J35" s="36"/>
      <c r="K35" s="11"/>
      <c r="L35" s="11"/>
      <c r="M35" s="11"/>
      <c r="N35" s="39"/>
      <c r="O35" s="69"/>
      <c r="P35" s="15"/>
      <c r="Q35" s="18"/>
      <c r="R35" s="39"/>
      <c r="S35" s="17"/>
      <c r="T35" s="88"/>
      <c r="U35" s="17">
        <f t="shared" ref="U35:U62" si="5">S35+T35</f>
        <v>0</v>
      </c>
      <c r="V35" s="88"/>
      <c r="W35" s="88"/>
      <c r="X35" s="88"/>
      <c r="Y35" s="39"/>
      <c r="Z35" s="39"/>
      <c r="AA35" s="39"/>
      <c r="AB35" s="23"/>
      <c r="AC35" s="59"/>
      <c r="AD35" s="64"/>
      <c r="AE35" s="55"/>
      <c r="AF35" s="65"/>
      <c r="AG35" s="55"/>
      <c r="AH35" s="65"/>
      <c r="AI35" s="64"/>
      <c r="AJ35" s="66"/>
      <c r="AK35" s="64"/>
      <c r="AL35" s="23"/>
      <c r="AM35" s="59"/>
      <c r="AN35" s="64"/>
      <c r="AO35" s="55"/>
      <c r="AP35" s="65"/>
      <c r="AQ35" s="55"/>
      <c r="AR35" s="65"/>
      <c r="AS35" s="64"/>
      <c r="AT35" s="66"/>
      <c r="AU35" s="64"/>
      <c r="AV35" s="23"/>
      <c r="AW35" s="59"/>
      <c r="AX35" s="64"/>
      <c r="AY35" s="55"/>
      <c r="AZ35" s="65"/>
      <c r="BA35" s="55"/>
      <c r="BB35" s="65"/>
      <c r="BC35" s="64"/>
      <c r="BD35" s="66"/>
      <c r="BE35" s="15"/>
      <c r="BF35" s="23"/>
      <c r="BG35" s="59"/>
      <c r="BH35" s="64"/>
      <c r="BI35" s="55"/>
      <c r="BJ35" s="65"/>
      <c r="BK35" s="55"/>
      <c r="BL35" s="65"/>
      <c r="BM35" s="64"/>
      <c r="BN35" s="66"/>
      <c r="BO35" s="64"/>
      <c r="BP35" s="23"/>
      <c r="BQ35" s="59"/>
      <c r="BR35" s="64"/>
      <c r="BS35" s="55"/>
      <c r="BT35" s="65"/>
      <c r="BU35" s="55"/>
      <c r="BV35" s="65"/>
      <c r="BW35" s="64"/>
      <c r="BX35" s="66"/>
      <c r="BY35" s="15"/>
      <c r="BZ35" s="23"/>
      <c r="CA35" s="59"/>
      <c r="CB35" s="64"/>
      <c r="CC35" s="55"/>
      <c r="CD35" s="65"/>
      <c r="CE35" s="55"/>
      <c r="CF35" s="65"/>
      <c r="CG35" s="64"/>
      <c r="CH35" s="66"/>
      <c r="CI35" s="64"/>
      <c r="CJ35" s="23"/>
      <c r="CK35" s="59"/>
      <c r="CL35" s="64"/>
      <c r="CM35" s="55"/>
      <c r="CN35" s="65"/>
      <c r="CO35" s="55"/>
      <c r="CP35" s="65"/>
      <c r="CQ35" s="64"/>
      <c r="CR35" s="66"/>
      <c r="CS35" s="64"/>
      <c r="CT35" s="23"/>
      <c r="CU35" s="59"/>
      <c r="CV35" s="64"/>
      <c r="CW35" s="55"/>
      <c r="CX35" s="65"/>
      <c r="CY35" s="55"/>
      <c r="CZ35" s="65"/>
      <c r="DA35" s="64"/>
      <c r="DB35" s="66"/>
      <c r="DC35" s="64"/>
      <c r="DD35" s="23"/>
      <c r="DE35" s="59"/>
      <c r="DF35" s="64"/>
      <c r="DG35" s="55"/>
      <c r="DH35" s="65"/>
      <c r="DI35" s="55"/>
      <c r="DJ35" s="65"/>
      <c r="DK35" s="64"/>
      <c r="DL35" s="66"/>
      <c r="DM35" s="15"/>
      <c r="DN35" s="23"/>
      <c r="DO35" s="23"/>
    </row>
    <row r="36" spans="1:119" ht="15" customHeight="1" x14ac:dyDescent="0.35">
      <c r="A36" s="91"/>
      <c r="B36" s="179"/>
      <c r="E36" s="18"/>
      <c r="F36" s="11"/>
      <c r="G36" s="36"/>
      <c r="H36" s="36"/>
      <c r="I36" s="17">
        <f t="shared" si="4"/>
        <v>0</v>
      </c>
      <c r="J36" s="36"/>
      <c r="K36" s="11"/>
      <c r="L36" s="11"/>
      <c r="M36" s="11"/>
      <c r="N36" s="39"/>
      <c r="O36" s="69"/>
      <c r="P36" s="15"/>
      <c r="Q36" s="18"/>
      <c r="R36" s="39"/>
      <c r="S36" s="17"/>
      <c r="T36" s="88"/>
      <c r="U36" s="17">
        <f t="shared" si="5"/>
        <v>0</v>
      </c>
      <c r="V36" s="88"/>
      <c r="W36" s="88"/>
      <c r="X36" s="88"/>
      <c r="Y36" s="39"/>
      <c r="Z36" s="39"/>
      <c r="AA36" s="39"/>
      <c r="AB36" s="23"/>
      <c r="AC36" s="59"/>
      <c r="AD36" s="64"/>
      <c r="AE36" s="55"/>
      <c r="AF36" s="65"/>
      <c r="AG36" s="55"/>
      <c r="AH36" s="65"/>
      <c r="AI36" s="64"/>
      <c r="AJ36" s="66"/>
      <c r="AK36" s="64"/>
      <c r="AL36" s="23"/>
      <c r="AM36" s="59"/>
      <c r="AN36" s="64"/>
      <c r="AO36" s="55"/>
      <c r="AP36" s="65"/>
      <c r="AQ36" s="55"/>
      <c r="AR36" s="65"/>
      <c r="AS36" s="64"/>
      <c r="AT36" s="66"/>
      <c r="AU36" s="64"/>
      <c r="AV36" s="23"/>
      <c r="AW36" s="59"/>
      <c r="AX36" s="64"/>
      <c r="AY36" s="55"/>
      <c r="AZ36" s="65"/>
      <c r="BA36" s="55"/>
      <c r="BB36" s="65"/>
      <c r="BC36" s="64"/>
      <c r="BD36" s="66"/>
      <c r="BE36" s="15"/>
      <c r="BF36" s="23"/>
      <c r="BG36" s="59"/>
      <c r="BH36" s="64"/>
      <c r="BI36" s="55"/>
      <c r="BJ36" s="65"/>
      <c r="BK36" s="55"/>
      <c r="BL36" s="65"/>
      <c r="BM36" s="64"/>
      <c r="BN36" s="66"/>
      <c r="BO36" s="64"/>
      <c r="BP36" s="23"/>
      <c r="BQ36" s="59"/>
      <c r="BR36" s="64"/>
      <c r="BS36" s="55"/>
      <c r="BT36" s="65"/>
      <c r="BU36" s="55"/>
      <c r="BV36" s="65"/>
      <c r="BW36" s="64"/>
      <c r="BX36" s="66"/>
      <c r="BY36" s="15"/>
      <c r="BZ36" s="23"/>
      <c r="CA36" s="59"/>
      <c r="CB36" s="64"/>
      <c r="CC36" s="55"/>
      <c r="CD36" s="65"/>
      <c r="CE36" s="55"/>
      <c r="CF36" s="65"/>
      <c r="CG36" s="64"/>
      <c r="CH36" s="66"/>
      <c r="CI36" s="64"/>
      <c r="CJ36" s="23"/>
      <c r="CK36" s="59"/>
      <c r="CL36" s="64"/>
      <c r="CM36" s="55"/>
      <c r="CN36" s="65"/>
      <c r="CO36" s="55"/>
      <c r="CP36" s="65"/>
      <c r="CQ36" s="64"/>
      <c r="CR36" s="66"/>
      <c r="CS36" s="64"/>
      <c r="CT36" s="23"/>
      <c r="CU36" s="59"/>
      <c r="CV36" s="64"/>
      <c r="CW36" s="55"/>
      <c r="CX36" s="65"/>
      <c r="CY36" s="55"/>
      <c r="CZ36" s="65"/>
      <c r="DA36" s="64"/>
      <c r="DB36" s="66"/>
      <c r="DC36" s="64"/>
      <c r="DD36" s="23"/>
      <c r="DE36" s="59"/>
      <c r="DF36" s="64"/>
      <c r="DG36" s="55"/>
      <c r="DH36" s="65"/>
      <c r="DI36" s="55"/>
      <c r="DJ36" s="65"/>
      <c r="DK36" s="64"/>
      <c r="DL36" s="66"/>
      <c r="DM36" s="15"/>
      <c r="DN36" s="23"/>
      <c r="DO36" s="23"/>
    </row>
    <row r="37" spans="1:119" ht="15" customHeight="1" x14ac:dyDescent="0.35">
      <c r="A37" s="90"/>
      <c r="B37" s="179"/>
      <c r="E37" s="18"/>
      <c r="F37" s="11"/>
      <c r="G37" s="36"/>
      <c r="H37" s="36"/>
      <c r="I37" s="17">
        <f t="shared" si="4"/>
        <v>0</v>
      </c>
      <c r="J37" s="36"/>
      <c r="K37" s="11"/>
      <c r="L37" s="11"/>
      <c r="M37" s="11"/>
      <c r="N37" s="39"/>
      <c r="O37" s="11"/>
      <c r="P37" s="15"/>
      <c r="Q37" s="18"/>
      <c r="R37" s="39"/>
      <c r="S37" s="17"/>
      <c r="T37" s="88"/>
      <c r="U37" s="17">
        <f t="shared" si="5"/>
        <v>0</v>
      </c>
      <c r="V37" s="88"/>
      <c r="W37" s="88"/>
      <c r="X37" s="88"/>
      <c r="Y37" s="39"/>
      <c r="Z37" s="39"/>
      <c r="AA37" s="39"/>
      <c r="AB37" s="23"/>
      <c r="AC37" s="59"/>
      <c r="AD37" s="64"/>
      <c r="AE37" s="55"/>
      <c r="AF37" s="65"/>
      <c r="AG37" s="55"/>
      <c r="AH37" s="65"/>
      <c r="AI37" s="64"/>
      <c r="AJ37" s="66"/>
      <c r="AK37" s="64"/>
      <c r="AL37" s="23"/>
      <c r="AM37" s="59"/>
      <c r="AN37" s="64"/>
      <c r="AO37" s="55"/>
      <c r="AP37" s="65"/>
      <c r="AQ37" s="55"/>
      <c r="AR37" s="65"/>
      <c r="AS37" s="64"/>
      <c r="AT37" s="66"/>
      <c r="AU37" s="64"/>
      <c r="AV37" s="23"/>
      <c r="AW37" s="59"/>
      <c r="AX37" s="64"/>
      <c r="AY37" s="55"/>
      <c r="AZ37" s="65"/>
      <c r="BA37" s="55"/>
      <c r="BB37" s="65"/>
      <c r="BC37" s="64"/>
      <c r="BD37" s="66"/>
      <c r="BE37" s="15"/>
      <c r="BF37" s="23"/>
      <c r="BG37" s="59"/>
      <c r="BH37" s="64"/>
      <c r="BI37" s="55"/>
      <c r="BJ37" s="65"/>
      <c r="BK37" s="55"/>
      <c r="BL37" s="65"/>
      <c r="BM37" s="64"/>
      <c r="BN37" s="66"/>
      <c r="BO37" s="64"/>
      <c r="BP37" s="23"/>
      <c r="BQ37" s="59"/>
      <c r="BR37" s="64"/>
      <c r="BS37" s="55"/>
      <c r="BT37" s="65"/>
      <c r="BU37" s="55"/>
      <c r="BV37" s="65"/>
      <c r="BW37" s="64"/>
      <c r="BX37" s="66"/>
      <c r="BY37" s="15"/>
      <c r="BZ37" s="23"/>
      <c r="CA37" s="59"/>
      <c r="CB37" s="64"/>
      <c r="CC37" s="55"/>
      <c r="CD37" s="65"/>
      <c r="CE37" s="55"/>
      <c r="CF37" s="65"/>
      <c r="CG37" s="64"/>
      <c r="CH37" s="66"/>
      <c r="CI37" s="64"/>
      <c r="CJ37" s="23"/>
      <c r="CK37" s="59"/>
      <c r="CL37" s="64"/>
      <c r="CM37" s="55"/>
      <c r="CN37" s="65"/>
      <c r="CO37" s="55"/>
      <c r="CP37" s="65"/>
      <c r="CQ37" s="64"/>
      <c r="CR37" s="66"/>
      <c r="CS37" s="64"/>
      <c r="CT37" s="23"/>
      <c r="CU37" s="59"/>
      <c r="CV37" s="64"/>
      <c r="CW37" s="55"/>
      <c r="CX37" s="65"/>
      <c r="CY37" s="55"/>
      <c r="CZ37" s="65"/>
      <c r="DA37" s="64"/>
      <c r="DB37" s="66"/>
      <c r="DC37" s="64"/>
      <c r="DD37" s="23"/>
      <c r="DE37" s="59"/>
      <c r="DF37" s="64"/>
      <c r="DG37" s="55"/>
      <c r="DH37" s="65"/>
      <c r="DI37" s="55"/>
      <c r="DJ37" s="65"/>
      <c r="DK37" s="64"/>
      <c r="DL37" s="66"/>
      <c r="DM37" s="15"/>
      <c r="DN37" s="23"/>
      <c r="DO37" s="23"/>
    </row>
    <row r="38" spans="1:119" ht="15" customHeight="1" x14ac:dyDescent="0.35">
      <c r="A38" s="90"/>
      <c r="B38" s="179"/>
      <c r="E38" s="18"/>
      <c r="F38" s="11"/>
      <c r="G38" s="36"/>
      <c r="H38" s="36"/>
      <c r="I38" s="17">
        <f t="shared" si="4"/>
        <v>0</v>
      </c>
      <c r="J38" s="36"/>
      <c r="K38" s="11"/>
      <c r="L38" s="11"/>
      <c r="M38" s="11"/>
      <c r="N38" s="39"/>
      <c r="O38" s="69"/>
      <c r="P38" s="15"/>
      <c r="Q38" s="18"/>
      <c r="R38" s="39"/>
      <c r="S38" s="17"/>
      <c r="T38" s="88"/>
      <c r="U38" s="17">
        <f t="shared" si="5"/>
        <v>0</v>
      </c>
      <c r="V38" s="88"/>
      <c r="W38" s="88"/>
      <c r="X38" s="88"/>
      <c r="Y38" s="39"/>
      <c r="Z38" s="39"/>
      <c r="AA38" s="39"/>
      <c r="AB38" s="23"/>
      <c r="AC38" s="59"/>
      <c r="AD38" s="64"/>
      <c r="AE38" s="55"/>
      <c r="AF38" s="65"/>
      <c r="AG38" s="55"/>
      <c r="AH38" s="65"/>
      <c r="AI38" s="64"/>
      <c r="AJ38" s="66"/>
      <c r="AK38" s="64"/>
      <c r="AL38" s="23"/>
      <c r="AM38" s="59"/>
      <c r="AN38" s="64"/>
      <c r="AO38" s="55"/>
      <c r="AP38" s="65"/>
      <c r="AQ38" s="55"/>
      <c r="AR38" s="65"/>
      <c r="AS38" s="64"/>
      <c r="AT38" s="66"/>
      <c r="AU38" s="64"/>
      <c r="AV38" s="23"/>
      <c r="AW38" s="59"/>
      <c r="AX38" s="64"/>
      <c r="AY38" s="55"/>
      <c r="AZ38" s="65"/>
      <c r="BA38" s="55"/>
      <c r="BB38" s="65"/>
      <c r="BC38" s="64"/>
      <c r="BD38" s="66"/>
      <c r="BE38" s="15"/>
      <c r="BF38" s="23"/>
      <c r="BG38" s="59"/>
      <c r="BH38" s="64"/>
      <c r="BI38" s="55"/>
      <c r="BJ38" s="65"/>
      <c r="BK38" s="55"/>
      <c r="BL38" s="65"/>
      <c r="BM38" s="64"/>
      <c r="BN38" s="66"/>
      <c r="BO38" s="64"/>
      <c r="BP38" s="23"/>
      <c r="BQ38" s="59"/>
      <c r="BR38" s="64"/>
      <c r="BS38" s="55"/>
      <c r="BT38" s="65"/>
      <c r="BU38" s="55"/>
      <c r="BV38" s="65"/>
      <c r="BW38" s="64"/>
      <c r="BX38" s="66"/>
      <c r="BY38" s="15"/>
      <c r="BZ38" s="23"/>
      <c r="CA38" s="59"/>
      <c r="CB38" s="64"/>
      <c r="CC38" s="55"/>
      <c r="CD38" s="65"/>
      <c r="CE38" s="55"/>
      <c r="CF38" s="65"/>
      <c r="CG38" s="64"/>
      <c r="CH38" s="66"/>
      <c r="CI38" s="64"/>
      <c r="CJ38" s="23"/>
      <c r="CK38" s="59"/>
      <c r="CL38" s="64"/>
      <c r="CM38" s="55"/>
      <c r="CN38" s="65"/>
      <c r="CO38" s="55"/>
      <c r="CP38" s="65"/>
      <c r="CQ38" s="64"/>
      <c r="CR38" s="66"/>
      <c r="CS38" s="64"/>
      <c r="CT38" s="23"/>
      <c r="CU38" s="59"/>
      <c r="CV38" s="64"/>
      <c r="CW38" s="55"/>
      <c r="CX38" s="65"/>
      <c r="CY38" s="55"/>
      <c r="CZ38" s="65"/>
      <c r="DA38" s="64"/>
      <c r="DB38" s="66"/>
      <c r="DC38" s="64"/>
      <c r="DD38" s="23"/>
      <c r="DE38" s="59"/>
      <c r="DF38" s="64"/>
      <c r="DG38" s="55"/>
      <c r="DH38" s="65"/>
      <c r="DI38" s="55"/>
      <c r="DJ38" s="65"/>
      <c r="DK38" s="64"/>
      <c r="DL38" s="66"/>
      <c r="DM38" s="15"/>
      <c r="DN38" s="23"/>
      <c r="DO38" s="23"/>
    </row>
    <row r="39" spans="1:119" ht="15" customHeight="1" x14ac:dyDescent="0.35">
      <c r="A39" s="90"/>
      <c r="B39" s="179"/>
      <c r="E39" s="18"/>
      <c r="F39" s="11"/>
      <c r="G39" s="36"/>
      <c r="H39" s="36"/>
      <c r="I39" s="17">
        <f t="shared" si="4"/>
        <v>0</v>
      </c>
      <c r="J39" s="36"/>
      <c r="K39" s="11"/>
      <c r="L39" s="11"/>
      <c r="M39" s="11"/>
      <c r="N39" s="39"/>
      <c r="O39" s="69"/>
      <c r="P39" s="15"/>
      <c r="Q39" s="18"/>
      <c r="R39" s="39"/>
      <c r="S39" s="17"/>
      <c r="T39" s="88"/>
      <c r="U39" s="17">
        <f t="shared" si="5"/>
        <v>0</v>
      </c>
      <c r="V39" s="88"/>
      <c r="W39" s="88"/>
      <c r="X39" s="88"/>
      <c r="Y39" s="39"/>
      <c r="Z39" s="39"/>
      <c r="AA39" s="39"/>
      <c r="AB39" s="23"/>
      <c r="AC39" s="59"/>
      <c r="AD39" s="64"/>
      <c r="AE39" s="55"/>
      <c r="AF39" s="65"/>
      <c r="AG39" s="55"/>
      <c r="AH39" s="65"/>
      <c r="AI39" s="64"/>
      <c r="AJ39" s="66"/>
      <c r="AK39" s="64"/>
      <c r="AL39" s="23"/>
      <c r="AM39" s="59"/>
      <c r="AN39" s="64"/>
      <c r="AO39" s="55"/>
      <c r="AP39" s="65"/>
      <c r="AQ39" s="55"/>
      <c r="AR39" s="65"/>
      <c r="AS39" s="64"/>
      <c r="AT39" s="66"/>
      <c r="AU39" s="64"/>
      <c r="AV39" s="23"/>
      <c r="AW39" s="59"/>
      <c r="AX39" s="64"/>
      <c r="AY39" s="55"/>
      <c r="AZ39" s="65"/>
      <c r="BA39" s="55"/>
      <c r="BB39" s="65"/>
      <c r="BC39" s="64"/>
      <c r="BD39" s="66"/>
      <c r="BE39" s="15"/>
      <c r="BF39" s="23"/>
      <c r="BG39" s="59"/>
      <c r="BH39" s="64"/>
      <c r="BI39" s="55"/>
      <c r="BJ39" s="65"/>
      <c r="BK39" s="55"/>
      <c r="BL39" s="65"/>
      <c r="BM39" s="64"/>
      <c r="BN39" s="66"/>
      <c r="BO39" s="64"/>
      <c r="BP39" s="23"/>
      <c r="BQ39" s="59"/>
      <c r="BR39" s="64"/>
      <c r="BS39" s="55"/>
      <c r="BT39" s="65"/>
      <c r="BU39" s="55"/>
      <c r="BV39" s="65"/>
      <c r="BW39" s="64"/>
      <c r="BX39" s="66"/>
      <c r="BY39" s="15"/>
      <c r="BZ39" s="23"/>
      <c r="CA39" s="59"/>
      <c r="CB39" s="64"/>
      <c r="CC39" s="55"/>
      <c r="CD39" s="65"/>
      <c r="CE39" s="55"/>
      <c r="CF39" s="65"/>
      <c r="CG39" s="64"/>
      <c r="CH39" s="66"/>
      <c r="CI39" s="64"/>
      <c r="CJ39" s="23"/>
      <c r="CK39" s="59"/>
      <c r="CL39" s="64"/>
      <c r="CM39" s="55"/>
      <c r="CN39" s="65"/>
      <c r="CO39" s="55"/>
      <c r="CP39" s="65"/>
      <c r="CQ39" s="64"/>
      <c r="CR39" s="66"/>
      <c r="CS39" s="64"/>
      <c r="CT39" s="23"/>
      <c r="CU39" s="59"/>
      <c r="CV39" s="64"/>
      <c r="CW39" s="55"/>
      <c r="CX39" s="65"/>
      <c r="CY39" s="55"/>
      <c r="CZ39" s="65"/>
      <c r="DA39" s="64"/>
      <c r="DB39" s="66"/>
      <c r="DC39" s="64"/>
      <c r="DD39" s="23"/>
      <c r="DE39" s="59"/>
      <c r="DF39" s="64"/>
      <c r="DG39" s="55"/>
      <c r="DH39" s="65"/>
      <c r="DI39" s="55"/>
      <c r="DJ39" s="65"/>
      <c r="DK39" s="64"/>
      <c r="DL39" s="66"/>
      <c r="DM39" s="15"/>
      <c r="DN39" s="23"/>
      <c r="DO39" s="23"/>
    </row>
    <row r="40" spans="1:119" ht="15" customHeight="1" x14ac:dyDescent="0.35">
      <c r="A40" s="90"/>
      <c r="B40" s="179"/>
      <c r="E40" s="18"/>
      <c r="F40" s="11"/>
      <c r="G40" s="36"/>
      <c r="H40" s="36"/>
      <c r="I40" s="17">
        <f t="shared" si="4"/>
        <v>0</v>
      </c>
      <c r="J40" s="36"/>
      <c r="K40" s="11"/>
      <c r="L40" s="11"/>
      <c r="M40" s="11"/>
      <c r="N40" s="39"/>
      <c r="O40" s="69"/>
      <c r="P40" s="15"/>
      <c r="Q40" s="18"/>
      <c r="R40" s="39"/>
      <c r="S40" s="17"/>
      <c r="T40" s="88"/>
      <c r="U40" s="17">
        <f t="shared" si="5"/>
        <v>0</v>
      </c>
      <c r="V40" s="88"/>
      <c r="W40" s="88"/>
      <c r="X40" s="88"/>
      <c r="Y40" s="39"/>
      <c r="Z40" s="39"/>
      <c r="AA40" s="39"/>
      <c r="AB40" s="23"/>
      <c r="AC40" s="59"/>
      <c r="AD40" s="64"/>
      <c r="AE40" s="55"/>
      <c r="AF40" s="65"/>
      <c r="AG40" s="55"/>
      <c r="AH40" s="65"/>
      <c r="AI40" s="64"/>
      <c r="AJ40" s="66"/>
      <c r="AK40" s="64"/>
      <c r="AL40" s="23"/>
      <c r="AM40" s="59"/>
      <c r="AN40" s="64"/>
      <c r="AO40" s="55"/>
      <c r="AP40" s="65"/>
      <c r="AQ40" s="55"/>
      <c r="AR40" s="65"/>
      <c r="AS40" s="64"/>
      <c r="AT40" s="66"/>
      <c r="AU40" s="64"/>
      <c r="AV40" s="23"/>
      <c r="AW40" s="59"/>
      <c r="AX40" s="64"/>
      <c r="AY40" s="55"/>
      <c r="AZ40" s="65"/>
      <c r="BA40" s="55"/>
      <c r="BB40" s="65"/>
      <c r="BC40" s="64"/>
      <c r="BD40" s="66"/>
      <c r="BE40" s="15"/>
      <c r="BF40" s="23"/>
      <c r="BG40" s="59"/>
      <c r="BH40" s="64"/>
      <c r="BI40" s="55"/>
      <c r="BJ40" s="65"/>
      <c r="BK40" s="55"/>
      <c r="BL40" s="65"/>
      <c r="BM40" s="64"/>
      <c r="BN40" s="66"/>
      <c r="BO40" s="64"/>
      <c r="BP40" s="23"/>
      <c r="BQ40" s="59"/>
      <c r="BR40" s="64"/>
      <c r="BS40" s="55"/>
      <c r="BT40" s="65"/>
      <c r="BU40" s="55"/>
      <c r="BV40" s="65"/>
      <c r="BW40" s="64"/>
      <c r="BX40" s="66"/>
      <c r="BY40" s="15"/>
      <c r="BZ40" s="23"/>
      <c r="CA40" s="59"/>
      <c r="CB40" s="64"/>
      <c r="CC40" s="55"/>
      <c r="CD40" s="65"/>
      <c r="CE40" s="55"/>
      <c r="CF40" s="65"/>
      <c r="CG40" s="64"/>
      <c r="CH40" s="66"/>
      <c r="CI40" s="64"/>
      <c r="CJ40" s="23"/>
      <c r="CK40" s="59"/>
      <c r="CL40" s="64"/>
      <c r="CM40" s="55"/>
      <c r="CN40" s="65"/>
      <c r="CO40" s="55"/>
      <c r="CP40" s="65"/>
      <c r="CQ40" s="64"/>
      <c r="CR40" s="66"/>
      <c r="CS40" s="64"/>
      <c r="CT40" s="23"/>
      <c r="CU40" s="59"/>
      <c r="CV40" s="64"/>
      <c r="CW40" s="55"/>
      <c r="CX40" s="65"/>
      <c r="CY40" s="55"/>
      <c r="CZ40" s="65"/>
      <c r="DA40" s="64"/>
      <c r="DB40" s="66"/>
      <c r="DC40" s="64"/>
      <c r="DD40" s="23"/>
      <c r="DE40" s="59"/>
      <c r="DF40" s="64"/>
      <c r="DG40" s="55"/>
      <c r="DH40" s="65"/>
      <c r="DI40" s="55"/>
      <c r="DJ40" s="65"/>
      <c r="DK40" s="64"/>
      <c r="DL40" s="66"/>
      <c r="DM40" s="15"/>
      <c r="DN40" s="23"/>
      <c r="DO40" s="23"/>
    </row>
    <row r="41" spans="1:119" ht="15" customHeight="1" x14ac:dyDescent="0.35">
      <c r="A41" s="90"/>
      <c r="B41" s="179"/>
      <c r="E41" s="18"/>
      <c r="F41" s="11"/>
      <c r="G41" s="36"/>
      <c r="H41" s="36"/>
      <c r="I41" s="17">
        <f t="shared" si="4"/>
        <v>0</v>
      </c>
      <c r="J41" s="36"/>
      <c r="K41" s="11"/>
      <c r="L41" s="11"/>
      <c r="M41" s="11"/>
      <c r="N41" s="39"/>
      <c r="O41" s="69"/>
      <c r="P41" s="15"/>
      <c r="Q41" s="18"/>
      <c r="R41" s="39"/>
      <c r="S41" s="17"/>
      <c r="T41" s="88"/>
      <c r="U41" s="17">
        <f t="shared" si="5"/>
        <v>0</v>
      </c>
      <c r="V41" s="88"/>
      <c r="W41" s="88"/>
      <c r="X41" s="88"/>
      <c r="Y41" s="39"/>
      <c r="Z41" s="39"/>
      <c r="AA41" s="39"/>
      <c r="AB41" s="23"/>
      <c r="AC41" s="59"/>
      <c r="AD41" s="64"/>
      <c r="AE41" s="55"/>
      <c r="AF41" s="65"/>
      <c r="AG41" s="55"/>
      <c r="AH41" s="65"/>
      <c r="AI41" s="64"/>
      <c r="AJ41" s="66"/>
      <c r="AK41" s="64"/>
      <c r="AL41" s="23"/>
      <c r="AM41" s="59"/>
      <c r="AN41" s="64"/>
      <c r="AO41" s="55"/>
      <c r="AP41" s="65"/>
      <c r="AQ41" s="55"/>
      <c r="AR41" s="65"/>
      <c r="AS41" s="64"/>
      <c r="AT41" s="66"/>
      <c r="AU41" s="64"/>
      <c r="AV41" s="23"/>
      <c r="AW41" s="59"/>
      <c r="AX41" s="64"/>
      <c r="AY41" s="55"/>
      <c r="AZ41" s="65"/>
      <c r="BA41" s="55"/>
      <c r="BB41" s="65"/>
      <c r="BC41" s="64"/>
      <c r="BD41" s="66"/>
      <c r="BE41" s="15"/>
      <c r="BF41" s="23"/>
      <c r="BG41" s="59"/>
      <c r="BH41" s="64"/>
      <c r="BI41" s="55"/>
      <c r="BJ41" s="65"/>
      <c r="BK41" s="55"/>
      <c r="BL41" s="65"/>
      <c r="BM41" s="64"/>
      <c r="BN41" s="66"/>
      <c r="BO41" s="64"/>
      <c r="BP41" s="23"/>
      <c r="BQ41" s="59"/>
      <c r="BR41" s="64"/>
      <c r="BS41" s="55"/>
      <c r="BT41" s="65"/>
      <c r="BU41" s="55"/>
      <c r="BV41" s="65"/>
      <c r="BW41" s="64"/>
      <c r="BX41" s="66"/>
      <c r="BY41" s="15"/>
      <c r="BZ41" s="23"/>
      <c r="CA41" s="59"/>
      <c r="CB41" s="64"/>
      <c r="CC41" s="55"/>
      <c r="CD41" s="65"/>
      <c r="CE41" s="55"/>
      <c r="CF41" s="65"/>
      <c r="CG41" s="64"/>
      <c r="CH41" s="66"/>
      <c r="CI41" s="64"/>
      <c r="CJ41" s="23"/>
      <c r="CK41" s="59"/>
      <c r="CL41" s="64"/>
      <c r="CM41" s="55"/>
      <c r="CN41" s="65"/>
      <c r="CO41" s="55"/>
      <c r="CP41" s="65"/>
      <c r="CQ41" s="64"/>
      <c r="CR41" s="66"/>
      <c r="CS41" s="64"/>
      <c r="CT41" s="23"/>
      <c r="CU41" s="59"/>
      <c r="CV41" s="64"/>
      <c r="CW41" s="55"/>
      <c r="CX41" s="65"/>
      <c r="CY41" s="55"/>
      <c r="CZ41" s="65"/>
      <c r="DA41" s="64"/>
      <c r="DB41" s="66"/>
      <c r="DC41" s="64"/>
      <c r="DD41" s="23"/>
      <c r="DE41" s="59"/>
      <c r="DF41" s="64"/>
      <c r="DG41" s="55"/>
      <c r="DH41" s="65"/>
      <c r="DI41" s="55"/>
      <c r="DJ41" s="65"/>
      <c r="DK41" s="64"/>
      <c r="DL41" s="66"/>
      <c r="DM41" s="15"/>
      <c r="DN41" s="23"/>
      <c r="DO41" s="23"/>
    </row>
    <row r="42" spans="1:119" ht="15" customHeight="1" x14ac:dyDescent="0.35">
      <c r="A42" s="90"/>
      <c r="B42" s="379"/>
      <c r="E42" s="18"/>
      <c r="F42" s="11"/>
      <c r="G42" s="36"/>
      <c r="H42" s="36"/>
      <c r="I42" s="17">
        <f t="shared" si="4"/>
        <v>0</v>
      </c>
      <c r="J42" s="36"/>
      <c r="K42" s="11"/>
      <c r="L42" s="11"/>
      <c r="M42" s="11"/>
      <c r="N42" s="39"/>
      <c r="O42" s="69"/>
      <c r="P42" s="15"/>
      <c r="Q42" s="18"/>
      <c r="R42" s="39"/>
      <c r="S42" s="17"/>
      <c r="T42" s="88"/>
      <c r="U42" s="17">
        <f t="shared" si="5"/>
        <v>0</v>
      </c>
      <c r="V42" s="88"/>
      <c r="W42" s="88"/>
      <c r="X42" s="88"/>
      <c r="Y42" s="39"/>
      <c r="Z42" s="39"/>
      <c r="AA42" s="39"/>
      <c r="AB42" s="23"/>
      <c r="AC42" s="59"/>
      <c r="AD42" s="64"/>
      <c r="AE42" s="55"/>
      <c r="AF42" s="65"/>
      <c r="AG42" s="55"/>
      <c r="AH42" s="65"/>
      <c r="AI42" s="64"/>
      <c r="AJ42" s="66"/>
      <c r="AK42" s="64"/>
      <c r="AL42" s="23"/>
      <c r="AM42" s="59"/>
      <c r="AN42" s="64"/>
      <c r="AO42" s="55"/>
      <c r="AP42" s="65"/>
      <c r="AQ42" s="55"/>
      <c r="AR42" s="65"/>
      <c r="AS42" s="64"/>
      <c r="AT42" s="66"/>
      <c r="AU42" s="64"/>
      <c r="AV42" s="23"/>
      <c r="AW42" s="59"/>
      <c r="AX42" s="64"/>
      <c r="AY42" s="55"/>
      <c r="AZ42" s="65"/>
      <c r="BA42" s="55"/>
      <c r="BB42" s="65"/>
      <c r="BC42" s="64"/>
      <c r="BD42" s="66"/>
      <c r="BE42" s="15"/>
      <c r="BF42" s="23"/>
      <c r="BG42" s="59"/>
      <c r="BH42" s="64"/>
      <c r="BI42" s="55"/>
      <c r="BJ42" s="65"/>
      <c r="BK42" s="55"/>
      <c r="BL42" s="65"/>
      <c r="BM42" s="64"/>
      <c r="BN42" s="66"/>
      <c r="BO42" s="64"/>
      <c r="BP42" s="23"/>
      <c r="BQ42" s="59"/>
      <c r="BR42" s="64"/>
      <c r="BS42" s="55"/>
      <c r="BT42" s="65"/>
      <c r="BU42" s="55"/>
      <c r="BV42" s="65"/>
      <c r="BW42" s="64"/>
      <c r="BX42" s="66"/>
      <c r="BY42" s="15"/>
      <c r="BZ42" s="23"/>
      <c r="CA42" s="59"/>
      <c r="CB42" s="64"/>
      <c r="CC42" s="55"/>
      <c r="CD42" s="65"/>
      <c r="CE42" s="55"/>
      <c r="CF42" s="65"/>
      <c r="CG42" s="64"/>
      <c r="CH42" s="66"/>
      <c r="CI42" s="64"/>
      <c r="CJ42" s="23"/>
      <c r="CK42" s="59"/>
      <c r="CL42" s="64"/>
      <c r="CM42" s="55"/>
      <c r="CN42" s="65"/>
      <c r="CO42" s="55"/>
      <c r="CP42" s="65"/>
      <c r="CQ42" s="64"/>
      <c r="CR42" s="66"/>
      <c r="CS42" s="64"/>
      <c r="CT42" s="23"/>
      <c r="CU42" s="59"/>
      <c r="CV42" s="64"/>
      <c r="CW42" s="55"/>
      <c r="CX42" s="65"/>
      <c r="CY42" s="55"/>
      <c r="CZ42" s="65"/>
      <c r="DA42" s="64"/>
      <c r="DB42" s="66"/>
      <c r="DC42" s="64"/>
      <c r="DD42" s="23"/>
      <c r="DE42" s="59"/>
      <c r="DF42" s="64"/>
      <c r="DG42" s="55"/>
      <c r="DH42" s="65"/>
      <c r="DI42" s="55"/>
      <c r="DJ42" s="65"/>
      <c r="DK42" s="64"/>
      <c r="DL42" s="66"/>
      <c r="DM42" s="15"/>
      <c r="DN42" s="23"/>
      <c r="DO42" s="23"/>
    </row>
    <row r="43" spans="1:119" ht="15" customHeight="1" x14ac:dyDescent="0.35">
      <c r="A43" s="91"/>
      <c r="B43" s="379"/>
      <c r="E43" s="18"/>
      <c r="F43" s="11"/>
      <c r="G43" s="36"/>
      <c r="H43" s="36"/>
      <c r="I43" s="17">
        <f t="shared" si="4"/>
        <v>0</v>
      </c>
      <c r="J43" s="36"/>
      <c r="K43" s="11"/>
      <c r="L43" s="11"/>
      <c r="M43" s="11"/>
      <c r="N43" s="39"/>
      <c r="O43" s="69"/>
      <c r="P43" s="15"/>
      <c r="Q43" s="18"/>
      <c r="R43" s="39"/>
      <c r="S43" s="17"/>
      <c r="T43" s="88"/>
      <c r="U43" s="17">
        <f t="shared" si="5"/>
        <v>0</v>
      </c>
      <c r="V43" s="88"/>
      <c r="W43" s="88"/>
      <c r="X43" s="88"/>
      <c r="Y43" s="39"/>
      <c r="Z43" s="39"/>
      <c r="AA43" s="39"/>
      <c r="AB43" s="23"/>
      <c r="AC43" s="59"/>
      <c r="AD43" s="64"/>
      <c r="AE43" s="55"/>
      <c r="AF43" s="65"/>
      <c r="AG43" s="55"/>
      <c r="AH43" s="65"/>
      <c r="AI43" s="64"/>
      <c r="AJ43" s="66"/>
      <c r="AK43" s="64"/>
      <c r="AL43" s="23"/>
      <c r="AM43" s="59"/>
      <c r="AN43" s="64"/>
      <c r="AO43" s="55"/>
      <c r="AP43" s="65"/>
      <c r="AQ43" s="55"/>
      <c r="AR43" s="65"/>
      <c r="AS43" s="64"/>
      <c r="AT43" s="66"/>
      <c r="AU43" s="64"/>
      <c r="AV43" s="23"/>
      <c r="AW43" s="59"/>
      <c r="AX43" s="64"/>
      <c r="AY43" s="55"/>
      <c r="AZ43" s="65"/>
      <c r="BA43" s="55"/>
      <c r="BB43" s="65"/>
      <c r="BC43" s="64"/>
      <c r="BD43" s="66"/>
      <c r="BE43" s="15"/>
      <c r="BF43" s="23"/>
      <c r="BG43" s="59"/>
      <c r="BH43" s="64"/>
      <c r="BI43" s="55"/>
      <c r="BJ43" s="65"/>
      <c r="BK43" s="55"/>
      <c r="BL43" s="65"/>
      <c r="BM43" s="64"/>
      <c r="BN43" s="66"/>
      <c r="BO43" s="64"/>
      <c r="BP43" s="23"/>
      <c r="BQ43" s="59"/>
      <c r="BR43" s="64"/>
      <c r="BS43" s="55"/>
      <c r="BT43" s="65"/>
      <c r="BU43" s="55"/>
      <c r="BV43" s="65"/>
      <c r="BW43" s="64"/>
      <c r="BX43" s="66"/>
      <c r="BY43" s="15"/>
      <c r="BZ43" s="23"/>
      <c r="CA43" s="59"/>
      <c r="CB43" s="64"/>
      <c r="CC43" s="55"/>
      <c r="CD43" s="65"/>
      <c r="CE43" s="55"/>
      <c r="CF43" s="65"/>
      <c r="CG43" s="64"/>
      <c r="CH43" s="66"/>
      <c r="CI43" s="64"/>
      <c r="CJ43" s="23"/>
      <c r="CK43" s="59"/>
      <c r="CL43" s="64"/>
      <c r="CM43" s="55"/>
      <c r="CN43" s="65"/>
      <c r="CO43" s="55"/>
      <c r="CP43" s="65"/>
      <c r="CQ43" s="64"/>
      <c r="CR43" s="66"/>
      <c r="CS43" s="64"/>
      <c r="CT43" s="23"/>
      <c r="CU43" s="59"/>
      <c r="CV43" s="64"/>
      <c r="CW43" s="55"/>
      <c r="CX43" s="65"/>
      <c r="CY43" s="55"/>
      <c r="CZ43" s="65"/>
      <c r="DA43" s="64"/>
      <c r="DB43" s="66"/>
      <c r="DC43" s="64"/>
      <c r="DD43" s="23"/>
      <c r="DE43" s="59"/>
      <c r="DF43" s="64"/>
      <c r="DG43" s="55"/>
      <c r="DH43" s="65"/>
      <c r="DI43" s="55"/>
      <c r="DJ43" s="65"/>
      <c r="DK43" s="64"/>
      <c r="DL43" s="66"/>
      <c r="DM43" s="15"/>
      <c r="DN43" s="23"/>
      <c r="DO43" s="23"/>
    </row>
    <row r="44" spans="1:119" ht="15" customHeight="1" x14ac:dyDescent="0.35">
      <c r="A44" s="90"/>
      <c r="B44" s="379"/>
      <c r="E44" s="18"/>
      <c r="F44" s="11"/>
      <c r="G44" s="36"/>
      <c r="H44" s="36"/>
      <c r="I44" s="17">
        <f t="shared" si="4"/>
        <v>0</v>
      </c>
      <c r="J44" s="36"/>
      <c r="K44" s="11"/>
      <c r="L44" s="11"/>
      <c r="M44" s="11"/>
      <c r="N44" s="39"/>
      <c r="O44" s="69"/>
      <c r="P44" s="15"/>
      <c r="Q44" s="18"/>
      <c r="R44" s="39"/>
      <c r="S44" s="17"/>
      <c r="T44" s="88"/>
      <c r="U44" s="17">
        <f t="shared" si="5"/>
        <v>0</v>
      </c>
      <c r="V44" s="88"/>
      <c r="W44" s="88"/>
      <c r="X44" s="88"/>
      <c r="Y44" s="39"/>
      <c r="Z44" s="39"/>
      <c r="AA44" s="39"/>
      <c r="AB44" s="23"/>
      <c r="AC44" s="59"/>
      <c r="AD44" s="64"/>
      <c r="AE44" s="55"/>
      <c r="AF44" s="65"/>
      <c r="AG44" s="55"/>
      <c r="AH44" s="65"/>
      <c r="AI44" s="64"/>
      <c r="AJ44" s="66"/>
      <c r="AK44" s="64"/>
      <c r="AL44" s="23"/>
      <c r="AM44" s="59"/>
      <c r="AN44" s="64"/>
      <c r="AO44" s="55"/>
      <c r="AP44" s="65"/>
      <c r="AQ44" s="55"/>
      <c r="AR44" s="65"/>
      <c r="AS44" s="64"/>
      <c r="AT44" s="66"/>
      <c r="AU44" s="64"/>
      <c r="AV44" s="23"/>
      <c r="AW44" s="59"/>
      <c r="AX44" s="64"/>
      <c r="AY44" s="55"/>
      <c r="AZ44" s="65"/>
      <c r="BA44" s="55"/>
      <c r="BB44" s="65"/>
      <c r="BC44" s="64"/>
      <c r="BD44" s="66"/>
      <c r="BE44" s="15"/>
      <c r="BF44" s="23"/>
      <c r="BG44" s="59"/>
      <c r="BH44" s="64"/>
      <c r="BI44" s="55"/>
      <c r="BJ44" s="65"/>
      <c r="BK44" s="55"/>
      <c r="BL44" s="65"/>
      <c r="BM44" s="64"/>
      <c r="BN44" s="66"/>
      <c r="BO44" s="64"/>
      <c r="BP44" s="23"/>
      <c r="BQ44" s="59"/>
      <c r="BR44" s="64"/>
      <c r="BS44" s="55"/>
      <c r="BT44" s="65"/>
      <c r="BU44" s="55"/>
      <c r="BV44" s="65"/>
      <c r="BW44" s="64"/>
      <c r="BX44" s="66"/>
      <c r="BY44" s="15"/>
      <c r="BZ44" s="23"/>
      <c r="CA44" s="59"/>
      <c r="CB44" s="64"/>
      <c r="CC44" s="55"/>
      <c r="CD44" s="65"/>
      <c r="CE44" s="55"/>
      <c r="CF44" s="65"/>
      <c r="CG44" s="64"/>
      <c r="CH44" s="66"/>
      <c r="CI44" s="64"/>
      <c r="CJ44" s="23"/>
      <c r="CK44" s="59"/>
      <c r="CL44" s="64"/>
      <c r="CM44" s="55"/>
      <c r="CN44" s="65"/>
      <c r="CO44" s="55"/>
      <c r="CP44" s="65"/>
      <c r="CQ44" s="64"/>
      <c r="CR44" s="66"/>
      <c r="CS44" s="64"/>
      <c r="CT44" s="23"/>
      <c r="CU44" s="59"/>
      <c r="CV44" s="64"/>
      <c r="CW44" s="55"/>
      <c r="CX44" s="65"/>
      <c r="CY44" s="55"/>
      <c r="CZ44" s="65"/>
      <c r="DA44" s="64"/>
      <c r="DB44" s="66"/>
      <c r="DC44" s="64"/>
      <c r="DD44" s="23"/>
      <c r="DE44" s="59"/>
      <c r="DF44" s="64"/>
      <c r="DG44" s="55"/>
      <c r="DH44" s="65"/>
      <c r="DI44" s="55"/>
      <c r="DJ44" s="65"/>
      <c r="DK44" s="64"/>
      <c r="DL44" s="66"/>
      <c r="DM44" s="15"/>
      <c r="DN44" s="23"/>
      <c r="DO44" s="23"/>
    </row>
    <row r="45" spans="1:119" ht="15" customHeight="1" x14ac:dyDescent="0.35">
      <c r="A45" s="90"/>
      <c r="B45" s="379"/>
      <c r="E45" s="73"/>
      <c r="F45" s="73"/>
      <c r="G45" s="73"/>
      <c r="H45" s="73"/>
      <c r="I45" s="17">
        <f t="shared" si="4"/>
        <v>0</v>
      </c>
      <c r="J45" s="36"/>
      <c r="K45" s="73"/>
      <c r="L45" s="73"/>
      <c r="M45" s="73"/>
      <c r="N45" s="76"/>
      <c r="O45" s="76"/>
      <c r="P45" s="15"/>
      <c r="Q45" s="18"/>
      <c r="R45" s="39"/>
      <c r="S45" s="17"/>
      <c r="T45" s="88"/>
      <c r="U45" s="17">
        <f t="shared" si="5"/>
        <v>0</v>
      </c>
      <c r="V45" s="88"/>
      <c r="W45" s="88"/>
      <c r="X45" s="88"/>
      <c r="Y45" s="39"/>
      <c r="Z45" s="39"/>
      <c r="AA45" s="39"/>
      <c r="AB45" s="23"/>
      <c r="AC45" s="59"/>
      <c r="AD45" s="64"/>
      <c r="AE45" s="55"/>
      <c r="AF45" s="65"/>
      <c r="AG45" s="55"/>
      <c r="AH45" s="65"/>
      <c r="AI45" s="64"/>
      <c r="AJ45" s="66"/>
      <c r="AK45" s="64"/>
      <c r="AL45" s="23"/>
      <c r="AM45" s="59"/>
      <c r="AN45" s="64"/>
      <c r="AO45" s="55"/>
      <c r="AP45" s="65"/>
      <c r="AQ45" s="55"/>
      <c r="AR45" s="65"/>
      <c r="AS45" s="64"/>
      <c r="AT45" s="66"/>
      <c r="AU45" s="64"/>
      <c r="AV45" s="23"/>
      <c r="AW45" s="59"/>
      <c r="AX45" s="64"/>
      <c r="AY45" s="55"/>
      <c r="AZ45" s="65"/>
      <c r="BA45" s="55"/>
      <c r="BB45" s="65"/>
      <c r="BC45" s="64"/>
      <c r="BD45" s="66"/>
      <c r="BE45" s="15"/>
      <c r="BF45" s="23"/>
      <c r="BG45" s="59"/>
      <c r="BH45" s="64"/>
      <c r="BI45" s="55"/>
      <c r="BJ45" s="65"/>
      <c r="BK45" s="55"/>
      <c r="BL45" s="65"/>
      <c r="BM45" s="64"/>
      <c r="BN45" s="66"/>
      <c r="BO45" s="64"/>
      <c r="BP45" s="23"/>
      <c r="BQ45" s="59"/>
      <c r="BR45" s="64"/>
      <c r="BS45" s="55"/>
      <c r="BT45" s="65"/>
      <c r="BU45" s="55"/>
      <c r="BV45" s="65"/>
      <c r="BW45" s="64"/>
      <c r="BX45" s="66"/>
      <c r="BY45" s="15"/>
      <c r="BZ45" s="23"/>
      <c r="CA45" s="59"/>
      <c r="CB45" s="64"/>
      <c r="CC45" s="55"/>
      <c r="CD45" s="65"/>
      <c r="CE45" s="55"/>
      <c r="CF45" s="65"/>
      <c r="CG45" s="64"/>
      <c r="CH45" s="66"/>
      <c r="CI45" s="64"/>
      <c r="CJ45" s="23"/>
      <c r="CK45" s="59"/>
      <c r="CL45" s="64"/>
      <c r="CM45" s="55"/>
      <c r="CN45" s="65"/>
      <c r="CO45" s="55"/>
      <c r="CP45" s="65"/>
      <c r="CQ45" s="64"/>
      <c r="CR45" s="66"/>
      <c r="CS45" s="64"/>
      <c r="CT45" s="23"/>
      <c r="CU45" s="59"/>
      <c r="CV45" s="64"/>
      <c r="CW45" s="55"/>
      <c r="CX45" s="65"/>
      <c r="CY45" s="55"/>
      <c r="CZ45" s="65"/>
      <c r="DA45" s="64"/>
      <c r="DB45" s="66"/>
      <c r="DC45" s="64"/>
      <c r="DD45" s="23"/>
      <c r="DE45" s="59"/>
      <c r="DF45" s="64"/>
      <c r="DG45" s="55"/>
      <c r="DH45" s="65"/>
      <c r="DI45" s="55"/>
      <c r="DJ45" s="65"/>
      <c r="DK45" s="64"/>
      <c r="DL45" s="66"/>
      <c r="DM45" s="15"/>
      <c r="DN45" s="23"/>
      <c r="DO45" s="23"/>
    </row>
    <row r="46" spans="1:119" ht="15" customHeight="1" x14ac:dyDescent="0.35">
      <c r="A46" s="90"/>
      <c r="B46" s="379"/>
      <c r="E46" s="18"/>
      <c r="F46" s="11"/>
      <c r="G46" s="36"/>
      <c r="H46" s="36"/>
      <c r="I46" s="17">
        <f t="shared" si="4"/>
        <v>0</v>
      </c>
      <c r="J46" s="36"/>
      <c r="K46" s="11"/>
      <c r="L46" s="11"/>
      <c r="M46" s="11"/>
      <c r="N46" s="39"/>
      <c r="O46" s="69"/>
      <c r="P46" s="15"/>
      <c r="Q46" s="18"/>
      <c r="R46" s="39"/>
      <c r="S46" s="17"/>
      <c r="T46" s="88"/>
      <c r="U46" s="17">
        <f t="shared" si="5"/>
        <v>0</v>
      </c>
      <c r="V46" s="88"/>
      <c r="W46" s="88"/>
      <c r="X46" s="88"/>
      <c r="Y46" s="39"/>
      <c r="Z46" s="39"/>
      <c r="AA46" s="39"/>
      <c r="AB46" s="23"/>
      <c r="AC46" s="59"/>
      <c r="AD46" s="64"/>
      <c r="AE46" s="55"/>
      <c r="AF46" s="65"/>
      <c r="AG46" s="55"/>
      <c r="AH46" s="65"/>
      <c r="AI46" s="64"/>
      <c r="AJ46" s="66"/>
      <c r="AK46" s="64"/>
      <c r="AL46" s="23"/>
      <c r="AM46" s="59"/>
      <c r="AN46" s="64"/>
      <c r="AO46" s="55"/>
      <c r="AP46" s="65"/>
      <c r="AQ46" s="55"/>
      <c r="AR46" s="65"/>
      <c r="AS46" s="64"/>
      <c r="AT46" s="66"/>
      <c r="AU46" s="64"/>
      <c r="AV46" s="23"/>
      <c r="AW46" s="59"/>
      <c r="AX46" s="64"/>
      <c r="AY46" s="55"/>
      <c r="AZ46" s="65"/>
      <c r="BA46" s="55"/>
      <c r="BB46" s="65"/>
      <c r="BC46" s="64"/>
      <c r="BD46" s="66"/>
      <c r="BE46" s="15"/>
      <c r="BF46" s="23"/>
      <c r="BG46" s="59"/>
      <c r="BH46" s="64"/>
      <c r="BI46" s="55"/>
      <c r="BJ46" s="65"/>
      <c r="BK46" s="55"/>
      <c r="BL46" s="65"/>
      <c r="BM46" s="64"/>
      <c r="BN46" s="66"/>
      <c r="BO46" s="64"/>
      <c r="BP46" s="23"/>
      <c r="BQ46" s="59"/>
      <c r="BR46" s="64"/>
      <c r="BS46" s="55"/>
      <c r="BT46" s="65"/>
      <c r="BU46" s="55"/>
      <c r="BV46" s="65"/>
      <c r="BW46" s="64"/>
      <c r="BX46" s="66"/>
      <c r="BY46" s="15"/>
      <c r="BZ46" s="23"/>
      <c r="CA46" s="59"/>
      <c r="CB46" s="64"/>
      <c r="CC46" s="55"/>
      <c r="CD46" s="65"/>
      <c r="CE46" s="55"/>
      <c r="CF46" s="65"/>
      <c r="CG46" s="64"/>
      <c r="CH46" s="66"/>
      <c r="CI46" s="64"/>
      <c r="CJ46" s="23"/>
      <c r="CK46" s="59"/>
      <c r="CL46" s="64"/>
      <c r="CM46" s="55"/>
      <c r="CN46" s="65"/>
      <c r="CO46" s="55"/>
      <c r="CP46" s="65"/>
      <c r="CQ46" s="64"/>
      <c r="CR46" s="66"/>
      <c r="CS46" s="64"/>
      <c r="CT46" s="23"/>
      <c r="CU46" s="59"/>
      <c r="CV46" s="64"/>
      <c r="CW46" s="55"/>
      <c r="CX46" s="65"/>
      <c r="CY46" s="55"/>
      <c r="CZ46" s="65"/>
      <c r="DA46" s="64"/>
      <c r="DB46" s="66"/>
      <c r="DC46" s="64"/>
      <c r="DD46" s="23"/>
      <c r="DE46" s="59"/>
      <c r="DF46" s="64"/>
      <c r="DG46" s="55"/>
      <c r="DH46" s="65"/>
      <c r="DI46" s="55"/>
      <c r="DJ46" s="65"/>
      <c r="DK46" s="64"/>
      <c r="DL46" s="66"/>
      <c r="DM46" s="15"/>
      <c r="DN46" s="23"/>
      <c r="DO46" s="23"/>
    </row>
    <row r="47" spans="1:119" ht="15" customHeight="1" x14ac:dyDescent="0.35">
      <c r="A47" s="90"/>
      <c r="B47" s="379"/>
      <c r="E47" s="18"/>
      <c r="F47" s="11"/>
      <c r="G47" s="36"/>
      <c r="H47" s="36"/>
      <c r="I47" s="17">
        <f t="shared" si="4"/>
        <v>0</v>
      </c>
      <c r="J47" s="36"/>
      <c r="K47" s="11"/>
      <c r="L47" s="11"/>
      <c r="M47" s="11"/>
      <c r="N47" s="39"/>
      <c r="O47" s="69"/>
      <c r="P47" s="15"/>
      <c r="Q47" s="18"/>
      <c r="R47" s="39"/>
      <c r="S47" s="17"/>
      <c r="T47" s="88"/>
      <c r="U47" s="17">
        <f t="shared" si="5"/>
        <v>0</v>
      </c>
      <c r="V47" s="88"/>
      <c r="W47" s="88"/>
      <c r="X47" s="88"/>
      <c r="Y47" s="39"/>
      <c r="Z47" s="39"/>
      <c r="AA47" s="39"/>
      <c r="AB47" s="23"/>
      <c r="AC47" s="59"/>
      <c r="AD47" s="64"/>
      <c r="AE47" s="55"/>
      <c r="AF47" s="65"/>
      <c r="AG47" s="55"/>
      <c r="AH47" s="65"/>
      <c r="AI47" s="64"/>
      <c r="AJ47" s="66"/>
      <c r="AK47" s="64"/>
      <c r="AL47" s="23"/>
      <c r="AM47" s="59"/>
      <c r="AN47" s="64"/>
      <c r="AO47" s="55"/>
      <c r="AP47" s="65"/>
      <c r="AQ47" s="55"/>
      <c r="AR47" s="65"/>
      <c r="AS47" s="64"/>
      <c r="AT47" s="66"/>
      <c r="AU47" s="64"/>
      <c r="AV47" s="23"/>
      <c r="AW47" s="59"/>
      <c r="AX47" s="64"/>
      <c r="AY47" s="55"/>
      <c r="AZ47" s="65"/>
      <c r="BA47" s="55"/>
      <c r="BB47" s="65"/>
      <c r="BC47" s="64"/>
      <c r="BD47" s="66"/>
      <c r="BE47" s="15"/>
      <c r="BF47" s="23"/>
      <c r="BG47" s="59"/>
      <c r="BH47" s="64"/>
      <c r="BI47" s="55"/>
      <c r="BJ47" s="65"/>
      <c r="BK47" s="55"/>
      <c r="BL47" s="65"/>
      <c r="BM47" s="64"/>
      <c r="BN47" s="66"/>
      <c r="BO47" s="64"/>
      <c r="BP47" s="23"/>
      <c r="BQ47" s="59"/>
      <c r="BR47" s="64"/>
      <c r="BS47" s="55"/>
      <c r="BT47" s="65"/>
      <c r="BU47" s="55"/>
      <c r="BV47" s="65"/>
      <c r="BW47" s="64"/>
      <c r="BX47" s="66"/>
      <c r="BY47" s="15"/>
      <c r="BZ47" s="23"/>
      <c r="CA47" s="59"/>
      <c r="CB47" s="64"/>
      <c r="CC47" s="55"/>
      <c r="CD47" s="65"/>
      <c r="CE47" s="55"/>
      <c r="CF47" s="65"/>
      <c r="CG47" s="64"/>
      <c r="CH47" s="66"/>
      <c r="CI47" s="64"/>
      <c r="CJ47" s="23"/>
      <c r="CK47" s="59"/>
      <c r="CL47" s="64"/>
      <c r="CM47" s="55"/>
      <c r="CN47" s="65"/>
      <c r="CO47" s="55"/>
      <c r="CP47" s="65"/>
      <c r="CQ47" s="64"/>
      <c r="CR47" s="66"/>
      <c r="CS47" s="64"/>
      <c r="CT47" s="23"/>
      <c r="CU47" s="59"/>
      <c r="CV47" s="64"/>
      <c r="CW47" s="55"/>
      <c r="CX47" s="65"/>
      <c r="CY47" s="55"/>
      <c r="CZ47" s="65"/>
      <c r="DA47" s="64"/>
      <c r="DB47" s="66"/>
      <c r="DC47" s="64"/>
      <c r="DD47" s="23"/>
      <c r="DE47" s="59"/>
      <c r="DF47" s="64"/>
      <c r="DG47" s="55"/>
      <c r="DH47" s="65"/>
      <c r="DI47" s="55"/>
      <c r="DJ47" s="65"/>
      <c r="DK47" s="64"/>
      <c r="DL47" s="66"/>
      <c r="DM47" s="15"/>
      <c r="DN47" s="23"/>
      <c r="DO47" s="23"/>
    </row>
    <row r="48" spans="1:119" ht="15" customHeight="1" x14ac:dyDescent="0.35">
      <c r="A48" s="90"/>
      <c r="B48" s="379"/>
      <c r="E48" s="18"/>
      <c r="F48" s="11"/>
      <c r="G48" s="36"/>
      <c r="H48" s="36"/>
      <c r="I48" s="17">
        <f t="shared" si="4"/>
        <v>0</v>
      </c>
      <c r="J48" s="36"/>
      <c r="K48" s="11"/>
      <c r="L48" s="11"/>
      <c r="M48" s="11"/>
      <c r="N48" s="39"/>
      <c r="O48" s="69"/>
      <c r="P48" s="15"/>
      <c r="Q48" s="18"/>
      <c r="R48" s="39"/>
      <c r="S48" s="17"/>
      <c r="T48" s="88"/>
      <c r="U48" s="17">
        <f t="shared" si="5"/>
        <v>0</v>
      </c>
      <c r="V48" s="88"/>
      <c r="W48" s="88"/>
      <c r="X48" s="88"/>
      <c r="Y48" s="39"/>
      <c r="Z48" s="39"/>
      <c r="AA48" s="39"/>
      <c r="AB48" s="23"/>
      <c r="AC48" s="59"/>
      <c r="AD48" s="64"/>
      <c r="AE48" s="55"/>
      <c r="AF48" s="65"/>
      <c r="AG48" s="55"/>
      <c r="AH48" s="65"/>
      <c r="AI48" s="64"/>
      <c r="AJ48" s="66"/>
      <c r="AK48" s="64"/>
      <c r="AL48" s="23"/>
      <c r="AM48" s="59"/>
      <c r="AN48" s="64"/>
      <c r="AO48" s="55"/>
      <c r="AP48" s="65"/>
      <c r="AQ48" s="55"/>
      <c r="AR48" s="65"/>
      <c r="AS48" s="64"/>
      <c r="AT48" s="66"/>
      <c r="AU48" s="64"/>
      <c r="AV48" s="23"/>
      <c r="AW48" s="59"/>
      <c r="AX48" s="64"/>
      <c r="AY48" s="55"/>
      <c r="AZ48" s="65"/>
      <c r="BA48" s="55"/>
      <c r="BB48" s="65"/>
      <c r="BC48" s="64"/>
      <c r="BD48" s="66"/>
      <c r="BE48" s="15"/>
      <c r="BF48" s="23"/>
      <c r="BG48" s="59"/>
      <c r="BH48" s="64"/>
      <c r="BI48" s="55"/>
      <c r="BJ48" s="65"/>
      <c r="BK48" s="55"/>
      <c r="BL48" s="65"/>
      <c r="BM48" s="64"/>
      <c r="BN48" s="66"/>
      <c r="BO48" s="64"/>
      <c r="BP48" s="23"/>
      <c r="BQ48" s="59"/>
      <c r="BR48" s="64"/>
      <c r="BS48" s="55"/>
      <c r="BT48" s="65"/>
      <c r="BU48" s="55"/>
      <c r="BV48" s="65"/>
      <c r="BW48" s="64"/>
      <c r="BX48" s="66"/>
      <c r="BY48" s="15"/>
      <c r="BZ48" s="23"/>
      <c r="CA48" s="59"/>
      <c r="CB48" s="64"/>
      <c r="CC48" s="55"/>
      <c r="CD48" s="65"/>
      <c r="CE48" s="55"/>
      <c r="CF48" s="65"/>
      <c r="CG48" s="64"/>
      <c r="CH48" s="66"/>
      <c r="CI48" s="64"/>
      <c r="CJ48" s="23"/>
      <c r="CK48" s="59"/>
      <c r="CL48" s="64"/>
      <c r="CM48" s="55"/>
      <c r="CN48" s="65"/>
      <c r="CO48" s="55"/>
      <c r="CP48" s="65"/>
      <c r="CQ48" s="64"/>
      <c r="CR48" s="66"/>
      <c r="CS48" s="64"/>
      <c r="CT48" s="23"/>
      <c r="CU48" s="59"/>
      <c r="CV48" s="64"/>
      <c r="CW48" s="55"/>
      <c r="CX48" s="65"/>
      <c r="CY48" s="55"/>
      <c r="CZ48" s="65"/>
      <c r="DA48" s="64"/>
      <c r="DB48" s="66"/>
      <c r="DC48" s="64"/>
      <c r="DD48" s="23"/>
      <c r="DE48" s="59"/>
      <c r="DF48" s="64"/>
      <c r="DG48" s="55"/>
      <c r="DH48" s="65"/>
      <c r="DI48" s="55"/>
      <c r="DJ48" s="65"/>
      <c r="DK48" s="64"/>
      <c r="DL48" s="66"/>
      <c r="DM48" s="15"/>
      <c r="DN48" s="23"/>
      <c r="DO48" s="23"/>
    </row>
    <row r="49" spans="1:119" ht="15" customHeight="1" x14ac:dyDescent="0.35">
      <c r="A49" s="90"/>
      <c r="B49" s="379"/>
      <c r="E49" s="18"/>
      <c r="F49" s="11"/>
      <c r="G49" s="36"/>
      <c r="H49" s="36"/>
      <c r="I49" s="17">
        <f t="shared" si="4"/>
        <v>0</v>
      </c>
      <c r="J49" s="36"/>
      <c r="K49" s="11"/>
      <c r="L49" s="11"/>
      <c r="M49" s="11"/>
      <c r="N49" s="39"/>
      <c r="O49" s="69"/>
      <c r="P49" s="15"/>
      <c r="Q49" s="18"/>
      <c r="R49" s="39"/>
      <c r="S49" s="17"/>
      <c r="T49" s="88"/>
      <c r="U49" s="17">
        <f t="shared" si="5"/>
        <v>0</v>
      </c>
      <c r="V49" s="88"/>
      <c r="W49" s="88"/>
      <c r="X49" s="88"/>
      <c r="Y49" s="39"/>
      <c r="Z49" s="39"/>
      <c r="AA49" s="39"/>
      <c r="AB49" s="23"/>
      <c r="AC49" s="59"/>
      <c r="AD49" s="64"/>
      <c r="AE49" s="55"/>
      <c r="AF49" s="65"/>
      <c r="AG49" s="55"/>
      <c r="AH49" s="65"/>
      <c r="AI49" s="64"/>
      <c r="AJ49" s="66"/>
      <c r="AK49" s="64"/>
      <c r="AL49" s="23"/>
      <c r="AM49" s="59"/>
      <c r="AN49" s="64"/>
      <c r="AO49" s="55"/>
      <c r="AP49" s="65"/>
      <c r="AQ49" s="55"/>
      <c r="AR49" s="65"/>
      <c r="AS49" s="64"/>
      <c r="AT49" s="66"/>
      <c r="AU49" s="64"/>
      <c r="AV49" s="23"/>
      <c r="AW49" s="59"/>
      <c r="AX49" s="64"/>
      <c r="AY49" s="55"/>
      <c r="AZ49" s="65"/>
      <c r="BA49" s="55"/>
      <c r="BB49" s="65"/>
      <c r="BC49" s="64"/>
      <c r="BD49" s="66"/>
      <c r="BE49" s="15"/>
      <c r="BF49" s="23"/>
      <c r="BG49" s="59"/>
      <c r="BH49" s="64"/>
      <c r="BI49" s="55"/>
      <c r="BJ49" s="65"/>
      <c r="BK49" s="55"/>
      <c r="BL49" s="65"/>
      <c r="BM49" s="64"/>
      <c r="BN49" s="66"/>
      <c r="BO49" s="64"/>
      <c r="BP49" s="23"/>
      <c r="BQ49" s="59"/>
      <c r="BR49" s="64"/>
      <c r="BS49" s="55"/>
      <c r="BT49" s="65"/>
      <c r="BU49" s="55"/>
      <c r="BV49" s="65"/>
      <c r="BW49" s="64"/>
      <c r="BX49" s="66"/>
      <c r="BY49" s="15"/>
      <c r="BZ49" s="23"/>
      <c r="CA49" s="59"/>
      <c r="CB49" s="64"/>
      <c r="CC49" s="55"/>
      <c r="CD49" s="65"/>
      <c r="CE49" s="55"/>
      <c r="CF49" s="65"/>
      <c r="CG49" s="64"/>
      <c r="CH49" s="66"/>
      <c r="CI49" s="64"/>
      <c r="CJ49" s="23"/>
      <c r="CK49" s="59"/>
      <c r="CL49" s="64"/>
      <c r="CM49" s="55"/>
      <c r="CN49" s="65"/>
      <c r="CO49" s="55"/>
      <c r="CP49" s="65"/>
      <c r="CQ49" s="64"/>
      <c r="CR49" s="66"/>
      <c r="CS49" s="64"/>
      <c r="CT49" s="23"/>
      <c r="CU49" s="59"/>
      <c r="CV49" s="64"/>
      <c r="CW49" s="55"/>
      <c r="CX49" s="65"/>
      <c r="CY49" s="55"/>
      <c r="CZ49" s="65"/>
      <c r="DA49" s="64"/>
      <c r="DB49" s="66"/>
      <c r="DC49" s="64"/>
      <c r="DD49" s="23"/>
      <c r="DE49" s="59"/>
      <c r="DF49" s="64"/>
      <c r="DG49" s="55"/>
      <c r="DH49" s="65"/>
      <c r="DI49" s="55"/>
      <c r="DJ49" s="65"/>
      <c r="DK49" s="64"/>
      <c r="DL49" s="66"/>
      <c r="DM49" s="15"/>
      <c r="DN49" s="23"/>
      <c r="DO49" s="23"/>
    </row>
    <row r="50" spans="1:119" ht="15" customHeight="1" x14ac:dyDescent="0.35">
      <c r="A50" s="91"/>
      <c r="B50" s="379"/>
      <c r="E50" s="18"/>
      <c r="F50" s="11"/>
      <c r="G50" s="36"/>
      <c r="H50" s="36"/>
      <c r="I50" s="17">
        <f t="shared" si="4"/>
        <v>0</v>
      </c>
      <c r="J50" s="36"/>
      <c r="K50" s="11"/>
      <c r="L50" s="11"/>
      <c r="M50" s="11"/>
      <c r="N50" s="39"/>
      <c r="O50" s="69"/>
      <c r="P50" s="15"/>
      <c r="Q50" s="18"/>
      <c r="R50" s="39"/>
      <c r="S50" s="17"/>
      <c r="T50" s="88"/>
      <c r="U50" s="17">
        <f t="shared" si="5"/>
        <v>0</v>
      </c>
      <c r="V50" s="88"/>
      <c r="W50" s="88"/>
      <c r="X50" s="88"/>
      <c r="Y50" s="39"/>
      <c r="Z50" s="39"/>
      <c r="AA50" s="39"/>
      <c r="AB50" s="23"/>
      <c r="AC50" s="59"/>
      <c r="AD50" s="64"/>
      <c r="AE50" s="55"/>
      <c r="AF50" s="65"/>
      <c r="AG50" s="55"/>
      <c r="AH50" s="65"/>
      <c r="AI50" s="64"/>
      <c r="AJ50" s="66"/>
      <c r="AK50" s="64"/>
      <c r="AL50" s="23"/>
      <c r="AM50" s="59"/>
      <c r="AN50" s="64"/>
      <c r="AO50" s="55"/>
      <c r="AP50" s="65"/>
      <c r="AQ50" s="55"/>
      <c r="AR50" s="65"/>
      <c r="AS50" s="64"/>
      <c r="AT50" s="66"/>
      <c r="AU50" s="64"/>
      <c r="AV50" s="23"/>
      <c r="AW50" s="59"/>
      <c r="AX50" s="64"/>
      <c r="AY50" s="55"/>
      <c r="AZ50" s="65"/>
      <c r="BA50" s="55"/>
      <c r="BB50" s="65"/>
      <c r="BC50" s="64"/>
      <c r="BD50" s="66"/>
      <c r="BE50" s="15"/>
      <c r="BF50" s="23"/>
      <c r="BG50" s="59"/>
      <c r="BH50" s="64"/>
      <c r="BI50" s="55"/>
      <c r="BJ50" s="65"/>
      <c r="BK50" s="55"/>
      <c r="BL50" s="65"/>
      <c r="BM50" s="64"/>
      <c r="BN50" s="66"/>
      <c r="BO50" s="64"/>
      <c r="BP50" s="23"/>
      <c r="BQ50" s="59"/>
      <c r="BR50" s="64"/>
      <c r="BS50" s="55"/>
      <c r="BT50" s="65"/>
      <c r="BU50" s="55"/>
      <c r="BV50" s="65"/>
      <c r="BW50" s="64"/>
      <c r="BX50" s="66"/>
      <c r="BY50" s="15"/>
      <c r="BZ50" s="23"/>
      <c r="CA50" s="59"/>
      <c r="CB50" s="64"/>
      <c r="CC50" s="55"/>
      <c r="CD50" s="65"/>
      <c r="CE50" s="55"/>
      <c r="CF50" s="65"/>
      <c r="CG50" s="64"/>
      <c r="CH50" s="66"/>
      <c r="CI50" s="64"/>
      <c r="CJ50" s="23"/>
      <c r="CK50" s="59"/>
      <c r="CL50" s="64"/>
      <c r="CM50" s="55"/>
      <c r="CN50" s="65"/>
      <c r="CO50" s="55"/>
      <c r="CP50" s="65"/>
      <c r="CQ50" s="64"/>
      <c r="CR50" s="66"/>
      <c r="CS50" s="64"/>
      <c r="CT50" s="23"/>
      <c r="CU50" s="59"/>
      <c r="CV50" s="64"/>
      <c r="CW50" s="55"/>
      <c r="CX50" s="65"/>
      <c r="CY50" s="55"/>
      <c r="CZ50" s="65"/>
      <c r="DA50" s="64"/>
      <c r="DB50" s="66"/>
      <c r="DC50" s="64"/>
      <c r="DD50" s="23"/>
      <c r="DE50" s="59"/>
      <c r="DF50" s="64"/>
      <c r="DG50" s="55"/>
      <c r="DH50" s="65"/>
      <c r="DI50" s="55"/>
      <c r="DJ50" s="65"/>
      <c r="DK50" s="64"/>
      <c r="DL50" s="66"/>
      <c r="DM50" s="15"/>
      <c r="DN50" s="23"/>
      <c r="DO50" s="23"/>
    </row>
    <row r="51" spans="1:119" ht="15" customHeight="1" x14ac:dyDescent="0.35">
      <c r="A51" s="90"/>
      <c r="B51" s="379"/>
      <c r="E51" s="18"/>
      <c r="F51" s="11"/>
      <c r="G51" s="36"/>
      <c r="H51" s="36"/>
      <c r="I51" s="17">
        <f t="shared" si="4"/>
        <v>0</v>
      </c>
      <c r="J51" s="36"/>
      <c r="K51" s="11"/>
      <c r="L51" s="11"/>
      <c r="M51" s="11"/>
      <c r="N51" s="39"/>
      <c r="O51" s="69"/>
      <c r="P51" s="15"/>
      <c r="Q51" s="18"/>
      <c r="R51" s="39"/>
      <c r="S51" s="17"/>
      <c r="T51" s="88"/>
      <c r="U51" s="17">
        <f t="shared" si="5"/>
        <v>0</v>
      </c>
      <c r="V51" s="88"/>
      <c r="W51" s="88"/>
      <c r="X51" s="88"/>
      <c r="Y51" s="39"/>
      <c r="Z51" s="39"/>
      <c r="AA51" s="39"/>
      <c r="AB51" s="23"/>
      <c r="AC51" s="59"/>
      <c r="AD51" s="64"/>
      <c r="AE51" s="55"/>
      <c r="AF51" s="65"/>
      <c r="AG51" s="55"/>
      <c r="AH51" s="65"/>
      <c r="AI51" s="64"/>
      <c r="AJ51" s="66"/>
      <c r="AK51" s="64"/>
      <c r="AL51" s="23"/>
      <c r="AM51" s="59"/>
      <c r="AN51" s="64"/>
      <c r="AO51" s="55"/>
      <c r="AP51" s="65"/>
      <c r="AQ51" s="55"/>
      <c r="AR51" s="65"/>
      <c r="AS51" s="64"/>
      <c r="AT51" s="66"/>
      <c r="AU51" s="64"/>
      <c r="AV51" s="23"/>
      <c r="AW51" s="59"/>
      <c r="AX51" s="64"/>
      <c r="AY51" s="55"/>
      <c r="AZ51" s="65"/>
      <c r="BA51" s="55"/>
      <c r="BB51" s="65"/>
      <c r="BC51" s="64"/>
      <c r="BD51" s="66"/>
      <c r="BE51" s="15"/>
      <c r="BF51" s="23"/>
      <c r="BG51" s="59"/>
      <c r="BH51" s="64"/>
      <c r="BI51" s="55"/>
      <c r="BJ51" s="65"/>
      <c r="BK51" s="55"/>
      <c r="BL51" s="65"/>
      <c r="BM51" s="64"/>
      <c r="BN51" s="66"/>
      <c r="BO51" s="64"/>
      <c r="BP51" s="23"/>
      <c r="BQ51" s="59"/>
      <c r="BR51" s="64"/>
      <c r="BS51" s="55"/>
      <c r="BT51" s="65"/>
      <c r="BU51" s="55"/>
      <c r="BV51" s="65"/>
      <c r="BW51" s="64"/>
      <c r="BX51" s="66"/>
      <c r="BY51" s="15"/>
      <c r="BZ51" s="23"/>
      <c r="CA51" s="59"/>
      <c r="CB51" s="64"/>
      <c r="CC51" s="55"/>
      <c r="CD51" s="65"/>
      <c r="CE51" s="55"/>
      <c r="CF51" s="65"/>
      <c r="CG51" s="64"/>
      <c r="CH51" s="66"/>
      <c r="CI51" s="64"/>
      <c r="CJ51" s="23"/>
      <c r="CK51" s="59"/>
      <c r="CL51" s="64"/>
      <c r="CM51" s="55"/>
      <c r="CN51" s="65"/>
      <c r="CO51" s="55"/>
      <c r="CP51" s="65"/>
      <c r="CQ51" s="64"/>
      <c r="CR51" s="66"/>
      <c r="CS51" s="64"/>
      <c r="CT51" s="23"/>
      <c r="CU51" s="59"/>
      <c r="CV51" s="64"/>
      <c r="CW51" s="55"/>
      <c r="CX51" s="65"/>
      <c r="CY51" s="55"/>
      <c r="CZ51" s="65"/>
      <c r="DA51" s="64"/>
      <c r="DB51" s="66"/>
      <c r="DC51" s="64"/>
      <c r="DD51" s="23"/>
      <c r="DE51" s="59"/>
      <c r="DF51" s="64"/>
      <c r="DG51" s="55"/>
      <c r="DH51" s="65"/>
      <c r="DI51" s="55"/>
      <c r="DJ51" s="65"/>
      <c r="DK51" s="64"/>
      <c r="DL51" s="66"/>
      <c r="DM51" s="15"/>
      <c r="DN51" s="23"/>
      <c r="DO51" s="23"/>
    </row>
    <row r="52" spans="1:119" ht="15" customHeight="1" x14ac:dyDescent="0.35">
      <c r="A52" s="90"/>
      <c r="B52" s="379"/>
      <c r="E52" s="18"/>
      <c r="F52" s="11"/>
      <c r="G52" s="36"/>
      <c r="H52" s="36"/>
      <c r="I52" s="17">
        <f t="shared" si="4"/>
        <v>0</v>
      </c>
      <c r="J52" s="36"/>
      <c r="K52" s="11"/>
      <c r="L52" s="11"/>
      <c r="M52" s="11"/>
      <c r="N52" s="39"/>
      <c r="O52" s="69"/>
      <c r="P52" s="15"/>
      <c r="Q52" s="18"/>
      <c r="R52" s="39"/>
      <c r="S52" s="17"/>
      <c r="T52" s="88"/>
      <c r="U52" s="17">
        <f t="shared" si="5"/>
        <v>0</v>
      </c>
      <c r="V52" s="88"/>
      <c r="W52" s="88"/>
      <c r="X52" s="88"/>
      <c r="Y52" s="39"/>
      <c r="Z52" s="39"/>
      <c r="AA52" s="39"/>
      <c r="AB52" s="23"/>
      <c r="AC52" s="59"/>
      <c r="AD52" s="64"/>
      <c r="AE52" s="55"/>
      <c r="AF52" s="65"/>
      <c r="AG52" s="55"/>
      <c r="AH52" s="65"/>
      <c r="AI52" s="64"/>
      <c r="AJ52" s="66"/>
      <c r="AK52" s="64"/>
      <c r="AL52" s="23"/>
      <c r="AM52" s="59"/>
      <c r="AN52" s="64"/>
      <c r="AO52" s="55"/>
      <c r="AP52" s="65"/>
      <c r="AQ52" s="55"/>
      <c r="AR52" s="65"/>
      <c r="AS52" s="64"/>
      <c r="AT52" s="66"/>
      <c r="AU52" s="64"/>
      <c r="AV52" s="23"/>
      <c r="AW52" s="59"/>
      <c r="AX52" s="64"/>
      <c r="AY52" s="55"/>
      <c r="AZ52" s="65"/>
      <c r="BA52" s="55"/>
      <c r="BB52" s="65"/>
      <c r="BC52" s="64"/>
      <c r="BD52" s="66"/>
      <c r="BE52" s="15"/>
      <c r="BF52" s="23"/>
      <c r="BG52" s="59"/>
      <c r="BH52" s="64"/>
      <c r="BI52" s="55"/>
      <c r="BJ52" s="65"/>
      <c r="BK52" s="55"/>
      <c r="BL52" s="65"/>
      <c r="BM52" s="64"/>
      <c r="BN52" s="66"/>
      <c r="BO52" s="64"/>
      <c r="BP52" s="23"/>
      <c r="BQ52" s="59"/>
      <c r="BR52" s="64"/>
      <c r="BS52" s="55"/>
      <c r="BT52" s="65"/>
      <c r="BU52" s="55"/>
      <c r="BV52" s="65"/>
      <c r="BW52" s="64"/>
      <c r="BX52" s="66"/>
      <c r="BY52" s="15"/>
      <c r="BZ52" s="23"/>
      <c r="CA52" s="59"/>
      <c r="CB52" s="64"/>
      <c r="CC52" s="55"/>
      <c r="CD52" s="65"/>
      <c r="CE52" s="55"/>
      <c r="CF52" s="65"/>
      <c r="CG52" s="64"/>
      <c r="CH52" s="66"/>
      <c r="CI52" s="64"/>
      <c r="CJ52" s="23"/>
      <c r="CK52" s="59"/>
      <c r="CL52" s="64"/>
      <c r="CM52" s="55"/>
      <c r="CN52" s="65"/>
      <c r="CO52" s="55"/>
      <c r="CP52" s="65"/>
      <c r="CQ52" s="64"/>
      <c r="CR52" s="66"/>
      <c r="CS52" s="64"/>
      <c r="CT52" s="23"/>
      <c r="CU52" s="59"/>
      <c r="CV52" s="64"/>
      <c r="CW52" s="55"/>
      <c r="CX52" s="65"/>
      <c r="CY52" s="55"/>
      <c r="CZ52" s="65"/>
      <c r="DA52" s="64"/>
      <c r="DB52" s="66"/>
      <c r="DC52" s="64"/>
      <c r="DD52" s="23"/>
      <c r="DE52" s="59"/>
      <c r="DF52" s="64"/>
      <c r="DG52" s="55"/>
      <c r="DH52" s="65"/>
      <c r="DI52" s="55"/>
      <c r="DJ52" s="65"/>
      <c r="DK52" s="64"/>
      <c r="DL52" s="66"/>
      <c r="DM52" s="15"/>
      <c r="DN52" s="23"/>
      <c r="DO52" s="23"/>
    </row>
    <row r="53" spans="1:119" ht="15" customHeight="1" x14ac:dyDescent="0.35">
      <c r="A53" s="90"/>
      <c r="B53" s="379"/>
      <c r="E53" s="18"/>
      <c r="F53" s="11"/>
      <c r="G53" s="36"/>
      <c r="H53" s="36"/>
      <c r="I53" s="17">
        <f t="shared" si="4"/>
        <v>0</v>
      </c>
      <c r="J53" s="36"/>
      <c r="K53" s="11"/>
      <c r="L53" s="11"/>
      <c r="M53" s="11"/>
      <c r="N53" s="39"/>
      <c r="O53" s="69"/>
      <c r="P53" s="15"/>
      <c r="Q53" s="18"/>
      <c r="R53" s="39"/>
      <c r="S53" s="17"/>
      <c r="T53" s="88"/>
      <c r="U53" s="17">
        <f t="shared" si="5"/>
        <v>0</v>
      </c>
      <c r="V53" s="88"/>
      <c r="W53" s="88"/>
      <c r="X53" s="88"/>
      <c r="Y53" s="39"/>
      <c r="Z53" s="39"/>
      <c r="AA53" s="39"/>
      <c r="AB53" s="23"/>
      <c r="AC53" s="59"/>
      <c r="AD53" s="64"/>
      <c r="AE53" s="55"/>
      <c r="AF53" s="65"/>
      <c r="AG53" s="55"/>
      <c r="AH53" s="65"/>
      <c r="AI53" s="64"/>
      <c r="AJ53" s="66"/>
      <c r="AK53" s="64"/>
      <c r="AL53" s="23"/>
      <c r="AM53" s="59"/>
      <c r="AN53" s="64"/>
      <c r="AO53" s="55"/>
      <c r="AP53" s="65"/>
      <c r="AQ53" s="55"/>
      <c r="AR53" s="65"/>
      <c r="AS53" s="64"/>
      <c r="AT53" s="66"/>
      <c r="AU53" s="64"/>
      <c r="AV53" s="23"/>
      <c r="AW53" s="59"/>
      <c r="AX53" s="64"/>
      <c r="AY53" s="55"/>
      <c r="AZ53" s="65"/>
      <c r="BA53" s="55"/>
      <c r="BB53" s="65"/>
      <c r="BC53" s="64"/>
      <c r="BD53" s="66"/>
      <c r="BE53" s="15"/>
      <c r="BF53" s="23"/>
      <c r="BG53" s="59"/>
      <c r="BH53" s="64"/>
      <c r="BI53" s="55"/>
      <c r="BJ53" s="65"/>
      <c r="BK53" s="55"/>
      <c r="BL53" s="65"/>
      <c r="BM53" s="64"/>
      <c r="BN53" s="66"/>
      <c r="BO53" s="64"/>
      <c r="BP53" s="23"/>
      <c r="BQ53" s="59"/>
      <c r="BR53" s="64"/>
      <c r="BS53" s="55"/>
      <c r="BT53" s="65"/>
      <c r="BU53" s="55"/>
      <c r="BV53" s="65"/>
      <c r="BW53" s="64"/>
      <c r="BX53" s="66"/>
      <c r="BY53" s="15"/>
      <c r="BZ53" s="23"/>
      <c r="CA53" s="59"/>
      <c r="CB53" s="64"/>
      <c r="CC53" s="55"/>
      <c r="CD53" s="65"/>
      <c r="CE53" s="55"/>
      <c r="CF53" s="65"/>
      <c r="CG53" s="64"/>
      <c r="CH53" s="66"/>
      <c r="CI53" s="64"/>
      <c r="CJ53" s="23"/>
      <c r="CK53" s="59"/>
      <c r="CL53" s="64"/>
      <c r="CM53" s="55"/>
      <c r="CN53" s="65"/>
      <c r="CO53" s="55"/>
      <c r="CP53" s="65"/>
      <c r="CQ53" s="64"/>
      <c r="CR53" s="66"/>
      <c r="CS53" s="64"/>
      <c r="CT53" s="23"/>
      <c r="CU53" s="59"/>
      <c r="CV53" s="64"/>
      <c r="CW53" s="55"/>
      <c r="CX53" s="65"/>
      <c r="CY53" s="55"/>
      <c r="CZ53" s="65"/>
      <c r="DA53" s="64"/>
      <c r="DB53" s="66"/>
      <c r="DC53" s="64"/>
      <c r="DD53" s="23"/>
      <c r="DE53" s="59"/>
      <c r="DF53" s="64"/>
      <c r="DG53" s="55"/>
      <c r="DH53" s="65"/>
      <c r="DI53" s="55"/>
      <c r="DJ53" s="65"/>
      <c r="DK53" s="64"/>
      <c r="DL53" s="66"/>
      <c r="DM53" s="15"/>
      <c r="DN53" s="23"/>
      <c r="DO53" s="23"/>
    </row>
    <row r="54" spans="1:119" ht="15" customHeight="1" x14ac:dyDescent="0.35">
      <c r="A54" s="90"/>
      <c r="B54" s="379"/>
      <c r="E54" s="18"/>
      <c r="F54" s="11"/>
      <c r="G54" s="36"/>
      <c r="H54" s="36"/>
      <c r="I54" s="17">
        <f t="shared" si="4"/>
        <v>0</v>
      </c>
      <c r="J54" s="36"/>
      <c r="K54" s="11"/>
      <c r="L54" s="11"/>
      <c r="M54" s="11"/>
      <c r="N54" s="39"/>
      <c r="O54" s="69"/>
      <c r="P54" s="15"/>
      <c r="Q54" s="18"/>
      <c r="R54" s="39"/>
      <c r="S54" s="17"/>
      <c r="T54" s="88"/>
      <c r="U54" s="17">
        <f t="shared" si="5"/>
        <v>0</v>
      </c>
      <c r="V54" s="88"/>
      <c r="W54" s="88"/>
      <c r="X54" s="88"/>
      <c r="Y54" s="39"/>
      <c r="Z54" s="39"/>
      <c r="AA54" s="39"/>
      <c r="AB54" s="23"/>
      <c r="AC54" s="59"/>
      <c r="AD54" s="64"/>
      <c r="AE54" s="55"/>
      <c r="AF54" s="65"/>
      <c r="AG54" s="55"/>
      <c r="AH54" s="65"/>
      <c r="AI54" s="64"/>
      <c r="AJ54" s="66"/>
      <c r="AK54" s="64"/>
      <c r="AL54" s="23"/>
      <c r="AM54" s="59"/>
      <c r="AN54" s="64"/>
      <c r="AO54" s="55"/>
      <c r="AP54" s="65"/>
      <c r="AQ54" s="55"/>
      <c r="AR54" s="65"/>
      <c r="AS54" s="64"/>
      <c r="AT54" s="66"/>
      <c r="AU54" s="64"/>
      <c r="AV54" s="23"/>
      <c r="AW54" s="59"/>
      <c r="AX54" s="64"/>
      <c r="AY54" s="55"/>
      <c r="AZ54" s="65"/>
      <c r="BA54" s="55"/>
      <c r="BB54" s="65"/>
      <c r="BC54" s="64"/>
      <c r="BD54" s="66"/>
      <c r="BE54" s="15"/>
      <c r="BF54" s="23"/>
      <c r="BG54" s="59"/>
      <c r="BH54" s="64"/>
      <c r="BI54" s="55"/>
      <c r="BJ54" s="65"/>
      <c r="BK54" s="55"/>
      <c r="BL54" s="65"/>
      <c r="BM54" s="64"/>
      <c r="BN54" s="66"/>
      <c r="BO54" s="64"/>
      <c r="BP54" s="23"/>
      <c r="BQ54" s="59"/>
      <c r="BR54" s="64"/>
      <c r="BS54" s="55"/>
      <c r="BT54" s="65"/>
      <c r="BU54" s="55"/>
      <c r="BV54" s="65"/>
      <c r="BW54" s="64"/>
      <c r="BX54" s="66"/>
      <c r="BY54" s="15"/>
      <c r="BZ54" s="23"/>
      <c r="CA54" s="59"/>
      <c r="CB54" s="64"/>
      <c r="CC54" s="55"/>
      <c r="CD54" s="65"/>
      <c r="CE54" s="55"/>
      <c r="CF54" s="65"/>
      <c r="CG54" s="64"/>
      <c r="CH54" s="66"/>
      <c r="CI54" s="64"/>
      <c r="CJ54" s="23"/>
      <c r="CK54" s="59"/>
      <c r="CL54" s="64"/>
      <c r="CM54" s="55"/>
      <c r="CN54" s="65"/>
      <c r="CO54" s="55"/>
      <c r="CP54" s="65"/>
      <c r="CQ54" s="64"/>
      <c r="CR54" s="66"/>
      <c r="CS54" s="64"/>
      <c r="CT54" s="23"/>
      <c r="CU54" s="59"/>
      <c r="CV54" s="64"/>
      <c r="CW54" s="55"/>
      <c r="CX54" s="65"/>
      <c r="CY54" s="55"/>
      <c r="CZ54" s="65"/>
      <c r="DA54" s="64"/>
      <c r="DB54" s="66"/>
      <c r="DC54" s="64"/>
      <c r="DD54" s="23"/>
      <c r="DE54" s="59"/>
      <c r="DF54" s="64"/>
      <c r="DG54" s="55"/>
      <c r="DH54" s="65"/>
      <c r="DI54" s="55"/>
      <c r="DJ54" s="65"/>
      <c r="DK54" s="64"/>
      <c r="DL54" s="66"/>
      <c r="DM54" s="15"/>
      <c r="DN54" s="23"/>
      <c r="DO54" s="23"/>
    </row>
    <row r="55" spans="1:119" ht="15" customHeight="1" x14ac:dyDescent="0.35">
      <c r="A55" s="22"/>
      <c r="B55" s="379"/>
      <c r="E55" s="18"/>
      <c r="F55" s="11"/>
      <c r="G55" s="36"/>
      <c r="H55" s="36"/>
      <c r="I55" s="17">
        <f t="shared" si="4"/>
        <v>0</v>
      </c>
      <c r="J55" s="36"/>
      <c r="K55" s="11"/>
      <c r="L55" s="11"/>
      <c r="M55" s="11"/>
      <c r="N55" s="39"/>
      <c r="O55" s="69"/>
      <c r="P55" s="15"/>
      <c r="Q55" s="18"/>
      <c r="R55" s="39"/>
      <c r="S55" s="17"/>
      <c r="T55" s="88"/>
      <c r="U55" s="17">
        <f t="shared" si="5"/>
        <v>0</v>
      </c>
      <c r="V55" s="88"/>
      <c r="W55" s="88"/>
      <c r="X55" s="88"/>
      <c r="Y55" s="39"/>
      <c r="Z55" s="39"/>
      <c r="AA55" s="39"/>
      <c r="AB55" s="23"/>
      <c r="AC55" s="59"/>
      <c r="AD55" s="64"/>
      <c r="AE55" s="55"/>
      <c r="AF55" s="65"/>
      <c r="AG55" s="55"/>
      <c r="AH55" s="65"/>
      <c r="AI55" s="64"/>
      <c r="AJ55" s="66"/>
      <c r="AK55" s="64"/>
      <c r="AL55" s="23"/>
      <c r="AM55" s="59"/>
      <c r="AN55" s="64"/>
      <c r="AO55" s="55"/>
      <c r="AP55" s="65"/>
      <c r="AQ55" s="55"/>
      <c r="AR55" s="65"/>
      <c r="AS55" s="64"/>
      <c r="AT55" s="66"/>
      <c r="AU55" s="64"/>
      <c r="AV55" s="23"/>
      <c r="AW55" s="59"/>
      <c r="AX55" s="64"/>
      <c r="AY55" s="55"/>
      <c r="AZ55" s="65"/>
      <c r="BA55" s="55"/>
      <c r="BB55" s="65"/>
      <c r="BC55" s="64"/>
      <c r="BD55" s="66"/>
      <c r="BE55" s="15"/>
      <c r="BF55" s="23"/>
      <c r="BG55" s="59"/>
      <c r="BH55" s="64"/>
      <c r="BI55" s="55"/>
      <c r="BJ55" s="65"/>
      <c r="BK55" s="55"/>
      <c r="BL55" s="65"/>
      <c r="BM55" s="64"/>
      <c r="BN55" s="66"/>
      <c r="BO55" s="64"/>
      <c r="BP55" s="23"/>
      <c r="BQ55" s="59"/>
      <c r="BR55" s="64"/>
      <c r="BS55" s="55"/>
      <c r="BT55" s="65"/>
      <c r="BU55" s="55"/>
      <c r="BV55" s="65"/>
      <c r="BW55" s="64"/>
      <c r="BX55" s="66"/>
      <c r="BY55" s="15"/>
      <c r="BZ55" s="23"/>
      <c r="CA55" s="59"/>
      <c r="CB55" s="64"/>
      <c r="CC55" s="55"/>
      <c r="CD55" s="65"/>
      <c r="CE55" s="55"/>
      <c r="CF55" s="65"/>
      <c r="CG55" s="64"/>
      <c r="CH55" s="66"/>
      <c r="CI55" s="64"/>
      <c r="CJ55" s="23"/>
      <c r="CK55" s="59"/>
      <c r="CL55" s="64"/>
      <c r="CM55" s="55"/>
      <c r="CN55" s="65"/>
      <c r="CO55" s="55"/>
      <c r="CP55" s="65"/>
      <c r="CQ55" s="64"/>
      <c r="CR55" s="66"/>
      <c r="CS55" s="64"/>
      <c r="CT55" s="23"/>
      <c r="CU55" s="59"/>
      <c r="CV55" s="64"/>
      <c r="CW55" s="55"/>
      <c r="CX55" s="65"/>
      <c r="CY55" s="55"/>
      <c r="CZ55" s="65"/>
      <c r="DA55" s="64"/>
      <c r="DB55" s="66"/>
      <c r="DC55" s="64"/>
      <c r="DD55" s="23"/>
      <c r="DE55" s="59"/>
      <c r="DF55" s="64"/>
      <c r="DG55" s="55"/>
      <c r="DH55" s="65"/>
      <c r="DI55" s="55"/>
      <c r="DJ55" s="65"/>
      <c r="DK55" s="64"/>
      <c r="DL55" s="66"/>
      <c r="DM55" s="15"/>
      <c r="DN55" s="23"/>
      <c r="DO55" s="23"/>
    </row>
    <row r="56" spans="1:119" ht="15" customHeight="1" x14ac:dyDescent="0.35">
      <c r="A56" s="22"/>
      <c r="B56" s="22"/>
      <c r="E56" s="18"/>
      <c r="F56" s="11"/>
      <c r="G56" s="36"/>
      <c r="H56" s="36"/>
      <c r="I56" s="17">
        <f t="shared" si="4"/>
        <v>0</v>
      </c>
      <c r="J56" s="36"/>
      <c r="K56" s="11"/>
      <c r="L56" s="11"/>
      <c r="M56" s="11"/>
      <c r="N56" s="39"/>
      <c r="O56" s="69"/>
      <c r="P56" s="15"/>
      <c r="Q56" s="18"/>
      <c r="R56" s="39"/>
      <c r="S56" s="17"/>
      <c r="T56" s="88"/>
      <c r="U56" s="17">
        <f t="shared" si="5"/>
        <v>0</v>
      </c>
      <c r="V56" s="88"/>
      <c r="W56" s="88"/>
      <c r="X56" s="88"/>
      <c r="Y56" s="39"/>
      <c r="Z56" s="39"/>
      <c r="AA56" s="39"/>
      <c r="AB56" s="23"/>
      <c r="AC56" s="59"/>
      <c r="AD56" s="64"/>
      <c r="AE56" s="55"/>
      <c r="AF56" s="65"/>
      <c r="AG56" s="55"/>
      <c r="AH56" s="65"/>
      <c r="AI56" s="64"/>
      <c r="AJ56" s="66"/>
      <c r="AK56" s="64"/>
      <c r="AL56" s="23"/>
      <c r="AM56" s="59"/>
      <c r="AN56" s="64"/>
      <c r="AO56" s="55"/>
      <c r="AP56" s="65"/>
      <c r="AQ56" s="55"/>
      <c r="AR56" s="65"/>
      <c r="AS56" s="64"/>
      <c r="AT56" s="66"/>
      <c r="AU56" s="64"/>
      <c r="AV56" s="23"/>
      <c r="AW56" s="59"/>
      <c r="AX56" s="64"/>
      <c r="AY56" s="55"/>
      <c r="AZ56" s="65"/>
      <c r="BA56" s="55"/>
      <c r="BB56" s="65"/>
      <c r="BC56" s="64"/>
      <c r="BD56" s="66"/>
      <c r="BE56" s="15"/>
      <c r="BF56" s="23"/>
      <c r="BG56" s="59"/>
      <c r="BH56" s="64"/>
      <c r="BI56" s="55"/>
      <c r="BJ56" s="65"/>
      <c r="BK56" s="55"/>
      <c r="BL56" s="65"/>
      <c r="BM56" s="64"/>
      <c r="BN56" s="66"/>
      <c r="BO56" s="64"/>
      <c r="BP56" s="23"/>
      <c r="BQ56" s="59"/>
      <c r="BR56" s="64"/>
      <c r="BS56" s="55"/>
      <c r="BT56" s="65"/>
      <c r="BU56" s="55"/>
      <c r="BV56" s="65"/>
      <c r="BW56" s="64"/>
      <c r="BX56" s="66"/>
      <c r="BY56" s="15"/>
      <c r="BZ56" s="23"/>
      <c r="CA56" s="59"/>
      <c r="CB56" s="64"/>
      <c r="CC56" s="55"/>
      <c r="CD56" s="65"/>
      <c r="CE56" s="55"/>
      <c r="CF56" s="65"/>
      <c r="CG56" s="64"/>
      <c r="CH56" s="66"/>
      <c r="CI56" s="64"/>
      <c r="CJ56" s="23"/>
      <c r="CK56" s="59"/>
      <c r="CL56" s="64"/>
      <c r="CM56" s="55"/>
      <c r="CN56" s="65"/>
      <c r="CO56" s="55"/>
      <c r="CP56" s="65"/>
      <c r="CQ56" s="64"/>
      <c r="CR56" s="66"/>
      <c r="CS56" s="64"/>
      <c r="CT56" s="23"/>
      <c r="CU56" s="59"/>
      <c r="CV56" s="64"/>
      <c r="CW56" s="55"/>
      <c r="CX56" s="65"/>
      <c r="CY56" s="55"/>
      <c r="CZ56" s="65"/>
      <c r="DA56" s="64"/>
      <c r="DB56" s="66"/>
      <c r="DC56" s="64"/>
      <c r="DD56" s="23"/>
      <c r="DE56" s="59"/>
      <c r="DF56" s="64"/>
      <c r="DG56" s="55"/>
      <c r="DH56" s="65"/>
      <c r="DI56" s="55"/>
      <c r="DJ56" s="65"/>
      <c r="DK56" s="64"/>
      <c r="DL56" s="66"/>
      <c r="DM56" s="15"/>
      <c r="DN56" s="23"/>
      <c r="DO56" s="23"/>
    </row>
    <row r="57" spans="1:119" ht="15" customHeight="1" x14ac:dyDescent="0.35">
      <c r="A57" s="22"/>
      <c r="B57" s="22"/>
      <c r="E57" s="18"/>
      <c r="F57" s="11"/>
      <c r="G57" s="36"/>
      <c r="H57" s="36"/>
      <c r="I57" s="17">
        <f t="shared" si="4"/>
        <v>0</v>
      </c>
      <c r="J57" s="36"/>
      <c r="K57" s="11"/>
      <c r="L57" s="11"/>
      <c r="M57" s="11"/>
      <c r="N57" s="39"/>
      <c r="O57" s="69"/>
      <c r="P57" s="15"/>
      <c r="Q57" s="18"/>
      <c r="R57" s="39"/>
      <c r="S57" s="17"/>
      <c r="T57" s="88"/>
      <c r="U57" s="17">
        <f t="shared" si="5"/>
        <v>0</v>
      </c>
      <c r="V57" s="88"/>
      <c r="W57" s="88"/>
      <c r="X57" s="88"/>
      <c r="Y57" s="39"/>
      <c r="Z57" s="39"/>
      <c r="AA57" s="39"/>
      <c r="AB57" s="23"/>
      <c r="AC57" s="59"/>
      <c r="AD57" s="64"/>
      <c r="AE57" s="55"/>
      <c r="AF57" s="65"/>
      <c r="AG57" s="55"/>
      <c r="AH57" s="65"/>
      <c r="AI57" s="64"/>
      <c r="AJ57" s="66"/>
      <c r="AK57" s="64"/>
      <c r="AL57" s="23"/>
      <c r="AM57" s="59"/>
      <c r="AN57" s="64"/>
      <c r="AO57" s="55"/>
      <c r="AP57" s="65"/>
      <c r="AQ57" s="55"/>
      <c r="AR57" s="65"/>
      <c r="AS57" s="64"/>
      <c r="AT57" s="66"/>
      <c r="AU57" s="64"/>
      <c r="AV57" s="23"/>
      <c r="AW57" s="59"/>
      <c r="AX57" s="64"/>
      <c r="AY57" s="55"/>
      <c r="AZ57" s="65"/>
      <c r="BA57" s="55"/>
      <c r="BB57" s="65"/>
      <c r="BC57" s="64"/>
      <c r="BD57" s="66"/>
      <c r="BE57" s="15"/>
      <c r="BF57" s="23"/>
      <c r="BG57" s="59"/>
      <c r="BH57" s="64"/>
      <c r="BI57" s="55"/>
      <c r="BJ57" s="65"/>
      <c r="BK57" s="55"/>
      <c r="BL57" s="65"/>
      <c r="BM57" s="64"/>
      <c r="BN57" s="66"/>
      <c r="BO57" s="64"/>
      <c r="BP57" s="23"/>
      <c r="BQ57" s="59"/>
      <c r="BR57" s="64"/>
      <c r="BS57" s="55"/>
      <c r="BT57" s="65"/>
      <c r="BU57" s="55"/>
      <c r="BV57" s="65"/>
      <c r="BW57" s="64"/>
      <c r="BX57" s="66"/>
      <c r="BY57" s="15"/>
      <c r="BZ57" s="23"/>
      <c r="CA57" s="59"/>
      <c r="CB57" s="64"/>
      <c r="CC57" s="55"/>
      <c r="CD57" s="65"/>
      <c r="CE57" s="55"/>
      <c r="CF57" s="65"/>
      <c r="CG57" s="64"/>
      <c r="CH57" s="66"/>
      <c r="CI57" s="64"/>
      <c r="CJ57" s="23"/>
      <c r="CK57" s="59"/>
      <c r="CL57" s="64"/>
      <c r="CM57" s="55"/>
      <c r="CN57" s="65"/>
      <c r="CO57" s="55"/>
      <c r="CP57" s="65"/>
      <c r="CQ57" s="64"/>
      <c r="CR57" s="66"/>
      <c r="CS57" s="64"/>
      <c r="CT57" s="23"/>
      <c r="CU57" s="59"/>
      <c r="CV57" s="64"/>
      <c r="CW57" s="55"/>
      <c r="CX57" s="65"/>
      <c r="CY57" s="55"/>
      <c r="CZ57" s="65"/>
      <c r="DA57" s="64"/>
      <c r="DB57" s="66"/>
      <c r="DC57" s="64"/>
      <c r="DD57" s="23"/>
      <c r="DE57" s="59"/>
      <c r="DF57" s="64"/>
      <c r="DG57" s="55"/>
      <c r="DH57" s="65"/>
      <c r="DI57" s="55"/>
      <c r="DJ57" s="65"/>
      <c r="DK57" s="64"/>
      <c r="DL57" s="66"/>
      <c r="DM57" s="15"/>
      <c r="DN57" s="23"/>
      <c r="DO57" s="23"/>
    </row>
    <row r="58" spans="1:119" ht="15" customHeight="1" x14ac:dyDescent="0.35">
      <c r="A58" s="22"/>
      <c r="B58" s="22"/>
      <c r="E58" s="18"/>
      <c r="F58" s="11"/>
      <c r="G58" s="36"/>
      <c r="H58" s="36"/>
      <c r="I58" s="17">
        <f t="shared" si="4"/>
        <v>0</v>
      </c>
      <c r="J58" s="36"/>
      <c r="K58" s="11"/>
      <c r="L58" s="11"/>
      <c r="M58" s="11"/>
      <c r="N58" s="39"/>
      <c r="O58" s="69"/>
      <c r="P58" s="15"/>
      <c r="Q58" s="18"/>
      <c r="R58" s="39"/>
      <c r="S58" s="17"/>
      <c r="T58" s="88"/>
      <c r="U58" s="17">
        <f t="shared" si="5"/>
        <v>0</v>
      </c>
      <c r="V58" s="88"/>
      <c r="W58" s="88"/>
      <c r="X58" s="88"/>
      <c r="Y58" s="39"/>
      <c r="Z58" s="39"/>
      <c r="AA58" s="39"/>
      <c r="AB58" s="23"/>
      <c r="AC58" s="59"/>
      <c r="AD58" s="64"/>
      <c r="AE58" s="55"/>
      <c r="AF58" s="65"/>
      <c r="AG58" s="55"/>
      <c r="AH58" s="65"/>
      <c r="AI58" s="64"/>
      <c r="AJ58" s="66"/>
      <c r="AK58" s="64"/>
      <c r="AL58" s="23"/>
      <c r="AM58" s="59"/>
      <c r="AN58" s="64"/>
      <c r="AO58" s="55"/>
      <c r="AP58" s="65"/>
      <c r="AQ58" s="55"/>
      <c r="AR58" s="65"/>
      <c r="AS58" s="64"/>
      <c r="AT58" s="66"/>
      <c r="AU58" s="64"/>
      <c r="AV58" s="23"/>
      <c r="AW58" s="59"/>
      <c r="AX58" s="64"/>
      <c r="AY58" s="55"/>
      <c r="AZ58" s="65"/>
      <c r="BA58" s="55"/>
      <c r="BB58" s="65"/>
      <c r="BC58" s="64"/>
      <c r="BD58" s="66"/>
      <c r="BE58" s="15"/>
      <c r="BF58" s="23"/>
      <c r="BG58" s="59"/>
      <c r="BH58" s="64"/>
      <c r="BI58" s="55"/>
      <c r="BJ58" s="65"/>
      <c r="BK58" s="55"/>
      <c r="BL58" s="65"/>
      <c r="BM58" s="64"/>
      <c r="BN58" s="66"/>
      <c r="BO58" s="64"/>
      <c r="BP58" s="23"/>
      <c r="BQ58" s="59"/>
      <c r="BR58" s="64"/>
      <c r="BS58" s="55"/>
      <c r="BT58" s="65"/>
      <c r="BU58" s="55"/>
      <c r="BV58" s="65"/>
      <c r="BW58" s="64"/>
      <c r="BX58" s="66"/>
      <c r="BY58" s="15"/>
      <c r="BZ58" s="23"/>
      <c r="CA58" s="59"/>
      <c r="CB58" s="64"/>
      <c r="CC58" s="55"/>
      <c r="CD58" s="65"/>
      <c r="CE58" s="55"/>
      <c r="CF58" s="65"/>
      <c r="CG58" s="64"/>
      <c r="CH58" s="66"/>
      <c r="CI58" s="64"/>
      <c r="CJ58" s="23"/>
      <c r="CK58" s="59"/>
      <c r="CL58" s="64"/>
      <c r="CM58" s="55"/>
      <c r="CN58" s="65"/>
      <c r="CO58" s="55"/>
      <c r="CP58" s="65"/>
      <c r="CQ58" s="64"/>
      <c r="CR58" s="66"/>
      <c r="CS58" s="64"/>
      <c r="CT58" s="23"/>
      <c r="CU58" s="59"/>
      <c r="CV58" s="64"/>
      <c r="CW58" s="55"/>
      <c r="CX58" s="65"/>
      <c r="CY58" s="55"/>
      <c r="CZ58" s="65"/>
      <c r="DA58" s="64"/>
      <c r="DB58" s="66"/>
      <c r="DC58" s="64"/>
      <c r="DD58" s="23"/>
      <c r="DE58" s="59"/>
      <c r="DF58" s="64"/>
      <c r="DG58" s="55"/>
      <c r="DH58" s="65"/>
      <c r="DI58" s="55"/>
      <c r="DJ58" s="65"/>
      <c r="DK58" s="64"/>
      <c r="DL58" s="66"/>
      <c r="DM58" s="15"/>
      <c r="DN58" s="23"/>
      <c r="DO58" s="23"/>
    </row>
    <row r="59" spans="1:119" ht="15" customHeight="1" x14ac:dyDescent="0.35">
      <c r="B59" s="22"/>
      <c r="E59" s="18"/>
      <c r="F59" s="11"/>
      <c r="G59" s="36"/>
      <c r="H59" s="36"/>
      <c r="I59" s="17">
        <f t="shared" si="4"/>
        <v>0</v>
      </c>
      <c r="J59" s="36"/>
      <c r="K59" s="11"/>
      <c r="L59" s="11"/>
      <c r="M59" s="11"/>
      <c r="N59" s="39"/>
      <c r="O59" s="69"/>
      <c r="P59" s="15"/>
      <c r="Q59" s="18"/>
      <c r="R59" s="39"/>
      <c r="S59" s="17"/>
      <c r="T59" s="88"/>
      <c r="U59" s="17">
        <f t="shared" si="5"/>
        <v>0</v>
      </c>
      <c r="V59" s="88"/>
      <c r="W59" s="88"/>
      <c r="X59" s="88"/>
      <c r="Y59" s="39"/>
      <c r="Z59" s="39"/>
      <c r="AA59" s="39"/>
      <c r="AB59" s="23"/>
      <c r="AC59" s="59"/>
      <c r="AD59" s="64"/>
      <c r="AE59" s="55"/>
      <c r="AF59" s="65"/>
      <c r="AG59" s="55"/>
      <c r="AH59" s="65"/>
      <c r="AI59" s="64"/>
      <c r="AJ59" s="66"/>
      <c r="AK59" s="64"/>
      <c r="AL59" s="23"/>
      <c r="AM59" s="59"/>
      <c r="AN59" s="64"/>
      <c r="AO59" s="55"/>
      <c r="AP59" s="65"/>
      <c r="AQ59" s="55"/>
      <c r="AR59" s="65"/>
      <c r="AS59" s="64"/>
      <c r="AT59" s="66"/>
      <c r="AU59" s="64"/>
      <c r="AV59" s="23"/>
      <c r="AW59" s="59"/>
      <c r="AX59" s="64"/>
      <c r="AY59" s="55"/>
      <c r="AZ59" s="65"/>
      <c r="BA59" s="55"/>
      <c r="BB59" s="65"/>
      <c r="BC59" s="64"/>
      <c r="BD59" s="66"/>
      <c r="BE59" s="15"/>
      <c r="BF59" s="23"/>
      <c r="BG59" s="59"/>
      <c r="BH59" s="64"/>
      <c r="BI59" s="55"/>
      <c r="BJ59" s="65"/>
      <c r="BK59" s="55"/>
      <c r="BL59" s="65"/>
      <c r="BM59" s="64"/>
      <c r="BN59" s="66"/>
      <c r="BO59" s="64"/>
      <c r="BP59" s="23"/>
      <c r="BQ59" s="59"/>
      <c r="BR59" s="64"/>
      <c r="BS59" s="55"/>
      <c r="BT59" s="65"/>
      <c r="BU59" s="55"/>
      <c r="BV59" s="65"/>
      <c r="BW59" s="64"/>
      <c r="BX59" s="66"/>
      <c r="BY59" s="15"/>
      <c r="BZ59" s="23"/>
      <c r="CA59" s="59"/>
      <c r="CB59" s="64"/>
      <c r="CC59" s="55"/>
      <c r="CD59" s="65"/>
      <c r="CE59" s="55"/>
      <c r="CF59" s="65"/>
      <c r="CG59" s="64"/>
      <c r="CH59" s="66"/>
      <c r="CI59" s="64"/>
      <c r="CJ59" s="23"/>
      <c r="CK59" s="59"/>
      <c r="CL59" s="64"/>
      <c r="CM59" s="55"/>
      <c r="CN59" s="65"/>
      <c r="CO59" s="55"/>
      <c r="CP59" s="65"/>
      <c r="CQ59" s="64"/>
      <c r="CR59" s="66"/>
      <c r="CS59" s="64"/>
      <c r="CT59" s="23"/>
      <c r="CU59" s="59"/>
      <c r="CV59" s="64"/>
      <c r="CW59" s="55"/>
      <c r="CX59" s="65"/>
      <c r="CY59" s="55"/>
      <c r="CZ59" s="65"/>
      <c r="DA59" s="64"/>
      <c r="DB59" s="66"/>
      <c r="DC59" s="64"/>
      <c r="DD59" s="23"/>
      <c r="DE59" s="59"/>
      <c r="DF59" s="64"/>
      <c r="DG59" s="55"/>
      <c r="DH59" s="65"/>
      <c r="DI59" s="55"/>
      <c r="DJ59" s="65"/>
      <c r="DK59" s="64"/>
      <c r="DL59" s="66"/>
      <c r="DM59" s="15"/>
      <c r="DN59" s="23"/>
      <c r="DO59" s="23"/>
    </row>
    <row r="60" spans="1:119" ht="15" customHeight="1" x14ac:dyDescent="0.35">
      <c r="E60" s="18"/>
      <c r="F60" s="11"/>
      <c r="G60" s="36"/>
      <c r="H60" s="36"/>
      <c r="I60" s="17">
        <f t="shared" si="4"/>
        <v>0</v>
      </c>
      <c r="J60" s="36"/>
      <c r="K60" s="11"/>
      <c r="L60" s="11"/>
      <c r="M60" s="11"/>
      <c r="N60" s="39"/>
      <c r="O60" s="11"/>
      <c r="P60" s="15"/>
      <c r="Q60" s="18"/>
      <c r="R60" s="39"/>
      <c r="S60" s="17"/>
      <c r="T60" s="88"/>
      <c r="U60" s="17">
        <f t="shared" si="5"/>
        <v>0</v>
      </c>
      <c r="V60" s="88"/>
      <c r="W60" s="88"/>
      <c r="X60" s="88"/>
      <c r="Y60" s="39"/>
      <c r="Z60" s="39"/>
      <c r="AA60" s="39"/>
      <c r="AB60" s="23"/>
      <c r="AC60" s="59"/>
      <c r="AD60" s="64"/>
      <c r="AE60" s="55"/>
      <c r="AF60" s="65"/>
      <c r="AG60" s="55"/>
      <c r="AH60" s="65"/>
      <c r="AI60" s="64"/>
      <c r="AJ60" s="66"/>
      <c r="AK60" s="64"/>
      <c r="AL60" s="23"/>
      <c r="AM60" s="59"/>
      <c r="AN60" s="64"/>
      <c r="AO60" s="55"/>
      <c r="AP60" s="65"/>
      <c r="AQ60" s="55"/>
      <c r="AR60" s="65"/>
      <c r="AS60" s="64"/>
      <c r="AT60" s="66"/>
      <c r="AU60" s="64"/>
      <c r="AV60" s="23"/>
      <c r="AW60" s="59"/>
      <c r="AX60" s="64"/>
      <c r="AY60" s="55"/>
      <c r="AZ60" s="65"/>
      <c r="BA60" s="55"/>
      <c r="BB60" s="65"/>
      <c r="BC60" s="64"/>
      <c r="BD60" s="66"/>
      <c r="BE60" s="15"/>
      <c r="BF60" s="23"/>
      <c r="BG60" s="59"/>
      <c r="BH60" s="64"/>
      <c r="BI60" s="55"/>
      <c r="BJ60" s="65"/>
      <c r="BK60" s="55"/>
      <c r="BL60" s="65"/>
      <c r="BM60" s="64"/>
      <c r="BN60" s="66"/>
      <c r="BO60" s="64"/>
      <c r="BP60" s="23"/>
      <c r="BQ60" s="59"/>
      <c r="BR60" s="64"/>
      <c r="BS60" s="55"/>
      <c r="BT60" s="65"/>
      <c r="BU60" s="55"/>
      <c r="BV60" s="65"/>
      <c r="BW60" s="64"/>
      <c r="BX60" s="66"/>
      <c r="BY60" s="15"/>
      <c r="BZ60" s="23"/>
      <c r="CA60" s="59"/>
      <c r="CB60" s="64"/>
      <c r="CC60" s="55"/>
      <c r="CD60" s="65"/>
      <c r="CE60" s="55"/>
      <c r="CF60" s="65"/>
      <c r="CG60" s="64"/>
      <c r="CH60" s="66"/>
      <c r="CI60" s="64"/>
      <c r="CJ60" s="23"/>
      <c r="CK60" s="59"/>
      <c r="CL60" s="64"/>
      <c r="CM60" s="55"/>
      <c r="CN60" s="65"/>
      <c r="CO60" s="55"/>
      <c r="CP60" s="65"/>
      <c r="CQ60" s="64"/>
      <c r="CR60" s="66"/>
      <c r="CS60" s="64"/>
      <c r="CT60" s="23"/>
      <c r="CU60" s="59"/>
      <c r="CV60" s="64"/>
      <c r="CW60" s="55"/>
      <c r="CX60" s="65"/>
      <c r="CY60" s="55"/>
      <c r="CZ60" s="65"/>
      <c r="DA60" s="64"/>
      <c r="DB60" s="66"/>
      <c r="DC60" s="64"/>
      <c r="DD60" s="23"/>
      <c r="DE60" s="59"/>
      <c r="DF60" s="64"/>
      <c r="DG60" s="55"/>
      <c r="DH60" s="65"/>
      <c r="DI60" s="55"/>
      <c r="DJ60" s="65"/>
      <c r="DK60" s="64"/>
      <c r="DL60" s="66"/>
      <c r="DM60" s="15"/>
      <c r="DN60" s="23"/>
      <c r="DO60" s="23"/>
    </row>
    <row r="61" spans="1:119" ht="15" customHeight="1" x14ac:dyDescent="0.35">
      <c r="E61" s="19"/>
      <c r="F61" s="11"/>
      <c r="G61" s="36"/>
      <c r="H61" s="36"/>
      <c r="I61" s="17">
        <f t="shared" si="4"/>
        <v>0</v>
      </c>
      <c r="J61" s="36"/>
      <c r="K61" s="11"/>
      <c r="L61" s="11"/>
      <c r="M61" s="11"/>
      <c r="N61" s="39"/>
      <c r="O61" s="11"/>
      <c r="P61" s="15"/>
      <c r="Q61" s="19"/>
      <c r="R61" s="39"/>
      <c r="S61" s="17"/>
      <c r="T61" s="88"/>
      <c r="U61" s="17">
        <f t="shared" si="5"/>
        <v>0</v>
      </c>
      <c r="V61" s="88"/>
      <c r="W61" s="88"/>
      <c r="X61" s="88"/>
      <c r="Y61" s="39"/>
      <c r="Z61" s="39"/>
      <c r="AA61" s="38"/>
      <c r="AB61" s="23"/>
      <c r="AC61" s="60"/>
      <c r="AD61" s="64"/>
      <c r="AE61" s="55"/>
      <c r="AF61" s="65"/>
      <c r="AG61" s="55"/>
      <c r="AH61" s="65"/>
      <c r="AI61" s="64"/>
      <c r="AJ61" s="66"/>
      <c r="AK61" s="64"/>
      <c r="AL61" s="23"/>
      <c r="AM61" s="60"/>
      <c r="AN61" s="64"/>
      <c r="AO61" s="55"/>
      <c r="AP61" s="65"/>
      <c r="AQ61" s="55"/>
      <c r="AR61" s="65"/>
      <c r="AS61" s="64"/>
      <c r="AT61" s="66"/>
      <c r="AU61" s="64"/>
      <c r="AV61" s="23"/>
      <c r="AW61" s="60"/>
      <c r="AX61" s="64"/>
      <c r="AY61" s="55"/>
      <c r="AZ61" s="65"/>
      <c r="BA61" s="55"/>
      <c r="BB61" s="65"/>
      <c r="BC61" s="64"/>
      <c r="BD61" s="66"/>
      <c r="BE61" s="15"/>
      <c r="BF61" s="23"/>
      <c r="BG61" s="60"/>
      <c r="BH61" s="64"/>
      <c r="BI61" s="55"/>
      <c r="BJ61" s="65"/>
      <c r="BK61" s="55"/>
      <c r="BL61" s="65"/>
      <c r="BM61" s="64"/>
      <c r="BN61" s="66"/>
      <c r="BO61" s="64"/>
      <c r="BP61" s="23"/>
      <c r="BQ61" s="60"/>
      <c r="BR61" s="64"/>
      <c r="BS61" s="55"/>
      <c r="BT61" s="65"/>
      <c r="BU61" s="55"/>
      <c r="BV61" s="65"/>
      <c r="BW61" s="64"/>
      <c r="BX61" s="66"/>
      <c r="BY61" s="15"/>
      <c r="BZ61" s="23"/>
      <c r="CA61" s="60"/>
      <c r="CB61" s="64"/>
      <c r="CC61" s="55"/>
      <c r="CD61" s="65"/>
      <c r="CE61" s="55"/>
      <c r="CF61" s="65"/>
      <c r="CG61" s="64"/>
      <c r="CH61" s="66"/>
      <c r="CI61" s="64"/>
      <c r="CJ61" s="23"/>
      <c r="CK61" s="60"/>
      <c r="CL61" s="64"/>
      <c r="CM61" s="55"/>
      <c r="CN61" s="65"/>
      <c r="CO61" s="55"/>
      <c r="CP61" s="65"/>
      <c r="CQ61" s="64"/>
      <c r="CR61" s="66"/>
      <c r="CS61" s="64"/>
      <c r="CT61" s="23"/>
      <c r="CU61" s="60"/>
      <c r="CV61" s="64"/>
      <c r="CW61" s="55"/>
      <c r="CX61" s="65"/>
      <c r="CY61" s="55"/>
      <c r="CZ61" s="65"/>
      <c r="DA61" s="64"/>
      <c r="DB61" s="66"/>
      <c r="DC61" s="64"/>
      <c r="DD61" s="23"/>
      <c r="DE61" s="60"/>
      <c r="DF61" s="64"/>
      <c r="DG61" s="55"/>
      <c r="DH61" s="65"/>
      <c r="DI61" s="55"/>
      <c r="DJ61" s="65"/>
      <c r="DK61" s="64"/>
      <c r="DL61" s="66"/>
      <c r="DM61" s="15"/>
      <c r="DN61" s="23"/>
      <c r="DO61" s="23"/>
    </row>
    <row r="62" spans="1:119" ht="19.5" customHeight="1" x14ac:dyDescent="0.45">
      <c r="E62" s="20"/>
      <c r="F62" s="10"/>
      <c r="G62" s="49"/>
      <c r="H62" s="49"/>
      <c r="I62" s="17">
        <f t="shared" si="4"/>
        <v>0</v>
      </c>
      <c r="J62" s="49"/>
      <c r="K62" s="11"/>
      <c r="L62" s="11"/>
      <c r="M62" s="11"/>
      <c r="N62" s="39"/>
      <c r="O62" s="11"/>
      <c r="P62" s="15"/>
      <c r="Q62" s="53"/>
      <c r="R62" s="202"/>
      <c r="S62" s="50"/>
      <c r="T62" s="208"/>
      <c r="U62" s="17">
        <f t="shared" si="5"/>
        <v>0</v>
      </c>
      <c r="V62" s="208"/>
      <c r="W62" s="208"/>
      <c r="X62" s="208"/>
      <c r="Y62" s="39"/>
      <c r="Z62" s="39"/>
      <c r="AA62" s="38"/>
      <c r="AB62" s="35"/>
      <c r="AC62" s="67"/>
      <c r="AD62" s="25"/>
      <c r="AE62" s="55"/>
      <c r="AF62" s="68"/>
      <c r="AG62" s="55"/>
      <c r="AH62" s="68"/>
      <c r="AI62" s="64"/>
      <c r="AJ62" s="66"/>
      <c r="AK62" s="15"/>
      <c r="AL62" s="23"/>
      <c r="AM62" s="67"/>
      <c r="AN62" s="25"/>
      <c r="AO62" s="55"/>
      <c r="AP62" s="68"/>
      <c r="AQ62" s="55"/>
      <c r="AR62" s="68"/>
      <c r="AS62" s="64"/>
      <c r="AT62" s="66"/>
      <c r="AU62" s="64"/>
      <c r="AV62" s="23"/>
      <c r="AW62" s="67"/>
      <c r="AX62" s="25"/>
      <c r="AY62" s="55"/>
      <c r="AZ62" s="68"/>
      <c r="BA62" s="55"/>
      <c r="BB62" s="68"/>
      <c r="BC62" s="64"/>
      <c r="BD62" s="66"/>
      <c r="BE62" s="15"/>
      <c r="BF62" s="23"/>
      <c r="BG62" s="67"/>
      <c r="BH62" s="25"/>
      <c r="BI62" s="55"/>
      <c r="BJ62" s="68"/>
      <c r="BK62" s="55"/>
      <c r="BL62" s="68"/>
      <c r="BM62" s="64"/>
      <c r="BN62" s="66"/>
      <c r="BO62" s="64"/>
      <c r="BP62" s="23"/>
      <c r="BQ62" s="67"/>
      <c r="BR62" s="25"/>
      <c r="BS62" s="55"/>
      <c r="BT62" s="68"/>
      <c r="BU62" s="55"/>
      <c r="BV62" s="68"/>
      <c r="BW62" s="64"/>
      <c r="BX62" s="66"/>
      <c r="BY62" s="15"/>
      <c r="BZ62" s="23"/>
      <c r="CA62" s="67"/>
      <c r="CB62" s="25"/>
      <c r="CC62" s="55"/>
      <c r="CD62" s="68"/>
      <c r="CE62" s="55"/>
      <c r="CF62" s="68"/>
      <c r="CG62" s="64"/>
      <c r="CH62" s="66"/>
      <c r="CI62" s="64"/>
      <c r="CJ62" s="23"/>
      <c r="CK62" s="67"/>
      <c r="CL62" s="25"/>
      <c r="CM62" s="55"/>
      <c r="CN62" s="68"/>
      <c r="CO62" s="55"/>
      <c r="CP62" s="68"/>
      <c r="CQ62" s="64"/>
      <c r="CR62" s="66"/>
      <c r="CS62" s="64"/>
      <c r="CT62" s="23"/>
      <c r="CU62" s="67"/>
      <c r="CV62" s="25"/>
      <c r="CW62" s="55"/>
      <c r="CX62" s="68"/>
      <c r="CY62" s="55"/>
      <c r="CZ62" s="68"/>
      <c r="DA62" s="64"/>
      <c r="DB62" s="66"/>
      <c r="DC62" s="64"/>
      <c r="DD62" s="23"/>
      <c r="DE62" s="67"/>
      <c r="DF62" s="25"/>
      <c r="DG62" s="55"/>
      <c r="DH62" s="68"/>
      <c r="DI62" s="55"/>
      <c r="DJ62" s="68"/>
      <c r="DK62" s="64"/>
      <c r="DL62" s="66"/>
      <c r="DM62" s="15"/>
      <c r="DN62" s="23"/>
      <c r="DO62" s="23"/>
    </row>
    <row r="63" spans="1:119" ht="16.5" customHeight="1" thickBot="1" x14ac:dyDescent="0.4">
      <c r="E63" s="310"/>
      <c r="F63" s="310"/>
      <c r="G63" s="327">
        <f>SUBTOTAL(9,G5:G62)</f>
        <v>0</v>
      </c>
      <c r="H63" s="312">
        <f>SUBTOTAL(9,H5:H62)</f>
        <v>24029.39</v>
      </c>
      <c r="I63" s="312">
        <f>SUBTOTAL(9,I5:I62)</f>
        <v>88</v>
      </c>
      <c r="J63" s="312">
        <f>SUM(J26:J61)</f>
        <v>0</v>
      </c>
      <c r="K63" s="312"/>
      <c r="L63" s="325"/>
      <c r="M63" s="325"/>
      <c r="N63" s="326"/>
      <c r="O63" s="326"/>
      <c r="P63" s="16"/>
      <c r="Q63" s="310"/>
      <c r="R63" s="310"/>
      <c r="S63" s="327">
        <f>SUBTOTAL(9,S5:S62)</f>
        <v>8072.01</v>
      </c>
      <c r="T63" s="312">
        <f>SUBTOTAL(9,T5:T62)</f>
        <v>109.13999999999999</v>
      </c>
      <c r="U63" s="312">
        <f>SUBTOTAL(9,U5:U62)</f>
        <v>8181.1500000000005</v>
      </c>
      <c r="V63" s="312">
        <f>SUBTOTAL(9,V5:V62)</f>
        <v>0</v>
      </c>
      <c r="W63" s="312"/>
      <c r="X63" s="325"/>
      <c r="Y63" s="325"/>
      <c r="Z63" s="326"/>
      <c r="AA63" s="326"/>
      <c r="AB63" s="27"/>
      <c r="AC63" s="74"/>
      <c r="AD63" s="75"/>
      <c r="AE63" s="16"/>
      <c r="AF63" s="16"/>
      <c r="AG63" s="16"/>
      <c r="AH63" s="16"/>
      <c r="AI63" s="34"/>
      <c r="AJ63" s="16"/>
      <c r="AK63" s="16"/>
      <c r="AL63" s="23"/>
      <c r="AM63" s="74"/>
      <c r="AN63" s="75"/>
      <c r="AO63" s="16"/>
      <c r="AP63" s="16"/>
      <c r="AQ63" s="16"/>
      <c r="AR63" s="16"/>
      <c r="AS63" s="34"/>
      <c r="AT63" s="16"/>
      <c r="AU63" s="16"/>
      <c r="AV63" s="23"/>
      <c r="AW63" s="74"/>
      <c r="AX63" s="75"/>
      <c r="AY63" s="16"/>
      <c r="AZ63" s="16"/>
      <c r="BA63" s="16"/>
      <c r="BB63" s="16"/>
      <c r="BC63" s="34"/>
      <c r="BD63" s="16"/>
      <c r="BE63" s="16"/>
      <c r="BF63" s="23"/>
      <c r="BG63" s="74"/>
      <c r="BH63" s="75"/>
      <c r="BI63" s="16"/>
      <c r="BJ63" s="16"/>
      <c r="BK63" s="16"/>
      <c r="BL63" s="16"/>
      <c r="BM63" s="34"/>
      <c r="BN63" s="16"/>
      <c r="BO63" s="16"/>
      <c r="BP63" s="23"/>
      <c r="BQ63" s="74"/>
      <c r="BR63" s="75"/>
      <c r="BS63" s="16"/>
      <c r="BT63" s="16"/>
      <c r="BU63" s="16"/>
      <c r="BV63" s="16"/>
      <c r="BW63" s="34"/>
      <c r="BX63" s="16"/>
      <c r="BY63" s="16"/>
      <c r="BZ63" s="23"/>
      <c r="CA63" s="74"/>
      <c r="CB63" s="75"/>
      <c r="CC63" s="16"/>
      <c r="CD63" s="16"/>
      <c r="CE63" s="16"/>
      <c r="CF63" s="16"/>
      <c r="CG63" s="34"/>
      <c r="CH63" s="16"/>
      <c r="CI63" s="16"/>
      <c r="CJ63" s="23"/>
      <c r="CK63" s="74"/>
      <c r="CL63" s="75"/>
      <c r="CM63" s="16"/>
      <c r="CN63" s="16"/>
      <c r="CO63" s="16"/>
      <c r="CP63" s="16"/>
      <c r="CQ63" s="34"/>
      <c r="CR63" s="16"/>
      <c r="CS63" s="16"/>
      <c r="CT63" s="23"/>
      <c r="CU63" s="74"/>
      <c r="CV63" s="75"/>
      <c r="CW63" s="16"/>
      <c r="CX63" s="16"/>
      <c r="CY63" s="16"/>
      <c r="CZ63" s="16"/>
      <c r="DA63" s="34"/>
      <c r="DB63" s="16"/>
      <c r="DC63" s="16"/>
      <c r="DD63" s="23"/>
      <c r="DE63" s="74"/>
      <c r="DF63" s="75"/>
      <c r="DG63" s="16"/>
      <c r="DH63" s="16"/>
      <c r="DI63" s="16"/>
      <c r="DJ63" s="16"/>
      <c r="DK63" s="34"/>
      <c r="DL63" s="16"/>
      <c r="DM63" s="16"/>
      <c r="DN63" s="23"/>
      <c r="DO63" s="23"/>
    </row>
    <row r="64" spans="1:119" ht="15.75" customHeight="1" thickTop="1" x14ac:dyDescent="0.35">
      <c r="H64" s="52"/>
      <c r="Q64" s="28"/>
      <c r="R64" s="28"/>
      <c r="S64" s="25"/>
      <c r="T64" s="51"/>
      <c r="U64" s="48"/>
      <c r="V64" s="48"/>
      <c r="W64" s="30"/>
      <c r="X64" s="30"/>
      <c r="Y64" s="30"/>
      <c r="AB64" s="31"/>
      <c r="AC64" s="23"/>
      <c r="AD64" s="23"/>
      <c r="AE64" s="23"/>
      <c r="AF64" s="23"/>
      <c r="AG64" s="23"/>
      <c r="AH64" s="23"/>
      <c r="AI64" s="23"/>
      <c r="AJ64" s="23"/>
      <c r="AK64" s="23"/>
      <c r="AL64" s="23"/>
      <c r="AM64" s="23"/>
      <c r="AN64" s="23"/>
      <c r="AO64" s="23"/>
      <c r="AP64" s="23"/>
      <c r="AQ64" s="23"/>
      <c r="AR64" s="23"/>
      <c r="AS64" s="23"/>
      <c r="AT64" s="23"/>
      <c r="AU64" s="23"/>
      <c r="AV64" s="23"/>
      <c r="AW64" s="23"/>
      <c r="AX64" s="23"/>
      <c r="AY64" s="23"/>
      <c r="AZ64" s="23"/>
      <c r="BA64" s="23"/>
      <c r="BB64" s="23"/>
      <c r="BC64" s="23"/>
      <c r="BD64" s="23"/>
      <c r="BE64" s="23"/>
      <c r="BF64" s="23"/>
      <c r="BG64" s="23"/>
      <c r="BH64" s="23"/>
      <c r="BI64" s="23"/>
      <c r="BJ64" s="23"/>
      <c r="BK64" s="23"/>
      <c r="BL64" s="23"/>
      <c r="BM64" s="23"/>
      <c r="BN64" s="23"/>
      <c r="BO64" s="23"/>
      <c r="BP64" s="23"/>
      <c r="BQ64" s="23"/>
      <c r="BR64" s="23"/>
      <c r="BS64" s="23"/>
      <c r="BT64" s="23"/>
      <c r="BU64" s="23"/>
      <c r="BV64" s="23"/>
      <c r="BW64" s="23"/>
      <c r="BX64" s="23"/>
      <c r="BY64" s="23"/>
      <c r="BZ64" s="23"/>
      <c r="CA64" s="23"/>
      <c r="CB64" s="23"/>
      <c r="CC64" s="23"/>
      <c r="CD64" s="23"/>
      <c r="CE64" s="23"/>
      <c r="CF64" s="23"/>
      <c r="CG64" s="23"/>
      <c r="CH64" s="23"/>
      <c r="CI64" s="23"/>
      <c r="CJ64" s="23"/>
      <c r="CK64" s="23"/>
      <c r="CL64" s="23"/>
      <c r="CM64" s="23"/>
      <c r="CN64" s="23"/>
      <c r="CO64" s="23"/>
      <c r="CP64" s="23"/>
      <c r="CQ64" s="23"/>
      <c r="CR64" s="23"/>
      <c r="CS64" s="23"/>
      <c r="CT64" s="23"/>
      <c r="CU64" s="23"/>
      <c r="CV64" s="23"/>
      <c r="CW64" s="23"/>
      <c r="CX64" s="23"/>
      <c r="CY64" s="23"/>
      <c r="CZ64" s="23"/>
      <c r="DA64" s="23"/>
      <c r="DB64" s="23"/>
      <c r="DC64" s="23"/>
      <c r="DD64" s="23"/>
      <c r="DE64" s="23"/>
      <c r="DF64" s="23"/>
      <c r="DG64" s="23"/>
      <c r="DH64" s="23"/>
      <c r="DI64" s="23"/>
      <c r="DJ64" s="23"/>
      <c r="DK64" s="23"/>
      <c r="DL64" s="23"/>
      <c r="DM64" s="23"/>
      <c r="DN64" s="23"/>
      <c r="DO64" s="23"/>
    </row>
    <row r="65" spans="7:119" x14ac:dyDescent="0.35">
      <c r="Q65" s="32"/>
      <c r="R65" s="30"/>
      <c r="S65" s="28"/>
      <c r="T65" s="29"/>
      <c r="U65" s="30"/>
      <c r="V65" s="30"/>
      <c r="W65" s="30"/>
      <c r="X65" s="30"/>
      <c r="Y65" s="30"/>
      <c r="AB65" s="31"/>
      <c r="AC65" s="23"/>
      <c r="AD65" s="23"/>
      <c r="AE65" s="23"/>
      <c r="AF65" s="23"/>
      <c r="AG65" s="23"/>
      <c r="AH65" s="23"/>
      <c r="AI65" s="23"/>
      <c r="AJ65" s="23"/>
      <c r="AK65" s="23"/>
      <c r="AL65" s="23"/>
      <c r="AM65" s="23"/>
      <c r="AN65" s="23"/>
      <c r="AO65" s="23"/>
      <c r="AP65" s="23"/>
      <c r="AQ65" s="23"/>
      <c r="AR65" s="23"/>
      <c r="AS65" s="23"/>
      <c r="AT65" s="23"/>
      <c r="AU65" s="23"/>
      <c r="AV65" s="23"/>
      <c r="AW65" s="23"/>
      <c r="AX65" s="23"/>
      <c r="AY65" s="23"/>
      <c r="AZ65" s="23"/>
      <c r="BA65" s="23"/>
      <c r="BB65" s="23"/>
      <c r="BC65" s="23"/>
      <c r="BD65" s="23"/>
      <c r="BE65" s="23"/>
      <c r="BF65" s="23"/>
      <c r="BG65" s="23"/>
      <c r="BH65" s="23"/>
      <c r="BI65" s="23"/>
      <c r="BJ65" s="23"/>
      <c r="BK65" s="23"/>
      <c r="BL65" s="23"/>
      <c r="BM65" s="23"/>
      <c r="BN65" s="23"/>
      <c r="BO65" s="23"/>
      <c r="BP65" s="23"/>
      <c r="BQ65" s="23"/>
      <c r="BR65" s="23"/>
      <c r="BS65" s="23"/>
      <c r="BT65" s="23"/>
      <c r="BU65" s="23"/>
      <c r="BV65" s="23"/>
      <c r="BW65" s="23"/>
      <c r="BX65" s="23"/>
      <c r="BY65" s="23"/>
      <c r="BZ65" s="23"/>
      <c r="CA65" s="23"/>
      <c r="CB65" s="23"/>
      <c r="CC65" s="23"/>
      <c r="CD65" s="23"/>
      <c r="CE65" s="23"/>
      <c r="CF65" s="23"/>
      <c r="CG65" s="23"/>
      <c r="CH65" s="23"/>
      <c r="CI65" s="23"/>
      <c r="CJ65" s="23"/>
      <c r="CK65" s="23"/>
      <c r="CL65" s="23"/>
      <c r="CM65" s="23"/>
      <c r="CN65" s="23"/>
      <c r="CO65" s="23"/>
      <c r="CP65" s="23"/>
      <c r="CQ65" s="23"/>
      <c r="CR65" s="23"/>
      <c r="CS65" s="23"/>
      <c r="CT65" s="23"/>
      <c r="CU65" s="23"/>
      <c r="CV65" s="23"/>
      <c r="CW65" s="23"/>
      <c r="CX65" s="23"/>
      <c r="CY65" s="23"/>
      <c r="CZ65" s="23"/>
      <c r="DA65" s="23"/>
      <c r="DB65" s="23"/>
      <c r="DC65" s="23"/>
      <c r="DD65" s="23"/>
      <c r="DE65" s="23"/>
      <c r="DF65" s="23"/>
      <c r="DG65" s="23"/>
      <c r="DH65" s="23"/>
      <c r="DI65" s="23"/>
      <c r="DJ65" s="23"/>
      <c r="DK65" s="23"/>
      <c r="DL65" s="23"/>
      <c r="DM65" s="23"/>
      <c r="DN65" s="23"/>
      <c r="DO65" s="23"/>
    </row>
    <row r="66" spans="7:119" x14ac:dyDescent="0.35">
      <c r="Q66" s="25"/>
      <c r="R66" s="25"/>
      <c r="S66" s="25"/>
      <c r="T66" s="26"/>
      <c r="U66" s="25"/>
      <c r="V66" s="25"/>
      <c r="W66" s="25"/>
      <c r="X66" s="25"/>
      <c r="Y66" s="25"/>
      <c r="AB66" s="27"/>
      <c r="AC66" s="23"/>
      <c r="AD66" s="23"/>
      <c r="AE66" s="23"/>
      <c r="AF66" s="23"/>
      <c r="AG66" s="23"/>
      <c r="AH66" s="23"/>
      <c r="AI66" s="23"/>
      <c r="AJ66" s="23"/>
      <c r="AK66" s="23"/>
      <c r="AL66" s="23"/>
      <c r="AM66" s="23"/>
      <c r="AN66" s="23"/>
      <c r="AO66" s="23"/>
      <c r="AP66" s="23"/>
      <c r="AQ66" s="23"/>
      <c r="AR66" s="23"/>
      <c r="AS66" s="23"/>
      <c r="AT66" s="23"/>
      <c r="AU66" s="23"/>
      <c r="AV66" s="23"/>
      <c r="AW66" s="23"/>
      <c r="AX66" s="23"/>
      <c r="AY66" s="23"/>
      <c r="AZ66" s="23"/>
      <c r="BA66" s="23"/>
      <c r="BB66" s="23"/>
      <c r="BC66" s="23"/>
      <c r="BD66" s="23"/>
      <c r="BE66" s="23"/>
      <c r="BF66" s="23"/>
      <c r="BG66" s="23"/>
      <c r="BH66" s="23"/>
      <c r="BI66" s="23"/>
      <c r="BJ66" s="23"/>
      <c r="BK66" s="23"/>
      <c r="BL66" s="23"/>
      <c r="BM66" s="23"/>
      <c r="BN66" s="23"/>
      <c r="BO66" s="23"/>
      <c r="BP66" s="23"/>
      <c r="BQ66" s="23"/>
      <c r="BR66" s="23"/>
      <c r="BS66" s="23"/>
      <c r="BT66" s="23"/>
      <c r="BU66" s="23"/>
      <c r="BV66" s="23"/>
      <c r="BW66" s="23"/>
      <c r="BX66" s="23"/>
      <c r="BY66" s="23"/>
      <c r="BZ66" s="23"/>
      <c r="CA66" s="23"/>
      <c r="CB66" s="23"/>
      <c r="CC66" s="23"/>
      <c r="CD66" s="23"/>
      <c r="CE66" s="23"/>
      <c r="CF66" s="23"/>
      <c r="CG66" s="23"/>
      <c r="CH66" s="23"/>
      <c r="CI66" s="23"/>
      <c r="CJ66" s="23"/>
      <c r="CK66" s="23"/>
      <c r="CL66" s="23"/>
      <c r="CM66" s="23"/>
      <c r="CN66" s="23"/>
      <c r="CO66" s="23"/>
      <c r="CP66" s="23"/>
      <c r="CQ66" s="23"/>
      <c r="CR66" s="23"/>
      <c r="CS66" s="23"/>
      <c r="CT66" s="23"/>
      <c r="CU66" s="23"/>
      <c r="CV66" s="23"/>
      <c r="CW66" s="23"/>
      <c r="CX66" s="23"/>
      <c r="CY66" s="23"/>
      <c r="CZ66" s="23"/>
      <c r="DA66" s="23"/>
      <c r="DB66" s="23"/>
      <c r="DC66" s="23"/>
      <c r="DD66" s="23"/>
      <c r="DE66" s="23"/>
      <c r="DF66" s="23"/>
      <c r="DG66" s="23"/>
      <c r="DH66" s="23"/>
      <c r="DI66" s="23"/>
      <c r="DJ66" s="23"/>
      <c r="DK66" s="23"/>
      <c r="DL66" s="23"/>
      <c r="DM66" s="23"/>
      <c r="DN66" s="23"/>
      <c r="DO66" s="23"/>
    </row>
    <row r="67" spans="7:119" x14ac:dyDescent="0.35">
      <c r="G67" s="1"/>
      <c r="Q67" s="25"/>
      <c r="R67" s="25"/>
      <c r="S67" s="25"/>
      <c r="T67" s="26"/>
      <c r="U67" s="25"/>
      <c r="V67" s="25"/>
      <c r="W67" s="25"/>
      <c r="X67" s="25"/>
      <c r="Y67" s="25"/>
      <c r="AB67" s="27"/>
      <c r="AC67" s="23"/>
      <c r="AD67" s="23"/>
      <c r="AE67" s="23"/>
      <c r="AF67" s="23"/>
      <c r="AG67" s="23"/>
      <c r="AH67" s="23"/>
      <c r="AI67" s="23"/>
      <c r="AJ67" s="23"/>
      <c r="AK67" s="23"/>
      <c r="AL67" s="23"/>
      <c r="AM67" s="23"/>
      <c r="AN67" s="23"/>
      <c r="AO67" s="23"/>
      <c r="AP67" s="23"/>
      <c r="AQ67" s="23"/>
      <c r="AR67" s="23"/>
      <c r="AS67" s="23"/>
      <c r="AT67" s="23"/>
      <c r="AU67" s="23"/>
      <c r="AV67" s="23"/>
      <c r="AW67" s="23"/>
      <c r="AX67" s="23"/>
      <c r="AY67" s="23"/>
      <c r="AZ67" s="23"/>
      <c r="BA67" s="23"/>
      <c r="BB67" s="23"/>
      <c r="BC67" s="23"/>
      <c r="BD67" s="23"/>
      <c r="BE67" s="23"/>
      <c r="BF67" s="23"/>
      <c r="BG67" s="23"/>
      <c r="BH67" s="23"/>
      <c r="BI67" s="23"/>
      <c r="BJ67" s="23"/>
      <c r="BK67" s="23"/>
      <c r="BL67" s="23"/>
      <c r="BM67" s="23"/>
      <c r="BN67" s="23"/>
      <c r="BO67" s="23"/>
      <c r="BP67" s="23"/>
      <c r="BQ67" s="23"/>
      <c r="BR67" s="23"/>
      <c r="BS67" s="23"/>
      <c r="BT67" s="23"/>
      <c r="BU67" s="23"/>
      <c r="BV67" s="23"/>
      <c r="BW67" s="23"/>
      <c r="BX67" s="23"/>
      <c r="BY67" s="23"/>
      <c r="BZ67" s="23"/>
      <c r="CA67" s="23"/>
      <c r="CB67" s="23"/>
      <c r="CC67" s="23"/>
      <c r="CD67" s="23"/>
      <c r="CE67" s="23"/>
      <c r="CF67" s="23"/>
      <c r="CG67" s="23"/>
      <c r="CH67" s="23"/>
      <c r="CI67" s="23"/>
      <c r="CJ67" s="23"/>
      <c r="CK67" s="23"/>
      <c r="CL67" s="23"/>
      <c r="CM67" s="23"/>
      <c r="CN67" s="23"/>
      <c r="CO67" s="23"/>
      <c r="CP67" s="23"/>
      <c r="CQ67" s="23"/>
      <c r="CR67" s="23"/>
      <c r="CS67" s="23"/>
      <c r="CT67" s="23"/>
      <c r="CU67" s="23"/>
      <c r="CV67" s="23"/>
      <c r="CW67" s="23"/>
      <c r="CX67" s="23"/>
      <c r="CY67" s="23"/>
      <c r="CZ67" s="23"/>
      <c r="DA67" s="23"/>
      <c r="DB67" s="23"/>
      <c r="DC67" s="23"/>
      <c r="DD67" s="23"/>
      <c r="DE67" s="23"/>
      <c r="DF67" s="23"/>
      <c r="DG67" s="23"/>
      <c r="DH67" s="23"/>
      <c r="DI67" s="23"/>
      <c r="DJ67" s="23"/>
      <c r="DK67" s="23"/>
      <c r="DL67" s="23"/>
      <c r="DM67" s="23"/>
      <c r="DN67" s="23"/>
      <c r="DO67" s="23"/>
    </row>
    <row r="68" spans="7:119" x14ac:dyDescent="0.35">
      <c r="Q68" s="25"/>
      <c r="R68" s="25"/>
      <c r="S68" s="25"/>
      <c r="T68" s="26"/>
      <c r="U68" s="25"/>
      <c r="V68" s="25"/>
      <c r="W68" s="25"/>
      <c r="X68" s="25"/>
      <c r="Y68" s="25"/>
      <c r="AB68" s="27"/>
      <c r="AC68" s="23"/>
      <c r="AD68" s="23"/>
      <c r="AE68" s="23"/>
      <c r="AF68" s="23"/>
      <c r="AG68" s="23"/>
      <c r="AH68" s="23"/>
      <c r="AI68" s="23"/>
      <c r="AJ68" s="23"/>
      <c r="AK68" s="23"/>
      <c r="AL68" s="23"/>
      <c r="AM68" s="23"/>
      <c r="AN68" s="23"/>
      <c r="AO68" s="23"/>
      <c r="AP68" s="23"/>
      <c r="AQ68" s="23"/>
      <c r="AR68" s="23"/>
      <c r="AS68" s="23"/>
      <c r="AT68" s="23"/>
      <c r="AU68" s="23"/>
      <c r="AV68" s="23"/>
      <c r="AW68" s="23"/>
      <c r="AX68" s="23"/>
      <c r="AY68" s="23"/>
      <c r="AZ68" s="23"/>
      <c r="BA68" s="23"/>
      <c r="BB68" s="23"/>
      <c r="BC68" s="23"/>
      <c r="BD68" s="23"/>
      <c r="BE68" s="23"/>
      <c r="BF68" s="23"/>
      <c r="BG68" s="23"/>
      <c r="BH68" s="23"/>
      <c r="BI68" s="23"/>
      <c r="BJ68" s="23"/>
      <c r="BK68" s="23"/>
      <c r="BL68" s="23"/>
      <c r="BM68" s="23"/>
      <c r="BN68" s="23"/>
      <c r="BO68" s="23"/>
      <c r="BP68" s="23"/>
      <c r="BQ68" s="23"/>
      <c r="BR68" s="23"/>
      <c r="BS68" s="23"/>
      <c r="BT68" s="23"/>
      <c r="BU68" s="23"/>
      <c r="BV68" s="23"/>
      <c r="BW68" s="23"/>
      <c r="BX68" s="23"/>
      <c r="BY68" s="23"/>
      <c r="BZ68" s="23"/>
      <c r="CA68" s="23"/>
      <c r="CB68" s="23"/>
      <c r="CC68" s="23"/>
      <c r="CD68" s="23"/>
      <c r="CE68" s="23"/>
      <c r="CF68" s="23"/>
      <c r="CG68" s="23"/>
      <c r="CH68" s="23"/>
      <c r="CI68" s="23"/>
      <c r="CJ68" s="23"/>
      <c r="CK68" s="23"/>
      <c r="CL68" s="23"/>
      <c r="CM68" s="23"/>
      <c r="CN68" s="23"/>
      <c r="CO68" s="23"/>
      <c r="CP68" s="23"/>
      <c r="CQ68" s="23"/>
      <c r="CR68" s="23"/>
      <c r="CS68" s="23"/>
      <c r="CT68" s="23"/>
      <c r="CU68" s="23"/>
      <c r="CV68" s="23"/>
      <c r="CW68" s="23"/>
      <c r="CX68" s="23"/>
      <c r="CY68" s="23"/>
      <c r="CZ68" s="23"/>
      <c r="DA68" s="23"/>
      <c r="DB68" s="23"/>
      <c r="DC68" s="23"/>
      <c r="DD68" s="23"/>
      <c r="DE68" s="23"/>
      <c r="DF68" s="23"/>
      <c r="DG68" s="23"/>
      <c r="DH68" s="23"/>
      <c r="DI68" s="23"/>
      <c r="DJ68" s="23"/>
      <c r="DK68" s="23"/>
      <c r="DL68" s="23"/>
      <c r="DM68" s="23"/>
      <c r="DN68" s="23"/>
      <c r="DO68" s="23"/>
    </row>
    <row r="69" spans="7:119" x14ac:dyDescent="0.35">
      <c r="Q69" s="25"/>
      <c r="R69" s="25"/>
      <c r="S69" s="25"/>
      <c r="T69" s="26"/>
      <c r="U69" s="25"/>
      <c r="V69" s="25"/>
      <c r="W69" s="25"/>
      <c r="X69" s="25"/>
      <c r="Y69" s="25"/>
      <c r="AB69" s="27"/>
      <c r="AC69" s="23"/>
      <c r="AD69" s="23"/>
      <c r="AE69" s="23"/>
      <c r="AF69" s="23"/>
      <c r="AG69" s="23"/>
      <c r="AH69" s="23"/>
      <c r="AI69" s="23"/>
      <c r="AJ69" s="23"/>
      <c r="AK69" s="23"/>
      <c r="AL69" s="23"/>
      <c r="AM69" s="23"/>
      <c r="AN69" s="23"/>
      <c r="AO69" s="23"/>
      <c r="AP69" s="23"/>
      <c r="AQ69" s="23"/>
      <c r="AR69" s="23"/>
      <c r="AS69" s="23"/>
      <c r="AT69" s="23"/>
      <c r="AU69" s="23"/>
      <c r="AV69" s="23"/>
      <c r="AW69" s="23"/>
      <c r="AX69" s="23"/>
      <c r="AY69" s="23"/>
      <c r="AZ69" s="23"/>
      <c r="BA69" s="23"/>
      <c r="BB69" s="23"/>
      <c r="BC69" s="23"/>
      <c r="BD69" s="23"/>
      <c r="BE69" s="23"/>
      <c r="BF69" s="23"/>
      <c r="BG69" s="23"/>
      <c r="BH69" s="23"/>
      <c r="BI69" s="23"/>
      <c r="BJ69" s="23"/>
      <c r="BK69" s="23"/>
      <c r="BL69" s="23"/>
      <c r="BM69" s="23"/>
      <c r="BN69" s="23"/>
      <c r="BO69" s="23"/>
      <c r="BP69" s="23"/>
      <c r="BQ69" s="23"/>
      <c r="BR69" s="23"/>
      <c r="BS69" s="23"/>
      <c r="BT69" s="23"/>
      <c r="BU69" s="23"/>
      <c r="BV69" s="23"/>
      <c r="BW69" s="23"/>
      <c r="BX69" s="23"/>
      <c r="BY69" s="23"/>
      <c r="BZ69" s="23"/>
      <c r="CA69" s="23"/>
      <c r="CB69" s="23"/>
      <c r="CC69" s="23"/>
      <c r="CD69" s="23"/>
      <c r="CE69" s="23"/>
      <c r="CF69" s="23"/>
      <c r="CG69" s="23"/>
      <c r="CH69" s="23"/>
      <c r="CI69" s="23"/>
      <c r="CJ69" s="23"/>
      <c r="CK69" s="23"/>
      <c r="CL69" s="23"/>
      <c r="CM69" s="23"/>
      <c r="CN69" s="23"/>
      <c r="CO69" s="23"/>
      <c r="CP69" s="23"/>
      <c r="CQ69" s="23"/>
      <c r="CR69" s="23"/>
      <c r="CS69" s="23"/>
      <c r="CT69" s="23"/>
      <c r="CU69" s="23"/>
      <c r="CV69" s="23"/>
      <c r="CW69" s="23"/>
      <c r="CX69" s="23"/>
      <c r="CY69" s="23"/>
      <c r="CZ69" s="23"/>
      <c r="DA69" s="23"/>
      <c r="DB69" s="23"/>
      <c r="DC69" s="23"/>
      <c r="DD69" s="23"/>
      <c r="DE69" s="23"/>
      <c r="DF69" s="23"/>
      <c r="DG69" s="23"/>
      <c r="DH69" s="23"/>
      <c r="DI69" s="23"/>
      <c r="DJ69" s="23"/>
      <c r="DK69" s="23"/>
      <c r="DL69" s="23"/>
      <c r="DM69" s="23"/>
      <c r="DN69" s="23"/>
      <c r="DO69" s="23"/>
    </row>
    <row r="70" spans="7:119" x14ac:dyDescent="0.35">
      <c r="Q70" s="34"/>
      <c r="R70" s="34"/>
      <c r="S70" s="34"/>
      <c r="T70" s="34"/>
      <c r="U70" s="34"/>
      <c r="V70" s="34"/>
      <c r="W70" s="34"/>
      <c r="X70" s="34"/>
      <c r="Y70" s="34"/>
      <c r="AB70" s="34"/>
      <c r="AC70" s="23"/>
      <c r="AD70" s="23"/>
      <c r="AE70" s="23"/>
      <c r="AF70" s="23"/>
      <c r="AG70" s="23"/>
      <c r="AH70" s="23"/>
      <c r="AI70" s="23"/>
      <c r="AJ70" s="23"/>
      <c r="AK70" s="23"/>
      <c r="AL70" s="23"/>
      <c r="AM70" s="23"/>
      <c r="AN70" s="23"/>
      <c r="AO70" s="23"/>
      <c r="AP70" s="23"/>
      <c r="AQ70" s="23"/>
      <c r="AR70" s="23"/>
      <c r="AS70" s="23"/>
      <c r="AT70" s="23"/>
      <c r="AU70" s="23"/>
      <c r="AV70" s="23"/>
      <c r="AW70" s="23"/>
      <c r="AX70" s="23"/>
      <c r="AY70" s="23"/>
      <c r="AZ70" s="23"/>
      <c r="BA70" s="23"/>
      <c r="BB70" s="23"/>
      <c r="BC70" s="23"/>
      <c r="BD70" s="23"/>
      <c r="BE70" s="23"/>
      <c r="BF70" s="23"/>
      <c r="BG70" s="23"/>
      <c r="BH70" s="23"/>
      <c r="BI70" s="23"/>
      <c r="BJ70" s="23"/>
      <c r="BK70" s="23"/>
      <c r="BL70" s="23"/>
      <c r="BM70" s="23"/>
      <c r="BN70" s="23"/>
      <c r="BO70" s="23"/>
      <c r="BP70" s="23"/>
      <c r="BQ70" s="23"/>
      <c r="BR70" s="23"/>
      <c r="BS70" s="23"/>
      <c r="BT70" s="23"/>
      <c r="BU70" s="23"/>
      <c r="BV70" s="23"/>
      <c r="BW70" s="23"/>
      <c r="BX70" s="23"/>
      <c r="BY70" s="23"/>
      <c r="BZ70" s="23"/>
      <c r="CA70" s="23"/>
      <c r="CB70" s="23"/>
      <c r="CC70" s="23"/>
      <c r="CD70" s="23"/>
      <c r="CE70" s="23"/>
      <c r="CF70" s="23"/>
      <c r="CG70" s="23"/>
      <c r="CH70" s="23"/>
      <c r="CI70" s="23"/>
      <c r="CJ70" s="23"/>
      <c r="CK70" s="23"/>
      <c r="CL70" s="23"/>
      <c r="CM70" s="23"/>
      <c r="CN70" s="23"/>
      <c r="CO70" s="23"/>
      <c r="CP70" s="23"/>
      <c r="CQ70" s="23"/>
      <c r="CR70" s="23"/>
      <c r="CS70" s="23"/>
      <c r="CT70" s="23"/>
      <c r="CU70" s="23"/>
      <c r="CV70" s="23"/>
      <c r="CW70" s="23"/>
      <c r="CX70" s="23"/>
      <c r="CY70" s="23"/>
      <c r="CZ70" s="23"/>
      <c r="DA70" s="23"/>
      <c r="DB70" s="23"/>
      <c r="DC70" s="23"/>
      <c r="DD70" s="23"/>
      <c r="DE70" s="23"/>
      <c r="DF70" s="23"/>
      <c r="DG70" s="23"/>
      <c r="DH70" s="23"/>
      <c r="DI70" s="23"/>
      <c r="DJ70" s="23"/>
      <c r="DK70" s="23"/>
      <c r="DL70" s="23"/>
      <c r="DM70" s="23"/>
      <c r="DN70" s="23"/>
      <c r="DO70" s="23"/>
    </row>
    <row r="71" spans="7:119" x14ac:dyDescent="0.35">
      <c r="AC71" s="23"/>
      <c r="AD71" s="23"/>
      <c r="AE71" s="23"/>
      <c r="AF71" s="23"/>
      <c r="AG71" s="23"/>
      <c r="AH71" s="23"/>
      <c r="AI71" s="23"/>
      <c r="AJ71" s="23"/>
      <c r="AK71" s="23"/>
      <c r="AL71" s="23"/>
      <c r="AM71" s="23"/>
      <c r="AN71" s="23"/>
      <c r="AO71" s="23"/>
      <c r="AP71" s="23"/>
      <c r="AQ71" s="23"/>
      <c r="AR71" s="23"/>
      <c r="AS71" s="23"/>
      <c r="AT71" s="23"/>
      <c r="AU71" s="23"/>
      <c r="AV71" s="23"/>
      <c r="AW71" s="23"/>
      <c r="AX71" s="23"/>
      <c r="AY71" s="23"/>
      <c r="AZ71" s="23"/>
      <c r="BA71" s="23"/>
      <c r="BB71" s="23"/>
      <c r="BC71" s="23"/>
      <c r="BD71" s="23"/>
      <c r="BE71" s="23"/>
      <c r="BF71" s="23"/>
      <c r="BG71" s="23"/>
      <c r="BH71" s="23"/>
      <c r="BI71" s="23"/>
      <c r="BJ71" s="23"/>
      <c r="BK71" s="23"/>
      <c r="BL71" s="23"/>
      <c r="BM71" s="23"/>
      <c r="BN71" s="23"/>
      <c r="BO71" s="23"/>
      <c r="BP71" s="23"/>
      <c r="BQ71" s="23"/>
      <c r="BR71" s="23"/>
      <c r="BS71" s="23"/>
      <c r="BT71" s="23"/>
      <c r="BU71" s="23"/>
      <c r="BV71" s="23"/>
      <c r="BW71" s="23"/>
      <c r="BX71" s="23"/>
      <c r="BY71" s="23"/>
      <c r="BZ71" s="23"/>
      <c r="CA71" s="23"/>
      <c r="CB71" s="23"/>
      <c r="CC71" s="23"/>
      <c r="CD71" s="23"/>
      <c r="CE71" s="23"/>
      <c r="CF71" s="23"/>
      <c r="CG71" s="23"/>
      <c r="CH71" s="23"/>
      <c r="CI71" s="23"/>
      <c r="CJ71" s="23"/>
      <c r="CK71" s="23"/>
      <c r="CL71" s="23"/>
      <c r="CM71" s="23"/>
      <c r="CN71" s="23"/>
      <c r="CO71" s="23"/>
      <c r="CP71" s="23"/>
      <c r="CQ71" s="23"/>
      <c r="CR71" s="23"/>
      <c r="CS71" s="23"/>
      <c r="CT71" s="23"/>
      <c r="CU71" s="23"/>
      <c r="CV71" s="23"/>
      <c r="CW71" s="23"/>
      <c r="CX71" s="23"/>
      <c r="CY71" s="23"/>
      <c r="CZ71" s="23"/>
      <c r="DA71" s="23"/>
      <c r="DB71" s="23"/>
      <c r="DC71" s="23"/>
      <c r="DD71" s="23"/>
      <c r="DE71" s="23"/>
      <c r="DF71" s="23"/>
      <c r="DG71" s="23"/>
      <c r="DH71" s="23"/>
      <c r="DI71" s="23"/>
      <c r="DJ71" s="23"/>
      <c r="DK71" s="23"/>
      <c r="DL71" s="23"/>
      <c r="DM71" s="23"/>
      <c r="DN71" s="23"/>
      <c r="DO71" s="23"/>
    </row>
    <row r="72" spans="7:119" x14ac:dyDescent="0.35">
      <c r="AC72" s="23"/>
      <c r="AD72" s="23"/>
      <c r="AE72" s="23"/>
      <c r="AF72" s="23"/>
      <c r="AG72" s="23"/>
      <c r="AH72" s="23"/>
      <c r="AI72" s="23"/>
      <c r="AJ72" s="23"/>
      <c r="AK72" s="23"/>
      <c r="AL72" s="23"/>
      <c r="AM72" s="23"/>
      <c r="AN72" s="23"/>
      <c r="AO72" s="23"/>
      <c r="AP72" s="23"/>
      <c r="AQ72" s="23"/>
      <c r="AR72" s="23"/>
      <c r="AS72" s="23"/>
      <c r="AT72" s="23"/>
      <c r="AU72" s="23"/>
      <c r="AV72" s="23"/>
      <c r="AW72" s="23"/>
      <c r="AX72" s="23"/>
      <c r="AY72" s="23"/>
      <c r="AZ72" s="23"/>
      <c r="BA72" s="23"/>
      <c r="BB72" s="23"/>
      <c r="BC72" s="23"/>
      <c r="BD72" s="23"/>
      <c r="BE72" s="23"/>
      <c r="BF72" s="23"/>
      <c r="BG72" s="23"/>
      <c r="BH72" s="23"/>
      <c r="BI72" s="23"/>
      <c r="BJ72" s="23"/>
      <c r="BK72" s="23"/>
      <c r="BL72" s="23"/>
      <c r="BM72" s="23"/>
      <c r="BN72" s="23"/>
      <c r="BO72" s="23"/>
      <c r="BP72" s="23"/>
      <c r="BQ72" s="23"/>
      <c r="BR72" s="23"/>
      <c r="BS72" s="23"/>
      <c r="BT72" s="23"/>
      <c r="BU72" s="23"/>
      <c r="BV72" s="23"/>
      <c r="BW72" s="23"/>
      <c r="BX72" s="23"/>
      <c r="BY72" s="23"/>
      <c r="BZ72" s="23"/>
      <c r="CA72" s="23"/>
      <c r="CB72" s="23"/>
      <c r="CC72" s="23"/>
      <c r="CD72" s="23"/>
      <c r="CE72" s="23"/>
      <c r="CF72" s="23"/>
      <c r="CG72" s="23"/>
      <c r="CH72" s="23"/>
      <c r="CI72" s="23"/>
      <c r="CJ72" s="23"/>
      <c r="CK72" s="23"/>
      <c r="CL72" s="23"/>
      <c r="CM72" s="23"/>
      <c r="CN72" s="23"/>
      <c r="CO72" s="23"/>
      <c r="CP72" s="23"/>
      <c r="CQ72" s="23"/>
      <c r="CR72" s="23"/>
      <c r="CS72" s="23"/>
      <c r="CT72" s="23"/>
      <c r="CU72" s="23"/>
      <c r="CV72" s="23"/>
      <c r="CW72" s="23"/>
      <c r="CX72" s="23"/>
      <c r="CY72" s="23"/>
      <c r="CZ72" s="23"/>
      <c r="DA72" s="23"/>
      <c r="DB72" s="23"/>
      <c r="DC72" s="23"/>
      <c r="DD72" s="23"/>
      <c r="DE72" s="23"/>
      <c r="DF72" s="23"/>
      <c r="DG72" s="23"/>
      <c r="DH72" s="23"/>
      <c r="DI72" s="23"/>
      <c r="DJ72" s="23"/>
      <c r="DK72" s="23"/>
      <c r="DL72" s="23"/>
      <c r="DM72" s="23"/>
      <c r="DN72" s="23"/>
      <c r="DO72" s="23"/>
    </row>
    <row r="73" spans="7:119" x14ac:dyDescent="0.35">
      <c r="AC73" s="23"/>
      <c r="AD73" s="23"/>
      <c r="AE73" s="23"/>
      <c r="AF73" s="23"/>
      <c r="AG73" s="23"/>
      <c r="AH73" s="23"/>
      <c r="AI73" s="23"/>
      <c r="AJ73" s="23"/>
      <c r="AK73" s="23"/>
      <c r="AL73" s="23"/>
      <c r="AM73" s="23"/>
      <c r="AN73" s="23"/>
      <c r="AO73" s="23"/>
      <c r="AP73" s="23"/>
      <c r="AQ73" s="23"/>
      <c r="AR73" s="23"/>
      <c r="AS73" s="23"/>
      <c r="AT73" s="23"/>
      <c r="AU73" s="23"/>
      <c r="AV73" s="23"/>
      <c r="AW73" s="23"/>
      <c r="AX73" s="23"/>
      <c r="AY73" s="23"/>
      <c r="AZ73" s="23"/>
      <c r="BA73" s="23"/>
      <c r="BB73" s="23"/>
      <c r="BC73" s="23"/>
      <c r="BD73" s="23"/>
      <c r="BE73" s="23"/>
      <c r="BF73" s="23"/>
      <c r="BG73" s="23"/>
      <c r="BH73" s="23"/>
      <c r="BI73" s="23"/>
      <c r="BJ73" s="23"/>
      <c r="BK73" s="23"/>
      <c r="BL73" s="23"/>
      <c r="BM73" s="23"/>
      <c r="BN73" s="23"/>
      <c r="BO73" s="23"/>
      <c r="BP73" s="23"/>
      <c r="BQ73" s="23"/>
      <c r="BR73" s="23"/>
      <c r="BS73" s="23"/>
      <c r="BT73" s="23"/>
      <c r="BU73" s="23"/>
      <c r="BV73" s="23"/>
      <c r="BW73" s="23"/>
      <c r="BX73" s="23"/>
      <c r="BY73" s="23"/>
      <c r="BZ73" s="23"/>
      <c r="CA73" s="23"/>
      <c r="CB73" s="23"/>
      <c r="CC73" s="23"/>
      <c r="CD73" s="23"/>
      <c r="CE73" s="23"/>
      <c r="CF73" s="23"/>
      <c r="CG73" s="23"/>
      <c r="CH73" s="23"/>
      <c r="CI73" s="23"/>
      <c r="CJ73" s="23"/>
      <c r="CK73" s="23"/>
      <c r="CL73" s="23"/>
      <c r="CM73" s="23"/>
      <c r="CN73" s="23"/>
      <c r="CO73" s="23"/>
      <c r="CP73" s="23"/>
      <c r="CQ73" s="23"/>
      <c r="CR73" s="23"/>
      <c r="CS73" s="23"/>
      <c r="CT73" s="23"/>
      <c r="CU73" s="23"/>
      <c r="CV73" s="23"/>
      <c r="CW73" s="23"/>
      <c r="CX73" s="23"/>
      <c r="CY73" s="23"/>
      <c r="CZ73" s="23"/>
      <c r="DA73" s="23"/>
      <c r="DB73" s="23"/>
      <c r="DC73" s="23"/>
      <c r="DD73" s="23"/>
      <c r="DE73" s="23"/>
      <c r="DF73" s="23"/>
      <c r="DG73" s="23"/>
      <c r="DH73" s="23"/>
      <c r="DI73" s="23"/>
      <c r="DJ73" s="23"/>
      <c r="DK73" s="23"/>
      <c r="DL73" s="23"/>
      <c r="DM73" s="23"/>
      <c r="DN73" s="23"/>
      <c r="DO73" s="23"/>
    </row>
    <row r="74" spans="7:119" x14ac:dyDescent="0.35">
      <c r="AC74" s="23"/>
      <c r="AD74" s="23"/>
      <c r="AE74" s="23"/>
      <c r="AF74" s="23"/>
      <c r="AG74" s="23"/>
      <c r="AH74" s="23"/>
      <c r="AI74" s="23"/>
      <c r="AJ74" s="23"/>
      <c r="AK74" s="23"/>
      <c r="AL74" s="23"/>
      <c r="AM74" s="23"/>
      <c r="AN74" s="23"/>
      <c r="AO74" s="23"/>
      <c r="AP74" s="23"/>
      <c r="AQ74" s="23"/>
      <c r="AR74" s="23"/>
      <c r="AS74" s="23"/>
      <c r="AT74" s="23"/>
      <c r="AU74" s="23"/>
      <c r="AV74" s="23"/>
      <c r="AW74" s="23"/>
      <c r="AX74" s="23"/>
      <c r="AY74" s="23"/>
      <c r="AZ74" s="23"/>
      <c r="BA74" s="23"/>
      <c r="BB74" s="23"/>
      <c r="BC74" s="23"/>
      <c r="BD74" s="23"/>
      <c r="BE74" s="23"/>
      <c r="BF74" s="23"/>
      <c r="BG74" s="23"/>
      <c r="BH74" s="23"/>
      <c r="BI74" s="23"/>
      <c r="BJ74" s="23"/>
      <c r="BK74" s="23"/>
      <c r="BL74" s="23"/>
      <c r="BM74" s="23"/>
      <c r="BN74" s="23"/>
      <c r="BO74" s="23"/>
      <c r="BP74" s="23"/>
      <c r="BQ74" s="23"/>
      <c r="BR74" s="23"/>
      <c r="BS74" s="23"/>
      <c r="BT74" s="23"/>
      <c r="BU74" s="23"/>
      <c r="BV74" s="23"/>
      <c r="BW74" s="23"/>
      <c r="BX74" s="23"/>
      <c r="BY74" s="23"/>
      <c r="BZ74" s="23"/>
      <c r="CA74" s="23"/>
      <c r="CB74" s="23"/>
      <c r="CC74" s="23"/>
      <c r="CD74" s="23"/>
      <c r="CE74" s="23"/>
      <c r="CF74" s="23"/>
      <c r="CG74" s="23"/>
      <c r="CH74" s="23"/>
      <c r="CI74" s="23"/>
      <c r="CJ74" s="23"/>
      <c r="CK74" s="23"/>
      <c r="CL74" s="23"/>
      <c r="CM74" s="23"/>
      <c r="CN74" s="23"/>
      <c r="CO74" s="23"/>
      <c r="CP74" s="23"/>
      <c r="CQ74" s="23"/>
      <c r="CR74" s="23"/>
      <c r="CS74" s="23"/>
      <c r="CT74" s="23"/>
      <c r="CU74" s="23"/>
      <c r="CV74" s="23"/>
      <c r="CW74" s="23"/>
      <c r="CX74" s="23"/>
      <c r="CY74" s="23"/>
      <c r="CZ74" s="23"/>
      <c r="DA74" s="23"/>
      <c r="DB74" s="23"/>
      <c r="DC74" s="23"/>
      <c r="DD74" s="23"/>
      <c r="DE74" s="23"/>
      <c r="DF74" s="23"/>
      <c r="DG74" s="23"/>
      <c r="DH74" s="23"/>
      <c r="DI74" s="23"/>
      <c r="DJ74" s="23"/>
      <c r="DK74" s="23"/>
      <c r="DL74" s="23"/>
      <c r="DM74" s="23"/>
      <c r="DN74" s="23"/>
      <c r="DO74" s="23"/>
    </row>
    <row r="75" spans="7:119" x14ac:dyDescent="0.35">
      <c r="AC75" s="23"/>
      <c r="AD75" s="23"/>
      <c r="AE75" s="23"/>
      <c r="AF75" s="23"/>
      <c r="AG75" s="23"/>
      <c r="AH75" s="23"/>
      <c r="AI75" s="23"/>
      <c r="AJ75" s="23"/>
      <c r="AK75" s="23"/>
      <c r="AL75" s="23"/>
      <c r="AM75" s="23"/>
      <c r="AN75" s="23"/>
      <c r="AO75" s="23"/>
      <c r="AP75" s="23"/>
      <c r="AQ75" s="23"/>
      <c r="AR75" s="23"/>
      <c r="AS75" s="23"/>
      <c r="AT75" s="23"/>
      <c r="AU75" s="23"/>
      <c r="AV75" s="23"/>
      <c r="AW75" s="23"/>
      <c r="AX75" s="23"/>
      <c r="AY75" s="23"/>
      <c r="AZ75" s="23"/>
      <c r="BA75" s="23"/>
      <c r="BB75" s="23"/>
      <c r="BC75" s="23"/>
      <c r="BD75" s="23"/>
      <c r="BE75" s="23"/>
      <c r="BF75" s="23"/>
      <c r="BG75" s="23"/>
      <c r="BH75" s="23"/>
      <c r="BI75" s="23"/>
      <c r="BJ75" s="23"/>
      <c r="BK75" s="23"/>
      <c r="BL75" s="23"/>
      <c r="BM75" s="23"/>
      <c r="BN75" s="23"/>
      <c r="BO75" s="23"/>
      <c r="BP75" s="23"/>
      <c r="BQ75" s="23"/>
      <c r="BR75" s="23"/>
      <c r="BS75" s="23"/>
      <c r="BT75" s="23"/>
      <c r="BU75" s="23"/>
      <c r="BV75" s="23"/>
      <c r="BW75" s="23"/>
      <c r="BX75" s="23"/>
      <c r="BY75" s="23"/>
      <c r="BZ75" s="23"/>
      <c r="CA75" s="23"/>
      <c r="CB75" s="23"/>
      <c r="CC75" s="23"/>
      <c r="CD75" s="23"/>
      <c r="CE75" s="23"/>
      <c r="CF75" s="23"/>
      <c r="CG75" s="23"/>
      <c r="CH75" s="23"/>
      <c r="CI75" s="23"/>
      <c r="CJ75" s="23"/>
      <c r="CK75" s="23"/>
      <c r="CL75" s="23"/>
      <c r="CM75" s="23"/>
      <c r="CN75" s="23"/>
      <c r="CO75" s="23"/>
      <c r="CP75" s="23"/>
      <c r="CQ75" s="23"/>
      <c r="CR75" s="23"/>
      <c r="CS75" s="23"/>
      <c r="CT75" s="23"/>
      <c r="CU75" s="23"/>
      <c r="CV75" s="23"/>
      <c r="CW75" s="23"/>
      <c r="CX75" s="23"/>
      <c r="CY75" s="23"/>
      <c r="CZ75" s="23"/>
      <c r="DA75" s="23"/>
      <c r="DB75" s="23"/>
      <c r="DC75" s="23"/>
      <c r="DD75" s="23"/>
      <c r="DE75" s="23"/>
      <c r="DF75" s="23"/>
      <c r="DG75" s="23"/>
      <c r="DH75" s="23"/>
      <c r="DI75" s="23"/>
      <c r="DJ75" s="23"/>
      <c r="DK75" s="23"/>
      <c r="DL75" s="23"/>
      <c r="DM75" s="23"/>
      <c r="DN75" s="23"/>
      <c r="DO75" s="23"/>
    </row>
    <row r="76" spans="7:119" x14ac:dyDescent="0.35">
      <c r="AC76" s="23"/>
      <c r="AD76" s="23"/>
      <c r="AE76" s="23"/>
      <c r="AF76" s="23"/>
      <c r="AG76" s="23"/>
      <c r="AH76" s="23"/>
      <c r="AI76" s="23"/>
      <c r="AJ76" s="23"/>
      <c r="AK76" s="23"/>
      <c r="AL76" s="23"/>
      <c r="AM76" s="23"/>
      <c r="AN76" s="23"/>
      <c r="AO76" s="23"/>
      <c r="AP76" s="23"/>
      <c r="AQ76" s="23"/>
      <c r="AR76" s="23"/>
      <c r="AS76" s="23"/>
      <c r="AT76" s="23"/>
      <c r="AU76" s="23"/>
      <c r="AV76" s="23"/>
      <c r="AW76" s="23"/>
      <c r="AX76" s="23"/>
      <c r="AY76" s="23"/>
      <c r="AZ76" s="23"/>
      <c r="BA76" s="23"/>
      <c r="BB76" s="23"/>
      <c r="BC76" s="23"/>
      <c r="BD76" s="23"/>
      <c r="BE76" s="23"/>
      <c r="BF76" s="23"/>
      <c r="BG76" s="23"/>
      <c r="BH76" s="23"/>
      <c r="BI76" s="23"/>
      <c r="BJ76" s="23"/>
      <c r="BK76" s="23"/>
      <c r="BL76" s="23"/>
      <c r="BM76" s="23"/>
      <c r="BN76" s="23"/>
      <c r="BO76" s="23"/>
      <c r="BP76" s="23"/>
      <c r="BQ76" s="23"/>
      <c r="BR76" s="23"/>
      <c r="BS76" s="23"/>
      <c r="BT76" s="23"/>
      <c r="BU76" s="23"/>
      <c r="BV76" s="23"/>
      <c r="BW76" s="23"/>
      <c r="BX76" s="23"/>
      <c r="BY76" s="23"/>
      <c r="BZ76" s="23"/>
      <c r="CA76" s="23"/>
      <c r="CB76" s="23"/>
      <c r="CC76" s="23"/>
      <c r="CD76" s="23"/>
      <c r="CE76" s="23"/>
      <c r="CF76" s="23"/>
      <c r="CG76" s="23"/>
      <c r="CH76" s="23"/>
      <c r="CI76" s="23"/>
      <c r="CJ76" s="23"/>
      <c r="CK76" s="23"/>
      <c r="CL76" s="23"/>
      <c r="CM76" s="23"/>
      <c r="CN76" s="23"/>
      <c r="CO76" s="23"/>
      <c r="CP76" s="23"/>
      <c r="CQ76" s="23"/>
      <c r="CR76" s="23"/>
      <c r="CS76" s="23"/>
      <c r="CT76" s="23"/>
      <c r="CU76" s="23"/>
      <c r="CV76" s="23"/>
      <c r="CW76" s="23"/>
      <c r="CX76" s="23"/>
      <c r="CY76" s="23"/>
      <c r="CZ76" s="23"/>
      <c r="DA76" s="23"/>
      <c r="DB76" s="23"/>
      <c r="DC76" s="23"/>
      <c r="DD76" s="23"/>
      <c r="DE76" s="23"/>
      <c r="DF76" s="23"/>
      <c r="DG76" s="23"/>
      <c r="DH76" s="23"/>
      <c r="DI76" s="23"/>
      <c r="DJ76" s="23"/>
      <c r="DK76" s="23"/>
      <c r="DL76" s="23"/>
      <c r="DM76" s="23"/>
      <c r="DN76" s="23"/>
      <c r="DO76" s="23"/>
    </row>
    <row r="77" spans="7:119" x14ac:dyDescent="0.35">
      <c r="AC77" s="23"/>
      <c r="AD77" s="23"/>
      <c r="AE77" s="23"/>
      <c r="AF77" s="23"/>
      <c r="AG77" s="23"/>
      <c r="AH77" s="23"/>
      <c r="AI77" s="23"/>
      <c r="AJ77" s="23"/>
      <c r="AK77" s="23"/>
      <c r="AL77" s="23"/>
      <c r="AM77" s="23"/>
      <c r="AN77" s="23"/>
      <c r="AO77" s="23"/>
      <c r="AP77" s="23"/>
      <c r="AQ77" s="23"/>
      <c r="AR77" s="23"/>
      <c r="AS77" s="23"/>
      <c r="AT77" s="23"/>
      <c r="AU77" s="23"/>
      <c r="AV77" s="23"/>
      <c r="AW77" s="23"/>
      <c r="AX77" s="23"/>
      <c r="AY77" s="23"/>
      <c r="AZ77" s="23"/>
      <c r="BA77" s="23"/>
      <c r="BB77" s="23"/>
      <c r="BC77" s="23"/>
      <c r="BD77" s="23"/>
      <c r="BE77" s="23"/>
      <c r="BF77" s="23"/>
      <c r="BG77" s="23"/>
      <c r="BH77" s="23"/>
      <c r="BI77" s="23"/>
      <c r="BJ77" s="23"/>
      <c r="BK77" s="23"/>
      <c r="BL77" s="23"/>
      <c r="BM77" s="23"/>
      <c r="BN77" s="23"/>
      <c r="BO77" s="23"/>
      <c r="BP77" s="23"/>
      <c r="BQ77" s="23"/>
      <c r="BR77" s="23"/>
      <c r="BS77" s="23"/>
      <c r="BT77" s="23"/>
      <c r="BU77" s="23"/>
      <c r="BV77" s="23"/>
      <c r="BW77" s="23"/>
      <c r="BX77" s="23"/>
      <c r="BY77" s="23"/>
      <c r="BZ77" s="23"/>
      <c r="CA77" s="23"/>
      <c r="CB77" s="23"/>
      <c r="CC77" s="23"/>
      <c r="CD77" s="23"/>
      <c r="CE77" s="23"/>
      <c r="CF77" s="23"/>
      <c r="CG77" s="23"/>
      <c r="CH77" s="23"/>
      <c r="CI77" s="23"/>
      <c r="CJ77" s="23"/>
      <c r="CK77" s="23"/>
      <c r="CL77" s="23"/>
      <c r="CM77" s="23"/>
      <c r="CN77" s="23"/>
      <c r="CO77" s="23"/>
      <c r="CP77" s="23"/>
      <c r="CQ77" s="23"/>
      <c r="CR77" s="23"/>
      <c r="CS77" s="23"/>
      <c r="CT77" s="23"/>
      <c r="CU77" s="23"/>
      <c r="CV77" s="23"/>
      <c r="CW77" s="23"/>
      <c r="CX77" s="23"/>
      <c r="CY77" s="23"/>
      <c r="CZ77" s="23"/>
      <c r="DA77" s="23"/>
      <c r="DB77" s="23"/>
      <c r="DC77" s="23"/>
      <c r="DD77" s="23"/>
      <c r="DE77" s="23"/>
      <c r="DF77" s="23"/>
      <c r="DG77" s="23"/>
      <c r="DH77" s="23"/>
      <c r="DI77" s="23"/>
      <c r="DJ77" s="23"/>
      <c r="DK77" s="23"/>
      <c r="DL77" s="23"/>
      <c r="DM77" s="23"/>
      <c r="DN77" s="23"/>
      <c r="DO77" s="23"/>
    </row>
    <row r="78" spans="7:119" x14ac:dyDescent="0.35">
      <c r="AC78" s="23"/>
      <c r="AD78" s="23"/>
      <c r="AE78" s="23"/>
      <c r="AF78" s="23"/>
      <c r="AG78" s="23"/>
      <c r="AH78" s="23"/>
      <c r="AI78" s="23"/>
      <c r="AJ78" s="23"/>
      <c r="AK78" s="23"/>
      <c r="AL78" s="23"/>
      <c r="AM78" s="23"/>
      <c r="AN78" s="23"/>
      <c r="AO78" s="23"/>
      <c r="AP78" s="23"/>
      <c r="AQ78" s="23"/>
      <c r="AR78" s="23"/>
      <c r="AS78" s="23"/>
      <c r="AT78" s="23"/>
      <c r="AU78" s="23"/>
      <c r="AV78" s="23"/>
      <c r="AW78" s="23"/>
      <c r="AX78" s="23"/>
      <c r="AY78" s="23"/>
      <c r="AZ78" s="23"/>
      <c r="BA78" s="23"/>
      <c r="BB78" s="23"/>
      <c r="BC78" s="23"/>
      <c r="BD78" s="23"/>
      <c r="BE78" s="23"/>
      <c r="BF78" s="23"/>
      <c r="BG78" s="23"/>
      <c r="BH78" s="23"/>
      <c r="BI78" s="23"/>
      <c r="BJ78" s="23"/>
      <c r="BK78" s="23"/>
      <c r="BL78" s="23"/>
      <c r="BM78" s="23"/>
      <c r="BN78" s="23"/>
      <c r="BO78" s="23"/>
      <c r="BP78" s="23"/>
      <c r="BQ78" s="23"/>
      <c r="BR78" s="23"/>
      <c r="BS78" s="23"/>
      <c r="BT78" s="23"/>
      <c r="BU78" s="23"/>
      <c r="BV78" s="23"/>
      <c r="BW78" s="23"/>
      <c r="BX78" s="23"/>
      <c r="BY78" s="23"/>
      <c r="BZ78" s="23"/>
      <c r="CA78" s="23"/>
      <c r="CB78" s="23"/>
      <c r="CC78" s="23"/>
      <c r="CD78" s="23"/>
      <c r="CE78" s="23"/>
      <c r="CF78" s="23"/>
      <c r="CG78" s="23"/>
      <c r="CH78" s="23"/>
      <c r="CI78" s="23"/>
      <c r="CJ78" s="23"/>
      <c r="CK78" s="23"/>
      <c r="CL78" s="23"/>
      <c r="CM78" s="23"/>
      <c r="CN78" s="23"/>
      <c r="CO78" s="23"/>
      <c r="CP78" s="23"/>
      <c r="CQ78" s="23"/>
      <c r="CR78" s="23"/>
      <c r="CS78" s="23"/>
      <c r="CT78" s="23"/>
      <c r="CU78" s="23"/>
      <c r="CV78" s="23"/>
      <c r="CW78" s="23"/>
      <c r="CX78" s="23"/>
      <c r="CY78" s="23"/>
      <c r="CZ78" s="23"/>
      <c r="DA78" s="23"/>
      <c r="DB78" s="23"/>
      <c r="DC78" s="23"/>
      <c r="DD78" s="23"/>
      <c r="DE78" s="23"/>
      <c r="DF78" s="23"/>
      <c r="DG78" s="23"/>
      <c r="DH78" s="23"/>
      <c r="DI78" s="23"/>
      <c r="DJ78" s="23"/>
      <c r="DK78" s="23"/>
      <c r="DL78" s="23"/>
      <c r="DM78" s="23"/>
      <c r="DN78" s="23"/>
      <c r="DO78" s="23"/>
    </row>
    <row r="79" spans="7:119" x14ac:dyDescent="0.35">
      <c r="AC79" s="23"/>
      <c r="AD79" s="23"/>
      <c r="AE79" s="23"/>
      <c r="AF79" s="23"/>
      <c r="AG79" s="23"/>
      <c r="AH79" s="23"/>
      <c r="AI79" s="23"/>
      <c r="AJ79" s="23"/>
      <c r="AK79" s="23"/>
      <c r="AL79" s="23"/>
      <c r="AM79" s="23"/>
      <c r="AN79" s="23"/>
      <c r="AO79" s="23"/>
      <c r="AP79" s="23"/>
      <c r="AQ79" s="23"/>
      <c r="AR79" s="23"/>
      <c r="AS79" s="23"/>
      <c r="AT79" s="23"/>
      <c r="AU79" s="23"/>
      <c r="AV79" s="23"/>
      <c r="AW79" s="23"/>
      <c r="AX79" s="23"/>
      <c r="AY79" s="23"/>
      <c r="AZ79" s="23"/>
      <c r="BA79" s="23"/>
      <c r="BB79" s="23"/>
      <c r="BC79" s="23"/>
      <c r="BD79" s="23"/>
      <c r="BE79" s="23"/>
      <c r="BF79" s="23"/>
      <c r="BG79" s="23"/>
      <c r="BH79" s="23"/>
      <c r="BI79" s="23"/>
      <c r="BJ79" s="23"/>
      <c r="BK79" s="23"/>
      <c r="BL79" s="23"/>
      <c r="BM79" s="23"/>
      <c r="BN79" s="23"/>
      <c r="BO79" s="23"/>
      <c r="BP79" s="23"/>
      <c r="BQ79" s="23"/>
      <c r="BR79" s="23"/>
      <c r="BS79" s="23"/>
      <c r="BT79" s="23"/>
      <c r="BU79" s="23"/>
      <c r="BV79" s="23"/>
      <c r="BW79" s="23"/>
      <c r="BX79" s="23"/>
      <c r="BY79" s="23"/>
      <c r="BZ79" s="23"/>
      <c r="CA79" s="23"/>
      <c r="CB79" s="23"/>
      <c r="CC79" s="23"/>
      <c r="CD79" s="23"/>
      <c r="CE79" s="23"/>
      <c r="CF79" s="23"/>
      <c r="CG79" s="23"/>
      <c r="CH79" s="23"/>
      <c r="CI79" s="23"/>
      <c r="CJ79" s="23"/>
      <c r="CK79" s="23"/>
      <c r="CL79" s="23"/>
      <c r="CM79" s="23"/>
      <c r="CN79" s="23"/>
      <c r="CO79" s="23"/>
      <c r="CP79" s="23"/>
      <c r="CQ79" s="23"/>
      <c r="CR79" s="23"/>
      <c r="CS79" s="23"/>
      <c r="CT79" s="23"/>
      <c r="CU79" s="23"/>
      <c r="CV79" s="23"/>
      <c r="CW79" s="23"/>
      <c r="CX79" s="23"/>
      <c r="CY79" s="23"/>
      <c r="CZ79" s="23"/>
      <c r="DA79" s="23"/>
      <c r="DB79" s="23"/>
      <c r="DC79" s="23"/>
      <c r="DD79" s="23"/>
      <c r="DE79" s="23"/>
      <c r="DF79" s="23"/>
      <c r="DG79" s="23"/>
      <c r="DH79" s="23"/>
      <c r="DI79" s="23"/>
      <c r="DJ79" s="23"/>
      <c r="DK79" s="23"/>
      <c r="DL79" s="23"/>
      <c r="DM79" s="23"/>
      <c r="DN79" s="23"/>
      <c r="DO79" s="23"/>
    </row>
    <row r="80" spans="7:119" x14ac:dyDescent="0.35">
      <c r="AC80" s="23"/>
      <c r="AD80" s="23"/>
      <c r="AE80" s="23"/>
      <c r="AF80" s="23"/>
      <c r="AG80" s="23"/>
      <c r="AH80" s="23"/>
      <c r="AI80" s="23"/>
      <c r="AJ80" s="23"/>
      <c r="AK80" s="23"/>
      <c r="AL80" s="23"/>
      <c r="AM80" s="23"/>
      <c r="AN80" s="23"/>
      <c r="AO80" s="23"/>
      <c r="AP80" s="23"/>
      <c r="AQ80" s="23"/>
      <c r="AR80" s="23"/>
      <c r="AS80" s="23"/>
      <c r="AT80" s="23"/>
      <c r="AU80" s="23"/>
      <c r="AV80" s="23"/>
      <c r="AW80" s="23"/>
      <c r="AX80" s="23"/>
      <c r="AY80" s="23"/>
      <c r="AZ80" s="23"/>
      <c r="BA80" s="23"/>
      <c r="BB80" s="23"/>
      <c r="BC80" s="23"/>
      <c r="BD80" s="23"/>
      <c r="BE80" s="23"/>
      <c r="BF80" s="23"/>
      <c r="BG80" s="23"/>
      <c r="BH80" s="23"/>
      <c r="BI80" s="23"/>
      <c r="BJ80" s="23"/>
      <c r="BK80" s="23"/>
      <c r="BL80" s="23"/>
      <c r="BM80" s="23"/>
      <c r="BN80" s="23"/>
      <c r="BO80" s="23"/>
      <c r="BP80" s="23"/>
      <c r="BQ80" s="23"/>
      <c r="BR80" s="23"/>
      <c r="BS80" s="23"/>
      <c r="BT80" s="23"/>
      <c r="BU80" s="23"/>
      <c r="BV80" s="23"/>
      <c r="BW80" s="23"/>
      <c r="BX80" s="23"/>
      <c r="BY80" s="23"/>
      <c r="BZ80" s="23"/>
      <c r="CA80" s="23"/>
      <c r="CB80" s="23"/>
      <c r="CC80" s="23"/>
      <c r="CD80" s="23"/>
      <c r="CE80" s="23"/>
      <c r="CF80" s="23"/>
      <c r="CG80" s="23"/>
      <c r="CH80" s="23"/>
      <c r="CI80" s="23"/>
      <c r="CJ80" s="23"/>
      <c r="CK80" s="23"/>
      <c r="CL80" s="23"/>
      <c r="CM80" s="23"/>
      <c r="CN80" s="23"/>
      <c r="CO80" s="23"/>
      <c r="CP80" s="23"/>
      <c r="CQ80" s="23"/>
      <c r="CR80" s="23"/>
      <c r="CS80" s="23"/>
      <c r="CT80" s="23"/>
      <c r="CU80" s="23"/>
      <c r="CV80" s="23"/>
      <c r="CW80" s="23"/>
      <c r="CX80" s="23"/>
      <c r="CY80" s="23"/>
      <c r="CZ80" s="23"/>
      <c r="DA80" s="23"/>
      <c r="DB80" s="23"/>
      <c r="DC80" s="23"/>
      <c r="DD80" s="23"/>
      <c r="DE80" s="23"/>
      <c r="DF80" s="23"/>
      <c r="DG80" s="23"/>
      <c r="DH80" s="23"/>
      <c r="DI80" s="23"/>
      <c r="DJ80" s="23"/>
      <c r="DK80" s="23"/>
      <c r="DL80" s="23"/>
      <c r="DM80" s="23"/>
      <c r="DN80" s="23"/>
      <c r="DO80" s="23"/>
    </row>
    <row r="81" spans="29:119" x14ac:dyDescent="0.35">
      <c r="AC81" s="23"/>
      <c r="AD81" s="23"/>
      <c r="AE81" s="23"/>
      <c r="AF81" s="23"/>
      <c r="AG81" s="23"/>
      <c r="AH81" s="23"/>
      <c r="AI81" s="23"/>
      <c r="AJ81" s="23"/>
      <c r="AK81" s="23"/>
      <c r="AL81" s="23"/>
      <c r="AM81" s="23"/>
      <c r="AN81" s="23"/>
      <c r="AO81" s="23"/>
      <c r="AP81" s="23"/>
      <c r="AQ81" s="23"/>
      <c r="AR81" s="23"/>
      <c r="AS81" s="23"/>
      <c r="AT81" s="23"/>
      <c r="AU81" s="23"/>
      <c r="AV81" s="23"/>
      <c r="AW81" s="23"/>
      <c r="AX81" s="23"/>
      <c r="AY81" s="23"/>
      <c r="AZ81" s="23"/>
      <c r="BA81" s="23"/>
      <c r="BB81" s="23"/>
      <c r="BC81" s="23"/>
      <c r="BD81" s="23"/>
      <c r="BE81" s="23"/>
      <c r="BF81" s="23"/>
      <c r="BG81" s="23"/>
      <c r="BH81" s="23"/>
      <c r="BI81" s="23"/>
      <c r="BJ81" s="23"/>
      <c r="BK81" s="23"/>
      <c r="BL81" s="23"/>
      <c r="BM81" s="23"/>
      <c r="BN81" s="23"/>
      <c r="BO81" s="23"/>
      <c r="BP81" s="23"/>
      <c r="BQ81" s="23"/>
      <c r="BR81" s="23"/>
      <c r="BS81" s="23"/>
      <c r="BT81" s="23"/>
      <c r="BU81" s="23"/>
      <c r="BV81" s="23"/>
      <c r="BW81" s="23"/>
      <c r="BX81" s="23"/>
      <c r="BY81" s="23"/>
      <c r="BZ81" s="23"/>
      <c r="CA81" s="23"/>
      <c r="CB81" s="23"/>
      <c r="CC81" s="23"/>
      <c r="CD81" s="23"/>
      <c r="CE81" s="23"/>
      <c r="CF81" s="23"/>
      <c r="CG81" s="23"/>
      <c r="CH81" s="23"/>
      <c r="CI81" s="23"/>
      <c r="CJ81" s="23"/>
      <c r="CK81" s="23"/>
      <c r="CL81" s="23"/>
      <c r="CM81" s="23"/>
      <c r="CN81" s="23"/>
      <c r="CO81" s="23"/>
      <c r="CP81" s="23"/>
      <c r="CQ81" s="23"/>
      <c r="CR81" s="23"/>
      <c r="CS81" s="23"/>
      <c r="CT81" s="23"/>
      <c r="CU81" s="23"/>
      <c r="CV81" s="23"/>
      <c r="CW81" s="23"/>
      <c r="CX81" s="23"/>
      <c r="CY81" s="23"/>
      <c r="CZ81" s="23"/>
      <c r="DA81" s="23"/>
      <c r="DB81" s="23"/>
      <c r="DC81" s="23"/>
      <c r="DD81" s="23"/>
      <c r="DE81" s="23"/>
      <c r="DF81" s="23"/>
      <c r="DG81" s="23"/>
      <c r="DH81" s="23"/>
      <c r="DI81" s="23"/>
      <c r="DJ81" s="23"/>
      <c r="DK81" s="23"/>
      <c r="DL81" s="23"/>
      <c r="DM81" s="23"/>
      <c r="DN81" s="23"/>
      <c r="DO81" s="23"/>
    </row>
    <row r="82" spans="29:119" x14ac:dyDescent="0.35">
      <c r="AC82" s="23"/>
      <c r="AD82" s="23"/>
      <c r="AE82" s="23"/>
      <c r="AF82" s="23"/>
      <c r="AG82" s="23"/>
      <c r="AH82" s="23"/>
      <c r="AI82" s="23"/>
      <c r="AJ82" s="23"/>
      <c r="AK82" s="23"/>
      <c r="AL82" s="23"/>
      <c r="AM82" s="23"/>
      <c r="AN82" s="23"/>
      <c r="AO82" s="23"/>
      <c r="AP82" s="23"/>
      <c r="AQ82" s="23"/>
      <c r="AR82" s="23"/>
      <c r="AS82" s="23"/>
      <c r="AT82" s="23"/>
      <c r="AU82" s="23"/>
      <c r="AV82" s="23"/>
      <c r="AW82" s="23"/>
      <c r="AX82" s="23"/>
      <c r="AY82" s="23"/>
      <c r="AZ82" s="23"/>
      <c r="BA82" s="23"/>
      <c r="BB82" s="23"/>
      <c r="BC82" s="23"/>
      <c r="BD82" s="23"/>
      <c r="BE82" s="23"/>
      <c r="BF82" s="23"/>
      <c r="BG82" s="23"/>
      <c r="BH82" s="23"/>
      <c r="BI82" s="23"/>
      <c r="BJ82" s="23"/>
      <c r="BK82" s="23"/>
      <c r="BL82" s="23"/>
      <c r="BM82" s="23"/>
      <c r="BN82" s="23"/>
      <c r="BO82" s="23"/>
      <c r="BP82" s="23"/>
      <c r="BQ82" s="23"/>
      <c r="BR82" s="23"/>
      <c r="BS82" s="23"/>
      <c r="BT82" s="23"/>
      <c r="BU82" s="23"/>
      <c r="BV82" s="23"/>
      <c r="BW82" s="23"/>
      <c r="BX82" s="23"/>
      <c r="BY82" s="23"/>
      <c r="BZ82" s="23"/>
      <c r="CA82" s="23"/>
      <c r="CB82" s="23"/>
      <c r="CC82" s="23"/>
      <c r="CD82" s="23"/>
      <c r="CE82" s="23"/>
      <c r="CF82" s="23"/>
      <c r="CG82" s="23"/>
      <c r="CH82" s="23"/>
      <c r="CI82" s="23"/>
      <c r="CJ82" s="23"/>
      <c r="CK82" s="23"/>
      <c r="CL82" s="23"/>
      <c r="CM82" s="23"/>
      <c r="CN82" s="23"/>
      <c r="CO82" s="23"/>
      <c r="CP82" s="23"/>
      <c r="CQ82" s="23"/>
      <c r="CR82" s="23"/>
      <c r="CS82" s="23"/>
      <c r="CT82" s="23"/>
      <c r="CU82" s="23"/>
      <c r="CV82" s="23"/>
      <c r="CW82" s="23"/>
      <c r="CX82" s="23"/>
      <c r="CY82" s="23"/>
      <c r="CZ82" s="23"/>
      <c r="DA82" s="23"/>
      <c r="DB82" s="23"/>
      <c r="DC82" s="23"/>
      <c r="DD82" s="23"/>
      <c r="DE82" s="23"/>
      <c r="DF82" s="23"/>
      <c r="DG82" s="23"/>
      <c r="DH82" s="23"/>
      <c r="DI82" s="23"/>
      <c r="DJ82" s="23"/>
      <c r="DK82" s="23"/>
      <c r="DL82" s="23"/>
      <c r="DM82" s="23"/>
      <c r="DN82" s="23"/>
      <c r="DO82" s="23"/>
    </row>
    <row r="83" spans="29:119" x14ac:dyDescent="0.35">
      <c r="AC83" s="23"/>
      <c r="AD83" s="23"/>
      <c r="AE83" s="23"/>
      <c r="AF83" s="23"/>
      <c r="AG83" s="23"/>
      <c r="AH83" s="23"/>
      <c r="AI83" s="23"/>
      <c r="AJ83" s="23"/>
      <c r="AK83" s="23"/>
      <c r="AL83" s="23"/>
      <c r="AM83" s="23"/>
      <c r="AN83" s="23"/>
      <c r="AO83" s="23"/>
      <c r="AP83" s="23"/>
      <c r="AQ83" s="23"/>
      <c r="AR83" s="23"/>
      <c r="AS83" s="23"/>
      <c r="AT83" s="23"/>
      <c r="AU83" s="23"/>
      <c r="AV83" s="23"/>
      <c r="AW83" s="23"/>
      <c r="AX83" s="23"/>
      <c r="AY83" s="23"/>
      <c r="AZ83" s="23"/>
      <c r="BA83" s="23"/>
      <c r="BB83" s="23"/>
      <c r="BC83" s="23"/>
      <c r="BD83" s="23"/>
      <c r="BE83" s="23"/>
      <c r="BF83" s="23"/>
      <c r="BG83" s="23"/>
      <c r="BH83" s="23"/>
      <c r="BI83" s="23"/>
      <c r="BJ83" s="23"/>
      <c r="BK83" s="23"/>
      <c r="BL83" s="23"/>
      <c r="BM83" s="23"/>
      <c r="BN83" s="23"/>
      <c r="BO83" s="23"/>
      <c r="BP83" s="23"/>
      <c r="BQ83" s="23"/>
      <c r="BR83" s="23"/>
      <c r="BS83" s="23"/>
      <c r="BT83" s="23"/>
      <c r="BU83" s="23"/>
      <c r="BV83" s="23"/>
      <c r="BW83" s="23"/>
      <c r="BX83" s="23"/>
      <c r="BY83" s="23"/>
      <c r="BZ83" s="23"/>
      <c r="CA83" s="23"/>
      <c r="CB83" s="23"/>
      <c r="CC83" s="23"/>
      <c r="CD83" s="23"/>
      <c r="CE83" s="23"/>
      <c r="CF83" s="23"/>
      <c r="CG83" s="23"/>
      <c r="CH83" s="23"/>
      <c r="CI83" s="23"/>
      <c r="CJ83" s="23"/>
      <c r="CK83" s="23"/>
      <c r="CL83" s="23"/>
      <c r="CM83" s="23"/>
      <c r="CN83" s="23"/>
      <c r="CO83" s="23"/>
      <c r="CP83" s="23"/>
      <c r="CQ83" s="23"/>
      <c r="CR83" s="23"/>
      <c r="CS83" s="23"/>
      <c r="CT83" s="23"/>
      <c r="CU83" s="23"/>
      <c r="CV83" s="23"/>
      <c r="CW83" s="23"/>
      <c r="CX83" s="23"/>
      <c r="CY83" s="23"/>
      <c r="CZ83" s="23"/>
      <c r="DA83" s="23"/>
      <c r="DB83" s="23"/>
      <c r="DC83" s="23"/>
      <c r="DD83" s="23"/>
      <c r="DE83" s="23"/>
      <c r="DF83" s="23"/>
      <c r="DG83" s="23"/>
      <c r="DH83" s="23"/>
      <c r="DI83" s="23"/>
      <c r="DJ83" s="23"/>
      <c r="DK83" s="23"/>
      <c r="DL83" s="23"/>
      <c r="DM83" s="23"/>
      <c r="DN83" s="23"/>
      <c r="DO83" s="23"/>
    </row>
    <row r="84" spans="29:119" x14ac:dyDescent="0.35">
      <c r="AC84" s="23"/>
      <c r="AD84" s="23"/>
      <c r="AE84" s="23"/>
      <c r="AF84" s="23"/>
      <c r="AG84" s="23"/>
      <c r="AH84" s="23"/>
      <c r="AI84" s="23"/>
      <c r="AJ84" s="23"/>
      <c r="AK84" s="23"/>
      <c r="AL84" s="23"/>
      <c r="AM84" s="23"/>
      <c r="AN84" s="23"/>
      <c r="AO84" s="23"/>
      <c r="AP84" s="23"/>
      <c r="AQ84" s="23"/>
      <c r="AR84" s="23"/>
      <c r="AS84" s="23"/>
      <c r="AT84" s="23"/>
      <c r="AU84" s="23"/>
      <c r="AV84" s="23"/>
      <c r="AW84" s="23"/>
      <c r="AX84" s="23"/>
      <c r="AY84" s="23"/>
      <c r="AZ84" s="23"/>
      <c r="BA84" s="23"/>
      <c r="BB84" s="23"/>
      <c r="BC84" s="23"/>
      <c r="BD84" s="23"/>
      <c r="BE84" s="23"/>
      <c r="BF84" s="23"/>
      <c r="BG84" s="23"/>
      <c r="BH84" s="23"/>
      <c r="BI84" s="23"/>
      <c r="BJ84" s="23"/>
      <c r="BK84" s="23"/>
      <c r="BL84" s="23"/>
      <c r="BM84" s="23"/>
      <c r="BN84" s="23"/>
      <c r="BO84" s="23"/>
      <c r="BP84" s="23"/>
      <c r="BQ84" s="23"/>
      <c r="BR84" s="23"/>
      <c r="BS84" s="23"/>
      <c r="BT84" s="23"/>
      <c r="BU84" s="23"/>
      <c r="BV84" s="23"/>
      <c r="BW84" s="23"/>
      <c r="BX84" s="23"/>
      <c r="BY84" s="23"/>
      <c r="BZ84" s="23"/>
      <c r="CA84" s="23"/>
      <c r="CB84" s="23"/>
      <c r="CC84" s="23"/>
      <c r="CD84" s="23"/>
      <c r="CE84" s="23"/>
      <c r="CF84" s="23"/>
      <c r="CG84" s="23"/>
      <c r="CH84" s="23"/>
      <c r="CI84" s="23"/>
      <c r="CJ84" s="23"/>
      <c r="CK84" s="23"/>
      <c r="CL84" s="23"/>
      <c r="CM84" s="23"/>
      <c r="CN84" s="23"/>
      <c r="CO84" s="23"/>
      <c r="CP84" s="23"/>
      <c r="CQ84" s="23"/>
      <c r="CR84" s="23"/>
      <c r="CS84" s="23"/>
      <c r="CT84" s="23"/>
      <c r="CU84" s="23"/>
      <c r="CV84" s="23"/>
      <c r="CW84" s="23"/>
      <c r="CX84" s="23"/>
      <c r="CY84" s="23"/>
      <c r="CZ84" s="23"/>
      <c r="DA84" s="23"/>
      <c r="DB84" s="23"/>
      <c r="DC84" s="23"/>
      <c r="DD84" s="23"/>
      <c r="DE84" s="23"/>
      <c r="DF84" s="23"/>
      <c r="DG84" s="23"/>
      <c r="DH84" s="23"/>
      <c r="DI84" s="23"/>
      <c r="DJ84" s="23"/>
      <c r="DK84" s="23"/>
      <c r="DL84" s="23"/>
      <c r="DM84" s="23"/>
      <c r="DN84" s="23"/>
      <c r="DO84" s="23"/>
    </row>
    <row r="85" spans="29:119" x14ac:dyDescent="0.35">
      <c r="AC85" s="23"/>
      <c r="AD85" s="23"/>
      <c r="AE85" s="23"/>
      <c r="AF85" s="23"/>
      <c r="AG85" s="23"/>
      <c r="AH85" s="23"/>
      <c r="AI85" s="23"/>
      <c r="AJ85" s="23"/>
      <c r="AK85" s="23"/>
      <c r="AL85" s="23"/>
      <c r="AM85" s="23"/>
      <c r="AN85" s="23"/>
      <c r="AO85" s="23"/>
      <c r="AP85" s="23"/>
      <c r="AQ85" s="23"/>
      <c r="AR85" s="23"/>
      <c r="AS85" s="23"/>
      <c r="AT85" s="23"/>
      <c r="AU85" s="23"/>
      <c r="AV85" s="23"/>
      <c r="AW85" s="23"/>
      <c r="AX85" s="23"/>
      <c r="AY85" s="23"/>
      <c r="AZ85" s="23"/>
      <c r="BA85" s="23"/>
      <c r="BB85" s="23"/>
      <c r="BC85" s="23"/>
      <c r="BD85" s="23"/>
      <c r="BE85" s="23"/>
      <c r="BF85" s="23"/>
      <c r="BG85" s="23"/>
      <c r="BH85" s="23"/>
      <c r="BI85" s="23"/>
      <c r="BJ85" s="23"/>
      <c r="BK85" s="23"/>
      <c r="BL85" s="23"/>
      <c r="BM85" s="23"/>
      <c r="BN85" s="23"/>
      <c r="BO85" s="23"/>
      <c r="BP85" s="23"/>
      <c r="BQ85" s="23"/>
      <c r="BR85" s="23"/>
      <c r="BS85" s="23"/>
      <c r="BT85" s="23"/>
      <c r="BU85" s="23"/>
      <c r="BV85" s="23"/>
      <c r="BW85" s="23"/>
      <c r="BX85" s="23"/>
      <c r="BY85" s="23"/>
      <c r="BZ85" s="23"/>
      <c r="CA85" s="23"/>
      <c r="CB85" s="23"/>
      <c r="CC85" s="23"/>
      <c r="CD85" s="23"/>
      <c r="CE85" s="23"/>
      <c r="CF85" s="23"/>
      <c r="CG85" s="23"/>
      <c r="CH85" s="23"/>
      <c r="CI85" s="23"/>
      <c r="CJ85" s="23"/>
      <c r="CK85" s="23"/>
      <c r="CL85" s="23"/>
      <c r="CM85" s="23"/>
      <c r="CN85" s="23"/>
      <c r="CO85" s="23"/>
      <c r="CP85" s="23"/>
      <c r="CQ85" s="23"/>
      <c r="CR85" s="23"/>
      <c r="CS85" s="23"/>
      <c r="CT85" s="23"/>
      <c r="CU85" s="23"/>
      <c r="CV85" s="23"/>
      <c r="CW85" s="23"/>
      <c r="CX85" s="23"/>
      <c r="CY85" s="23"/>
      <c r="CZ85" s="23"/>
      <c r="DA85" s="23"/>
      <c r="DB85" s="23"/>
      <c r="DC85" s="23"/>
      <c r="DD85" s="23"/>
      <c r="DE85" s="23"/>
      <c r="DF85" s="23"/>
      <c r="DG85" s="23"/>
      <c r="DH85" s="23"/>
      <c r="DI85" s="23"/>
      <c r="DJ85" s="23"/>
      <c r="DK85" s="23"/>
      <c r="DL85" s="23"/>
      <c r="DM85" s="23"/>
      <c r="DN85" s="23"/>
      <c r="DO85" s="23"/>
    </row>
    <row r="86" spans="29:119" x14ac:dyDescent="0.35">
      <c r="AC86" s="23"/>
      <c r="AD86" s="23"/>
      <c r="AE86" s="23"/>
      <c r="AF86" s="23"/>
      <c r="AG86" s="23"/>
      <c r="AH86" s="23"/>
      <c r="AI86" s="23"/>
      <c r="AJ86" s="23"/>
      <c r="AK86" s="23"/>
      <c r="AL86" s="23"/>
      <c r="AM86" s="23"/>
      <c r="AN86" s="23"/>
      <c r="AO86" s="23"/>
      <c r="AP86" s="23"/>
      <c r="AQ86" s="23"/>
      <c r="AR86" s="23"/>
      <c r="AS86" s="23"/>
      <c r="AT86" s="23"/>
      <c r="AU86" s="23"/>
      <c r="AV86" s="23"/>
      <c r="AW86" s="23"/>
      <c r="AX86" s="23"/>
      <c r="AY86" s="23"/>
      <c r="AZ86" s="23"/>
      <c r="BA86" s="23"/>
      <c r="BB86" s="23"/>
      <c r="BC86" s="23"/>
      <c r="BD86" s="23"/>
      <c r="BE86" s="23"/>
      <c r="BF86" s="23"/>
      <c r="BG86" s="23"/>
      <c r="BH86" s="23"/>
      <c r="BI86" s="23"/>
      <c r="BJ86" s="23"/>
      <c r="BK86" s="23"/>
      <c r="BL86" s="23"/>
      <c r="BM86" s="23"/>
      <c r="BN86" s="23"/>
      <c r="BO86" s="23"/>
      <c r="BP86" s="23"/>
      <c r="BQ86" s="23"/>
      <c r="BR86" s="23"/>
      <c r="BS86" s="23"/>
      <c r="BT86" s="23"/>
      <c r="BU86" s="23"/>
      <c r="BV86" s="23"/>
      <c r="BW86" s="23"/>
      <c r="BX86" s="23"/>
      <c r="BY86" s="23"/>
      <c r="BZ86" s="23"/>
      <c r="CA86" s="23"/>
      <c r="CB86" s="23"/>
      <c r="CC86" s="23"/>
      <c r="CD86" s="23"/>
      <c r="CE86" s="23"/>
      <c r="CF86" s="23"/>
      <c r="CG86" s="23"/>
      <c r="CH86" s="23"/>
      <c r="CI86" s="23"/>
      <c r="CJ86" s="23"/>
      <c r="CK86" s="23"/>
      <c r="CL86" s="23"/>
      <c r="CM86" s="23"/>
      <c r="CN86" s="23"/>
      <c r="CO86" s="23"/>
      <c r="CP86" s="23"/>
      <c r="CQ86" s="23"/>
      <c r="CR86" s="23"/>
      <c r="CS86" s="23"/>
      <c r="CT86" s="23"/>
      <c r="CU86" s="23"/>
      <c r="CV86" s="23"/>
      <c r="CW86" s="23"/>
      <c r="CX86" s="23"/>
      <c r="CY86" s="23"/>
      <c r="CZ86" s="23"/>
      <c r="DA86" s="23"/>
      <c r="DB86" s="23"/>
      <c r="DC86" s="23"/>
      <c r="DD86" s="23"/>
      <c r="DE86" s="23"/>
      <c r="DF86" s="23"/>
      <c r="DG86" s="23"/>
      <c r="DH86" s="23"/>
      <c r="DI86" s="23"/>
      <c r="DJ86" s="23"/>
      <c r="DK86" s="23"/>
      <c r="DL86" s="23"/>
      <c r="DM86" s="23"/>
      <c r="DN86" s="23"/>
      <c r="DO86" s="23"/>
    </row>
    <row r="87" spans="29:119" x14ac:dyDescent="0.35">
      <c r="AC87" s="23"/>
      <c r="AD87" s="23"/>
      <c r="AE87" s="23"/>
      <c r="AF87" s="23"/>
      <c r="AG87" s="23"/>
      <c r="AH87" s="23"/>
      <c r="AI87" s="23"/>
      <c r="AJ87" s="23"/>
      <c r="AK87" s="23"/>
      <c r="AL87" s="23"/>
      <c r="AM87" s="23"/>
      <c r="AN87" s="23"/>
      <c r="AO87" s="23"/>
      <c r="AP87" s="23"/>
      <c r="AQ87" s="23"/>
      <c r="AR87" s="23"/>
      <c r="AS87" s="23"/>
      <c r="AT87" s="23"/>
      <c r="AU87" s="23"/>
      <c r="AV87" s="23"/>
      <c r="AW87" s="23"/>
      <c r="AX87" s="23"/>
      <c r="AY87" s="23"/>
      <c r="AZ87" s="23"/>
      <c r="BA87" s="23"/>
      <c r="BB87" s="23"/>
      <c r="BC87" s="23"/>
      <c r="BD87" s="23"/>
      <c r="BE87" s="23"/>
      <c r="BF87" s="23"/>
      <c r="BG87" s="23"/>
      <c r="BH87" s="23"/>
      <c r="BI87" s="23"/>
      <c r="BJ87" s="23"/>
      <c r="BK87" s="23"/>
      <c r="BL87" s="23"/>
      <c r="BM87" s="23"/>
      <c r="BN87" s="23"/>
      <c r="BO87" s="23"/>
      <c r="BP87" s="23"/>
      <c r="BQ87" s="23"/>
      <c r="BR87" s="23"/>
      <c r="BS87" s="23"/>
      <c r="BT87" s="23"/>
      <c r="BU87" s="23"/>
      <c r="BV87" s="23"/>
      <c r="BW87" s="23"/>
      <c r="BX87" s="23"/>
      <c r="BY87" s="23"/>
      <c r="BZ87" s="23"/>
      <c r="CA87" s="23"/>
      <c r="CB87" s="23"/>
      <c r="CC87" s="23"/>
      <c r="CD87" s="23"/>
      <c r="CE87" s="23"/>
      <c r="CF87" s="23"/>
      <c r="CG87" s="23"/>
      <c r="CH87" s="23"/>
      <c r="CI87" s="23"/>
      <c r="CJ87" s="23"/>
      <c r="CK87" s="23"/>
      <c r="CL87" s="23"/>
      <c r="CM87" s="23"/>
      <c r="CN87" s="23"/>
      <c r="CO87" s="23"/>
      <c r="CP87" s="23"/>
      <c r="CQ87" s="23"/>
      <c r="CR87" s="23"/>
      <c r="CS87" s="23"/>
      <c r="CT87" s="23"/>
      <c r="CU87" s="23"/>
      <c r="CV87" s="23"/>
      <c r="CW87" s="23"/>
      <c r="CX87" s="23"/>
      <c r="CY87" s="23"/>
      <c r="CZ87" s="23"/>
      <c r="DA87" s="23"/>
      <c r="DB87" s="23"/>
      <c r="DC87" s="23"/>
      <c r="DD87" s="23"/>
      <c r="DE87" s="23"/>
      <c r="DF87" s="23"/>
      <c r="DG87" s="23"/>
      <c r="DH87" s="23"/>
      <c r="DI87" s="23"/>
      <c r="DJ87" s="23"/>
      <c r="DK87" s="23"/>
      <c r="DL87" s="23"/>
      <c r="DM87" s="23"/>
      <c r="DN87" s="23"/>
      <c r="DO87" s="23"/>
    </row>
    <row r="88" spans="29:119" x14ac:dyDescent="0.35">
      <c r="AC88" s="23"/>
      <c r="AD88" s="23"/>
      <c r="AE88" s="23"/>
      <c r="AF88" s="23"/>
      <c r="AG88" s="23"/>
      <c r="AH88" s="23"/>
      <c r="AI88" s="23"/>
      <c r="AJ88" s="23"/>
      <c r="AK88" s="23"/>
      <c r="AL88" s="23"/>
      <c r="AM88" s="23"/>
      <c r="AN88" s="23"/>
      <c r="AO88" s="23"/>
      <c r="AP88" s="23"/>
      <c r="AQ88" s="23"/>
      <c r="AR88" s="23"/>
      <c r="AS88" s="23"/>
      <c r="AT88" s="23"/>
      <c r="AU88" s="23"/>
      <c r="AV88" s="23"/>
      <c r="AW88" s="23"/>
      <c r="AX88" s="23"/>
      <c r="AY88" s="23"/>
      <c r="AZ88" s="23"/>
      <c r="BA88" s="23"/>
      <c r="BB88" s="23"/>
      <c r="BC88" s="23"/>
      <c r="BD88" s="23"/>
      <c r="BE88" s="23"/>
      <c r="BF88" s="23"/>
      <c r="BG88" s="23"/>
      <c r="BH88" s="23"/>
      <c r="BI88" s="23"/>
      <c r="BJ88" s="23"/>
      <c r="BK88" s="23"/>
      <c r="BL88" s="23"/>
      <c r="BM88" s="23"/>
      <c r="BN88" s="23"/>
      <c r="BO88" s="23"/>
      <c r="BP88" s="23"/>
      <c r="BQ88" s="23"/>
      <c r="BR88" s="23"/>
      <c r="BS88" s="23"/>
      <c r="BT88" s="23"/>
      <c r="BU88" s="23"/>
      <c r="BV88" s="23"/>
      <c r="BW88" s="23"/>
      <c r="BX88" s="23"/>
      <c r="BY88" s="23"/>
      <c r="BZ88" s="23"/>
      <c r="CA88" s="23"/>
      <c r="CB88" s="23"/>
      <c r="CC88" s="23"/>
      <c r="CD88" s="23"/>
      <c r="CE88" s="23"/>
      <c r="CF88" s="23"/>
      <c r="CG88" s="23"/>
      <c r="CH88" s="23"/>
      <c r="CI88" s="23"/>
      <c r="CJ88" s="23"/>
      <c r="CK88" s="23"/>
      <c r="CL88" s="23"/>
      <c r="CM88" s="23"/>
      <c r="CN88" s="23"/>
      <c r="CO88" s="23"/>
      <c r="CP88" s="23"/>
      <c r="CQ88" s="23"/>
      <c r="CR88" s="23"/>
      <c r="CS88" s="23"/>
      <c r="CT88" s="23"/>
      <c r="CU88" s="23"/>
      <c r="CV88" s="23"/>
      <c r="CW88" s="23"/>
      <c r="CX88" s="23"/>
      <c r="CY88" s="23"/>
      <c r="CZ88" s="23"/>
      <c r="DA88" s="23"/>
      <c r="DB88" s="23"/>
      <c r="DC88" s="23"/>
      <c r="DD88" s="23"/>
      <c r="DE88" s="23"/>
      <c r="DF88" s="23"/>
      <c r="DG88" s="23"/>
      <c r="DH88" s="23"/>
      <c r="DI88" s="23"/>
      <c r="DJ88" s="23"/>
      <c r="DK88" s="23"/>
      <c r="DL88" s="23"/>
      <c r="DM88" s="23"/>
      <c r="DN88" s="23"/>
      <c r="DO88" s="23"/>
    </row>
    <row r="89" spans="29:119" x14ac:dyDescent="0.35">
      <c r="AC89" s="23"/>
      <c r="AD89" s="23"/>
      <c r="AE89" s="23"/>
      <c r="AF89" s="23"/>
      <c r="AG89" s="23"/>
      <c r="AH89" s="23"/>
      <c r="AI89" s="23"/>
      <c r="AJ89" s="23"/>
      <c r="AK89" s="23"/>
      <c r="AL89" s="23"/>
      <c r="AM89" s="23"/>
      <c r="AN89" s="23"/>
      <c r="AO89" s="23"/>
      <c r="AP89" s="23"/>
      <c r="AQ89" s="23"/>
      <c r="AR89" s="23"/>
      <c r="AS89" s="23"/>
      <c r="AT89" s="23"/>
      <c r="AU89" s="23"/>
      <c r="AV89" s="23"/>
      <c r="AW89" s="23"/>
      <c r="AX89" s="23"/>
      <c r="AY89" s="23"/>
      <c r="AZ89" s="23"/>
      <c r="BA89" s="23"/>
      <c r="BB89" s="23"/>
      <c r="BC89" s="23"/>
      <c r="BD89" s="23"/>
      <c r="BE89" s="23"/>
      <c r="BF89" s="23"/>
      <c r="BG89" s="23"/>
      <c r="BH89" s="23"/>
      <c r="BI89" s="23"/>
      <c r="BJ89" s="23"/>
      <c r="BK89" s="23"/>
      <c r="BL89" s="23"/>
      <c r="BM89" s="23"/>
      <c r="BN89" s="23"/>
      <c r="BO89" s="23"/>
      <c r="BP89" s="23"/>
      <c r="BQ89" s="23"/>
      <c r="BR89" s="23"/>
      <c r="BS89" s="23"/>
      <c r="BT89" s="23"/>
      <c r="BU89" s="23"/>
      <c r="BV89" s="23"/>
      <c r="BW89" s="23"/>
      <c r="BX89" s="23"/>
      <c r="BY89" s="23"/>
      <c r="BZ89" s="23"/>
      <c r="CA89" s="23"/>
      <c r="CB89" s="23"/>
      <c r="CC89" s="23"/>
      <c r="CD89" s="23"/>
      <c r="CE89" s="23"/>
      <c r="CF89" s="23"/>
      <c r="CG89" s="23"/>
      <c r="CH89" s="23"/>
      <c r="CI89" s="23"/>
      <c r="CJ89" s="23"/>
      <c r="CK89" s="23"/>
      <c r="CL89" s="23"/>
      <c r="CM89" s="23"/>
      <c r="CN89" s="23"/>
      <c r="CO89" s="23"/>
      <c r="CP89" s="23"/>
      <c r="CQ89" s="23"/>
      <c r="CR89" s="23"/>
      <c r="CS89" s="23"/>
      <c r="CT89" s="23"/>
      <c r="CU89" s="23"/>
      <c r="CV89" s="23"/>
      <c r="CW89" s="23"/>
      <c r="CX89" s="23"/>
      <c r="CY89" s="23"/>
      <c r="CZ89" s="23"/>
      <c r="DA89" s="23"/>
      <c r="DB89" s="23"/>
      <c r="DC89" s="23"/>
      <c r="DD89" s="23"/>
      <c r="DE89" s="23"/>
      <c r="DF89" s="23"/>
      <c r="DG89" s="23"/>
      <c r="DH89" s="23"/>
      <c r="DI89" s="23"/>
      <c r="DJ89" s="23"/>
      <c r="DK89" s="23"/>
      <c r="DL89" s="23"/>
      <c r="DM89" s="23"/>
      <c r="DN89" s="23"/>
      <c r="DO89" s="23"/>
    </row>
    <row r="90" spans="29:119" x14ac:dyDescent="0.35">
      <c r="AC90" s="23"/>
      <c r="AD90" s="23"/>
      <c r="AE90" s="23"/>
      <c r="AF90" s="23"/>
      <c r="AG90" s="23"/>
      <c r="AH90" s="23"/>
      <c r="AI90" s="23"/>
      <c r="AJ90" s="23"/>
      <c r="AK90" s="23"/>
      <c r="AL90" s="23"/>
      <c r="AM90" s="23"/>
      <c r="AN90" s="23"/>
      <c r="AO90" s="23"/>
      <c r="AP90" s="23"/>
      <c r="AQ90" s="23"/>
      <c r="AR90" s="23"/>
      <c r="AS90" s="23"/>
      <c r="AT90" s="23"/>
      <c r="AU90" s="23"/>
      <c r="AV90" s="23"/>
      <c r="AW90" s="23"/>
      <c r="AX90" s="23"/>
      <c r="AY90" s="23"/>
      <c r="AZ90" s="23"/>
      <c r="BA90" s="23"/>
      <c r="BB90" s="23"/>
      <c r="BC90" s="23"/>
      <c r="BD90" s="23"/>
      <c r="BE90" s="23"/>
      <c r="BF90" s="23"/>
      <c r="BG90" s="23"/>
      <c r="BH90" s="23"/>
      <c r="BI90" s="23"/>
      <c r="BJ90" s="23"/>
      <c r="BK90" s="23"/>
      <c r="BL90" s="23"/>
      <c r="BM90" s="23"/>
      <c r="BN90" s="23"/>
      <c r="BO90" s="23"/>
      <c r="BP90" s="23"/>
      <c r="BQ90" s="23"/>
      <c r="BR90" s="23"/>
      <c r="BS90" s="23"/>
      <c r="BT90" s="23"/>
      <c r="BU90" s="23"/>
      <c r="BV90" s="23"/>
      <c r="BW90" s="23"/>
      <c r="BX90" s="23"/>
      <c r="BY90" s="23"/>
      <c r="BZ90" s="23"/>
      <c r="CA90" s="23"/>
      <c r="CB90" s="23"/>
      <c r="CC90" s="23"/>
      <c r="CD90" s="23"/>
      <c r="CE90" s="23"/>
      <c r="CF90" s="23"/>
      <c r="CG90" s="23"/>
      <c r="CH90" s="23"/>
      <c r="CI90" s="23"/>
      <c r="CJ90" s="23"/>
      <c r="CK90" s="23"/>
      <c r="CL90" s="23"/>
      <c r="CM90" s="23"/>
      <c r="CN90" s="23"/>
      <c r="CO90" s="23"/>
      <c r="CP90" s="23"/>
      <c r="CQ90" s="23"/>
      <c r="CR90" s="23"/>
      <c r="CS90" s="23"/>
      <c r="CT90" s="23"/>
      <c r="CU90" s="23"/>
      <c r="CV90" s="23"/>
      <c r="CW90" s="23"/>
      <c r="CX90" s="23"/>
      <c r="CY90" s="23"/>
      <c r="CZ90" s="23"/>
      <c r="DA90" s="23"/>
      <c r="DB90" s="23"/>
      <c r="DC90" s="23"/>
      <c r="DD90" s="23"/>
      <c r="DE90" s="23"/>
      <c r="DF90" s="23"/>
      <c r="DG90" s="23"/>
      <c r="DH90" s="23"/>
      <c r="DI90" s="23"/>
      <c r="DJ90" s="23"/>
      <c r="DK90" s="23"/>
      <c r="DL90" s="23"/>
      <c r="DM90" s="23"/>
      <c r="DN90" s="23"/>
      <c r="DO90" s="23"/>
    </row>
    <row r="91" spans="29:119" x14ac:dyDescent="0.35">
      <c r="AC91" s="23"/>
      <c r="AD91" s="23"/>
      <c r="AE91" s="23"/>
      <c r="AF91" s="23"/>
      <c r="AG91" s="23"/>
      <c r="AH91" s="23"/>
      <c r="AI91" s="23"/>
      <c r="AJ91" s="23"/>
      <c r="AK91" s="23"/>
      <c r="AL91" s="23"/>
      <c r="AM91" s="23"/>
      <c r="AN91" s="23"/>
      <c r="AO91" s="23"/>
      <c r="AP91" s="23"/>
      <c r="AQ91" s="23"/>
      <c r="AR91" s="23"/>
      <c r="AS91" s="23"/>
      <c r="AT91" s="23"/>
      <c r="AU91" s="23"/>
      <c r="AV91" s="23"/>
      <c r="AW91" s="23"/>
      <c r="AX91" s="23"/>
      <c r="AY91" s="23"/>
      <c r="AZ91" s="23"/>
      <c r="BA91" s="23"/>
      <c r="BB91" s="23"/>
      <c r="BC91" s="23"/>
      <c r="BD91" s="23"/>
      <c r="BE91" s="23"/>
      <c r="BF91" s="23"/>
      <c r="BG91" s="23"/>
      <c r="BH91" s="23"/>
      <c r="BI91" s="23"/>
      <c r="BJ91" s="23"/>
      <c r="BK91" s="23"/>
      <c r="BL91" s="23"/>
      <c r="BM91" s="23"/>
      <c r="BN91" s="23"/>
      <c r="BO91" s="23"/>
      <c r="BP91" s="23"/>
      <c r="BQ91" s="23"/>
      <c r="BR91" s="23"/>
      <c r="BS91" s="23"/>
      <c r="BT91" s="23"/>
      <c r="BU91" s="23"/>
      <c r="BV91" s="23"/>
      <c r="BW91" s="23"/>
      <c r="BX91" s="23"/>
      <c r="BY91" s="23"/>
      <c r="BZ91" s="23"/>
      <c r="CA91" s="23"/>
      <c r="CB91" s="23"/>
      <c r="CC91" s="23"/>
      <c r="CD91" s="23"/>
      <c r="CE91" s="23"/>
      <c r="CF91" s="23"/>
      <c r="CG91" s="23"/>
      <c r="CH91" s="23"/>
      <c r="CI91" s="23"/>
      <c r="CJ91" s="23"/>
      <c r="CK91" s="23"/>
      <c r="CL91" s="23"/>
      <c r="CM91" s="23"/>
      <c r="CN91" s="23"/>
      <c r="CO91" s="23"/>
      <c r="CP91" s="23"/>
      <c r="CQ91" s="23"/>
      <c r="CR91" s="23"/>
      <c r="CS91" s="23"/>
      <c r="CT91" s="23"/>
      <c r="CU91" s="23"/>
      <c r="CV91" s="23"/>
      <c r="CW91" s="23"/>
      <c r="CX91" s="23"/>
      <c r="CY91" s="23"/>
      <c r="CZ91" s="23"/>
      <c r="DA91" s="23"/>
      <c r="DB91" s="23"/>
      <c r="DC91" s="23"/>
      <c r="DD91" s="23"/>
      <c r="DE91" s="23"/>
      <c r="DF91" s="23"/>
      <c r="DG91" s="23"/>
      <c r="DH91" s="23"/>
      <c r="DI91" s="23"/>
      <c r="DJ91" s="23"/>
      <c r="DK91" s="23"/>
      <c r="DL91" s="23"/>
      <c r="DM91" s="23"/>
      <c r="DN91" s="23"/>
      <c r="DO91" s="23"/>
    </row>
    <row r="92" spans="29:119" x14ac:dyDescent="0.35">
      <c r="AC92" s="23"/>
      <c r="AD92" s="23"/>
      <c r="AE92" s="23"/>
      <c r="AF92" s="23"/>
      <c r="AG92" s="23"/>
      <c r="AH92" s="23"/>
      <c r="AI92" s="23"/>
      <c r="AJ92" s="23"/>
      <c r="AK92" s="23"/>
      <c r="AL92" s="23"/>
      <c r="AM92" s="23"/>
      <c r="AN92" s="23"/>
      <c r="AO92" s="23"/>
      <c r="AP92" s="23"/>
      <c r="AQ92" s="23"/>
      <c r="AR92" s="23"/>
      <c r="AS92" s="23"/>
      <c r="AT92" s="23"/>
      <c r="AU92" s="23"/>
      <c r="AV92" s="23"/>
      <c r="AW92" s="23"/>
      <c r="AX92" s="23"/>
      <c r="AY92" s="23"/>
      <c r="AZ92" s="23"/>
      <c r="BA92" s="23"/>
      <c r="BB92" s="23"/>
      <c r="BC92" s="23"/>
      <c r="BD92" s="23"/>
      <c r="BE92" s="23"/>
      <c r="BF92" s="23"/>
      <c r="BG92" s="23"/>
      <c r="BH92" s="23"/>
      <c r="BI92" s="23"/>
      <c r="BJ92" s="23"/>
      <c r="BK92" s="23"/>
      <c r="BL92" s="23"/>
      <c r="BM92" s="23"/>
      <c r="BN92" s="23"/>
      <c r="BO92" s="23"/>
      <c r="BP92" s="23"/>
      <c r="BQ92" s="23"/>
      <c r="BR92" s="23"/>
      <c r="BS92" s="23"/>
      <c r="BT92" s="23"/>
      <c r="BU92" s="23"/>
      <c r="BV92" s="23"/>
      <c r="BW92" s="23"/>
      <c r="BX92" s="23"/>
      <c r="BY92" s="23"/>
      <c r="BZ92" s="23"/>
      <c r="CA92" s="23"/>
      <c r="CB92" s="23"/>
      <c r="CC92" s="23"/>
      <c r="CD92" s="23"/>
      <c r="CE92" s="23"/>
      <c r="CF92" s="23"/>
      <c r="CG92" s="23"/>
      <c r="CH92" s="23"/>
      <c r="CI92" s="23"/>
      <c r="CJ92" s="23"/>
      <c r="CK92" s="23"/>
      <c r="CL92" s="23"/>
      <c r="CM92" s="23"/>
      <c r="CN92" s="23"/>
      <c r="CO92" s="23"/>
      <c r="CP92" s="23"/>
      <c r="CQ92" s="23"/>
      <c r="CR92" s="23"/>
      <c r="CS92" s="23"/>
      <c r="CT92" s="23"/>
      <c r="CU92" s="23"/>
      <c r="CV92" s="23"/>
      <c r="CW92" s="23"/>
      <c r="CX92" s="23"/>
      <c r="CY92" s="23"/>
      <c r="CZ92" s="23"/>
      <c r="DA92" s="23"/>
      <c r="DB92" s="23"/>
      <c r="DC92" s="23"/>
      <c r="DD92" s="23"/>
      <c r="DE92" s="23"/>
      <c r="DF92" s="23"/>
      <c r="DG92" s="23"/>
      <c r="DH92" s="23"/>
      <c r="DI92" s="23"/>
      <c r="DJ92" s="23"/>
      <c r="DK92" s="23"/>
      <c r="DL92" s="23"/>
      <c r="DM92" s="23"/>
      <c r="DN92" s="23"/>
      <c r="DO92" s="23"/>
    </row>
    <row r="93" spans="29:119" x14ac:dyDescent="0.35">
      <c r="AC93" s="23"/>
      <c r="AD93" s="23"/>
      <c r="AE93" s="23"/>
      <c r="AF93" s="23"/>
      <c r="AG93" s="23"/>
      <c r="AH93" s="23"/>
      <c r="AI93" s="23"/>
      <c r="AJ93" s="23"/>
      <c r="AK93" s="23"/>
      <c r="AL93" s="23"/>
      <c r="AM93" s="23"/>
      <c r="AN93" s="23"/>
      <c r="AO93" s="23"/>
      <c r="AP93" s="23"/>
      <c r="AQ93" s="23"/>
      <c r="AR93" s="23"/>
      <c r="AS93" s="23"/>
      <c r="AT93" s="23"/>
      <c r="AU93" s="23"/>
      <c r="AV93" s="23"/>
      <c r="AW93" s="23"/>
      <c r="AX93" s="23"/>
      <c r="AY93" s="23"/>
      <c r="AZ93" s="23"/>
      <c r="BA93" s="23"/>
      <c r="BB93" s="23"/>
      <c r="BC93" s="23"/>
      <c r="BD93" s="23"/>
      <c r="BE93" s="23"/>
      <c r="BF93" s="23"/>
      <c r="BG93" s="23"/>
      <c r="BH93" s="23"/>
      <c r="BI93" s="23"/>
      <c r="BJ93" s="23"/>
      <c r="BK93" s="23"/>
      <c r="BL93" s="23"/>
      <c r="BM93" s="23"/>
      <c r="BN93" s="23"/>
      <c r="BO93" s="23"/>
      <c r="BP93" s="23"/>
      <c r="BQ93" s="23"/>
      <c r="BR93" s="23"/>
      <c r="BS93" s="23"/>
      <c r="BT93" s="23"/>
      <c r="BU93" s="23"/>
      <c r="BV93" s="23"/>
      <c r="BW93" s="23"/>
      <c r="BX93" s="23"/>
      <c r="BY93" s="23"/>
      <c r="BZ93" s="23"/>
      <c r="CA93" s="23"/>
      <c r="CB93" s="23"/>
      <c r="CC93" s="23"/>
      <c r="CD93" s="23"/>
      <c r="CE93" s="23"/>
      <c r="CF93" s="23"/>
      <c r="CG93" s="23"/>
      <c r="CH93" s="23"/>
      <c r="CI93" s="23"/>
      <c r="CJ93" s="23"/>
      <c r="CK93" s="23"/>
      <c r="CL93" s="23"/>
      <c r="CM93" s="23"/>
      <c r="CN93" s="23"/>
      <c r="CO93" s="23"/>
      <c r="CP93" s="23"/>
      <c r="CQ93" s="23"/>
      <c r="CR93" s="23"/>
      <c r="CS93" s="23"/>
      <c r="CT93" s="23"/>
      <c r="CU93" s="23"/>
      <c r="CV93" s="23"/>
      <c r="CW93" s="23"/>
      <c r="CX93" s="23"/>
      <c r="CY93" s="23"/>
      <c r="CZ93" s="23"/>
      <c r="DA93" s="23"/>
      <c r="DB93" s="23"/>
      <c r="DC93" s="23"/>
      <c r="DD93" s="23"/>
      <c r="DE93" s="23"/>
      <c r="DF93" s="23"/>
      <c r="DG93" s="23"/>
      <c r="DH93" s="23"/>
      <c r="DI93" s="23"/>
      <c r="DJ93" s="23"/>
      <c r="DK93" s="23"/>
      <c r="DL93" s="23"/>
      <c r="DM93" s="23"/>
      <c r="DN93" s="23"/>
      <c r="DO93" s="23"/>
    </row>
    <row r="94" spans="29:119" x14ac:dyDescent="0.35">
      <c r="AC94" s="23"/>
      <c r="AD94" s="23"/>
      <c r="AE94" s="23"/>
      <c r="AF94" s="23"/>
      <c r="AG94" s="23"/>
      <c r="AH94" s="23"/>
      <c r="AI94" s="23"/>
      <c r="AJ94" s="23"/>
      <c r="AK94" s="23"/>
      <c r="AL94" s="23"/>
      <c r="AM94" s="23"/>
      <c r="AN94" s="23"/>
      <c r="AO94" s="23"/>
      <c r="AP94" s="23"/>
      <c r="AQ94" s="23"/>
      <c r="AR94" s="23"/>
      <c r="AS94" s="23"/>
      <c r="AT94" s="23"/>
      <c r="AU94" s="23"/>
      <c r="AV94" s="23"/>
      <c r="AW94" s="23"/>
      <c r="AX94" s="23"/>
      <c r="AY94" s="23"/>
      <c r="AZ94" s="23"/>
      <c r="BA94" s="23"/>
      <c r="BB94" s="23"/>
      <c r="BC94" s="23"/>
      <c r="BD94" s="23"/>
      <c r="BE94" s="23"/>
      <c r="BF94" s="23"/>
      <c r="BG94" s="23"/>
      <c r="BH94" s="23"/>
      <c r="BI94" s="23"/>
      <c r="BJ94" s="23"/>
      <c r="BK94" s="23"/>
      <c r="BL94" s="23"/>
      <c r="BM94" s="23"/>
      <c r="BN94" s="23"/>
      <c r="BO94" s="23"/>
      <c r="BP94" s="23"/>
      <c r="BQ94" s="23"/>
      <c r="BR94" s="23"/>
      <c r="BS94" s="23"/>
      <c r="BT94" s="23"/>
      <c r="BU94" s="23"/>
      <c r="BV94" s="23"/>
      <c r="BW94" s="23"/>
      <c r="BX94" s="23"/>
      <c r="BY94" s="23"/>
      <c r="BZ94" s="23"/>
      <c r="CA94" s="23"/>
      <c r="CB94" s="23"/>
      <c r="CC94" s="23"/>
      <c r="CD94" s="23"/>
      <c r="CE94" s="23"/>
      <c r="CF94" s="23"/>
      <c r="CG94" s="23"/>
      <c r="CH94" s="23"/>
      <c r="CI94" s="23"/>
      <c r="CJ94" s="23"/>
      <c r="CK94" s="23"/>
      <c r="CL94" s="23"/>
      <c r="CM94" s="23"/>
      <c r="CN94" s="23"/>
      <c r="CO94" s="23"/>
      <c r="CP94" s="23"/>
      <c r="CQ94" s="23"/>
      <c r="CR94" s="23"/>
      <c r="CS94" s="23"/>
      <c r="CT94" s="23"/>
      <c r="CU94" s="23"/>
      <c r="CV94" s="23"/>
      <c r="CW94" s="23"/>
      <c r="CX94" s="23"/>
      <c r="CY94" s="23"/>
      <c r="CZ94" s="23"/>
      <c r="DA94" s="23"/>
      <c r="DB94" s="23"/>
      <c r="DC94" s="23"/>
      <c r="DD94" s="23"/>
      <c r="DE94" s="23"/>
      <c r="DF94" s="23"/>
      <c r="DG94" s="23"/>
      <c r="DH94" s="23"/>
      <c r="DI94" s="23"/>
      <c r="DJ94" s="23"/>
      <c r="DK94" s="23"/>
      <c r="DL94" s="23"/>
      <c r="DM94" s="23"/>
      <c r="DN94" s="23"/>
      <c r="DO94" s="23"/>
    </row>
    <row r="95" spans="29:119" x14ac:dyDescent="0.35">
      <c r="AC95" s="23"/>
      <c r="AD95" s="23"/>
      <c r="AE95" s="23"/>
      <c r="AF95" s="23"/>
      <c r="AG95" s="23"/>
      <c r="AH95" s="23"/>
      <c r="AI95" s="23"/>
      <c r="AJ95" s="23"/>
      <c r="AK95" s="23"/>
      <c r="AL95" s="23"/>
      <c r="AM95" s="23"/>
      <c r="AN95" s="23"/>
      <c r="AO95" s="23"/>
      <c r="AP95" s="23"/>
      <c r="AQ95" s="23"/>
      <c r="AR95" s="23"/>
      <c r="AS95" s="23"/>
      <c r="AT95" s="23"/>
      <c r="AU95" s="23"/>
      <c r="AV95" s="23"/>
      <c r="AW95" s="23"/>
      <c r="AX95" s="23"/>
      <c r="AY95" s="23"/>
      <c r="AZ95" s="23"/>
      <c r="BA95" s="23"/>
      <c r="BB95" s="23"/>
      <c r="BC95" s="23"/>
      <c r="BD95" s="23"/>
      <c r="BE95" s="23"/>
      <c r="BF95" s="23"/>
      <c r="BG95" s="23"/>
      <c r="BH95" s="23"/>
      <c r="BI95" s="23"/>
      <c r="BJ95" s="23"/>
      <c r="BK95" s="23"/>
      <c r="BL95" s="23"/>
      <c r="BM95" s="23"/>
      <c r="BN95" s="23"/>
      <c r="BO95" s="23"/>
      <c r="BP95" s="23"/>
      <c r="BQ95" s="23"/>
      <c r="BR95" s="23"/>
      <c r="BS95" s="23"/>
      <c r="BT95" s="23"/>
      <c r="BU95" s="23"/>
      <c r="BV95" s="23"/>
      <c r="BW95" s="23"/>
      <c r="BX95" s="23"/>
      <c r="BY95" s="23"/>
      <c r="BZ95" s="23"/>
      <c r="CA95" s="23"/>
      <c r="CB95" s="23"/>
      <c r="CC95" s="23"/>
      <c r="CD95" s="23"/>
      <c r="CE95" s="23"/>
      <c r="CF95" s="23"/>
      <c r="CG95" s="23"/>
      <c r="CH95" s="23"/>
      <c r="CI95" s="23"/>
      <c r="CJ95" s="23"/>
      <c r="CK95" s="23"/>
      <c r="CL95" s="23"/>
      <c r="CM95" s="23"/>
      <c r="CN95" s="23"/>
      <c r="CO95" s="23"/>
      <c r="CP95" s="23"/>
      <c r="CQ95" s="23"/>
      <c r="CR95" s="23"/>
      <c r="CS95" s="23"/>
      <c r="CT95" s="23"/>
      <c r="CU95" s="23"/>
      <c r="CV95" s="23"/>
      <c r="CW95" s="23"/>
      <c r="CX95" s="23"/>
      <c r="CY95" s="23"/>
      <c r="CZ95" s="23"/>
      <c r="DA95" s="23"/>
      <c r="DB95" s="23"/>
      <c r="DC95" s="23"/>
      <c r="DD95" s="23"/>
      <c r="DE95" s="23"/>
      <c r="DF95" s="23"/>
      <c r="DG95" s="23"/>
      <c r="DH95" s="23"/>
      <c r="DI95" s="23"/>
      <c r="DJ95" s="23"/>
      <c r="DK95" s="23"/>
      <c r="DL95" s="23"/>
      <c r="DM95" s="23"/>
      <c r="DN95" s="23"/>
      <c r="DO95" s="23"/>
    </row>
    <row r="96" spans="29:119" x14ac:dyDescent="0.35">
      <c r="AC96" s="23"/>
      <c r="AD96" s="23"/>
      <c r="AE96" s="23"/>
      <c r="AF96" s="23"/>
      <c r="AG96" s="23"/>
      <c r="AH96" s="23"/>
      <c r="AI96" s="23"/>
      <c r="AJ96" s="23"/>
      <c r="AK96" s="23"/>
      <c r="AL96" s="23"/>
      <c r="AM96" s="23"/>
      <c r="AN96" s="23"/>
      <c r="AO96" s="23"/>
      <c r="AP96" s="23"/>
      <c r="AQ96" s="23"/>
      <c r="AR96" s="23"/>
      <c r="AS96" s="23"/>
      <c r="AT96" s="23"/>
      <c r="AU96" s="23"/>
      <c r="AV96" s="23"/>
      <c r="AW96" s="23"/>
      <c r="AX96" s="23"/>
      <c r="AY96" s="23"/>
      <c r="AZ96" s="23"/>
      <c r="BA96" s="23"/>
      <c r="BB96" s="23"/>
      <c r="BC96" s="23"/>
      <c r="BD96" s="23"/>
      <c r="BE96" s="23"/>
      <c r="BF96" s="23"/>
      <c r="BG96" s="23"/>
      <c r="BH96" s="23"/>
      <c r="BI96" s="23"/>
      <c r="BJ96" s="23"/>
      <c r="BK96" s="23"/>
      <c r="BL96" s="23"/>
      <c r="BM96" s="23"/>
      <c r="BN96" s="23"/>
      <c r="BO96" s="23"/>
      <c r="BP96" s="23"/>
      <c r="BQ96" s="23"/>
      <c r="BR96" s="23"/>
      <c r="BS96" s="23"/>
      <c r="BT96" s="23"/>
      <c r="BU96" s="23"/>
      <c r="BV96" s="23"/>
      <c r="BW96" s="23"/>
      <c r="BX96" s="23"/>
      <c r="BY96" s="23"/>
      <c r="BZ96" s="23"/>
      <c r="CA96" s="23"/>
      <c r="CB96" s="23"/>
      <c r="CC96" s="23"/>
      <c r="CD96" s="23"/>
      <c r="CE96" s="23"/>
      <c r="CF96" s="23"/>
      <c r="CG96" s="23"/>
      <c r="CH96" s="23"/>
      <c r="CI96" s="23"/>
      <c r="CJ96" s="23"/>
      <c r="CK96" s="23"/>
      <c r="CL96" s="23"/>
      <c r="CM96" s="23"/>
      <c r="CN96" s="23"/>
      <c r="CO96" s="23"/>
      <c r="CP96" s="23"/>
      <c r="CQ96" s="23"/>
      <c r="CR96" s="23"/>
      <c r="CS96" s="23"/>
      <c r="CT96" s="23"/>
      <c r="CU96" s="23"/>
      <c r="CV96" s="23"/>
      <c r="CW96" s="23"/>
      <c r="CX96" s="23"/>
      <c r="CY96" s="23"/>
      <c r="CZ96" s="23"/>
      <c r="DA96" s="23"/>
      <c r="DB96" s="23"/>
      <c r="DC96" s="23"/>
      <c r="DD96" s="23"/>
      <c r="DE96" s="23"/>
      <c r="DF96" s="23"/>
      <c r="DG96" s="23"/>
      <c r="DH96" s="23"/>
      <c r="DI96" s="23"/>
      <c r="DJ96" s="23"/>
      <c r="DK96" s="23"/>
      <c r="DL96" s="23"/>
      <c r="DM96" s="23"/>
      <c r="DN96" s="23"/>
      <c r="DO96" s="23"/>
    </row>
    <row r="97" spans="29:119" x14ac:dyDescent="0.35">
      <c r="AC97" s="23"/>
      <c r="AD97" s="23"/>
      <c r="AE97" s="23"/>
      <c r="AF97" s="23"/>
      <c r="AG97" s="23"/>
      <c r="AH97" s="23"/>
      <c r="AI97" s="23"/>
      <c r="AJ97" s="23"/>
      <c r="AK97" s="23"/>
      <c r="AL97" s="23"/>
      <c r="AM97" s="23"/>
      <c r="AN97" s="23"/>
      <c r="AO97" s="23"/>
      <c r="AP97" s="23"/>
      <c r="AQ97" s="23"/>
      <c r="AR97" s="23"/>
      <c r="AS97" s="23"/>
      <c r="AT97" s="23"/>
      <c r="AU97" s="23"/>
      <c r="AV97" s="23"/>
      <c r="AW97" s="23"/>
      <c r="AX97" s="23"/>
      <c r="AY97" s="23"/>
      <c r="AZ97" s="23"/>
      <c r="BA97" s="23"/>
      <c r="BB97" s="23"/>
      <c r="BC97" s="23"/>
      <c r="BD97" s="23"/>
      <c r="BE97" s="23"/>
      <c r="BF97" s="23"/>
      <c r="BG97" s="23"/>
      <c r="BH97" s="23"/>
      <c r="BI97" s="23"/>
      <c r="BJ97" s="23"/>
      <c r="BK97" s="23"/>
      <c r="BL97" s="23"/>
      <c r="BM97" s="23"/>
      <c r="BN97" s="23"/>
      <c r="BO97" s="23"/>
      <c r="BP97" s="23"/>
      <c r="BQ97" s="23"/>
      <c r="BR97" s="23"/>
      <c r="BS97" s="23"/>
      <c r="BT97" s="23"/>
      <c r="BU97" s="23"/>
      <c r="BV97" s="23"/>
      <c r="BW97" s="23"/>
      <c r="BX97" s="23"/>
      <c r="BY97" s="23"/>
      <c r="BZ97" s="23"/>
      <c r="CA97" s="23"/>
      <c r="CB97" s="23"/>
      <c r="CC97" s="23"/>
      <c r="CD97" s="23"/>
      <c r="CE97" s="23"/>
      <c r="CF97" s="23"/>
      <c r="CG97" s="23"/>
      <c r="CH97" s="23"/>
      <c r="CI97" s="23"/>
      <c r="CJ97" s="23"/>
      <c r="CK97" s="23"/>
      <c r="CL97" s="23"/>
      <c r="CM97" s="23"/>
      <c r="CN97" s="23"/>
      <c r="CO97" s="23"/>
      <c r="CP97" s="23"/>
      <c r="CQ97" s="23"/>
      <c r="CR97" s="23"/>
      <c r="CS97" s="23"/>
      <c r="CT97" s="23"/>
      <c r="CU97" s="23"/>
      <c r="CV97" s="23"/>
      <c r="CW97" s="23"/>
      <c r="CX97" s="23"/>
      <c r="CY97" s="23"/>
      <c r="CZ97" s="23"/>
      <c r="DA97" s="23"/>
      <c r="DB97" s="23"/>
      <c r="DC97" s="23"/>
      <c r="DD97" s="23"/>
      <c r="DE97" s="23"/>
      <c r="DF97" s="23"/>
      <c r="DG97" s="23"/>
      <c r="DH97" s="23"/>
      <c r="DI97" s="23"/>
      <c r="DJ97" s="23"/>
      <c r="DK97" s="23"/>
      <c r="DL97" s="23"/>
      <c r="DM97" s="23"/>
      <c r="DN97" s="23"/>
      <c r="DO97" s="23"/>
    </row>
    <row r="98" spans="29:119" x14ac:dyDescent="0.35">
      <c r="AC98" s="23"/>
      <c r="AD98" s="23"/>
      <c r="AE98" s="23"/>
      <c r="AF98" s="23"/>
      <c r="AG98" s="23"/>
      <c r="AH98" s="23"/>
      <c r="AI98" s="23"/>
      <c r="AJ98" s="23"/>
      <c r="AK98" s="23"/>
      <c r="AL98" s="23"/>
      <c r="AM98" s="23"/>
      <c r="AN98" s="23"/>
      <c r="AO98" s="23"/>
      <c r="AP98" s="23"/>
      <c r="AQ98" s="23"/>
      <c r="AR98" s="23"/>
      <c r="AS98" s="23"/>
      <c r="AT98" s="23"/>
      <c r="AU98" s="23"/>
      <c r="AV98" s="23"/>
      <c r="AW98" s="23"/>
      <c r="AX98" s="23"/>
      <c r="AY98" s="23"/>
      <c r="AZ98" s="23"/>
      <c r="BA98" s="23"/>
      <c r="BB98" s="23"/>
      <c r="BC98" s="23"/>
      <c r="BD98" s="23"/>
      <c r="BE98" s="23"/>
      <c r="BF98" s="23"/>
      <c r="BG98" s="23"/>
      <c r="BH98" s="23"/>
      <c r="BI98" s="23"/>
      <c r="BJ98" s="23"/>
      <c r="BK98" s="23"/>
      <c r="BL98" s="23"/>
      <c r="BM98" s="23"/>
      <c r="BN98" s="23"/>
      <c r="BO98" s="23"/>
      <c r="BP98" s="23"/>
      <c r="BQ98" s="23"/>
      <c r="BR98" s="23"/>
      <c r="BS98" s="23"/>
      <c r="BT98" s="23"/>
      <c r="BU98" s="23"/>
      <c r="BV98" s="23"/>
      <c r="BW98" s="23"/>
      <c r="BX98" s="23"/>
      <c r="BY98" s="23"/>
      <c r="BZ98" s="23"/>
      <c r="CA98" s="23"/>
      <c r="CB98" s="23"/>
      <c r="CC98" s="23"/>
      <c r="CD98" s="23"/>
      <c r="CE98" s="23"/>
      <c r="CF98" s="23"/>
      <c r="CG98" s="23"/>
      <c r="CH98" s="23"/>
      <c r="CI98" s="23"/>
      <c r="CJ98" s="23"/>
      <c r="CK98" s="23"/>
      <c r="CL98" s="23"/>
      <c r="CM98" s="23"/>
      <c r="CN98" s="23"/>
      <c r="CO98" s="23"/>
      <c r="CP98" s="23"/>
      <c r="CQ98" s="23"/>
      <c r="CR98" s="23"/>
      <c r="CS98" s="23"/>
      <c r="CT98" s="23"/>
      <c r="CU98" s="23"/>
      <c r="CV98" s="23"/>
      <c r="CW98" s="23"/>
      <c r="CX98" s="23"/>
      <c r="CY98" s="23"/>
      <c r="CZ98" s="23"/>
      <c r="DA98" s="23"/>
      <c r="DB98" s="23"/>
      <c r="DC98" s="23"/>
      <c r="DD98" s="23"/>
      <c r="DE98" s="23"/>
      <c r="DF98" s="23"/>
      <c r="DG98" s="23"/>
      <c r="DH98" s="23"/>
      <c r="DI98" s="23"/>
      <c r="DJ98" s="23"/>
      <c r="DK98" s="23"/>
      <c r="DL98" s="23"/>
      <c r="DM98" s="23"/>
      <c r="DN98" s="23"/>
      <c r="DO98" s="23"/>
    </row>
    <row r="99" spans="29:119" x14ac:dyDescent="0.35">
      <c r="AC99" s="23"/>
      <c r="AD99" s="23"/>
      <c r="AE99" s="23"/>
      <c r="AF99" s="23"/>
      <c r="AG99" s="23"/>
      <c r="AH99" s="23"/>
      <c r="AI99" s="23"/>
      <c r="AJ99" s="23"/>
      <c r="AK99" s="23"/>
      <c r="AL99" s="23"/>
      <c r="AM99" s="23"/>
      <c r="AN99" s="23"/>
      <c r="AO99" s="23"/>
      <c r="AP99" s="23"/>
      <c r="AQ99" s="23"/>
      <c r="AR99" s="23"/>
      <c r="AS99" s="23"/>
      <c r="AT99" s="23"/>
      <c r="AU99" s="23"/>
      <c r="AV99" s="23"/>
      <c r="AW99" s="23"/>
      <c r="AX99" s="23"/>
      <c r="AY99" s="23"/>
      <c r="AZ99" s="23"/>
      <c r="BA99" s="23"/>
      <c r="BB99" s="23"/>
      <c r="BC99" s="23"/>
      <c r="BD99" s="23"/>
      <c r="BE99" s="23"/>
      <c r="BF99" s="23"/>
      <c r="BG99" s="23"/>
      <c r="BH99" s="23"/>
      <c r="BI99" s="23"/>
      <c r="BJ99" s="23"/>
      <c r="BK99" s="23"/>
      <c r="BL99" s="23"/>
      <c r="BM99" s="23"/>
      <c r="BN99" s="23"/>
      <c r="BO99" s="23"/>
      <c r="BP99" s="23"/>
      <c r="BQ99" s="23"/>
      <c r="BR99" s="23"/>
      <c r="BS99" s="23"/>
      <c r="BT99" s="23"/>
      <c r="BU99" s="23"/>
      <c r="BV99" s="23"/>
      <c r="BW99" s="23"/>
      <c r="BX99" s="23"/>
      <c r="BY99" s="23"/>
      <c r="BZ99" s="23"/>
      <c r="CA99" s="23"/>
      <c r="CB99" s="23"/>
      <c r="CC99" s="23"/>
      <c r="CD99" s="23"/>
      <c r="CE99" s="23"/>
      <c r="CF99" s="23"/>
      <c r="CG99" s="23"/>
      <c r="CH99" s="23"/>
      <c r="CI99" s="23"/>
      <c r="CJ99" s="23"/>
      <c r="CK99" s="23"/>
      <c r="CL99" s="23"/>
      <c r="CM99" s="23"/>
      <c r="CN99" s="23"/>
      <c r="CO99" s="23"/>
      <c r="CP99" s="23"/>
      <c r="CQ99" s="23"/>
      <c r="CR99" s="23"/>
      <c r="CS99" s="23"/>
      <c r="CT99" s="23"/>
      <c r="CU99" s="23"/>
      <c r="CV99" s="23"/>
      <c r="CW99" s="23"/>
      <c r="CX99" s="23"/>
      <c r="CY99" s="23"/>
      <c r="CZ99" s="23"/>
      <c r="DA99" s="23"/>
      <c r="DB99" s="23"/>
      <c r="DC99" s="23"/>
      <c r="DD99" s="23"/>
      <c r="DE99" s="23"/>
      <c r="DF99" s="23"/>
      <c r="DG99" s="23"/>
      <c r="DH99" s="23"/>
      <c r="DI99" s="23"/>
      <c r="DJ99" s="23"/>
      <c r="DK99" s="23"/>
      <c r="DL99" s="23"/>
      <c r="DM99" s="23"/>
      <c r="DN99" s="23"/>
      <c r="DO99" s="23"/>
    </row>
    <row r="100" spans="29:119" x14ac:dyDescent="0.35">
      <c r="AC100" s="23"/>
      <c r="AD100" s="23"/>
      <c r="AE100" s="23"/>
      <c r="AF100" s="23"/>
      <c r="AG100" s="23"/>
      <c r="AH100" s="23"/>
      <c r="AI100" s="23"/>
      <c r="AJ100" s="23"/>
      <c r="AK100" s="23"/>
      <c r="AL100" s="23"/>
      <c r="AM100" s="23"/>
      <c r="AN100" s="23"/>
      <c r="AO100" s="23"/>
      <c r="AP100" s="23"/>
      <c r="AQ100" s="23"/>
      <c r="AR100" s="23"/>
      <c r="AS100" s="23"/>
      <c r="AT100" s="23"/>
      <c r="AU100" s="23"/>
      <c r="AV100" s="23"/>
      <c r="AW100" s="23"/>
      <c r="AX100" s="23"/>
      <c r="AY100" s="23"/>
      <c r="AZ100" s="23"/>
      <c r="BA100" s="23"/>
      <c r="BB100" s="23"/>
      <c r="BC100" s="23"/>
      <c r="BD100" s="23"/>
      <c r="BE100" s="23"/>
      <c r="BF100" s="23"/>
      <c r="BG100" s="23"/>
      <c r="BH100" s="23"/>
      <c r="BI100" s="23"/>
      <c r="BJ100" s="23"/>
      <c r="BK100" s="23"/>
      <c r="BL100" s="23"/>
      <c r="BM100" s="23"/>
      <c r="BN100" s="23"/>
      <c r="BO100" s="23"/>
      <c r="BP100" s="23"/>
      <c r="BQ100" s="23"/>
      <c r="BR100" s="23"/>
      <c r="BS100" s="23"/>
      <c r="BT100" s="23"/>
      <c r="BU100" s="23"/>
      <c r="BV100" s="23"/>
      <c r="BW100" s="23"/>
      <c r="BX100" s="23"/>
      <c r="BY100" s="23"/>
      <c r="BZ100" s="23"/>
      <c r="CA100" s="23"/>
      <c r="CB100" s="23"/>
      <c r="CC100" s="23"/>
      <c r="CD100" s="23"/>
      <c r="CE100" s="23"/>
      <c r="CF100" s="23"/>
      <c r="CG100" s="23"/>
      <c r="CH100" s="23"/>
      <c r="CI100" s="23"/>
      <c r="CJ100" s="23"/>
      <c r="CK100" s="23"/>
      <c r="CL100" s="23"/>
      <c r="CM100" s="23"/>
      <c r="CN100" s="23"/>
      <c r="CO100" s="23"/>
      <c r="CP100" s="23"/>
      <c r="CQ100" s="23"/>
      <c r="CR100" s="23"/>
      <c r="CS100" s="23"/>
      <c r="CT100" s="23"/>
      <c r="CU100" s="23"/>
      <c r="CV100" s="23"/>
      <c r="CW100" s="23"/>
      <c r="CX100" s="23"/>
      <c r="CY100" s="23"/>
      <c r="CZ100" s="23"/>
      <c r="DA100" s="23"/>
      <c r="DB100" s="23"/>
      <c r="DC100" s="23"/>
      <c r="DD100" s="23"/>
      <c r="DE100" s="23"/>
      <c r="DF100" s="23"/>
      <c r="DG100" s="23"/>
      <c r="DH100" s="23"/>
      <c r="DI100" s="23"/>
      <c r="DJ100" s="23"/>
      <c r="DK100" s="23"/>
      <c r="DL100" s="23"/>
      <c r="DM100" s="23"/>
      <c r="DN100" s="23"/>
      <c r="DO100" s="23"/>
    </row>
    <row r="101" spans="29:119" x14ac:dyDescent="0.35">
      <c r="AC101" s="23"/>
      <c r="AD101" s="23"/>
      <c r="AE101" s="23"/>
      <c r="AF101" s="23"/>
      <c r="AG101" s="23"/>
      <c r="AH101" s="23"/>
      <c r="AI101" s="23"/>
      <c r="AJ101" s="23"/>
      <c r="AK101" s="23"/>
      <c r="AL101" s="23"/>
      <c r="AM101" s="23"/>
      <c r="AN101" s="23"/>
      <c r="AO101" s="23"/>
      <c r="AP101" s="23"/>
      <c r="AQ101" s="23"/>
      <c r="AR101" s="23"/>
      <c r="AS101" s="23"/>
      <c r="AT101" s="23"/>
      <c r="AU101" s="23"/>
      <c r="AV101" s="23"/>
      <c r="AW101" s="23"/>
      <c r="AX101" s="23"/>
      <c r="AY101" s="23"/>
      <c r="AZ101" s="23"/>
      <c r="BA101" s="23"/>
      <c r="BB101" s="23"/>
      <c r="BC101" s="23"/>
      <c r="BD101" s="23"/>
      <c r="BE101" s="23"/>
      <c r="BF101" s="23"/>
      <c r="BG101" s="23"/>
      <c r="BH101" s="23"/>
      <c r="BI101" s="23"/>
      <c r="BJ101" s="23"/>
      <c r="BK101" s="23"/>
      <c r="BL101" s="23"/>
      <c r="BM101" s="23"/>
      <c r="BN101" s="23"/>
      <c r="BO101" s="23"/>
      <c r="BP101" s="23"/>
      <c r="BQ101" s="23"/>
      <c r="BR101" s="23"/>
      <c r="BS101" s="23"/>
      <c r="BT101" s="23"/>
      <c r="BU101" s="23"/>
      <c r="BV101" s="23"/>
      <c r="BW101" s="23"/>
      <c r="BX101" s="23"/>
      <c r="BY101" s="23"/>
      <c r="BZ101" s="23"/>
      <c r="CA101" s="23"/>
      <c r="CB101" s="23"/>
      <c r="CC101" s="23"/>
      <c r="CD101" s="23"/>
      <c r="CE101" s="23"/>
      <c r="CF101" s="23"/>
      <c r="CG101" s="23"/>
      <c r="CH101" s="23"/>
      <c r="CI101" s="23"/>
      <c r="CJ101" s="23"/>
      <c r="CK101" s="23"/>
      <c r="CL101" s="23"/>
      <c r="CM101" s="23"/>
      <c r="CN101" s="23"/>
      <c r="CO101" s="23"/>
      <c r="CP101" s="23"/>
      <c r="CQ101" s="23"/>
      <c r="CR101" s="23"/>
      <c r="CS101" s="23"/>
      <c r="CT101" s="23"/>
      <c r="CU101" s="23"/>
      <c r="CV101" s="23"/>
      <c r="CW101" s="23"/>
      <c r="CX101" s="23"/>
      <c r="CY101" s="23"/>
      <c r="CZ101" s="23"/>
      <c r="DA101" s="23"/>
      <c r="DB101" s="23"/>
      <c r="DC101" s="23"/>
      <c r="DD101" s="23"/>
      <c r="DE101" s="23"/>
      <c r="DF101" s="23"/>
      <c r="DG101" s="23"/>
      <c r="DH101" s="23"/>
      <c r="DI101" s="23"/>
      <c r="DJ101" s="23"/>
      <c r="DK101" s="23"/>
      <c r="DL101" s="23"/>
      <c r="DM101" s="23"/>
      <c r="DN101" s="23"/>
      <c r="DO101" s="23"/>
    </row>
    <row r="102" spans="29:119" x14ac:dyDescent="0.35">
      <c r="AC102" s="23"/>
      <c r="AD102" s="23"/>
      <c r="AE102" s="23"/>
      <c r="AF102" s="23"/>
      <c r="AG102" s="23"/>
      <c r="AH102" s="23"/>
      <c r="AI102" s="23"/>
      <c r="AJ102" s="23"/>
      <c r="AK102" s="23"/>
      <c r="AL102" s="23"/>
      <c r="AM102" s="23"/>
      <c r="AN102" s="23"/>
      <c r="AO102" s="23"/>
      <c r="AP102" s="23"/>
      <c r="AQ102" s="23"/>
      <c r="AR102" s="23"/>
      <c r="AS102" s="23"/>
      <c r="AT102" s="23"/>
      <c r="AU102" s="23"/>
      <c r="AV102" s="23"/>
      <c r="AW102" s="23"/>
      <c r="AX102" s="23"/>
      <c r="AY102" s="23"/>
      <c r="AZ102" s="23"/>
      <c r="BA102" s="23"/>
      <c r="BB102" s="23"/>
      <c r="BC102" s="23"/>
      <c r="BD102" s="23"/>
      <c r="BE102" s="23"/>
      <c r="BF102" s="23"/>
      <c r="BG102" s="23"/>
      <c r="BH102" s="23"/>
      <c r="BI102" s="23"/>
      <c r="BJ102" s="23"/>
      <c r="BK102" s="23"/>
      <c r="BL102" s="23"/>
      <c r="BM102" s="23"/>
      <c r="BN102" s="23"/>
      <c r="BO102" s="23"/>
      <c r="BP102" s="23"/>
      <c r="BQ102" s="23"/>
      <c r="BR102" s="23"/>
      <c r="BS102" s="23"/>
      <c r="BT102" s="23"/>
      <c r="BU102" s="23"/>
      <c r="BV102" s="23"/>
      <c r="BW102" s="23"/>
      <c r="BX102" s="23"/>
      <c r="BY102" s="23"/>
      <c r="BZ102" s="23"/>
      <c r="CA102" s="23"/>
      <c r="CB102" s="23"/>
      <c r="CC102" s="23"/>
      <c r="CD102" s="23"/>
      <c r="CE102" s="23"/>
      <c r="CF102" s="23"/>
      <c r="CG102" s="23"/>
      <c r="CH102" s="23"/>
      <c r="CI102" s="23"/>
      <c r="CJ102" s="23"/>
      <c r="CK102" s="23"/>
      <c r="CL102" s="23"/>
      <c r="CM102" s="23"/>
      <c r="CN102" s="23"/>
      <c r="CO102" s="23"/>
      <c r="CP102" s="23"/>
      <c r="CQ102" s="23"/>
      <c r="CR102" s="23"/>
      <c r="CS102" s="23"/>
      <c r="CT102" s="23"/>
      <c r="CU102" s="23"/>
      <c r="CV102" s="23"/>
      <c r="CW102" s="23"/>
      <c r="CX102" s="23"/>
      <c r="CY102" s="23"/>
      <c r="CZ102" s="23"/>
      <c r="DA102" s="23"/>
      <c r="DB102" s="23"/>
      <c r="DC102" s="23"/>
      <c r="DD102" s="23"/>
      <c r="DE102" s="23"/>
      <c r="DF102" s="23"/>
      <c r="DG102" s="23"/>
      <c r="DH102" s="23"/>
      <c r="DI102" s="23"/>
      <c r="DJ102" s="23"/>
      <c r="DK102" s="23"/>
      <c r="DL102" s="23"/>
      <c r="DM102" s="23"/>
      <c r="DN102" s="23"/>
      <c r="DO102" s="23"/>
    </row>
    <row r="103" spans="29:119" x14ac:dyDescent="0.35">
      <c r="AC103" s="23"/>
      <c r="AD103" s="23"/>
      <c r="AE103" s="23"/>
      <c r="AF103" s="23"/>
      <c r="AG103" s="23"/>
      <c r="AH103" s="23"/>
      <c r="AI103" s="23"/>
      <c r="AJ103" s="23"/>
      <c r="AK103" s="23"/>
      <c r="AL103" s="23"/>
      <c r="AM103" s="23"/>
      <c r="AN103" s="23"/>
      <c r="AO103" s="23"/>
      <c r="AP103" s="23"/>
      <c r="AQ103" s="23"/>
      <c r="AR103" s="23"/>
      <c r="AS103" s="23"/>
      <c r="AT103" s="23"/>
      <c r="AU103" s="23"/>
      <c r="AV103" s="23"/>
      <c r="AW103" s="23"/>
      <c r="AX103" s="23"/>
      <c r="AY103" s="23"/>
      <c r="AZ103" s="23"/>
      <c r="BA103" s="23"/>
      <c r="BB103" s="23"/>
      <c r="BC103" s="23"/>
      <c r="BD103" s="23"/>
      <c r="BE103" s="23"/>
      <c r="BF103" s="23"/>
      <c r="BG103" s="23"/>
      <c r="BH103" s="23"/>
      <c r="BI103" s="23"/>
      <c r="BJ103" s="23"/>
      <c r="BK103" s="23"/>
      <c r="BL103" s="23"/>
      <c r="BM103" s="23"/>
      <c r="BN103" s="23"/>
      <c r="BO103" s="23"/>
      <c r="BP103" s="23"/>
      <c r="BQ103" s="23"/>
      <c r="BR103" s="23"/>
      <c r="BS103" s="23"/>
      <c r="BT103" s="23"/>
      <c r="BU103" s="23"/>
      <c r="BV103" s="23"/>
      <c r="BW103" s="23"/>
      <c r="BX103" s="23"/>
      <c r="BY103" s="23"/>
      <c r="BZ103" s="23"/>
      <c r="CA103" s="23"/>
      <c r="CB103" s="23"/>
      <c r="CC103" s="23"/>
      <c r="CD103" s="23"/>
      <c r="CE103" s="23"/>
      <c r="CF103" s="23"/>
      <c r="CG103" s="23"/>
      <c r="CH103" s="23"/>
      <c r="CI103" s="23"/>
      <c r="CJ103" s="23"/>
      <c r="CK103" s="23"/>
      <c r="CL103" s="23"/>
      <c r="CM103" s="23"/>
      <c r="CN103" s="23"/>
      <c r="CO103" s="23"/>
      <c r="CP103" s="23"/>
      <c r="CQ103" s="23"/>
      <c r="CR103" s="23"/>
      <c r="CS103" s="23"/>
      <c r="CT103" s="23"/>
      <c r="CU103" s="23"/>
      <c r="CV103" s="23"/>
      <c r="CW103" s="23"/>
      <c r="CX103" s="23"/>
      <c r="CY103" s="23"/>
      <c r="CZ103" s="23"/>
      <c r="DA103" s="23"/>
      <c r="DB103" s="23"/>
      <c r="DC103" s="23"/>
      <c r="DD103" s="23"/>
      <c r="DE103" s="23"/>
      <c r="DF103" s="23"/>
      <c r="DG103" s="23"/>
      <c r="DH103" s="23"/>
      <c r="DI103" s="23"/>
      <c r="DJ103" s="23"/>
      <c r="DK103" s="23"/>
      <c r="DL103" s="23"/>
      <c r="DM103" s="23"/>
      <c r="DN103" s="23"/>
      <c r="DO103" s="23"/>
    </row>
    <row r="104" spans="29:119" x14ac:dyDescent="0.35">
      <c r="AC104" s="23"/>
      <c r="AD104" s="23"/>
      <c r="AE104" s="23"/>
      <c r="AF104" s="23"/>
      <c r="AG104" s="23"/>
      <c r="AH104" s="23"/>
      <c r="AI104" s="23"/>
      <c r="AJ104" s="23"/>
      <c r="AK104" s="23"/>
      <c r="AL104" s="23"/>
      <c r="AM104" s="23"/>
      <c r="AN104" s="23"/>
      <c r="AO104" s="23"/>
      <c r="AP104" s="23"/>
      <c r="AQ104" s="23"/>
      <c r="AR104" s="23"/>
      <c r="AS104" s="23"/>
      <c r="AT104" s="23"/>
      <c r="AU104" s="23"/>
      <c r="AV104" s="23"/>
      <c r="AW104" s="23"/>
      <c r="AX104" s="23"/>
      <c r="AY104" s="23"/>
      <c r="AZ104" s="23"/>
      <c r="BA104" s="23"/>
      <c r="BB104" s="23"/>
      <c r="BC104" s="23"/>
      <c r="BD104" s="23"/>
      <c r="BE104" s="23"/>
      <c r="BF104" s="23"/>
      <c r="BG104" s="23"/>
      <c r="BH104" s="23"/>
      <c r="BI104" s="23"/>
      <c r="BJ104" s="23"/>
      <c r="BK104" s="23"/>
      <c r="BL104" s="23"/>
      <c r="BM104" s="23"/>
      <c r="BN104" s="23"/>
      <c r="BO104" s="23"/>
      <c r="BP104" s="23"/>
      <c r="BQ104" s="23"/>
      <c r="BR104" s="23"/>
      <c r="BS104" s="23"/>
      <c r="BT104" s="23"/>
      <c r="BU104" s="23"/>
      <c r="BV104" s="23"/>
      <c r="BW104" s="23"/>
      <c r="BX104" s="23"/>
      <c r="BY104" s="23"/>
      <c r="BZ104" s="23"/>
      <c r="CA104" s="23"/>
      <c r="CB104" s="23"/>
      <c r="CC104" s="23"/>
      <c r="CD104" s="23"/>
      <c r="CE104" s="23"/>
      <c r="CF104" s="23"/>
      <c r="CG104" s="23"/>
      <c r="CH104" s="23"/>
      <c r="CI104" s="23"/>
      <c r="CJ104" s="23"/>
      <c r="CK104" s="23"/>
      <c r="CL104" s="23"/>
      <c r="CM104" s="23"/>
      <c r="CN104" s="23"/>
      <c r="CO104" s="23"/>
      <c r="CP104" s="23"/>
      <c r="CQ104" s="23"/>
      <c r="CR104" s="23"/>
      <c r="CS104" s="23"/>
      <c r="CT104" s="23"/>
      <c r="CU104" s="23"/>
      <c r="CV104" s="23"/>
      <c r="CW104" s="23"/>
      <c r="CX104" s="23"/>
      <c r="CY104" s="23"/>
      <c r="CZ104" s="23"/>
      <c r="DA104" s="23"/>
      <c r="DB104" s="23"/>
      <c r="DC104" s="23"/>
      <c r="DD104" s="23"/>
      <c r="DE104" s="23"/>
      <c r="DF104" s="23"/>
      <c r="DG104" s="23"/>
      <c r="DH104" s="23"/>
      <c r="DI104" s="23"/>
      <c r="DJ104" s="23"/>
      <c r="DK104" s="23"/>
      <c r="DL104" s="23"/>
      <c r="DM104" s="23"/>
      <c r="DN104" s="23"/>
      <c r="DO104" s="23"/>
    </row>
    <row r="105" spans="29:119" x14ac:dyDescent="0.35">
      <c r="AC105" s="23"/>
      <c r="AD105" s="23"/>
      <c r="AE105" s="23"/>
      <c r="AF105" s="23"/>
      <c r="AG105" s="23"/>
      <c r="AH105" s="23"/>
      <c r="AI105" s="23"/>
      <c r="AJ105" s="23"/>
      <c r="AK105" s="23"/>
      <c r="AL105" s="23"/>
      <c r="AM105" s="23"/>
      <c r="AN105" s="23"/>
      <c r="AO105" s="23"/>
      <c r="AP105" s="23"/>
      <c r="AQ105" s="23"/>
      <c r="AR105" s="23"/>
      <c r="AS105" s="23"/>
      <c r="AT105" s="23"/>
      <c r="AU105" s="23"/>
      <c r="AV105" s="23"/>
      <c r="AW105" s="23"/>
      <c r="AX105" s="23"/>
      <c r="AY105" s="23"/>
      <c r="AZ105" s="23"/>
      <c r="BA105" s="23"/>
      <c r="BB105" s="23"/>
      <c r="BC105" s="23"/>
      <c r="BD105" s="23"/>
      <c r="BE105" s="23"/>
      <c r="BF105" s="23"/>
      <c r="BG105" s="23"/>
      <c r="BH105" s="23"/>
      <c r="BI105" s="23"/>
      <c r="BJ105" s="23"/>
      <c r="BK105" s="23"/>
      <c r="BL105" s="23"/>
      <c r="BM105" s="23"/>
      <c r="BN105" s="23"/>
      <c r="BO105" s="23"/>
      <c r="BP105" s="23"/>
      <c r="BQ105" s="23"/>
      <c r="BR105" s="23"/>
      <c r="BS105" s="23"/>
      <c r="BT105" s="23"/>
      <c r="BU105" s="23"/>
      <c r="BV105" s="23"/>
      <c r="BW105" s="23"/>
      <c r="BX105" s="23"/>
      <c r="BY105" s="23"/>
      <c r="BZ105" s="23"/>
      <c r="CA105" s="23"/>
      <c r="CB105" s="23"/>
      <c r="CC105" s="23"/>
      <c r="CD105" s="23"/>
      <c r="CE105" s="23"/>
      <c r="CF105" s="23"/>
      <c r="CG105" s="23"/>
      <c r="CH105" s="23"/>
      <c r="CI105" s="23"/>
      <c r="CJ105" s="23"/>
      <c r="CK105" s="23"/>
      <c r="CL105" s="23"/>
      <c r="CM105" s="23"/>
      <c r="CN105" s="23"/>
      <c r="CO105" s="23"/>
      <c r="CP105" s="23"/>
      <c r="CQ105" s="23"/>
      <c r="CR105" s="23"/>
      <c r="CS105" s="23"/>
      <c r="CT105" s="23"/>
      <c r="CU105" s="23"/>
      <c r="CV105" s="23"/>
      <c r="CW105" s="23"/>
      <c r="CX105" s="23"/>
      <c r="CY105" s="23"/>
      <c r="CZ105" s="23"/>
      <c r="DA105" s="23"/>
      <c r="DB105" s="23"/>
      <c r="DC105" s="23"/>
      <c r="DD105" s="23"/>
      <c r="DE105" s="23"/>
      <c r="DF105" s="23"/>
      <c r="DG105" s="23"/>
      <c r="DH105" s="23"/>
      <c r="DI105" s="23"/>
      <c r="DJ105" s="23"/>
      <c r="DK105" s="23"/>
      <c r="DL105" s="23"/>
      <c r="DM105" s="23"/>
      <c r="DN105" s="23"/>
      <c r="DO105" s="23"/>
    </row>
    <row r="106" spans="29:119" x14ac:dyDescent="0.35">
      <c r="AC106" s="23"/>
      <c r="AD106" s="23"/>
      <c r="AE106" s="23"/>
      <c r="AF106" s="23"/>
      <c r="AG106" s="23"/>
      <c r="AH106" s="23"/>
      <c r="AI106" s="23"/>
      <c r="AJ106" s="23"/>
      <c r="AK106" s="23"/>
      <c r="AL106" s="23"/>
      <c r="AM106" s="23"/>
      <c r="AN106" s="23"/>
      <c r="AO106" s="23"/>
      <c r="AP106" s="23"/>
      <c r="AQ106" s="23"/>
      <c r="AR106" s="23"/>
      <c r="AS106" s="23"/>
      <c r="AT106" s="23"/>
      <c r="AU106" s="23"/>
      <c r="AV106" s="23"/>
      <c r="AW106" s="23"/>
      <c r="AX106" s="23"/>
      <c r="AY106" s="23"/>
      <c r="AZ106" s="23"/>
      <c r="BA106" s="23"/>
      <c r="BB106" s="23"/>
      <c r="BC106" s="23"/>
      <c r="BD106" s="23"/>
      <c r="BE106" s="23"/>
      <c r="BF106" s="23"/>
      <c r="BG106" s="23"/>
      <c r="BH106" s="23"/>
      <c r="BI106" s="23"/>
      <c r="BJ106" s="23"/>
      <c r="BK106" s="23"/>
      <c r="BL106" s="23"/>
      <c r="BM106" s="23"/>
      <c r="BN106" s="23"/>
      <c r="BO106" s="23"/>
      <c r="BP106" s="23"/>
      <c r="BQ106" s="23"/>
      <c r="BR106" s="23"/>
      <c r="BS106" s="23"/>
      <c r="BT106" s="23"/>
      <c r="BU106" s="23"/>
      <c r="BV106" s="23"/>
      <c r="BW106" s="23"/>
      <c r="BX106" s="23"/>
      <c r="BY106" s="23"/>
      <c r="BZ106" s="23"/>
      <c r="CA106" s="23"/>
      <c r="CB106" s="23"/>
      <c r="CC106" s="23"/>
      <c r="CD106" s="23"/>
      <c r="CE106" s="23"/>
      <c r="CF106" s="23"/>
      <c r="CG106" s="23"/>
      <c r="CH106" s="23"/>
      <c r="CI106" s="23"/>
      <c r="CJ106" s="23"/>
      <c r="CK106" s="23"/>
      <c r="CL106" s="23"/>
      <c r="CM106" s="23"/>
      <c r="CN106" s="23"/>
      <c r="CO106" s="23"/>
      <c r="CP106" s="23"/>
      <c r="CQ106" s="23"/>
      <c r="CR106" s="23"/>
      <c r="CS106" s="23"/>
      <c r="CT106" s="23"/>
      <c r="CU106" s="23"/>
      <c r="CV106" s="23"/>
      <c r="CW106" s="23"/>
      <c r="CX106" s="23"/>
      <c r="CY106" s="23"/>
      <c r="CZ106" s="23"/>
      <c r="DA106" s="23"/>
      <c r="DB106" s="23"/>
      <c r="DC106" s="23"/>
      <c r="DD106" s="23"/>
      <c r="DE106" s="23"/>
      <c r="DF106" s="23"/>
      <c r="DG106" s="23"/>
      <c r="DH106" s="23"/>
      <c r="DI106" s="23"/>
      <c r="DJ106" s="23"/>
      <c r="DK106" s="23"/>
      <c r="DL106" s="23"/>
      <c r="DM106" s="23"/>
      <c r="DN106" s="23"/>
      <c r="DO106" s="23"/>
    </row>
    <row r="107" spans="29:119" x14ac:dyDescent="0.35">
      <c r="AC107" s="23"/>
      <c r="AD107" s="23"/>
      <c r="AE107" s="23"/>
      <c r="AF107" s="23"/>
      <c r="AG107" s="23"/>
      <c r="AH107" s="23"/>
      <c r="AI107" s="23"/>
      <c r="AJ107" s="23"/>
      <c r="AK107" s="23"/>
      <c r="AL107" s="23"/>
      <c r="AM107" s="23"/>
      <c r="AN107" s="23"/>
      <c r="AO107" s="23"/>
      <c r="AP107" s="23"/>
      <c r="AQ107" s="23"/>
      <c r="AR107" s="23"/>
      <c r="AS107" s="23"/>
      <c r="AT107" s="23"/>
      <c r="AU107" s="23"/>
      <c r="AV107" s="23"/>
      <c r="AW107" s="23"/>
      <c r="AX107" s="23"/>
      <c r="AY107" s="23"/>
      <c r="AZ107" s="23"/>
      <c r="BA107" s="23"/>
      <c r="BB107" s="23"/>
      <c r="BC107" s="23"/>
      <c r="BD107" s="23"/>
      <c r="BE107" s="23"/>
      <c r="BF107" s="23"/>
      <c r="BG107" s="23"/>
      <c r="BH107" s="23"/>
      <c r="BI107" s="23"/>
      <c r="BJ107" s="23"/>
      <c r="BK107" s="23"/>
      <c r="BL107" s="23"/>
      <c r="BM107" s="23"/>
      <c r="BN107" s="23"/>
      <c r="BO107" s="23"/>
      <c r="BP107" s="23"/>
      <c r="BQ107" s="23"/>
      <c r="BR107" s="23"/>
      <c r="BS107" s="23"/>
      <c r="BT107" s="23"/>
      <c r="BU107" s="23"/>
      <c r="BV107" s="23"/>
      <c r="BW107" s="23"/>
      <c r="BX107" s="23"/>
      <c r="BY107" s="23"/>
      <c r="BZ107" s="23"/>
      <c r="CA107" s="23"/>
      <c r="CB107" s="23"/>
      <c r="CC107" s="23"/>
      <c r="CD107" s="23"/>
      <c r="CE107" s="23"/>
      <c r="CF107" s="23"/>
      <c r="CG107" s="23"/>
      <c r="CH107" s="23"/>
      <c r="CI107" s="23"/>
      <c r="CJ107" s="23"/>
      <c r="CK107" s="23"/>
      <c r="CL107" s="23"/>
      <c r="CM107" s="23"/>
      <c r="CN107" s="23"/>
      <c r="CO107" s="23"/>
      <c r="CP107" s="23"/>
      <c r="CQ107" s="23"/>
      <c r="CR107" s="23"/>
      <c r="CS107" s="23"/>
      <c r="CT107" s="23"/>
      <c r="CU107" s="23"/>
      <c r="CV107" s="23"/>
      <c r="CW107" s="23"/>
      <c r="CX107" s="23"/>
      <c r="CY107" s="23"/>
      <c r="CZ107" s="23"/>
      <c r="DA107" s="23"/>
      <c r="DB107" s="23"/>
      <c r="DC107" s="23"/>
      <c r="DD107" s="23"/>
      <c r="DE107" s="23"/>
      <c r="DF107" s="23"/>
      <c r="DG107" s="23"/>
      <c r="DH107" s="23"/>
      <c r="DI107" s="23"/>
      <c r="DJ107" s="23"/>
      <c r="DK107" s="23"/>
      <c r="DL107" s="23"/>
      <c r="DM107" s="23"/>
      <c r="DN107" s="23"/>
      <c r="DO107" s="23"/>
    </row>
    <row r="108" spans="29:119" x14ac:dyDescent="0.35">
      <c r="AC108" s="23"/>
      <c r="AD108" s="23"/>
      <c r="AE108" s="23"/>
      <c r="AF108" s="23"/>
      <c r="AG108" s="23"/>
      <c r="AH108" s="23"/>
      <c r="AI108" s="23"/>
      <c r="AJ108" s="23"/>
      <c r="AK108" s="23"/>
      <c r="AL108" s="23"/>
      <c r="AM108" s="23"/>
      <c r="AN108" s="23"/>
      <c r="AO108" s="23"/>
      <c r="AP108" s="23"/>
      <c r="AQ108" s="23"/>
      <c r="AR108" s="23"/>
      <c r="AS108" s="23"/>
      <c r="AT108" s="23"/>
      <c r="AU108" s="23"/>
      <c r="AV108" s="23"/>
      <c r="AW108" s="23"/>
      <c r="AX108" s="23"/>
      <c r="AY108" s="23"/>
      <c r="AZ108" s="23"/>
      <c r="BA108" s="23"/>
      <c r="BB108" s="23"/>
      <c r="BC108" s="23"/>
      <c r="BD108" s="23"/>
      <c r="BE108" s="23"/>
      <c r="BF108" s="23"/>
      <c r="BG108" s="23"/>
      <c r="BH108" s="23"/>
      <c r="BI108" s="23"/>
      <c r="BJ108" s="23"/>
      <c r="BK108" s="23"/>
      <c r="BL108" s="23"/>
      <c r="BM108" s="23"/>
      <c r="BN108" s="23"/>
      <c r="BO108" s="23"/>
      <c r="BP108" s="23"/>
      <c r="BQ108" s="23"/>
      <c r="BR108" s="23"/>
      <c r="BS108" s="23"/>
      <c r="BT108" s="23"/>
      <c r="BU108" s="23"/>
      <c r="BV108" s="23"/>
      <c r="BW108" s="23"/>
      <c r="BX108" s="23"/>
      <c r="BY108" s="23"/>
      <c r="BZ108" s="23"/>
      <c r="CA108" s="23"/>
      <c r="CB108" s="23"/>
      <c r="CC108" s="23"/>
      <c r="CD108" s="23"/>
      <c r="CE108" s="23"/>
      <c r="CF108" s="23"/>
      <c r="CG108" s="23"/>
      <c r="CH108" s="23"/>
      <c r="CI108" s="23"/>
      <c r="CJ108" s="23"/>
      <c r="CK108" s="23"/>
      <c r="CL108" s="23"/>
      <c r="CM108" s="23"/>
      <c r="CN108" s="23"/>
      <c r="CO108" s="23"/>
      <c r="CP108" s="23"/>
      <c r="CQ108" s="23"/>
      <c r="CR108" s="23"/>
      <c r="CS108" s="23"/>
      <c r="CT108" s="23"/>
      <c r="CU108" s="23"/>
      <c r="CV108" s="23"/>
      <c r="CW108" s="23"/>
      <c r="CX108" s="23"/>
      <c r="CY108" s="23"/>
      <c r="CZ108" s="23"/>
      <c r="DA108" s="23"/>
      <c r="DB108" s="23"/>
      <c r="DC108" s="23"/>
      <c r="DD108" s="23"/>
      <c r="DE108" s="23"/>
      <c r="DF108" s="23"/>
      <c r="DG108" s="23"/>
      <c r="DH108" s="23"/>
      <c r="DI108" s="23"/>
      <c r="DJ108" s="23"/>
      <c r="DK108" s="23"/>
      <c r="DL108" s="23"/>
      <c r="DM108" s="23"/>
      <c r="DN108" s="23"/>
      <c r="DO108" s="23"/>
    </row>
    <row r="109" spans="29:119" x14ac:dyDescent="0.35">
      <c r="AC109" s="23"/>
      <c r="AD109" s="23"/>
      <c r="AE109" s="23"/>
      <c r="AF109" s="23"/>
      <c r="AG109" s="23"/>
      <c r="AH109" s="23"/>
      <c r="AI109" s="23"/>
      <c r="AJ109" s="23"/>
      <c r="AK109" s="23"/>
      <c r="AL109" s="23"/>
      <c r="AM109" s="23"/>
      <c r="AN109" s="23"/>
      <c r="AO109" s="23"/>
      <c r="AP109" s="23"/>
      <c r="AQ109" s="23"/>
      <c r="AR109" s="23"/>
      <c r="AS109" s="23"/>
      <c r="AT109" s="23"/>
      <c r="AU109" s="23"/>
      <c r="AV109" s="23"/>
      <c r="AW109" s="23"/>
      <c r="AX109" s="23"/>
      <c r="AY109" s="23"/>
      <c r="AZ109" s="23"/>
      <c r="BA109" s="23"/>
      <c r="BB109" s="23"/>
      <c r="BC109" s="23"/>
      <c r="BD109" s="23"/>
      <c r="BE109" s="23"/>
      <c r="BF109" s="23"/>
      <c r="BG109" s="23"/>
      <c r="BH109" s="23"/>
      <c r="BI109" s="23"/>
      <c r="BJ109" s="23"/>
      <c r="BK109" s="23"/>
      <c r="BL109" s="23"/>
      <c r="BM109" s="23"/>
      <c r="BN109" s="23"/>
      <c r="BO109" s="23"/>
      <c r="BP109" s="23"/>
      <c r="BQ109" s="23"/>
      <c r="BR109" s="23"/>
      <c r="BS109" s="23"/>
      <c r="BT109" s="23"/>
      <c r="BU109" s="23"/>
      <c r="BV109" s="23"/>
      <c r="BW109" s="23"/>
      <c r="BX109" s="23"/>
      <c r="BY109" s="23"/>
      <c r="BZ109" s="23"/>
      <c r="CA109" s="23"/>
      <c r="CB109" s="23"/>
      <c r="CC109" s="23"/>
      <c r="CD109" s="23"/>
      <c r="CE109" s="23"/>
      <c r="CF109" s="23"/>
      <c r="CG109" s="23"/>
      <c r="CH109" s="23"/>
      <c r="CI109" s="23"/>
      <c r="CJ109" s="23"/>
      <c r="CK109" s="23"/>
      <c r="CL109" s="23"/>
      <c r="CM109" s="23"/>
      <c r="CN109" s="23"/>
      <c r="CO109" s="23"/>
      <c r="CP109" s="23"/>
      <c r="CQ109" s="23"/>
      <c r="CR109" s="23"/>
      <c r="CS109" s="23"/>
      <c r="CT109" s="23"/>
      <c r="CU109" s="23"/>
      <c r="CV109" s="23"/>
      <c r="CW109" s="23"/>
      <c r="CX109" s="23"/>
      <c r="CY109" s="23"/>
      <c r="CZ109" s="23"/>
      <c r="DA109" s="23"/>
      <c r="DB109" s="23"/>
      <c r="DC109" s="23"/>
      <c r="DD109" s="23"/>
      <c r="DE109" s="23"/>
      <c r="DF109" s="23"/>
      <c r="DG109" s="23"/>
      <c r="DH109" s="23"/>
      <c r="DI109" s="23"/>
      <c r="DJ109" s="23"/>
      <c r="DK109" s="23"/>
      <c r="DL109" s="23"/>
      <c r="DM109" s="23"/>
      <c r="DN109" s="23"/>
      <c r="DO109" s="23"/>
    </row>
    <row r="110" spans="29:119" x14ac:dyDescent="0.35">
      <c r="AC110" s="23"/>
      <c r="AD110" s="23"/>
      <c r="AE110" s="23"/>
      <c r="AF110" s="23"/>
      <c r="AG110" s="23"/>
      <c r="AH110" s="23"/>
      <c r="AI110" s="23"/>
      <c r="AJ110" s="23"/>
      <c r="AK110" s="23"/>
      <c r="AL110" s="23"/>
      <c r="AM110" s="23"/>
      <c r="AN110" s="23"/>
      <c r="AO110" s="23"/>
      <c r="AP110" s="23"/>
      <c r="AQ110" s="23"/>
      <c r="AR110" s="23"/>
      <c r="AS110" s="23"/>
      <c r="AT110" s="23"/>
      <c r="AU110" s="23"/>
      <c r="AV110" s="23"/>
      <c r="AW110" s="23"/>
      <c r="AX110" s="23"/>
      <c r="AY110" s="23"/>
      <c r="AZ110" s="23"/>
      <c r="BA110" s="23"/>
      <c r="BB110" s="23"/>
      <c r="BC110" s="23"/>
      <c r="BD110" s="23"/>
      <c r="BE110" s="23"/>
      <c r="BF110" s="23"/>
      <c r="BG110" s="23"/>
      <c r="BH110" s="23"/>
      <c r="BI110" s="23"/>
      <c r="BJ110" s="23"/>
      <c r="BK110" s="23"/>
      <c r="BL110" s="23"/>
      <c r="BM110" s="23"/>
      <c r="BN110" s="23"/>
      <c r="BO110" s="23"/>
      <c r="BP110" s="23"/>
      <c r="BQ110" s="23"/>
      <c r="BR110" s="23"/>
      <c r="BS110" s="23"/>
      <c r="BT110" s="23"/>
      <c r="BU110" s="23"/>
      <c r="BV110" s="23"/>
      <c r="BW110" s="23"/>
      <c r="BX110" s="23"/>
      <c r="BY110" s="23"/>
      <c r="BZ110" s="23"/>
      <c r="CA110" s="23"/>
      <c r="CB110" s="23"/>
      <c r="CC110" s="23"/>
      <c r="CD110" s="23"/>
      <c r="CE110" s="23"/>
      <c r="CF110" s="23"/>
      <c r="CG110" s="23"/>
      <c r="CH110" s="23"/>
      <c r="CI110" s="23"/>
      <c r="CJ110" s="23"/>
      <c r="CK110" s="23"/>
      <c r="CL110" s="23"/>
      <c r="CM110" s="23"/>
      <c r="CN110" s="23"/>
      <c r="CO110" s="23"/>
      <c r="CP110" s="23"/>
      <c r="CQ110" s="23"/>
      <c r="CR110" s="23"/>
      <c r="CS110" s="23"/>
      <c r="CT110" s="23"/>
      <c r="CU110" s="23"/>
      <c r="CV110" s="23"/>
      <c r="CW110" s="23"/>
      <c r="CX110" s="23"/>
      <c r="CY110" s="23"/>
      <c r="CZ110" s="23"/>
      <c r="DA110" s="23"/>
      <c r="DB110" s="23"/>
      <c r="DC110" s="23"/>
      <c r="DD110" s="23"/>
      <c r="DE110" s="23"/>
      <c r="DF110" s="23"/>
      <c r="DG110" s="23"/>
      <c r="DH110" s="23"/>
      <c r="DI110" s="23"/>
      <c r="DJ110" s="23"/>
      <c r="DK110" s="23"/>
      <c r="DL110" s="23"/>
      <c r="DM110" s="23"/>
      <c r="DN110" s="23"/>
      <c r="DO110" s="23"/>
    </row>
    <row r="111" spans="29:119" x14ac:dyDescent="0.35">
      <c r="AC111" s="23"/>
      <c r="AD111" s="23"/>
      <c r="AE111" s="23"/>
      <c r="AF111" s="23"/>
      <c r="AG111" s="23"/>
      <c r="AH111" s="23"/>
      <c r="AI111" s="23"/>
      <c r="AJ111" s="23"/>
      <c r="AK111" s="23"/>
      <c r="AL111" s="23"/>
      <c r="AM111" s="23"/>
      <c r="AN111" s="23"/>
      <c r="AO111" s="23"/>
      <c r="AP111" s="23"/>
      <c r="AQ111" s="23"/>
      <c r="AR111" s="23"/>
      <c r="AS111" s="23"/>
      <c r="AT111" s="23"/>
      <c r="AU111" s="23"/>
      <c r="AV111" s="23"/>
      <c r="AW111" s="23"/>
      <c r="AX111" s="23"/>
      <c r="AY111" s="23"/>
      <c r="AZ111" s="23"/>
      <c r="BA111" s="23"/>
      <c r="BB111" s="23"/>
      <c r="BC111" s="23"/>
      <c r="BD111" s="23"/>
      <c r="BE111" s="23"/>
      <c r="BF111" s="23"/>
      <c r="BG111" s="23"/>
      <c r="BH111" s="23"/>
      <c r="BI111" s="23"/>
      <c r="BJ111" s="23"/>
      <c r="BK111" s="23"/>
      <c r="BL111" s="23"/>
      <c r="BM111" s="23"/>
      <c r="BN111" s="23"/>
      <c r="BO111" s="23"/>
      <c r="BP111" s="23"/>
      <c r="BQ111" s="23"/>
      <c r="BR111" s="23"/>
      <c r="BS111" s="23"/>
      <c r="BT111" s="23"/>
      <c r="BU111" s="23"/>
      <c r="BV111" s="23"/>
      <c r="BW111" s="23"/>
      <c r="BX111" s="23"/>
      <c r="BY111" s="23"/>
      <c r="BZ111" s="23"/>
      <c r="CA111" s="23"/>
      <c r="CB111" s="23"/>
      <c r="CC111" s="23"/>
      <c r="CD111" s="23"/>
      <c r="CE111" s="23"/>
      <c r="CF111" s="23"/>
      <c r="CG111" s="23"/>
      <c r="CH111" s="23"/>
      <c r="CI111" s="23"/>
      <c r="CJ111" s="23"/>
      <c r="CK111" s="23"/>
      <c r="CL111" s="23"/>
      <c r="CM111" s="23"/>
      <c r="CN111" s="23"/>
      <c r="CO111" s="23"/>
      <c r="CP111" s="23"/>
      <c r="CQ111" s="23"/>
      <c r="CR111" s="23"/>
      <c r="CS111" s="23"/>
      <c r="CT111" s="23"/>
      <c r="CU111" s="23"/>
      <c r="CV111" s="23"/>
      <c r="CW111" s="23"/>
      <c r="CX111" s="23"/>
      <c r="CY111" s="23"/>
      <c r="CZ111" s="23"/>
      <c r="DA111" s="23"/>
      <c r="DB111" s="23"/>
      <c r="DC111" s="23"/>
      <c r="DD111" s="23"/>
      <c r="DE111" s="23"/>
      <c r="DF111" s="23"/>
      <c r="DG111" s="23"/>
      <c r="DH111" s="23"/>
      <c r="DI111" s="23"/>
      <c r="DJ111" s="23"/>
      <c r="DK111" s="23"/>
      <c r="DL111" s="23"/>
      <c r="DM111" s="23"/>
      <c r="DN111" s="23"/>
      <c r="DO111" s="23"/>
    </row>
    <row r="112" spans="29:119" x14ac:dyDescent="0.35">
      <c r="AC112" s="23"/>
      <c r="AD112" s="23"/>
      <c r="AE112" s="23"/>
      <c r="AF112" s="23"/>
      <c r="AG112" s="23"/>
      <c r="AH112" s="23"/>
      <c r="AI112" s="23"/>
      <c r="AJ112" s="23"/>
      <c r="AK112" s="23"/>
      <c r="AL112" s="23"/>
      <c r="AM112" s="23"/>
      <c r="AN112" s="23"/>
      <c r="AO112" s="23"/>
      <c r="AP112" s="23"/>
      <c r="AQ112" s="23"/>
      <c r="AR112" s="23"/>
      <c r="AS112" s="23"/>
      <c r="AT112" s="23"/>
      <c r="AU112" s="23"/>
      <c r="AV112" s="23"/>
      <c r="AW112" s="23"/>
      <c r="AX112" s="23"/>
      <c r="AY112" s="23"/>
      <c r="AZ112" s="23"/>
      <c r="BA112" s="23"/>
      <c r="BB112" s="23"/>
      <c r="BC112" s="23"/>
      <c r="BD112" s="23"/>
      <c r="BE112" s="23"/>
      <c r="BF112" s="23"/>
      <c r="BG112" s="23"/>
      <c r="BH112" s="23"/>
      <c r="BI112" s="23"/>
      <c r="BJ112" s="23"/>
      <c r="BK112" s="23"/>
      <c r="BL112" s="23"/>
      <c r="BM112" s="23"/>
      <c r="BN112" s="23"/>
      <c r="BO112" s="23"/>
      <c r="BP112" s="23"/>
      <c r="BQ112" s="23"/>
      <c r="BR112" s="23"/>
      <c r="BS112" s="23"/>
      <c r="BT112" s="23"/>
      <c r="BU112" s="23"/>
      <c r="BV112" s="23"/>
      <c r="BW112" s="23"/>
      <c r="BX112" s="23"/>
      <c r="BY112" s="23"/>
      <c r="BZ112" s="23"/>
      <c r="CA112" s="23"/>
      <c r="CB112" s="23"/>
      <c r="CC112" s="23"/>
      <c r="CD112" s="23"/>
      <c r="CE112" s="23"/>
      <c r="CF112" s="23"/>
      <c r="CG112" s="23"/>
      <c r="CH112" s="23"/>
      <c r="CI112" s="23"/>
      <c r="CJ112" s="23"/>
      <c r="CK112" s="23"/>
      <c r="CL112" s="23"/>
      <c r="CM112" s="23"/>
      <c r="CN112" s="23"/>
      <c r="CO112" s="23"/>
      <c r="CP112" s="23"/>
      <c r="CQ112" s="23"/>
      <c r="CR112" s="23"/>
      <c r="CS112" s="23"/>
      <c r="CT112" s="23"/>
      <c r="CU112" s="23"/>
      <c r="CV112" s="23"/>
      <c r="CW112" s="23"/>
      <c r="CX112" s="23"/>
      <c r="CY112" s="23"/>
      <c r="CZ112" s="23"/>
      <c r="DA112" s="23"/>
      <c r="DB112" s="23"/>
      <c r="DC112" s="23"/>
      <c r="DD112" s="23"/>
      <c r="DE112" s="23"/>
      <c r="DF112" s="23"/>
      <c r="DG112" s="23"/>
      <c r="DH112" s="23"/>
      <c r="DI112" s="23"/>
      <c r="DJ112" s="23"/>
      <c r="DK112" s="23"/>
      <c r="DL112" s="23"/>
      <c r="DM112" s="23"/>
      <c r="DN112" s="23"/>
      <c r="DO112" s="23"/>
    </row>
    <row r="113" spans="29:119" x14ac:dyDescent="0.35">
      <c r="AC113" s="23"/>
      <c r="AD113" s="23"/>
      <c r="AE113" s="23"/>
      <c r="AF113" s="23"/>
      <c r="AG113" s="23"/>
      <c r="AH113" s="23"/>
      <c r="AI113" s="23"/>
      <c r="AJ113" s="23"/>
      <c r="AK113" s="23"/>
      <c r="AL113" s="23"/>
      <c r="AM113" s="23"/>
      <c r="AN113" s="23"/>
      <c r="AO113" s="23"/>
      <c r="AP113" s="23"/>
      <c r="AQ113" s="23"/>
      <c r="AR113" s="23"/>
      <c r="AS113" s="23"/>
      <c r="AT113" s="23"/>
      <c r="AU113" s="23"/>
      <c r="AV113" s="23"/>
      <c r="AW113" s="23"/>
      <c r="AX113" s="23"/>
      <c r="AY113" s="23"/>
      <c r="AZ113" s="23"/>
      <c r="BA113" s="23"/>
      <c r="BB113" s="23"/>
      <c r="BC113" s="23"/>
      <c r="BD113" s="23"/>
      <c r="BE113" s="23"/>
      <c r="BF113" s="23"/>
      <c r="BG113" s="23"/>
      <c r="BH113" s="23"/>
      <c r="BI113" s="23"/>
      <c r="BJ113" s="23"/>
      <c r="BK113" s="23"/>
      <c r="BL113" s="23"/>
      <c r="BM113" s="23"/>
      <c r="BN113" s="23"/>
      <c r="BO113" s="23"/>
      <c r="BP113" s="23"/>
      <c r="BQ113" s="23"/>
      <c r="BR113" s="23"/>
      <c r="BS113" s="23"/>
      <c r="BT113" s="23"/>
      <c r="BU113" s="23"/>
      <c r="BV113" s="23"/>
      <c r="BW113" s="23"/>
      <c r="BX113" s="23"/>
      <c r="BY113" s="23"/>
      <c r="BZ113" s="23"/>
      <c r="CA113" s="23"/>
      <c r="CB113" s="23"/>
      <c r="CC113" s="23"/>
      <c r="CD113" s="23"/>
      <c r="CE113" s="23"/>
      <c r="CF113" s="23"/>
      <c r="CG113" s="23"/>
      <c r="CH113" s="23"/>
      <c r="CI113" s="23"/>
      <c r="CJ113" s="23"/>
      <c r="CK113" s="23"/>
      <c r="CL113" s="23"/>
      <c r="CM113" s="23"/>
      <c r="CN113" s="23"/>
      <c r="CO113" s="23"/>
      <c r="CP113" s="23"/>
      <c r="CQ113" s="23"/>
      <c r="CR113" s="23"/>
      <c r="CS113" s="23"/>
      <c r="CT113" s="23"/>
      <c r="CU113" s="23"/>
      <c r="CV113" s="23"/>
      <c r="CW113" s="23"/>
      <c r="CX113" s="23"/>
      <c r="CY113" s="23"/>
      <c r="CZ113" s="23"/>
      <c r="DA113" s="23"/>
      <c r="DB113" s="23"/>
      <c r="DC113" s="23"/>
      <c r="DD113" s="23"/>
      <c r="DE113" s="23"/>
      <c r="DF113" s="23"/>
      <c r="DG113" s="23"/>
      <c r="DH113" s="23"/>
      <c r="DI113" s="23"/>
      <c r="DJ113" s="23"/>
      <c r="DK113" s="23"/>
      <c r="DL113" s="23"/>
      <c r="DM113" s="23"/>
      <c r="DN113" s="23"/>
      <c r="DO113" s="23"/>
    </row>
    <row r="114" spans="29:119" x14ac:dyDescent="0.35">
      <c r="AC114" s="23"/>
      <c r="AD114" s="23"/>
      <c r="AE114" s="23"/>
      <c r="AF114" s="23"/>
      <c r="AG114" s="23"/>
      <c r="AH114" s="23"/>
      <c r="AI114" s="23"/>
      <c r="AJ114" s="23"/>
      <c r="AK114" s="23"/>
      <c r="AL114" s="23"/>
      <c r="AM114" s="23"/>
      <c r="AN114" s="23"/>
      <c r="AO114" s="23"/>
      <c r="AP114" s="23"/>
      <c r="AQ114" s="23"/>
      <c r="AR114" s="23"/>
      <c r="AS114" s="23"/>
      <c r="AT114" s="23"/>
      <c r="AU114" s="23"/>
      <c r="AV114" s="23"/>
      <c r="AW114" s="23"/>
      <c r="AX114" s="23"/>
      <c r="AY114" s="23"/>
      <c r="AZ114" s="23"/>
      <c r="BA114" s="23"/>
      <c r="BB114" s="23"/>
      <c r="BC114" s="23"/>
      <c r="BD114" s="23"/>
      <c r="BE114" s="23"/>
      <c r="BF114" s="23"/>
      <c r="BG114" s="23"/>
      <c r="BH114" s="23"/>
      <c r="BI114" s="23"/>
      <c r="BJ114" s="23"/>
      <c r="BK114" s="23"/>
      <c r="BL114" s="23"/>
      <c r="BM114" s="23"/>
      <c r="BN114" s="23"/>
      <c r="BO114" s="23"/>
      <c r="BP114" s="23"/>
      <c r="BQ114" s="23"/>
      <c r="BR114" s="23"/>
      <c r="BS114" s="23"/>
      <c r="BT114" s="23"/>
      <c r="BU114" s="23"/>
      <c r="BV114" s="23"/>
      <c r="BW114" s="23"/>
      <c r="BX114" s="23"/>
      <c r="BY114" s="23"/>
      <c r="BZ114" s="23"/>
      <c r="CA114" s="23"/>
      <c r="CB114" s="23"/>
      <c r="CC114" s="23"/>
      <c r="CD114" s="23"/>
      <c r="CE114" s="23"/>
      <c r="CF114" s="23"/>
      <c r="CG114" s="23"/>
      <c r="CH114" s="23"/>
      <c r="CI114" s="23"/>
      <c r="CJ114" s="23"/>
      <c r="CK114" s="23"/>
      <c r="CL114" s="23"/>
      <c r="CM114" s="23"/>
      <c r="CN114" s="23"/>
      <c r="CO114" s="23"/>
      <c r="CP114" s="23"/>
      <c r="CQ114" s="23"/>
      <c r="CR114" s="23"/>
      <c r="CS114" s="23"/>
      <c r="CT114" s="23"/>
      <c r="CU114" s="23"/>
      <c r="CV114" s="23"/>
      <c r="CW114" s="23"/>
      <c r="CX114" s="23"/>
      <c r="CY114" s="23"/>
      <c r="CZ114" s="23"/>
      <c r="DA114" s="23"/>
      <c r="DB114" s="23"/>
      <c r="DC114" s="23"/>
      <c r="DD114" s="23"/>
      <c r="DE114" s="23"/>
      <c r="DF114" s="23"/>
      <c r="DG114" s="23"/>
      <c r="DH114" s="23"/>
      <c r="DI114" s="23"/>
      <c r="DJ114" s="23"/>
      <c r="DK114" s="23"/>
      <c r="DL114" s="23"/>
      <c r="DM114" s="23"/>
      <c r="DN114" s="23"/>
      <c r="DO114" s="23"/>
    </row>
    <row r="115" spans="29:119" x14ac:dyDescent="0.35">
      <c r="AC115" s="23"/>
      <c r="AD115" s="23"/>
      <c r="AE115" s="23"/>
      <c r="AF115" s="23"/>
      <c r="AG115" s="23"/>
      <c r="AH115" s="23"/>
      <c r="AI115" s="23"/>
      <c r="AJ115" s="23"/>
      <c r="AK115" s="23"/>
      <c r="AL115" s="23"/>
      <c r="AM115" s="23"/>
      <c r="AN115" s="23"/>
      <c r="AO115" s="23"/>
      <c r="AP115" s="23"/>
      <c r="AQ115" s="23"/>
      <c r="AR115" s="23"/>
      <c r="AS115" s="23"/>
      <c r="AT115" s="23"/>
      <c r="AU115" s="23"/>
      <c r="AV115" s="23"/>
      <c r="AW115" s="23"/>
      <c r="AX115" s="23"/>
      <c r="AY115" s="23"/>
      <c r="AZ115" s="23"/>
      <c r="BA115" s="23"/>
      <c r="BB115" s="23"/>
      <c r="BC115" s="23"/>
      <c r="BD115" s="23"/>
      <c r="BE115" s="23"/>
      <c r="BF115" s="23"/>
      <c r="BG115" s="23"/>
      <c r="BH115" s="23"/>
      <c r="BI115" s="23"/>
      <c r="BJ115" s="23"/>
      <c r="BK115" s="23"/>
      <c r="BL115" s="23"/>
      <c r="BM115" s="23"/>
      <c r="BN115" s="23"/>
      <c r="BO115" s="23"/>
      <c r="BP115" s="23"/>
      <c r="BQ115" s="23"/>
      <c r="BR115" s="23"/>
      <c r="BS115" s="23"/>
      <c r="BT115" s="23"/>
      <c r="BU115" s="23"/>
      <c r="BV115" s="23"/>
      <c r="BW115" s="23"/>
      <c r="BX115" s="23"/>
      <c r="BY115" s="23"/>
      <c r="BZ115" s="23"/>
      <c r="CA115" s="23"/>
      <c r="CB115" s="23"/>
      <c r="CC115" s="23"/>
      <c r="CD115" s="23"/>
      <c r="CE115" s="23"/>
      <c r="CF115" s="23"/>
      <c r="CG115" s="23"/>
      <c r="CH115" s="23"/>
      <c r="CI115" s="23"/>
      <c r="CJ115" s="23"/>
      <c r="CK115" s="23"/>
      <c r="CL115" s="23"/>
      <c r="CM115" s="23"/>
      <c r="CN115" s="23"/>
      <c r="CO115" s="23"/>
      <c r="CP115" s="23"/>
      <c r="CQ115" s="23"/>
      <c r="CR115" s="23"/>
      <c r="CS115" s="23"/>
      <c r="CT115" s="23"/>
      <c r="CU115" s="23"/>
      <c r="CV115" s="23"/>
      <c r="CW115" s="23"/>
      <c r="CX115" s="23"/>
      <c r="CY115" s="23"/>
      <c r="CZ115" s="23"/>
      <c r="DA115" s="23"/>
      <c r="DB115" s="23"/>
      <c r="DC115" s="23"/>
      <c r="DD115" s="23"/>
      <c r="DE115" s="23"/>
      <c r="DF115" s="23"/>
      <c r="DG115" s="23"/>
      <c r="DH115" s="23"/>
      <c r="DI115" s="23"/>
      <c r="DJ115" s="23"/>
      <c r="DK115" s="23"/>
      <c r="DL115" s="23"/>
      <c r="DM115" s="23"/>
      <c r="DN115" s="23"/>
      <c r="DO115" s="23"/>
    </row>
    <row r="116" spans="29:119" x14ac:dyDescent="0.35">
      <c r="AC116" s="23"/>
      <c r="AD116" s="23"/>
      <c r="AE116" s="23"/>
      <c r="AF116" s="23"/>
      <c r="AG116" s="23"/>
      <c r="AH116" s="23"/>
      <c r="AI116" s="23"/>
      <c r="AJ116" s="23"/>
      <c r="AK116" s="23"/>
      <c r="AL116" s="23"/>
      <c r="AM116" s="23"/>
      <c r="AN116" s="23"/>
      <c r="AO116" s="23"/>
      <c r="AP116" s="23"/>
      <c r="AQ116" s="23"/>
      <c r="AR116" s="23"/>
      <c r="AS116" s="23"/>
      <c r="AT116" s="23"/>
      <c r="AU116" s="23"/>
      <c r="AV116" s="23"/>
      <c r="AW116" s="23"/>
      <c r="AX116" s="23"/>
      <c r="AY116" s="23"/>
      <c r="AZ116" s="23"/>
      <c r="BA116" s="23"/>
      <c r="BB116" s="23"/>
      <c r="BC116" s="23"/>
      <c r="BD116" s="23"/>
      <c r="BE116" s="23"/>
      <c r="BF116" s="23"/>
      <c r="BG116" s="23"/>
      <c r="BH116" s="23"/>
      <c r="BI116" s="23"/>
      <c r="BJ116" s="23"/>
      <c r="BK116" s="23"/>
      <c r="BL116" s="23"/>
      <c r="BM116" s="23"/>
      <c r="BN116" s="23"/>
      <c r="BO116" s="23"/>
      <c r="BP116" s="23"/>
      <c r="BQ116" s="23"/>
      <c r="BR116" s="23"/>
      <c r="BS116" s="23"/>
      <c r="BT116" s="23"/>
      <c r="BU116" s="23"/>
      <c r="BV116" s="23"/>
      <c r="BW116" s="23"/>
      <c r="BX116" s="23"/>
      <c r="BY116" s="23"/>
      <c r="BZ116" s="23"/>
      <c r="CA116" s="23"/>
      <c r="CB116" s="23"/>
      <c r="CC116" s="23"/>
      <c r="CD116" s="23"/>
      <c r="CE116" s="23"/>
      <c r="CF116" s="23"/>
      <c r="CG116" s="23"/>
      <c r="CH116" s="23"/>
      <c r="CI116" s="23"/>
      <c r="CJ116" s="23"/>
      <c r="CK116" s="23"/>
      <c r="CL116" s="23"/>
      <c r="CM116" s="23"/>
      <c r="CN116" s="23"/>
      <c r="CO116" s="23"/>
      <c r="CP116" s="23"/>
      <c r="CQ116" s="23"/>
      <c r="CR116" s="23"/>
      <c r="CS116" s="23"/>
      <c r="CT116" s="23"/>
      <c r="CU116" s="23"/>
      <c r="CV116" s="23"/>
      <c r="CW116" s="23"/>
      <c r="CX116" s="23"/>
      <c r="CY116" s="23"/>
      <c r="CZ116" s="23"/>
      <c r="DA116" s="23"/>
      <c r="DB116" s="23"/>
      <c r="DC116" s="23"/>
      <c r="DD116" s="23"/>
      <c r="DE116" s="23"/>
      <c r="DF116" s="23"/>
      <c r="DG116" s="23"/>
      <c r="DH116" s="23"/>
      <c r="DI116" s="23"/>
      <c r="DJ116" s="23"/>
      <c r="DK116" s="23"/>
      <c r="DL116" s="23"/>
      <c r="DM116" s="23"/>
      <c r="DN116" s="23"/>
      <c r="DO116" s="23"/>
    </row>
    <row r="117" spans="29:119" x14ac:dyDescent="0.35">
      <c r="AC117" s="23"/>
      <c r="AD117" s="23"/>
      <c r="AE117" s="23"/>
      <c r="AF117" s="23"/>
      <c r="AG117" s="23"/>
      <c r="AH117" s="23"/>
      <c r="AI117" s="23"/>
      <c r="AJ117" s="23"/>
      <c r="AK117" s="23"/>
      <c r="AL117" s="23"/>
      <c r="AM117" s="23"/>
      <c r="AN117" s="23"/>
      <c r="AO117" s="23"/>
      <c r="AP117" s="23"/>
      <c r="AQ117" s="23"/>
      <c r="AR117" s="23"/>
      <c r="AS117" s="23"/>
      <c r="AT117" s="23"/>
      <c r="AU117" s="23"/>
      <c r="AV117" s="23"/>
      <c r="AW117" s="23"/>
      <c r="AX117" s="23"/>
      <c r="AY117" s="23"/>
      <c r="AZ117" s="23"/>
      <c r="BA117" s="23"/>
      <c r="BB117" s="23"/>
      <c r="BC117" s="23"/>
      <c r="BD117" s="23"/>
      <c r="BE117" s="23"/>
      <c r="BF117" s="23"/>
      <c r="BG117" s="23"/>
      <c r="BH117" s="23"/>
      <c r="BI117" s="23"/>
      <c r="BJ117" s="23"/>
      <c r="BK117" s="23"/>
      <c r="BL117" s="23"/>
      <c r="BM117" s="23"/>
      <c r="BN117" s="23"/>
      <c r="BO117" s="23"/>
      <c r="BP117" s="23"/>
      <c r="BQ117" s="23"/>
      <c r="BR117" s="23"/>
      <c r="BS117" s="23"/>
      <c r="BT117" s="23"/>
      <c r="BU117" s="23"/>
      <c r="BV117" s="23"/>
      <c r="BW117" s="23"/>
      <c r="BX117" s="23"/>
      <c r="BY117" s="23"/>
      <c r="BZ117" s="23"/>
      <c r="CA117" s="23"/>
      <c r="CB117" s="23"/>
      <c r="CC117" s="23"/>
      <c r="CD117" s="23"/>
      <c r="CE117" s="23"/>
      <c r="CF117" s="23"/>
      <c r="CG117" s="23"/>
      <c r="CH117" s="23"/>
      <c r="CI117" s="23"/>
      <c r="CJ117" s="23"/>
      <c r="CK117" s="23"/>
      <c r="CL117" s="23"/>
      <c r="CM117" s="23"/>
      <c r="CN117" s="23"/>
      <c r="CO117" s="23"/>
      <c r="CP117" s="23"/>
      <c r="CQ117" s="23"/>
      <c r="CR117" s="23"/>
      <c r="CS117" s="23"/>
      <c r="CT117" s="23"/>
      <c r="CU117" s="23"/>
      <c r="CV117" s="23"/>
      <c r="CW117" s="23"/>
      <c r="CX117" s="23"/>
      <c r="CY117" s="23"/>
      <c r="CZ117" s="23"/>
      <c r="DA117" s="23"/>
      <c r="DB117" s="23"/>
      <c r="DC117" s="23"/>
      <c r="DD117" s="23"/>
      <c r="DE117" s="23"/>
      <c r="DF117" s="23"/>
      <c r="DG117" s="23"/>
      <c r="DH117" s="23"/>
      <c r="DI117" s="23"/>
      <c r="DJ117" s="23"/>
      <c r="DK117" s="23"/>
      <c r="DL117" s="23"/>
      <c r="DM117" s="23"/>
      <c r="DN117" s="23"/>
      <c r="DO117" s="23"/>
    </row>
    <row r="118" spans="29:119" x14ac:dyDescent="0.35">
      <c r="AC118" s="23"/>
      <c r="AD118" s="23"/>
      <c r="AE118" s="23"/>
      <c r="AF118" s="23"/>
      <c r="AG118" s="23"/>
      <c r="AH118" s="23"/>
      <c r="AI118" s="23"/>
      <c r="AJ118" s="23"/>
      <c r="AK118" s="23"/>
      <c r="AL118" s="23"/>
      <c r="AM118" s="23"/>
      <c r="AN118" s="23"/>
      <c r="AO118" s="23"/>
      <c r="AP118" s="23"/>
      <c r="AQ118" s="23"/>
      <c r="AR118" s="23"/>
      <c r="AS118" s="23"/>
      <c r="AT118" s="23"/>
      <c r="AU118" s="23"/>
      <c r="AV118" s="23"/>
      <c r="AW118" s="23"/>
      <c r="AX118" s="23"/>
      <c r="AY118" s="23"/>
      <c r="AZ118" s="23"/>
      <c r="BA118" s="23"/>
      <c r="BB118" s="23"/>
      <c r="BC118" s="23"/>
      <c r="BD118" s="23"/>
      <c r="BE118" s="23"/>
      <c r="BF118" s="23"/>
      <c r="BG118" s="23"/>
      <c r="BH118" s="23"/>
      <c r="BI118" s="23"/>
      <c r="BJ118" s="23"/>
      <c r="BK118" s="23"/>
      <c r="BL118" s="23"/>
      <c r="BM118" s="23"/>
      <c r="BN118" s="23"/>
      <c r="BO118" s="23"/>
      <c r="BP118" s="23"/>
      <c r="BQ118" s="23"/>
      <c r="BR118" s="23"/>
      <c r="BS118" s="23"/>
      <c r="BT118" s="23"/>
      <c r="BU118" s="23"/>
      <c r="BV118" s="23"/>
      <c r="BW118" s="23"/>
      <c r="BX118" s="23"/>
      <c r="BY118" s="23"/>
      <c r="BZ118" s="23"/>
      <c r="CA118" s="23"/>
      <c r="CB118" s="23"/>
      <c r="CC118" s="23"/>
      <c r="CD118" s="23"/>
      <c r="CE118" s="23"/>
      <c r="CF118" s="23"/>
      <c r="CG118" s="23"/>
      <c r="CH118" s="23"/>
      <c r="CI118" s="23"/>
      <c r="CJ118" s="23"/>
      <c r="CK118" s="23"/>
      <c r="CL118" s="23"/>
      <c r="CM118" s="23"/>
      <c r="CN118" s="23"/>
      <c r="CO118" s="23"/>
      <c r="CP118" s="23"/>
      <c r="CQ118" s="23"/>
      <c r="CR118" s="23"/>
      <c r="CS118" s="23"/>
      <c r="CT118" s="23"/>
      <c r="CU118" s="23"/>
      <c r="CV118" s="23"/>
      <c r="CW118" s="23"/>
      <c r="CX118" s="23"/>
      <c r="CY118" s="23"/>
      <c r="CZ118" s="23"/>
      <c r="DA118" s="23"/>
      <c r="DB118" s="23"/>
      <c r="DC118" s="23"/>
      <c r="DD118" s="23"/>
      <c r="DE118" s="23"/>
      <c r="DF118" s="23"/>
      <c r="DG118" s="23"/>
      <c r="DH118" s="23"/>
      <c r="DI118" s="23"/>
      <c r="DJ118" s="23"/>
      <c r="DK118" s="23"/>
      <c r="DL118" s="23"/>
      <c r="DM118" s="23"/>
      <c r="DN118" s="23"/>
      <c r="DO118" s="23"/>
    </row>
    <row r="119" spans="29:119" x14ac:dyDescent="0.35">
      <c r="AC119" s="23"/>
      <c r="AD119" s="23"/>
      <c r="AE119" s="23"/>
      <c r="AF119" s="23"/>
      <c r="AG119" s="23"/>
      <c r="AH119" s="23"/>
      <c r="AI119" s="23"/>
      <c r="AJ119" s="23"/>
      <c r="AK119" s="23"/>
      <c r="AL119" s="23"/>
      <c r="AM119" s="23"/>
      <c r="AN119" s="23"/>
      <c r="AO119" s="23"/>
      <c r="AP119" s="23"/>
      <c r="AQ119" s="23"/>
      <c r="AR119" s="23"/>
      <c r="AS119" s="23"/>
      <c r="AT119" s="23"/>
      <c r="AU119" s="23"/>
      <c r="AV119" s="23"/>
      <c r="AW119" s="23"/>
      <c r="AX119" s="23"/>
      <c r="AY119" s="23"/>
      <c r="AZ119" s="23"/>
      <c r="BA119" s="23"/>
      <c r="BB119" s="23"/>
      <c r="BC119" s="23"/>
      <c r="BD119" s="23"/>
      <c r="BE119" s="23"/>
      <c r="BF119" s="23"/>
      <c r="BG119" s="23"/>
      <c r="BH119" s="23"/>
      <c r="BI119" s="23"/>
      <c r="BJ119" s="23"/>
      <c r="BK119" s="23"/>
      <c r="BL119" s="23"/>
      <c r="BM119" s="23"/>
      <c r="BN119" s="23"/>
      <c r="BO119" s="23"/>
      <c r="BP119" s="23"/>
      <c r="BQ119" s="23"/>
      <c r="BR119" s="23"/>
      <c r="BS119" s="23"/>
      <c r="BT119" s="23"/>
      <c r="BU119" s="23"/>
      <c r="BV119" s="23"/>
      <c r="BW119" s="23"/>
      <c r="BX119" s="23"/>
      <c r="BY119" s="23"/>
      <c r="BZ119" s="23"/>
      <c r="CA119" s="23"/>
      <c r="CB119" s="23"/>
      <c r="CC119" s="23"/>
      <c r="CD119" s="23"/>
      <c r="CE119" s="23"/>
      <c r="CF119" s="23"/>
      <c r="CG119" s="23"/>
      <c r="CH119" s="23"/>
      <c r="CI119" s="23"/>
      <c r="CJ119" s="23"/>
      <c r="CK119" s="23"/>
      <c r="CL119" s="23"/>
      <c r="CM119" s="23"/>
      <c r="CN119" s="23"/>
      <c r="CO119" s="23"/>
      <c r="CP119" s="23"/>
      <c r="CQ119" s="23"/>
      <c r="CR119" s="23"/>
      <c r="CS119" s="23"/>
      <c r="CT119" s="23"/>
      <c r="CU119" s="23"/>
      <c r="CV119" s="23"/>
      <c r="CW119" s="23"/>
      <c r="CX119" s="23"/>
      <c r="CY119" s="23"/>
      <c r="CZ119" s="23"/>
      <c r="DA119" s="23"/>
      <c r="DB119" s="23"/>
      <c r="DC119" s="23"/>
      <c r="DD119" s="23"/>
      <c r="DE119" s="23"/>
      <c r="DF119" s="23"/>
      <c r="DG119" s="23"/>
      <c r="DH119" s="23"/>
      <c r="DI119" s="23"/>
      <c r="DJ119" s="23"/>
      <c r="DK119" s="23"/>
      <c r="DL119" s="23"/>
      <c r="DM119" s="23"/>
      <c r="DN119" s="23"/>
      <c r="DO119" s="23"/>
    </row>
  </sheetData>
  <autoFilter ref="Q4:AA62" xr:uid="{00000000-0009-0000-0000-000005000000}"/>
  <mergeCells count="16">
    <mergeCell ref="B42:B48"/>
    <mergeCell ref="B49:B55"/>
    <mergeCell ref="B12:B15"/>
    <mergeCell ref="B4:B11"/>
    <mergeCell ref="DE3:DM3"/>
    <mergeCell ref="A3:B3"/>
    <mergeCell ref="E3:O3"/>
    <mergeCell ref="Q3:AA3"/>
    <mergeCell ref="AC3:AK3"/>
    <mergeCell ref="AM3:AU3"/>
    <mergeCell ref="AW3:BE3"/>
    <mergeCell ref="BG3:BO3"/>
    <mergeCell ref="BQ3:BY3"/>
    <mergeCell ref="CA3:CI3"/>
    <mergeCell ref="CK3:CS3"/>
    <mergeCell ref="CU3:DC3"/>
  </mergeCells>
  <phoneticPr fontId="38" type="noConversion"/>
  <conditionalFormatting sqref="E26:O61 E5:E25 L5:O25 G5:J25">
    <cfRule type="expression" dxfId="521" priority="2">
      <formula>$N5=""</formula>
    </cfRule>
  </conditionalFormatting>
  <conditionalFormatting sqref="Q5:AA61">
    <cfRule type="expression" dxfId="520" priority="1">
      <formula>$Z5=""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Tabelle7">
    <pageSetUpPr fitToPage="1"/>
  </sheetPr>
  <dimension ref="A1:P296"/>
  <sheetViews>
    <sheetView topLeftCell="V1" zoomScale="90" zoomScaleNormal="90" workbookViewId="0">
      <pane ySplit="5" topLeftCell="A6" activePane="bottomLeft" state="frozen"/>
      <selection pane="bottomLeft" activeCell="M22" sqref="M22"/>
    </sheetView>
  </sheetViews>
  <sheetFormatPr baseColWidth="10" defaultRowHeight="14.5" x14ac:dyDescent="0.35"/>
  <cols>
    <col min="1" max="1" width="16.81640625" customWidth="1"/>
    <col min="2" max="2" width="18.7265625" customWidth="1"/>
    <col min="3" max="3" width="23.7265625" customWidth="1"/>
    <col min="4" max="4" width="12.7265625" hidden="1" customWidth="1"/>
    <col min="5" max="5" width="8.81640625" hidden="1" customWidth="1"/>
    <col min="6" max="6" width="20.26953125" bestFit="1" customWidth="1"/>
    <col min="7" max="7" width="8.54296875" bestFit="1" customWidth="1"/>
    <col min="8" max="8" width="13" customWidth="1"/>
    <col min="9" max="9" width="13.54296875" customWidth="1"/>
    <col min="10" max="10" width="21.7265625" customWidth="1"/>
    <col min="11" max="11" width="11.453125" customWidth="1"/>
    <col min="12" max="12" width="9.7265625" customWidth="1"/>
    <col min="13" max="13" width="24.81640625" customWidth="1"/>
    <col min="14" max="14" width="26.453125" customWidth="1"/>
    <col min="15" max="15" width="27.7265625" customWidth="1"/>
    <col min="16" max="16" width="14.7265625" customWidth="1"/>
    <col min="18" max="18" width="13.81640625" bestFit="1" customWidth="1"/>
  </cols>
  <sheetData>
    <row r="1" spans="1:16" ht="27.65" customHeight="1" x14ac:dyDescent="0.35">
      <c r="A1" s="384" t="s">
        <v>101</v>
      </c>
      <c r="B1" s="384"/>
      <c r="C1" s="384"/>
      <c r="D1" s="384"/>
    </row>
    <row r="2" spans="1:16" ht="24" customHeight="1" x14ac:dyDescent="0.35">
      <c r="A2" s="385" t="s">
        <v>112</v>
      </c>
      <c r="B2" s="385"/>
      <c r="C2" s="385"/>
      <c r="D2" s="385"/>
      <c r="H2" s="387" t="s">
        <v>152</v>
      </c>
      <c r="I2" s="387"/>
      <c r="J2" s="271">
        <f ca="1">NOW()</f>
        <v>44126.008666898146</v>
      </c>
    </row>
    <row r="3" spans="1:16" ht="23.25" customHeight="1" x14ac:dyDescent="0.35">
      <c r="H3" s="386" t="s">
        <v>158</v>
      </c>
      <c r="I3" s="386"/>
      <c r="J3" s="270" t="e">
        <f>SUM(#REF!)</f>
        <v>#REF!</v>
      </c>
    </row>
    <row r="5" spans="1:16" ht="28" x14ac:dyDescent="0.35">
      <c r="B5" s="286" t="s">
        <v>36</v>
      </c>
      <c r="C5" s="287" t="s">
        <v>0</v>
      </c>
      <c r="D5" s="287" t="s">
        <v>34</v>
      </c>
      <c r="E5" s="287" t="s">
        <v>35</v>
      </c>
      <c r="F5" s="287" t="s">
        <v>38</v>
      </c>
      <c r="G5" s="287" t="s">
        <v>39</v>
      </c>
      <c r="H5" s="287" t="s">
        <v>37</v>
      </c>
      <c r="I5" s="288" t="s">
        <v>44</v>
      </c>
      <c r="J5" s="288" t="s">
        <v>47</v>
      </c>
      <c r="K5" s="289" t="s">
        <v>102</v>
      </c>
      <c r="L5" s="290" t="s">
        <v>103</v>
      </c>
      <c r="M5" s="291" t="s">
        <v>104</v>
      </c>
      <c r="N5" s="291" t="s">
        <v>105</v>
      </c>
      <c r="O5" s="292" t="s">
        <v>113</v>
      </c>
      <c r="P5" s="292" t="s">
        <v>114</v>
      </c>
    </row>
    <row r="6" spans="1:16" ht="18.5" x14ac:dyDescent="0.35">
      <c r="B6" s="69">
        <v>43986</v>
      </c>
      <c r="C6" s="61"/>
      <c r="D6" s="59"/>
      <c r="E6" s="340"/>
      <c r="F6" s="55"/>
      <c r="G6" s="55"/>
      <c r="H6" s="55"/>
      <c r="I6" s="55"/>
      <c r="J6" s="340"/>
      <c r="O6" t="s">
        <v>115</v>
      </c>
    </row>
    <row r="7" spans="1:16" ht="18.5" x14ac:dyDescent="0.35">
      <c r="B7" s="69">
        <v>43986</v>
      </c>
      <c r="C7" s="61"/>
      <c r="D7" s="59"/>
      <c r="E7" s="340"/>
      <c r="F7" s="55"/>
      <c r="G7" s="55"/>
      <c r="H7" s="55"/>
      <c r="I7" s="55"/>
      <c r="J7" s="340"/>
      <c r="O7" t="s">
        <v>115</v>
      </c>
    </row>
    <row r="8" spans="1:16" ht="18.5" x14ac:dyDescent="0.35">
      <c r="B8" s="137">
        <v>44018</v>
      </c>
      <c r="C8" s="61"/>
      <c r="D8" s="59"/>
      <c r="E8" s="340"/>
      <c r="F8" s="55"/>
      <c r="G8" s="55"/>
      <c r="H8" s="55"/>
      <c r="I8" s="55"/>
      <c r="J8" s="340"/>
      <c r="O8" t="s">
        <v>115</v>
      </c>
    </row>
    <row r="9" spans="1:16" ht="18.5" x14ac:dyDescent="0.35">
      <c r="B9" s="197">
        <v>43991</v>
      </c>
      <c r="C9" s="61"/>
      <c r="D9" s="62"/>
      <c r="E9" s="340"/>
      <c r="F9" s="55"/>
      <c r="G9" s="55"/>
      <c r="H9" s="55"/>
      <c r="I9" s="55"/>
      <c r="J9" s="340"/>
      <c r="O9" t="s">
        <v>115</v>
      </c>
    </row>
    <row r="10" spans="1:16" ht="18.5" x14ac:dyDescent="0.35">
      <c r="B10" s="69">
        <v>43986</v>
      </c>
      <c r="C10" s="61"/>
      <c r="D10" s="59"/>
      <c r="E10" s="340"/>
      <c r="F10" s="55"/>
      <c r="G10" s="55"/>
      <c r="H10" s="55"/>
      <c r="I10" s="55"/>
      <c r="J10" s="340"/>
      <c r="O10" t="s">
        <v>115</v>
      </c>
    </row>
    <row r="11" spans="1:16" ht="15.5" x14ac:dyDescent="0.35">
      <c r="B11" s="197">
        <v>43991</v>
      </c>
      <c r="C11" s="55"/>
      <c r="D11" s="59"/>
      <c r="E11" s="63"/>
      <c r="F11" s="55"/>
      <c r="G11" s="55"/>
      <c r="H11" s="55"/>
      <c r="I11" s="55"/>
      <c r="J11" s="55"/>
      <c r="O11" t="s">
        <v>115</v>
      </c>
    </row>
    <row r="12" spans="1:16" x14ac:dyDescent="0.35">
      <c r="B12" s="69">
        <v>43986</v>
      </c>
      <c r="C12" s="342"/>
      <c r="D12" s="59"/>
      <c r="E12" s="342"/>
      <c r="F12" s="55"/>
      <c r="G12" s="65"/>
      <c r="H12" s="55"/>
      <c r="I12" s="65"/>
      <c r="J12" s="342"/>
      <c r="O12" t="s">
        <v>115</v>
      </c>
    </row>
    <row r="13" spans="1:16" x14ac:dyDescent="0.35">
      <c r="B13" s="69">
        <v>43867</v>
      </c>
      <c r="C13" s="342"/>
      <c r="D13" s="59"/>
      <c r="E13" s="342"/>
      <c r="F13" s="55"/>
      <c r="G13" s="65"/>
      <c r="H13" s="55"/>
      <c r="I13" s="65"/>
      <c r="J13" s="342"/>
      <c r="O13" t="s">
        <v>115</v>
      </c>
    </row>
    <row r="14" spans="1:16" x14ac:dyDescent="0.35">
      <c r="B14" s="69">
        <v>43986</v>
      </c>
      <c r="C14" s="342"/>
      <c r="D14" s="59"/>
      <c r="E14" s="342"/>
      <c r="F14" s="55"/>
      <c r="G14" s="65"/>
      <c r="H14" s="55"/>
      <c r="I14" s="65"/>
      <c r="J14" s="342"/>
      <c r="O14" t="s">
        <v>115</v>
      </c>
    </row>
    <row r="15" spans="1:16" x14ac:dyDescent="0.35">
      <c r="B15" s="69">
        <v>43986</v>
      </c>
      <c r="C15" s="342"/>
      <c r="D15" s="59"/>
      <c r="E15" s="342"/>
      <c r="F15" s="55"/>
      <c r="G15" s="65"/>
      <c r="H15" s="55"/>
      <c r="I15" s="65"/>
      <c r="J15" s="342"/>
      <c r="O15" t="s">
        <v>115</v>
      </c>
    </row>
    <row r="16" spans="1:16" x14ac:dyDescent="0.35">
      <c r="B16" s="69">
        <v>43986</v>
      </c>
      <c r="C16" s="342"/>
      <c r="D16" s="59"/>
      <c r="E16" s="342"/>
      <c r="F16" s="65"/>
      <c r="G16" s="65"/>
      <c r="H16" s="55"/>
      <c r="I16" s="65"/>
      <c r="J16" s="342"/>
      <c r="O16" t="s">
        <v>115</v>
      </c>
    </row>
    <row r="17" spans="2:15" x14ac:dyDescent="0.35">
      <c r="B17" s="69">
        <v>43986</v>
      </c>
      <c r="C17" s="342"/>
      <c r="D17" s="59"/>
      <c r="E17" s="342"/>
      <c r="F17" s="55"/>
      <c r="G17" s="65"/>
      <c r="H17" s="55"/>
      <c r="I17" s="65"/>
      <c r="J17" s="342"/>
      <c r="O17" t="s">
        <v>115</v>
      </c>
    </row>
    <row r="18" spans="2:15" x14ac:dyDescent="0.35">
      <c r="B18" s="69">
        <v>43986</v>
      </c>
      <c r="C18" s="342"/>
      <c r="D18" s="59"/>
      <c r="E18" s="342"/>
      <c r="F18" s="55"/>
      <c r="G18" s="65"/>
      <c r="H18" s="55"/>
      <c r="I18" s="65"/>
      <c r="J18" s="342"/>
      <c r="O18" t="s">
        <v>115</v>
      </c>
    </row>
    <row r="19" spans="2:15" ht="15.5" x14ac:dyDescent="0.35">
      <c r="B19" s="197">
        <v>43991</v>
      </c>
      <c r="C19" s="342"/>
      <c r="D19" s="59"/>
      <c r="E19" s="342"/>
      <c r="F19" s="55"/>
      <c r="G19" s="65"/>
      <c r="H19" s="55"/>
      <c r="I19" s="65"/>
      <c r="J19" s="342"/>
      <c r="O19" t="s">
        <v>115</v>
      </c>
    </row>
    <row r="20" spans="2:15" x14ac:dyDescent="0.35">
      <c r="B20" s="69">
        <v>43986</v>
      </c>
      <c r="C20" s="342"/>
      <c r="D20" s="59"/>
      <c r="E20" s="342"/>
      <c r="F20" s="55"/>
      <c r="G20" s="65"/>
      <c r="H20" s="55"/>
      <c r="I20" s="65"/>
      <c r="J20" s="342"/>
      <c r="O20" t="s">
        <v>115</v>
      </c>
    </row>
    <row r="21" spans="2:15" x14ac:dyDescent="0.35">
      <c r="B21" s="185">
        <v>43923</v>
      </c>
      <c r="C21" s="342"/>
      <c r="D21" s="59"/>
      <c r="E21" s="342"/>
      <c r="F21" s="55"/>
      <c r="G21" s="65"/>
      <c r="H21" s="55"/>
      <c r="I21" s="65"/>
      <c r="J21" s="342"/>
      <c r="O21" t="s">
        <v>115</v>
      </c>
    </row>
    <row r="22" spans="2:15" x14ac:dyDescent="0.35">
      <c r="B22" s="69">
        <v>44098</v>
      </c>
      <c r="C22" s="342"/>
      <c r="D22" s="59"/>
      <c r="E22" s="342"/>
      <c r="F22" s="55"/>
      <c r="G22" s="65"/>
      <c r="H22" s="55"/>
      <c r="I22" s="65"/>
      <c r="J22" s="342"/>
      <c r="O22" t="s">
        <v>115</v>
      </c>
    </row>
    <row r="23" spans="2:15" x14ac:dyDescent="0.35">
      <c r="B23" s="69">
        <v>44098</v>
      </c>
      <c r="C23" s="342"/>
      <c r="D23" s="59"/>
      <c r="E23" s="342"/>
      <c r="F23" s="55"/>
      <c r="G23" s="65"/>
      <c r="H23" s="55"/>
      <c r="I23" s="65"/>
      <c r="J23" s="342"/>
      <c r="O23" t="s">
        <v>115</v>
      </c>
    </row>
    <row r="24" spans="2:15" x14ac:dyDescent="0.35">
      <c r="B24" s="69">
        <v>44074</v>
      </c>
      <c r="C24" s="342"/>
      <c r="D24" s="59"/>
      <c r="E24" s="342"/>
      <c r="F24" s="55"/>
      <c r="G24" s="65"/>
      <c r="H24" s="55"/>
      <c r="I24" s="65"/>
      <c r="J24" s="342"/>
      <c r="O24" t="s">
        <v>115</v>
      </c>
    </row>
    <row r="25" spans="2:15" x14ac:dyDescent="0.35">
      <c r="B25" s="69">
        <v>44074</v>
      </c>
      <c r="C25" s="342"/>
      <c r="D25" s="59"/>
      <c r="E25" s="342"/>
      <c r="F25" s="55"/>
      <c r="G25" s="65"/>
      <c r="H25" s="55"/>
      <c r="I25" s="65"/>
      <c r="J25" s="342"/>
      <c r="O25" t="s">
        <v>115</v>
      </c>
    </row>
    <row r="26" spans="2:15" x14ac:dyDescent="0.35">
      <c r="B26" s="69">
        <v>44098</v>
      </c>
      <c r="C26" s="342"/>
      <c r="D26" s="59"/>
      <c r="E26" s="342"/>
      <c r="F26" s="55"/>
      <c r="G26" s="65"/>
      <c r="H26" s="55"/>
      <c r="I26" s="65"/>
      <c r="J26" s="342"/>
      <c r="O26" t="s">
        <v>115</v>
      </c>
    </row>
    <row r="27" spans="2:15" x14ac:dyDescent="0.35">
      <c r="B27" s="69">
        <v>44098</v>
      </c>
      <c r="C27" s="342"/>
      <c r="D27" s="59"/>
      <c r="E27" s="342"/>
      <c r="F27" s="55"/>
      <c r="G27" s="65"/>
      <c r="H27" s="55"/>
      <c r="I27" s="65"/>
      <c r="J27" s="342"/>
      <c r="O27" t="s">
        <v>115</v>
      </c>
    </row>
    <row r="28" spans="2:15" x14ac:dyDescent="0.35">
      <c r="B28" s="69">
        <v>44098</v>
      </c>
      <c r="C28" s="342"/>
      <c r="D28" s="59"/>
      <c r="E28" s="342"/>
      <c r="F28" s="55"/>
      <c r="G28" s="65"/>
      <c r="H28" s="55"/>
      <c r="I28" s="65"/>
      <c r="J28" s="342"/>
      <c r="O28" t="s">
        <v>115</v>
      </c>
    </row>
    <row r="29" spans="2:15" x14ac:dyDescent="0.35">
      <c r="B29" s="69">
        <v>44098</v>
      </c>
      <c r="C29" s="342"/>
      <c r="D29" s="59"/>
      <c r="E29" s="342"/>
      <c r="F29" s="55"/>
      <c r="G29" s="65"/>
      <c r="H29" s="55"/>
      <c r="I29" s="65"/>
      <c r="J29" s="342"/>
      <c r="O29" t="s">
        <v>115</v>
      </c>
    </row>
    <row r="30" spans="2:15" x14ac:dyDescent="0.35">
      <c r="B30" s="69">
        <v>44014</v>
      </c>
      <c r="C30" s="342"/>
      <c r="D30" s="59"/>
      <c r="E30" s="342"/>
      <c r="F30" s="55"/>
      <c r="G30" s="65"/>
      <c r="H30" s="55"/>
      <c r="I30" s="65"/>
      <c r="J30" s="342"/>
      <c r="O30" t="s">
        <v>115</v>
      </c>
    </row>
    <row r="31" spans="2:15" x14ac:dyDescent="0.35">
      <c r="B31" s="69">
        <v>44077</v>
      </c>
      <c r="C31" s="342"/>
      <c r="D31" s="59"/>
      <c r="E31" s="342"/>
      <c r="F31" s="55"/>
      <c r="G31" s="65"/>
      <c r="H31" s="55"/>
      <c r="I31" s="65"/>
      <c r="J31" s="342"/>
      <c r="O31" t="s">
        <v>115</v>
      </c>
    </row>
    <row r="32" spans="2:15" x14ac:dyDescent="0.35">
      <c r="B32" s="69">
        <v>44084</v>
      </c>
      <c r="C32" s="342"/>
      <c r="D32" s="59"/>
      <c r="E32" s="342"/>
      <c r="F32" s="55"/>
      <c r="G32" s="65"/>
      <c r="H32" s="55"/>
      <c r="I32" s="65"/>
      <c r="J32" s="342"/>
      <c r="O32" t="s">
        <v>115</v>
      </c>
    </row>
    <row r="33" spans="2:15" x14ac:dyDescent="0.35">
      <c r="B33" s="69">
        <v>44098</v>
      </c>
      <c r="C33" s="342"/>
      <c r="D33" s="59"/>
      <c r="E33" s="342"/>
      <c r="F33" s="55"/>
      <c r="G33" s="65"/>
      <c r="H33" s="55"/>
      <c r="I33" s="65"/>
      <c r="J33" s="342"/>
      <c r="O33" t="s">
        <v>115</v>
      </c>
    </row>
    <row r="34" spans="2:15" x14ac:dyDescent="0.35">
      <c r="B34" s="69">
        <v>44098</v>
      </c>
      <c r="C34" s="342"/>
      <c r="D34" s="59"/>
      <c r="E34" s="342"/>
      <c r="F34" s="55"/>
      <c r="G34" s="65"/>
      <c r="H34" s="55"/>
      <c r="I34" s="65"/>
      <c r="J34" s="342"/>
      <c r="O34" t="s">
        <v>115</v>
      </c>
    </row>
    <row r="35" spans="2:15" ht="18.5" x14ac:dyDescent="0.35">
      <c r="B35" s="69">
        <v>43899</v>
      </c>
      <c r="C35" s="13"/>
      <c r="D35" s="185"/>
      <c r="E35" s="11"/>
      <c r="F35" s="11"/>
      <c r="G35" s="11"/>
      <c r="H35" s="186">
        <f t="shared" ref="H35:H68" si="0">F35+G35</f>
        <v>0</v>
      </c>
      <c r="I35" s="11"/>
      <c r="J35" s="11"/>
      <c r="O35" t="s">
        <v>168</v>
      </c>
    </row>
    <row r="36" spans="2:15" ht="18.5" x14ac:dyDescent="0.35">
      <c r="B36" s="69">
        <v>43923</v>
      </c>
      <c r="C36" s="13"/>
      <c r="D36" s="185"/>
      <c r="E36" s="138"/>
      <c r="F36" s="186"/>
      <c r="G36" s="186"/>
      <c r="H36" s="186">
        <f t="shared" si="0"/>
        <v>0</v>
      </c>
      <c r="I36" s="186"/>
      <c r="J36" s="138"/>
      <c r="O36" t="s">
        <v>168</v>
      </c>
    </row>
    <row r="37" spans="2:15" ht="18.5" x14ac:dyDescent="0.35">
      <c r="B37" s="69">
        <v>43928</v>
      </c>
      <c r="C37" s="13"/>
      <c r="D37" s="185"/>
      <c r="E37" s="11"/>
      <c r="F37" s="11"/>
      <c r="G37" s="11"/>
      <c r="H37" s="186">
        <f t="shared" si="0"/>
        <v>0</v>
      </c>
      <c r="I37" s="11"/>
      <c r="J37" s="11"/>
      <c r="O37" t="s">
        <v>168</v>
      </c>
    </row>
    <row r="38" spans="2:15" x14ac:dyDescent="0.35">
      <c r="B38" s="69">
        <v>43941</v>
      </c>
      <c r="C38" s="14"/>
      <c r="D38" s="185"/>
      <c r="E38" s="138"/>
      <c r="F38" s="186"/>
      <c r="G38" s="186"/>
      <c r="H38" s="186">
        <f t="shared" si="0"/>
        <v>0</v>
      </c>
      <c r="I38" s="186"/>
      <c r="J38" s="138"/>
      <c r="O38" t="s">
        <v>168</v>
      </c>
    </row>
    <row r="39" spans="2:15" x14ac:dyDescent="0.35">
      <c r="B39" s="69">
        <v>43969</v>
      </c>
      <c r="C39" s="15"/>
      <c r="D39" s="185"/>
      <c r="E39" s="11"/>
      <c r="F39" s="11"/>
      <c r="G39" s="11"/>
      <c r="H39" s="186">
        <f t="shared" si="0"/>
        <v>0</v>
      </c>
      <c r="I39" s="11"/>
      <c r="J39" s="11"/>
      <c r="O39" t="s">
        <v>168</v>
      </c>
    </row>
    <row r="40" spans="2:15" x14ac:dyDescent="0.35">
      <c r="B40" s="69">
        <v>43969</v>
      </c>
      <c r="C40" s="15"/>
      <c r="D40" s="185"/>
      <c r="E40" s="11"/>
      <c r="F40" s="11"/>
      <c r="G40" s="11"/>
      <c r="H40" s="186">
        <f t="shared" si="0"/>
        <v>0</v>
      </c>
      <c r="I40" s="11"/>
      <c r="J40" s="11"/>
      <c r="O40" t="s">
        <v>168</v>
      </c>
    </row>
    <row r="41" spans="2:15" x14ac:dyDescent="0.35">
      <c r="B41" s="69">
        <v>43969</v>
      </c>
      <c r="C41" s="15"/>
      <c r="D41" s="185"/>
      <c r="E41" s="11"/>
      <c r="F41" s="11"/>
      <c r="G41" s="11"/>
      <c r="H41" s="186">
        <f t="shared" si="0"/>
        <v>0</v>
      </c>
      <c r="I41" s="11"/>
      <c r="J41" s="11"/>
      <c r="O41" t="s">
        <v>168</v>
      </c>
    </row>
    <row r="42" spans="2:15" x14ac:dyDescent="0.35">
      <c r="B42" s="69">
        <v>43976</v>
      </c>
      <c r="C42" s="15"/>
      <c r="D42" s="185"/>
      <c r="E42" s="11"/>
      <c r="F42" s="11"/>
      <c r="G42" s="11"/>
      <c r="H42" s="186">
        <f t="shared" si="0"/>
        <v>0</v>
      </c>
      <c r="I42" s="11"/>
      <c r="J42" s="11"/>
      <c r="O42" t="s">
        <v>168</v>
      </c>
    </row>
    <row r="43" spans="2:15" x14ac:dyDescent="0.35">
      <c r="B43" s="69">
        <v>44001</v>
      </c>
      <c r="C43" s="15"/>
      <c r="D43" s="185"/>
      <c r="E43" s="138"/>
      <c r="F43" s="186"/>
      <c r="G43" s="186"/>
      <c r="H43" s="186">
        <f t="shared" si="0"/>
        <v>0</v>
      </c>
      <c r="I43" s="186"/>
      <c r="J43" s="138"/>
      <c r="O43" t="s">
        <v>168</v>
      </c>
    </row>
    <row r="44" spans="2:15" x14ac:dyDescent="0.35">
      <c r="B44" s="69">
        <v>44014</v>
      </c>
      <c r="C44" s="15"/>
      <c r="D44" s="185"/>
      <c r="E44" s="11"/>
      <c r="F44" s="11"/>
      <c r="G44" s="11"/>
      <c r="H44" s="186">
        <f t="shared" si="0"/>
        <v>0</v>
      </c>
      <c r="I44" s="11"/>
      <c r="J44" s="11"/>
      <c r="O44" t="s">
        <v>168</v>
      </c>
    </row>
    <row r="45" spans="2:15" x14ac:dyDescent="0.35">
      <c r="B45" s="69">
        <v>44025</v>
      </c>
      <c r="C45" s="15"/>
      <c r="D45" s="185"/>
      <c r="E45" s="39"/>
      <c r="F45" s="39"/>
      <c r="G45" s="39"/>
      <c r="H45" s="186">
        <f t="shared" si="0"/>
        <v>0</v>
      </c>
      <c r="I45" s="39"/>
      <c r="J45" s="39"/>
      <c r="O45" t="s">
        <v>168</v>
      </c>
    </row>
    <row r="46" spans="2:15" x14ac:dyDescent="0.35">
      <c r="B46" s="69">
        <v>44027</v>
      </c>
      <c r="C46" s="15"/>
      <c r="D46" s="185"/>
      <c r="E46" s="39"/>
      <c r="F46" s="39"/>
      <c r="G46" s="39"/>
      <c r="H46" s="186">
        <f t="shared" si="0"/>
        <v>0</v>
      </c>
      <c r="I46" s="39"/>
      <c r="J46" s="39"/>
      <c r="O46" t="s">
        <v>168</v>
      </c>
    </row>
    <row r="47" spans="2:15" x14ac:dyDescent="0.35">
      <c r="B47" s="69">
        <v>44027</v>
      </c>
      <c r="C47" s="15"/>
      <c r="D47" s="185"/>
      <c r="E47" s="138"/>
      <c r="F47" s="186"/>
      <c r="G47" s="186"/>
      <c r="H47" s="186">
        <f t="shared" si="0"/>
        <v>0</v>
      </c>
      <c r="I47" s="186"/>
      <c r="J47" s="138"/>
      <c r="O47" t="s">
        <v>168</v>
      </c>
    </row>
    <row r="48" spans="2:15" x14ac:dyDescent="0.35">
      <c r="B48" s="69">
        <v>44033</v>
      </c>
      <c r="C48" s="15"/>
      <c r="D48" s="185"/>
      <c r="E48" s="138"/>
      <c r="F48" s="186"/>
      <c r="G48" s="186"/>
      <c r="H48" s="186">
        <f t="shared" si="0"/>
        <v>0</v>
      </c>
      <c r="I48" s="186"/>
      <c r="J48" s="186"/>
      <c r="O48" t="s">
        <v>168</v>
      </c>
    </row>
    <row r="49" spans="2:15" x14ac:dyDescent="0.35">
      <c r="B49" s="69">
        <v>44033</v>
      </c>
      <c r="C49" s="15"/>
      <c r="D49" s="185"/>
      <c r="E49" s="138"/>
      <c r="F49" s="186"/>
      <c r="G49" s="186"/>
      <c r="H49" s="186">
        <f t="shared" si="0"/>
        <v>0</v>
      </c>
      <c r="I49" s="186"/>
      <c r="J49" s="186"/>
      <c r="O49" t="s">
        <v>168</v>
      </c>
    </row>
    <row r="50" spans="2:15" x14ac:dyDescent="0.35">
      <c r="B50" s="69">
        <v>44047</v>
      </c>
      <c r="C50" s="15"/>
      <c r="D50" s="185"/>
      <c r="E50" s="138"/>
      <c r="F50" s="186"/>
      <c r="G50" s="186"/>
      <c r="H50" s="186">
        <f t="shared" si="0"/>
        <v>0</v>
      </c>
      <c r="I50" s="186"/>
      <c r="J50" s="186"/>
      <c r="O50" t="s">
        <v>168</v>
      </c>
    </row>
    <row r="51" spans="2:15" x14ac:dyDescent="0.35">
      <c r="B51" s="69">
        <v>44048</v>
      </c>
      <c r="C51" s="15"/>
      <c r="D51" s="185"/>
      <c r="E51" s="138"/>
      <c r="F51" s="186"/>
      <c r="G51" s="186"/>
      <c r="H51" s="186">
        <f t="shared" si="0"/>
        <v>0</v>
      </c>
      <c r="I51" s="186"/>
      <c r="J51" s="186"/>
      <c r="O51" t="s">
        <v>168</v>
      </c>
    </row>
    <row r="52" spans="2:15" x14ac:dyDescent="0.35">
      <c r="B52" s="69">
        <v>44051</v>
      </c>
      <c r="C52" s="15"/>
      <c r="D52" s="185"/>
      <c r="E52" s="138"/>
      <c r="F52" s="186"/>
      <c r="G52" s="186"/>
      <c r="H52" s="186">
        <f t="shared" si="0"/>
        <v>0</v>
      </c>
      <c r="I52" s="186"/>
      <c r="J52" s="186"/>
      <c r="O52" t="s">
        <v>168</v>
      </c>
    </row>
    <row r="53" spans="2:15" x14ac:dyDescent="0.35">
      <c r="B53" s="69">
        <v>44053</v>
      </c>
      <c r="C53" s="15"/>
      <c r="D53" s="185"/>
      <c r="E53" s="138"/>
      <c r="F53" s="186"/>
      <c r="G53" s="186"/>
      <c r="H53" s="186">
        <f t="shared" si="0"/>
        <v>0</v>
      </c>
      <c r="I53" s="186"/>
      <c r="J53" s="186"/>
      <c r="O53" t="s">
        <v>168</v>
      </c>
    </row>
    <row r="54" spans="2:15" x14ac:dyDescent="0.35">
      <c r="B54" s="69">
        <v>44057</v>
      </c>
      <c r="C54" s="15"/>
      <c r="D54" s="185"/>
      <c r="E54" s="138"/>
      <c r="F54" s="186"/>
      <c r="G54" s="186"/>
      <c r="H54" s="186">
        <f t="shared" si="0"/>
        <v>0</v>
      </c>
      <c r="I54" s="186"/>
      <c r="J54" s="186"/>
      <c r="O54" t="s">
        <v>168</v>
      </c>
    </row>
    <row r="55" spans="2:15" x14ac:dyDescent="0.35">
      <c r="B55" s="69">
        <v>44057</v>
      </c>
      <c r="C55" s="15"/>
      <c r="D55" s="185"/>
      <c r="E55" s="138"/>
      <c r="F55" s="186"/>
      <c r="G55" s="186"/>
      <c r="H55" s="186">
        <f t="shared" si="0"/>
        <v>0</v>
      </c>
      <c r="I55" s="186"/>
      <c r="J55" s="186"/>
      <c r="O55" t="s">
        <v>168</v>
      </c>
    </row>
    <row r="56" spans="2:15" x14ac:dyDescent="0.35">
      <c r="B56" s="69">
        <v>44057</v>
      </c>
      <c r="C56" s="15"/>
      <c r="D56" s="185"/>
      <c r="E56" s="138"/>
      <c r="F56" s="186"/>
      <c r="G56" s="186"/>
      <c r="H56" s="186">
        <f t="shared" si="0"/>
        <v>0</v>
      </c>
      <c r="I56" s="186"/>
      <c r="J56" s="186"/>
      <c r="O56" t="s">
        <v>168</v>
      </c>
    </row>
    <row r="57" spans="2:15" x14ac:dyDescent="0.35">
      <c r="B57" s="283">
        <v>44060</v>
      </c>
      <c r="C57" s="15"/>
      <c r="D57" s="185"/>
      <c r="E57" s="138"/>
      <c r="F57" s="186"/>
      <c r="G57" s="186"/>
      <c r="H57" s="186">
        <f t="shared" si="0"/>
        <v>0</v>
      </c>
      <c r="I57" s="186"/>
      <c r="J57" s="186"/>
      <c r="O57" t="s">
        <v>168</v>
      </c>
    </row>
    <row r="58" spans="2:15" x14ac:dyDescent="0.35">
      <c r="B58" s="69">
        <v>44060</v>
      </c>
      <c r="C58" s="15"/>
      <c r="D58" s="185"/>
      <c r="E58" s="138"/>
      <c r="F58" s="186"/>
      <c r="G58" s="186"/>
      <c r="H58" s="186">
        <f t="shared" si="0"/>
        <v>0</v>
      </c>
      <c r="I58" s="186"/>
      <c r="J58" s="186"/>
      <c r="O58" t="s">
        <v>168</v>
      </c>
    </row>
    <row r="59" spans="2:15" x14ac:dyDescent="0.35">
      <c r="B59" s="69">
        <v>44063</v>
      </c>
      <c r="C59" s="15"/>
      <c r="D59" s="185"/>
      <c r="E59" s="138"/>
      <c r="F59" s="186"/>
      <c r="G59" s="186"/>
      <c r="H59" s="186">
        <f t="shared" si="0"/>
        <v>0</v>
      </c>
      <c r="I59" s="186"/>
      <c r="J59" s="186"/>
      <c r="O59" t="s">
        <v>168</v>
      </c>
    </row>
    <row r="60" spans="2:15" x14ac:dyDescent="0.35">
      <c r="B60" s="69">
        <v>44064</v>
      </c>
      <c r="C60" s="15"/>
      <c r="D60" s="185"/>
      <c r="E60" s="138"/>
      <c r="F60" s="186"/>
      <c r="G60" s="186"/>
      <c r="H60" s="186">
        <f t="shared" si="0"/>
        <v>0</v>
      </c>
      <c r="I60" s="186"/>
      <c r="J60" s="186"/>
      <c r="O60" t="s">
        <v>168</v>
      </c>
    </row>
    <row r="61" spans="2:15" x14ac:dyDescent="0.35">
      <c r="B61" s="69">
        <v>44071</v>
      </c>
      <c r="C61" s="15"/>
      <c r="D61" s="185"/>
      <c r="E61" s="138"/>
      <c r="F61" s="186"/>
      <c r="G61" s="186"/>
      <c r="H61" s="186">
        <f t="shared" si="0"/>
        <v>0</v>
      </c>
      <c r="I61" s="186"/>
      <c r="J61" s="186"/>
      <c r="O61" t="s">
        <v>168</v>
      </c>
    </row>
    <row r="62" spans="2:15" x14ac:dyDescent="0.35">
      <c r="B62" s="69">
        <v>44081</v>
      </c>
      <c r="C62" s="15"/>
      <c r="D62" s="185"/>
      <c r="E62" s="138"/>
      <c r="F62" s="186"/>
      <c r="G62" s="186"/>
      <c r="H62" s="186">
        <f t="shared" si="0"/>
        <v>0</v>
      </c>
      <c r="I62" s="186"/>
      <c r="J62" s="186"/>
      <c r="O62" t="s">
        <v>168</v>
      </c>
    </row>
    <row r="63" spans="2:15" x14ac:dyDescent="0.35">
      <c r="B63" s="69">
        <v>44082</v>
      </c>
      <c r="C63" s="15"/>
      <c r="D63" s="185"/>
      <c r="E63" s="138"/>
      <c r="F63" s="186"/>
      <c r="G63" s="186"/>
      <c r="H63" s="186">
        <f t="shared" si="0"/>
        <v>0</v>
      </c>
      <c r="I63" s="186"/>
      <c r="J63" s="186"/>
      <c r="O63" t="s">
        <v>168</v>
      </c>
    </row>
    <row r="64" spans="2:15" x14ac:dyDescent="0.35">
      <c r="B64" s="69">
        <v>44085</v>
      </c>
      <c r="C64" s="15"/>
      <c r="D64" s="185"/>
      <c r="E64" s="138"/>
      <c r="F64" s="186"/>
      <c r="G64" s="186"/>
      <c r="H64" s="186">
        <f t="shared" si="0"/>
        <v>0</v>
      </c>
      <c r="I64" s="186"/>
      <c r="J64" s="186"/>
      <c r="O64" t="s">
        <v>168</v>
      </c>
    </row>
    <row r="65" spans="2:15" x14ac:dyDescent="0.35">
      <c r="B65" s="69">
        <v>44089</v>
      </c>
      <c r="C65" s="15"/>
      <c r="D65" s="185"/>
      <c r="E65" s="138"/>
      <c r="F65" s="186"/>
      <c r="G65" s="186"/>
      <c r="H65" s="186">
        <f t="shared" si="0"/>
        <v>0</v>
      </c>
      <c r="I65" s="186"/>
      <c r="J65" s="186"/>
      <c r="O65" t="s">
        <v>168</v>
      </c>
    </row>
    <row r="66" spans="2:15" x14ac:dyDescent="0.35">
      <c r="B66" s="69">
        <v>44098</v>
      </c>
      <c r="C66" s="15"/>
      <c r="D66" s="185"/>
      <c r="E66" s="138"/>
      <c r="F66" s="186"/>
      <c r="G66" s="186"/>
      <c r="H66" s="186">
        <f t="shared" si="0"/>
        <v>0</v>
      </c>
      <c r="I66" s="186"/>
      <c r="J66" s="186"/>
      <c r="O66" t="s">
        <v>168</v>
      </c>
    </row>
    <row r="67" spans="2:15" x14ac:dyDescent="0.35">
      <c r="B67" s="69">
        <v>44102</v>
      </c>
      <c r="C67" s="15"/>
      <c r="D67" s="185"/>
      <c r="E67" s="138"/>
      <c r="F67" s="186"/>
      <c r="G67" s="186"/>
      <c r="H67" s="186">
        <f t="shared" si="0"/>
        <v>0</v>
      </c>
      <c r="I67" s="186"/>
      <c r="J67" s="186"/>
      <c r="O67" t="s">
        <v>168</v>
      </c>
    </row>
    <row r="68" spans="2:15" x14ac:dyDescent="0.35">
      <c r="B68" s="69">
        <v>44104</v>
      </c>
      <c r="C68" s="15"/>
      <c r="D68" s="185"/>
      <c r="E68" s="138"/>
      <c r="F68" s="186"/>
      <c r="G68" s="186"/>
      <c r="H68" s="186">
        <f t="shared" si="0"/>
        <v>0</v>
      </c>
      <c r="I68" s="186"/>
      <c r="J68" s="186"/>
      <c r="O68" t="s">
        <v>168</v>
      </c>
    </row>
    <row r="69" spans="2:15" x14ac:dyDescent="0.35">
      <c r="B69" s="186" t="e">
        <f t="shared" ref="B69" si="1">#REF!+A69</f>
        <v>#REF!</v>
      </c>
      <c r="C69" s="11"/>
      <c r="D69" s="11"/>
      <c r="E69" s="69"/>
      <c r="F69" s="69"/>
      <c r="J69" s="185"/>
      <c r="O69" t="s">
        <v>168</v>
      </c>
    </row>
    <row r="70" spans="2:15" x14ac:dyDescent="0.35">
      <c r="B70" s="186" t="e">
        <f t="shared" ref="B70" si="2">#REF!+A70</f>
        <v>#REF!</v>
      </c>
      <c r="C70" s="11"/>
      <c r="D70" s="11"/>
      <c r="E70" s="69"/>
      <c r="F70" s="69"/>
      <c r="J70" s="185"/>
      <c r="O70" t="s">
        <v>168</v>
      </c>
    </row>
    <row r="71" spans="2:15" x14ac:dyDescent="0.35">
      <c r="B71" s="186" t="e">
        <f t="shared" ref="B71" si="3">#REF!+A71</f>
        <v>#REF!</v>
      </c>
      <c r="C71" s="186"/>
      <c r="D71" s="138"/>
      <c r="E71" s="69"/>
      <c r="F71" s="69"/>
      <c r="J71" s="185"/>
      <c r="O71" t="s">
        <v>168</v>
      </c>
    </row>
    <row r="72" spans="2:15" x14ac:dyDescent="0.35">
      <c r="B72" s="186" t="e">
        <f t="shared" ref="B72" si="4">#REF!+A72</f>
        <v>#REF!</v>
      </c>
      <c r="C72" s="11"/>
      <c r="D72" s="11"/>
      <c r="E72" s="69"/>
      <c r="F72" s="69"/>
      <c r="J72" s="185"/>
      <c r="O72" t="s">
        <v>168</v>
      </c>
    </row>
    <row r="73" spans="2:15" x14ac:dyDescent="0.35">
      <c r="B73" s="186" t="e">
        <f t="shared" ref="B73" si="5">#REF!+A73</f>
        <v>#REF!</v>
      </c>
      <c r="C73" s="186"/>
      <c r="D73" s="138"/>
      <c r="E73" s="69"/>
      <c r="F73" s="69"/>
      <c r="J73" s="185"/>
      <c r="O73" t="s">
        <v>168</v>
      </c>
    </row>
    <row r="74" spans="2:15" x14ac:dyDescent="0.35">
      <c r="B74" s="186" t="e">
        <f t="shared" ref="B74" si="6">#REF!+A74</f>
        <v>#REF!</v>
      </c>
      <c r="C74" s="11"/>
      <c r="D74" s="11"/>
      <c r="E74" s="69"/>
      <c r="F74" s="69"/>
      <c r="J74" s="185"/>
      <c r="O74" t="s">
        <v>168</v>
      </c>
    </row>
    <row r="75" spans="2:15" x14ac:dyDescent="0.35">
      <c r="B75" s="186" t="e">
        <f t="shared" ref="B75" si="7">#REF!+A75</f>
        <v>#REF!</v>
      </c>
      <c r="C75" s="11"/>
      <c r="D75" s="11"/>
      <c r="E75" s="69"/>
      <c r="F75" s="69"/>
      <c r="J75" s="185"/>
      <c r="O75" t="s">
        <v>168</v>
      </c>
    </row>
    <row r="76" spans="2:15" x14ac:dyDescent="0.35">
      <c r="B76" s="186" t="e">
        <f t="shared" ref="B76" si="8">#REF!+A76</f>
        <v>#REF!</v>
      </c>
      <c r="C76" s="11"/>
      <c r="D76" s="11"/>
      <c r="E76" s="69"/>
      <c r="F76" s="69"/>
      <c r="J76" s="185"/>
      <c r="O76" t="s">
        <v>168</v>
      </c>
    </row>
    <row r="77" spans="2:15" x14ac:dyDescent="0.35">
      <c r="B77" s="186" t="e">
        <f t="shared" ref="B77" si="9">#REF!+A77</f>
        <v>#REF!</v>
      </c>
      <c r="C77" s="11"/>
      <c r="D77" s="11"/>
      <c r="E77" s="39"/>
      <c r="F77" s="69"/>
      <c r="J77" s="185"/>
      <c r="O77" t="s">
        <v>168</v>
      </c>
    </row>
    <row r="78" spans="2:15" x14ac:dyDescent="0.35">
      <c r="B78" s="186" t="e">
        <f t="shared" ref="B78" si="10">#REF!+A78</f>
        <v>#REF!</v>
      </c>
      <c r="C78" s="186"/>
      <c r="D78" s="138"/>
      <c r="E78" s="138"/>
      <c r="F78" s="185"/>
      <c r="J78" s="185"/>
      <c r="O78" t="s">
        <v>168</v>
      </c>
    </row>
    <row r="79" spans="2:15" x14ac:dyDescent="0.35">
      <c r="B79" s="186" t="e">
        <f t="shared" ref="B79" si="11">#REF!+A79</f>
        <v>#REF!</v>
      </c>
      <c r="C79" s="11"/>
      <c r="D79" s="11"/>
      <c r="E79" s="39"/>
      <c r="F79" s="69"/>
      <c r="J79" s="185"/>
      <c r="O79" t="s">
        <v>168</v>
      </c>
    </row>
    <row r="80" spans="2:15" x14ac:dyDescent="0.35">
      <c r="B80" s="186" t="e">
        <f t="shared" ref="B80" si="12">#REF!+A80</f>
        <v>#REF!</v>
      </c>
      <c r="C80" s="39"/>
      <c r="D80" s="39"/>
      <c r="E80" s="39"/>
      <c r="F80" s="89"/>
      <c r="J80" s="185"/>
      <c r="O80" t="s">
        <v>168</v>
      </c>
    </row>
    <row r="81" spans="2:15" x14ac:dyDescent="0.35">
      <c r="B81" s="186" t="e">
        <f t="shared" ref="B81" si="13">#REF!+A81</f>
        <v>#REF!</v>
      </c>
      <c r="C81" s="39"/>
      <c r="D81" s="39"/>
      <c r="E81" s="39"/>
      <c r="F81" s="89"/>
      <c r="J81" s="185"/>
      <c r="O81" t="s">
        <v>168</v>
      </c>
    </row>
    <row r="82" spans="2:15" x14ac:dyDescent="0.35">
      <c r="B82" s="186" t="e">
        <f t="shared" ref="B82" si="14">#REF!+A82</f>
        <v>#REF!</v>
      </c>
      <c r="C82" s="186"/>
      <c r="D82" s="138"/>
      <c r="E82" s="39"/>
      <c r="F82" s="69"/>
      <c r="J82" s="185"/>
      <c r="O82" t="s">
        <v>168</v>
      </c>
    </row>
    <row r="83" spans="2:15" x14ac:dyDescent="0.35">
      <c r="B83" s="186" t="e">
        <f t="shared" ref="B83" si="15">#REF!+A83</f>
        <v>#REF!</v>
      </c>
      <c r="C83" s="186"/>
      <c r="D83" s="186"/>
      <c r="E83" s="186"/>
      <c r="F83" s="186"/>
      <c r="J83" s="185"/>
      <c r="O83" t="s">
        <v>168</v>
      </c>
    </row>
    <row r="84" spans="2:15" x14ac:dyDescent="0.35">
      <c r="B84" s="186" t="e">
        <f t="shared" ref="B84" si="16">#REF!+A84</f>
        <v>#REF!</v>
      </c>
      <c r="C84" s="186"/>
      <c r="D84" s="186"/>
      <c r="E84" s="186"/>
      <c r="F84" s="186"/>
      <c r="J84" s="185"/>
      <c r="O84" t="s">
        <v>168</v>
      </c>
    </row>
    <row r="85" spans="2:15" x14ac:dyDescent="0.35">
      <c r="B85" s="186" t="e">
        <f t="shared" ref="B85" si="17">#REF!+A85</f>
        <v>#REF!</v>
      </c>
      <c r="C85" s="186"/>
      <c r="D85" s="186"/>
      <c r="E85" s="186"/>
      <c r="F85" s="186"/>
      <c r="J85" s="185"/>
      <c r="O85" t="s">
        <v>168</v>
      </c>
    </row>
    <row r="86" spans="2:15" x14ac:dyDescent="0.35">
      <c r="B86" s="186" t="e">
        <f t="shared" ref="B86" si="18">#REF!+A86</f>
        <v>#REF!</v>
      </c>
      <c r="C86" s="186"/>
      <c r="D86" s="186"/>
      <c r="E86" s="186"/>
      <c r="F86" s="186"/>
      <c r="J86" s="185"/>
      <c r="O86" t="s">
        <v>168</v>
      </c>
    </row>
    <row r="87" spans="2:15" x14ac:dyDescent="0.35">
      <c r="B87" s="186" t="e">
        <f t="shared" ref="B87" si="19">#REF!+A87</f>
        <v>#REF!</v>
      </c>
      <c r="C87" s="186"/>
      <c r="D87" s="186"/>
      <c r="E87" s="186"/>
      <c r="F87" s="186"/>
      <c r="J87" s="185"/>
      <c r="O87" t="s">
        <v>168</v>
      </c>
    </row>
    <row r="88" spans="2:15" x14ac:dyDescent="0.35">
      <c r="B88" s="186" t="e">
        <f t="shared" ref="B88" si="20">#REF!+A88</f>
        <v>#REF!</v>
      </c>
      <c r="C88" s="186"/>
      <c r="D88" s="186"/>
      <c r="E88" s="186"/>
      <c r="F88" s="186"/>
      <c r="J88" s="185"/>
      <c r="O88" t="s">
        <v>168</v>
      </c>
    </row>
    <row r="89" spans="2:15" x14ac:dyDescent="0.35">
      <c r="B89" s="186" t="e">
        <f t="shared" ref="B89" si="21">#REF!+A89</f>
        <v>#REF!</v>
      </c>
      <c r="C89" s="186"/>
      <c r="D89" s="186"/>
      <c r="E89" s="186"/>
      <c r="F89" s="186"/>
      <c r="J89" s="185"/>
      <c r="O89" t="s">
        <v>168</v>
      </c>
    </row>
    <row r="90" spans="2:15" x14ac:dyDescent="0.35">
      <c r="B90" s="186" t="e">
        <f t="shared" ref="B90" si="22">#REF!+A90</f>
        <v>#REF!</v>
      </c>
      <c r="C90" s="186"/>
      <c r="D90" s="186"/>
      <c r="E90" s="186"/>
      <c r="F90" s="186"/>
      <c r="J90" s="185"/>
      <c r="O90" t="s">
        <v>168</v>
      </c>
    </row>
    <row r="91" spans="2:15" x14ac:dyDescent="0.35">
      <c r="B91" s="186" t="e">
        <f t="shared" ref="B91" si="23">#REF!+A91</f>
        <v>#REF!</v>
      </c>
      <c r="C91" s="186"/>
      <c r="D91" s="186"/>
      <c r="E91" s="186"/>
      <c r="F91" s="186"/>
      <c r="J91" s="185"/>
      <c r="O91" t="s">
        <v>168</v>
      </c>
    </row>
    <row r="92" spans="2:15" x14ac:dyDescent="0.35">
      <c r="B92" s="186" t="e">
        <f t="shared" ref="B92" si="24">#REF!+A92</f>
        <v>#REF!</v>
      </c>
      <c r="C92" s="186"/>
      <c r="D92" s="186"/>
      <c r="E92" s="186"/>
      <c r="F92" s="186"/>
      <c r="J92" s="185"/>
      <c r="O92" t="s">
        <v>168</v>
      </c>
    </row>
    <row r="93" spans="2:15" x14ac:dyDescent="0.35">
      <c r="B93" s="186" t="e">
        <f t="shared" ref="B93" si="25">#REF!+A93</f>
        <v>#REF!</v>
      </c>
      <c r="C93" s="186"/>
      <c r="D93" s="186"/>
      <c r="E93" s="186"/>
      <c r="F93" s="186"/>
      <c r="J93" s="185"/>
      <c r="O93" t="s">
        <v>168</v>
      </c>
    </row>
    <row r="94" spans="2:15" x14ac:dyDescent="0.35">
      <c r="B94" s="186" t="e">
        <f t="shared" ref="B94" si="26">#REF!+A94</f>
        <v>#REF!</v>
      </c>
      <c r="C94" s="186"/>
      <c r="D94" s="186"/>
      <c r="E94" s="186"/>
      <c r="F94" s="186"/>
      <c r="J94" s="185"/>
      <c r="O94" t="s">
        <v>168</v>
      </c>
    </row>
    <row r="95" spans="2:15" x14ac:dyDescent="0.35">
      <c r="B95" s="186" t="e">
        <f t="shared" ref="B95" si="27">#REF!+A95</f>
        <v>#REF!</v>
      </c>
      <c r="C95" s="186"/>
      <c r="D95" s="186"/>
      <c r="E95" s="186"/>
      <c r="F95" s="186"/>
      <c r="J95" s="185"/>
      <c r="O95" t="s">
        <v>168</v>
      </c>
    </row>
    <row r="96" spans="2:15" x14ac:dyDescent="0.35">
      <c r="B96" s="186" t="e">
        <f t="shared" ref="B96" si="28">#REF!+A96</f>
        <v>#REF!</v>
      </c>
      <c r="C96" s="186"/>
      <c r="D96" s="186"/>
      <c r="E96" s="186"/>
      <c r="F96" s="186"/>
      <c r="J96" s="185"/>
      <c r="O96" t="s">
        <v>168</v>
      </c>
    </row>
    <row r="97" spans="2:15" x14ac:dyDescent="0.35">
      <c r="B97" s="186" t="e">
        <f t="shared" ref="B97" si="29">#REF!+A97</f>
        <v>#REF!</v>
      </c>
      <c r="C97" s="186"/>
      <c r="D97" s="186"/>
      <c r="E97" s="186"/>
      <c r="F97" s="186"/>
      <c r="J97" s="185"/>
      <c r="O97" t="s">
        <v>168</v>
      </c>
    </row>
    <row r="98" spans="2:15" x14ac:dyDescent="0.35">
      <c r="B98" s="186" t="e">
        <f t="shared" ref="B98" si="30">#REF!+A98</f>
        <v>#REF!</v>
      </c>
      <c r="C98" s="186"/>
      <c r="D98" s="186"/>
      <c r="E98" s="186"/>
      <c r="F98" s="186"/>
      <c r="J98" s="185"/>
      <c r="O98" t="s">
        <v>168</v>
      </c>
    </row>
    <row r="99" spans="2:15" x14ac:dyDescent="0.35">
      <c r="B99" s="186" t="e">
        <f t="shared" ref="B99" si="31">#REF!+A99</f>
        <v>#REF!</v>
      </c>
      <c r="C99" s="186"/>
      <c r="D99" s="186"/>
      <c r="E99" s="186"/>
      <c r="F99" s="186"/>
      <c r="J99" s="185"/>
      <c r="O99" t="s">
        <v>168</v>
      </c>
    </row>
    <row r="100" spans="2:15" x14ac:dyDescent="0.35">
      <c r="B100" s="186" t="e">
        <f t="shared" ref="B100" si="32">#REF!+A100</f>
        <v>#REF!</v>
      </c>
      <c r="C100" s="186"/>
      <c r="D100" s="186"/>
      <c r="E100" s="186"/>
      <c r="F100" s="186"/>
      <c r="J100" s="185"/>
      <c r="O100" t="s">
        <v>168</v>
      </c>
    </row>
    <row r="101" spans="2:15" x14ac:dyDescent="0.35">
      <c r="B101" s="186" t="e">
        <f t="shared" ref="B101" si="33">#REF!+A101</f>
        <v>#REF!</v>
      </c>
      <c r="C101" s="186"/>
      <c r="D101" s="186"/>
      <c r="E101" s="186"/>
      <c r="F101" s="186"/>
      <c r="J101" s="185"/>
      <c r="O101" t="s">
        <v>168</v>
      </c>
    </row>
    <row r="102" spans="2:15" x14ac:dyDescent="0.35">
      <c r="B102" s="186" t="e">
        <f t="shared" ref="B102" si="34">#REF!+A102</f>
        <v>#REF!</v>
      </c>
      <c r="C102" s="186"/>
      <c r="D102" s="186"/>
      <c r="E102" s="186"/>
      <c r="F102" s="186"/>
      <c r="J102" s="185"/>
      <c r="O102" t="s">
        <v>168</v>
      </c>
    </row>
    <row r="103" spans="2:15" x14ac:dyDescent="0.35">
      <c r="B103" s="186" t="e">
        <f t="shared" ref="B103" si="35">#REF!+A103</f>
        <v>#REF!</v>
      </c>
      <c r="C103" s="186"/>
      <c r="D103" s="186"/>
      <c r="E103" s="186"/>
      <c r="F103" s="186"/>
      <c r="J103" s="185"/>
      <c r="O103" t="s">
        <v>168</v>
      </c>
    </row>
    <row r="104" spans="2:15" x14ac:dyDescent="0.35">
      <c r="B104" s="186" t="e">
        <f t="shared" ref="B104" si="36">#REF!+A104</f>
        <v>#REF!</v>
      </c>
      <c r="C104" s="186"/>
      <c r="D104" s="186"/>
      <c r="E104" s="186"/>
      <c r="F104" s="186"/>
      <c r="J104" s="185"/>
      <c r="O104" t="s">
        <v>168</v>
      </c>
    </row>
    <row r="105" spans="2:15" x14ac:dyDescent="0.35">
      <c r="B105" s="186" t="e">
        <f t="shared" ref="B105" si="37">#REF!+A105</f>
        <v>#REF!</v>
      </c>
      <c r="C105" s="186"/>
      <c r="D105" s="186"/>
      <c r="E105" s="186"/>
      <c r="F105" s="186"/>
      <c r="J105" s="185"/>
      <c r="O105" t="s">
        <v>168</v>
      </c>
    </row>
    <row r="106" spans="2:15" x14ac:dyDescent="0.35">
      <c r="B106" s="186" t="e">
        <f t="shared" ref="B106" si="38">#REF!+A106</f>
        <v>#REF!</v>
      </c>
      <c r="C106" s="186"/>
      <c r="D106" s="186"/>
      <c r="E106" s="186"/>
      <c r="F106" s="186"/>
      <c r="J106" s="185"/>
      <c r="O106" t="s">
        <v>168</v>
      </c>
    </row>
    <row r="107" spans="2:15" x14ac:dyDescent="0.35">
      <c r="B107" s="186" t="e">
        <f t="shared" ref="B107" si="39">#REF!+A107</f>
        <v>#REF!</v>
      </c>
      <c r="C107" s="186"/>
      <c r="D107" s="186"/>
      <c r="E107" s="186"/>
      <c r="F107" s="186"/>
      <c r="J107" s="185"/>
      <c r="O107" t="s">
        <v>168</v>
      </c>
    </row>
    <row r="108" spans="2:15" x14ac:dyDescent="0.35">
      <c r="B108" s="186" t="e">
        <f t="shared" ref="B108" si="40">#REF!+A108</f>
        <v>#REF!</v>
      </c>
      <c r="C108" s="186"/>
      <c r="D108" s="186"/>
      <c r="E108" s="186"/>
      <c r="F108" s="186"/>
      <c r="J108" s="185"/>
      <c r="O108" t="s">
        <v>168</v>
      </c>
    </row>
    <row r="109" spans="2:15" x14ac:dyDescent="0.35">
      <c r="B109" s="186" t="e">
        <f t="shared" ref="B109" si="41">#REF!+A109</f>
        <v>#REF!</v>
      </c>
      <c r="C109" s="186"/>
      <c r="D109" s="186"/>
      <c r="E109" s="186"/>
      <c r="F109" s="186"/>
      <c r="J109" s="185"/>
      <c r="O109" t="s">
        <v>168</v>
      </c>
    </row>
    <row r="110" spans="2:15" x14ac:dyDescent="0.35">
      <c r="B110" s="186" t="e">
        <f t="shared" ref="B110" si="42">#REF!+A110</f>
        <v>#REF!</v>
      </c>
      <c r="C110" s="186"/>
      <c r="D110" s="186"/>
      <c r="E110" s="186"/>
      <c r="F110" s="186"/>
      <c r="J110" s="185"/>
      <c r="O110" t="s">
        <v>168</v>
      </c>
    </row>
    <row r="111" spans="2:15" x14ac:dyDescent="0.35">
      <c r="B111" s="186" t="e">
        <f t="shared" ref="B111" si="43">#REF!+A111</f>
        <v>#REF!</v>
      </c>
      <c r="C111" s="186"/>
      <c r="D111" s="186"/>
      <c r="E111" s="186"/>
      <c r="F111" s="186"/>
      <c r="J111" s="185"/>
      <c r="O111" t="s">
        <v>168</v>
      </c>
    </row>
    <row r="112" spans="2:15" x14ac:dyDescent="0.35">
      <c r="B112" s="186" t="e">
        <f t="shared" ref="B112" si="44">#REF!+A112</f>
        <v>#REF!</v>
      </c>
      <c r="C112" s="186"/>
      <c r="D112" s="186"/>
      <c r="E112" s="186"/>
      <c r="F112" s="186"/>
      <c r="J112" s="185"/>
      <c r="O112" t="s">
        <v>168</v>
      </c>
    </row>
    <row r="113" spans="2:15" x14ac:dyDescent="0.35">
      <c r="B113" s="186" t="e">
        <f t="shared" ref="B113" si="45">#REF!+A113</f>
        <v>#REF!</v>
      </c>
      <c r="C113" s="186"/>
      <c r="D113" s="186"/>
      <c r="E113" s="186"/>
      <c r="F113" s="186"/>
      <c r="J113" s="185"/>
      <c r="O113" t="s">
        <v>168</v>
      </c>
    </row>
    <row r="114" spans="2:15" x14ac:dyDescent="0.35">
      <c r="B114" s="186" t="e">
        <f t="shared" ref="B114" si="46">#REF!+A114</f>
        <v>#REF!</v>
      </c>
      <c r="C114" s="186"/>
      <c r="D114" s="186"/>
      <c r="E114" s="186"/>
      <c r="F114" s="186"/>
      <c r="J114" s="185"/>
      <c r="O114" t="s">
        <v>168</v>
      </c>
    </row>
    <row r="115" spans="2:15" x14ac:dyDescent="0.35">
      <c r="B115" s="186" t="e">
        <f t="shared" ref="B115" si="47">#REF!+A115</f>
        <v>#REF!</v>
      </c>
      <c r="C115" s="186"/>
      <c r="D115" s="186"/>
      <c r="E115" s="186"/>
      <c r="F115" s="186"/>
      <c r="J115" s="185"/>
      <c r="O115" t="s">
        <v>168</v>
      </c>
    </row>
    <row r="116" spans="2:15" x14ac:dyDescent="0.35">
      <c r="B116" s="186" t="e">
        <f t="shared" ref="B116" si="48">#REF!+A116</f>
        <v>#REF!</v>
      </c>
      <c r="C116" s="186"/>
      <c r="D116" s="186"/>
      <c r="E116" s="186"/>
      <c r="F116" s="186"/>
      <c r="J116" s="185"/>
      <c r="O116" t="s">
        <v>168</v>
      </c>
    </row>
    <row r="117" spans="2:15" x14ac:dyDescent="0.35">
      <c r="B117" s="186" t="e">
        <f t="shared" ref="B117" si="49">#REF!+A117</f>
        <v>#REF!</v>
      </c>
      <c r="C117" s="186"/>
      <c r="D117" s="186"/>
      <c r="E117" s="186"/>
      <c r="F117" s="186"/>
      <c r="J117" s="185"/>
      <c r="O117" t="s">
        <v>168</v>
      </c>
    </row>
    <row r="118" spans="2:15" x14ac:dyDescent="0.35">
      <c r="B118" s="186" t="e">
        <f t="shared" ref="B118" si="50">#REF!+A118</f>
        <v>#REF!</v>
      </c>
      <c r="C118" s="186"/>
      <c r="D118" s="186"/>
      <c r="E118" s="186"/>
      <c r="F118" s="186"/>
      <c r="J118" s="185"/>
      <c r="O118" t="s">
        <v>168</v>
      </c>
    </row>
    <row r="119" spans="2:15" x14ac:dyDescent="0.35">
      <c r="B119" s="186" t="e">
        <f t="shared" ref="B119" si="51">#REF!+A119</f>
        <v>#REF!</v>
      </c>
      <c r="C119" s="186"/>
      <c r="D119" s="186"/>
      <c r="E119" s="186"/>
      <c r="F119" s="186"/>
      <c r="J119" s="185"/>
      <c r="O119" t="s">
        <v>168</v>
      </c>
    </row>
    <row r="120" spans="2:15" x14ac:dyDescent="0.35">
      <c r="B120" s="186" t="e">
        <f t="shared" ref="B120" si="52">#REF!+A120</f>
        <v>#REF!</v>
      </c>
      <c r="C120" s="186"/>
      <c r="D120" s="186"/>
      <c r="E120" s="186"/>
      <c r="F120" s="186"/>
      <c r="J120" s="185"/>
      <c r="O120" t="s">
        <v>168</v>
      </c>
    </row>
    <row r="121" spans="2:15" x14ac:dyDescent="0.35">
      <c r="B121" s="186" t="e">
        <f t="shared" ref="B121" si="53">#REF!+A121</f>
        <v>#REF!</v>
      </c>
      <c r="C121" s="186"/>
      <c r="D121" s="186"/>
      <c r="E121" s="186"/>
      <c r="F121" s="186"/>
      <c r="J121" s="185"/>
      <c r="O121" t="s">
        <v>168</v>
      </c>
    </row>
    <row r="122" spans="2:15" x14ac:dyDescent="0.35">
      <c r="B122" s="186" t="e">
        <f t="shared" ref="B122" si="54">#REF!+A122</f>
        <v>#REF!</v>
      </c>
      <c r="C122" s="11"/>
      <c r="D122" s="11"/>
      <c r="E122" s="39"/>
      <c r="F122" s="11"/>
      <c r="J122" s="73"/>
      <c r="O122" t="s">
        <v>168</v>
      </c>
    </row>
    <row r="123" spans="2:15" x14ac:dyDescent="0.35">
      <c r="B123" s="186" t="e">
        <f t="shared" ref="B123" si="55">#REF!+A123</f>
        <v>#REF!</v>
      </c>
      <c r="C123" s="11"/>
      <c r="D123" s="11"/>
      <c r="E123" s="39"/>
      <c r="F123" s="11"/>
      <c r="J123" s="185"/>
      <c r="O123" t="s">
        <v>168</v>
      </c>
    </row>
    <row r="124" spans="2:15" x14ac:dyDescent="0.35">
      <c r="B124" s="186" t="e">
        <f t="shared" ref="B124" si="56">#REF!+A124</f>
        <v>#REF!</v>
      </c>
      <c r="C124" s="11"/>
      <c r="D124" s="11"/>
      <c r="E124" s="39"/>
      <c r="F124" s="11"/>
      <c r="J124" s="185"/>
      <c r="O124" t="s">
        <v>168</v>
      </c>
    </row>
    <row r="125" spans="2:15" x14ac:dyDescent="0.35">
      <c r="B125" s="186" t="e">
        <f t="shared" ref="B125" si="57">#REF!+A125</f>
        <v>#REF!</v>
      </c>
      <c r="C125" s="11"/>
      <c r="D125" s="11"/>
      <c r="E125" s="39"/>
      <c r="F125" s="11"/>
      <c r="J125" s="185"/>
      <c r="O125" t="s">
        <v>168</v>
      </c>
    </row>
    <row r="126" spans="2:15" x14ac:dyDescent="0.35">
      <c r="B126" s="186" t="e">
        <f t="shared" ref="B126" si="58">#REF!+A126</f>
        <v>#REF!</v>
      </c>
      <c r="C126" s="11"/>
      <c r="D126" s="11"/>
      <c r="E126" s="39"/>
      <c r="F126" s="11"/>
      <c r="J126" s="185"/>
      <c r="O126" t="s">
        <v>168</v>
      </c>
    </row>
    <row r="127" spans="2:15" x14ac:dyDescent="0.35">
      <c r="B127" s="186" t="e">
        <f t="shared" ref="B127" si="59">#REF!+A127</f>
        <v>#REF!</v>
      </c>
      <c r="C127" s="11"/>
      <c r="D127" s="11"/>
      <c r="E127" s="39"/>
      <c r="F127" s="11"/>
      <c r="J127" s="185"/>
      <c r="O127" t="s">
        <v>168</v>
      </c>
    </row>
    <row r="128" spans="2:15" x14ac:dyDescent="0.35">
      <c r="B128" s="186" t="e">
        <f t="shared" ref="B128" si="60">#REF!+A128</f>
        <v>#REF!</v>
      </c>
      <c r="C128" s="11"/>
      <c r="D128" s="11"/>
      <c r="E128" s="39"/>
      <c r="F128" s="11"/>
      <c r="J128" s="185"/>
      <c r="O128" t="s">
        <v>168</v>
      </c>
    </row>
    <row r="129" spans="2:15" x14ac:dyDescent="0.35">
      <c r="B129" s="186" t="e">
        <f t="shared" ref="B129" si="61">#REF!+A129</f>
        <v>#REF!</v>
      </c>
      <c r="C129" s="11"/>
      <c r="D129" s="11"/>
      <c r="E129" s="39"/>
      <c r="F129" s="11"/>
      <c r="J129" s="185"/>
      <c r="O129" t="s">
        <v>168</v>
      </c>
    </row>
    <row r="130" spans="2:15" x14ac:dyDescent="0.35">
      <c r="B130" s="186" t="e">
        <f t="shared" ref="B130" si="62">#REF!+A130</f>
        <v>#REF!</v>
      </c>
      <c r="C130" s="11"/>
      <c r="D130" s="11"/>
      <c r="E130" s="39"/>
      <c r="F130" s="11"/>
      <c r="J130" s="185"/>
      <c r="O130" t="s">
        <v>168</v>
      </c>
    </row>
    <row r="131" spans="2:15" x14ac:dyDescent="0.35">
      <c r="B131" s="186" t="e">
        <f t="shared" ref="B131" si="63">#REF!+A131</f>
        <v>#REF!</v>
      </c>
      <c r="C131" s="11"/>
      <c r="D131" s="11"/>
      <c r="E131" s="39"/>
      <c r="F131" s="11"/>
      <c r="J131" s="185"/>
      <c r="O131" t="s">
        <v>168</v>
      </c>
    </row>
    <row r="132" spans="2:15" x14ac:dyDescent="0.35">
      <c r="B132" s="186" t="e">
        <f t="shared" ref="B132" si="64">#REF!+A132</f>
        <v>#REF!</v>
      </c>
      <c r="C132" s="11"/>
      <c r="D132" s="11"/>
      <c r="E132" s="39"/>
      <c r="F132" s="11"/>
      <c r="J132" s="185"/>
      <c r="O132" t="s">
        <v>168</v>
      </c>
    </row>
    <row r="133" spans="2:15" x14ac:dyDescent="0.35">
      <c r="B133" s="186" t="e">
        <f t="shared" ref="B133" si="65">#REF!+A133</f>
        <v>#REF!</v>
      </c>
      <c r="C133" s="11"/>
      <c r="D133" s="11"/>
      <c r="E133" s="39"/>
      <c r="F133" s="11"/>
      <c r="J133" s="185"/>
      <c r="O133" t="s">
        <v>168</v>
      </c>
    </row>
    <row r="134" spans="2:15" x14ac:dyDescent="0.35">
      <c r="B134" s="186" t="e">
        <f t="shared" ref="B134" si="66">#REF!+A134</f>
        <v>#REF!</v>
      </c>
      <c r="C134" s="11"/>
      <c r="D134" s="11"/>
      <c r="E134" s="39"/>
      <c r="F134" s="11"/>
      <c r="J134" s="185"/>
      <c r="O134" t="s">
        <v>168</v>
      </c>
    </row>
    <row r="135" spans="2:15" x14ac:dyDescent="0.35">
      <c r="B135" s="186" t="e">
        <f t="shared" ref="B135" si="67">#REF!+A135</f>
        <v>#REF!</v>
      </c>
      <c r="C135" s="11"/>
      <c r="D135" s="11"/>
      <c r="E135" s="39"/>
      <c r="F135" s="11"/>
      <c r="J135" s="185"/>
      <c r="O135" t="s">
        <v>168</v>
      </c>
    </row>
    <row r="136" spans="2:15" x14ac:dyDescent="0.35">
      <c r="B136" s="186" t="e">
        <f t="shared" ref="B136" si="68">#REF!+A136</f>
        <v>#REF!</v>
      </c>
      <c r="C136" s="11"/>
      <c r="D136" s="11"/>
      <c r="E136" s="39"/>
      <c r="F136" s="11"/>
      <c r="J136" s="185"/>
      <c r="O136" t="s">
        <v>168</v>
      </c>
    </row>
    <row r="137" spans="2:15" x14ac:dyDescent="0.35">
      <c r="B137" s="186" t="e">
        <f t="shared" ref="B137" si="69">#REF!+A137</f>
        <v>#REF!</v>
      </c>
      <c r="C137" s="11"/>
      <c r="D137" s="11"/>
      <c r="E137" s="39"/>
      <c r="F137" s="11"/>
      <c r="J137" s="185"/>
      <c r="O137" t="s">
        <v>168</v>
      </c>
    </row>
    <row r="138" spans="2:15" x14ac:dyDescent="0.35">
      <c r="B138" s="186" t="e">
        <f t="shared" ref="B138" si="70">#REF!+A138</f>
        <v>#REF!</v>
      </c>
      <c r="C138" s="11"/>
      <c r="D138" s="11"/>
      <c r="E138" s="39"/>
      <c r="F138" s="11"/>
      <c r="J138" s="185"/>
      <c r="O138" t="s">
        <v>168</v>
      </c>
    </row>
    <row r="139" spans="2:15" x14ac:dyDescent="0.35">
      <c r="B139" s="186" t="e">
        <f t="shared" ref="B139" si="71">#REF!+A139</f>
        <v>#REF!</v>
      </c>
      <c r="C139" s="11"/>
      <c r="D139" s="11"/>
      <c r="E139" s="39"/>
      <c r="F139" s="11"/>
      <c r="J139" s="185"/>
      <c r="O139" t="s">
        <v>168</v>
      </c>
    </row>
    <row r="140" spans="2:15" x14ac:dyDescent="0.35">
      <c r="B140" s="186" t="e">
        <f t="shared" ref="B140" si="72">#REF!+A140</f>
        <v>#REF!</v>
      </c>
      <c r="C140" s="11"/>
      <c r="D140" s="11"/>
      <c r="E140" s="39"/>
      <c r="F140" s="11"/>
      <c r="J140" s="138"/>
      <c r="O140" t="s">
        <v>168</v>
      </c>
    </row>
    <row r="141" spans="2:15" x14ac:dyDescent="0.35">
      <c r="B141" s="186" t="e">
        <f t="shared" ref="B141" si="73">#REF!+A141</f>
        <v>#REF!</v>
      </c>
      <c r="C141" s="189"/>
      <c r="D141" s="11"/>
      <c r="E141" s="39"/>
      <c r="F141" s="11"/>
      <c r="J141" s="166"/>
      <c r="O141" t="s">
        <v>168</v>
      </c>
    </row>
    <row r="142" spans="2:15" x14ac:dyDescent="0.35">
      <c r="B142" s="312" t="e">
        <f>SUBTOTAL(9,B62:B141)</f>
        <v>#REF!</v>
      </c>
      <c r="C142" s="325">
        <f>SUBTOTAL(9,C62:C141)</f>
        <v>0</v>
      </c>
      <c r="D142" s="325"/>
      <c r="E142" s="326"/>
      <c r="F142" s="326"/>
      <c r="J142" s="332"/>
      <c r="O142" t="s">
        <v>168</v>
      </c>
    </row>
    <row r="143" spans="2:15" x14ac:dyDescent="0.35">
      <c r="B143" s="69">
        <v>44018</v>
      </c>
      <c r="O143" t="s">
        <v>168</v>
      </c>
    </row>
    <row r="144" spans="2:15" x14ac:dyDescent="0.35">
      <c r="B144" s="69">
        <v>44012</v>
      </c>
      <c r="O144" t="s">
        <v>168</v>
      </c>
    </row>
    <row r="145" spans="2:15" x14ac:dyDescent="0.35">
      <c r="B145" s="69">
        <v>44021</v>
      </c>
      <c r="O145" t="s">
        <v>168</v>
      </c>
    </row>
    <row r="146" spans="2:15" x14ac:dyDescent="0.35">
      <c r="B146" s="69">
        <v>44019</v>
      </c>
      <c r="O146" t="s">
        <v>168</v>
      </c>
    </row>
    <row r="147" spans="2:15" x14ac:dyDescent="0.35">
      <c r="B147" s="69">
        <v>44057</v>
      </c>
      <c r="O147" t="s">
        <v>168</v>
      </c>
    </row>
    <row r="148" spans="2:15" x14ac:dyDescent="0.35">
      <c r="B148" s="69">
        <v>44084</v>
      </c>
      <c r="O148" t="s">
        <v>168</v>
      </c>
    </row>
    <row r="149" spans="2:15" x14ac:dyDescent="0.35">
      <c r="B149" s="69">
        <v>44086</v>
      </c>
      <c r="O149" t="s">
        <v>168</v>
      </c>
    </row>
    <row r="150" spans="2:15" x14ac:dyDescent="0.35">
      <c r="B150" s="69">
        <v>44091</v>
      </c>
      <c r="O150" t="s">
        <v>168</v>
      </c>
    </row>
    <row r="151" spans="2:15" x14ac:dyDescent="0.35">
      <c r="B151" s="18">
        <v>43965</v>
      </c>
      <c r="C151" s="15"/>
      <c r="D151" s="18"/>
      <c r="E151" s="11"/>
      <c r="F151" s="17"/>
      <c r="G151" s="11"/>
      <c r="H151" s="17">
        <f t="shared" ref="H151:H175" si="74">F151+G151</f>
        <v>0</v>
      </c>
      <c r="I151" s="17"/>
      <c r="J151" s="17"/>
      <c r="O151" t="s">
        <v>116</v>
      </c>
    </row>
    <row r="152" spans="2:15" x14ac:dyDescent="0.35">
      <c r="B152" s="89">
        <v>43953</v>
      </c>
      <c r="C152" s="15"/>
      <c r="D152" s="185"/>
      <c r="E152" s="11"/>
      <c r="F152" s="186"/>
      <c r="G152" s="11"/>
      <c r="H152" s="186">
        <f t="shared" si="74"/>
        <v>0</v>
      </c>
      <c r="I152" s="186"/>
      <c r="J152" s="186"/>
      <c r="O152" t="s">
        <v>116</v>
      </c>
    </row>
    <row r="153" spans="2:15" x14ac:dyDescent="0.35">
      <c r="B153" s="89">
        <v>43923</v>
      </c>
      <c r="C153" s="15"/>
      <c r="D153" s="185"/>
      <c r="E153" s="11"/>
      <c r="F153" s="186"/>
      <c r="G153" s="11"/>
      <c r="H153" s="186">
        <f t="shared" si="74"/>
        <v>0</v>
      </c>
      <c r="I153" s="186"/>
      <c r="J153" s="186"/>
      <c r="O153" t="s">
        <v>116</v>
      </c>
    </row>
    <row r="154" spans="2:15" x14ac:dyDescent="0.35">
      <c r="B154" s="89">
        <v>43952</v>
      </c>
      <c r="C154" s="15"/>
      <c r="D154" s="185"/>
      <c r="E154" s="11"/>
      <c r="F154" s="186"/>
      <c r="G154" s="11"/>
      <c r="H154" s="186">
        <f t="shared" si="74"/>
        <v>0</v>
      </c>
      <c r="I154" s="186"/>
      <c r="J154" s="186"/>
      <c r="O154" t="s">
        <v>116</v>
      </c>
    </row>
    <row r="155" spans="2:15" x14ac:dyDescent="0.35">
      <c r="B155" s="89">
        <v>43950</v>
      </c>
      <c r="C155" s="15"/>
      <c r="D155" s="185"/>
      <c r="E155" s="11"/>
      <c r="F155" s="186"/>
      <c r="G155" s="11"/>
      <c r="H155" s="186">
        <f t="shared" si="74"/>
        <v>0</v>
      </c>
      <c r="I155" s="186"/>
      <c r="J155" s="186"/>
      <c r="O155" t="s">
        <v>116</v>
      </c>
    </row>
    <row r="156" spans="2:15" x14ac:dyDescent="0.35">
      <c r="B156" s="89">
        <v>43950</v>
      </c>
      <c r="C156" s="15"/>
      <c r="D156" s="73"/>
      <c r="E156" s="73"/>
      <c r="F156" s="73"/>
      <c r="G156" s="73"/>
      <c r="H156" s="186">
        <f t="shared" si="74"/>
        <v>0</v>
      </c>
      <c r="I156" s="186"/>
      <c r="J156" s="186"/>
      <c r="O156" t="s">
        <v>116</v>
      </c>
    </row>
    <row r="157" spans="2:15" x14ac:dyDescent="0.35">
      <c r="B157" s="185">
        <v>43950</v>
      </c>
      <c r="C157" s="15"/>
      <c r="D157" s="185"/>
      <c r="E157" s="11"/>
      <c r="F157" s="186"/>
      <c r="G157" s="11"/>
      <c r="H157" s="186">
        <f t="shared" si="74"/>
        <v>0</v>
      </c>
      <c r="I157" s="186"/>
      <c r="J157" s="186"/>
      <c r="O157" t="s">
        <v>116</v>
      </c>
    </row>
    <row r="158" spans="2:15" x14ac:dyDescent="0.35">
      <c r="B158" s="89">
        <v>43948</v>
      </c>
      <c r="C158" s="15"/>
      <c r="D158" s="185"/>
      <c r="E158" s="11"/>
      <c r="F158" s="186"/>
      <c r="G158" s="11"/>
      <c r="H158" s="186">
        <f t="shared" si="74"/>
        <v>0</v>
      </c>
      <c r="I158" s="186"/>
      <c r="J158" s="186"/>
      <c r="O158" t="s">
        <v>116</v>
      </c>
    </row>
    <row r="159" spans="2:15" x14ac:dyDescent="0.35">
      <c r="B159" s="18">
        <v>43923</v>
      </c>
      <c r="C159" s="15"/>
      <c r="D159" s="185"/>
      <c r="E159" s="11"/>
      <c r="F159" s="186"/>
      <c r="G159" s="11"/>
      <c r="H159" s="186">
        <f t="shared" si="74"/>
        <v>0</v>
      </c>
      <c r="I159" s="186"/>
      <c r="J159" s="186"/>
      <c r="O159" t="s">
        <v>116</v>
      </c>
    </row>
    <row r="160" spans="2:15" x14ac:dyDescent="0.35">
      <c r="B160" s="89">
        <v>43906</v>
      </c>
      <c r="C160" s="15"/>
      <c r="D160" s="185"/>
      <c r="E160" s="11"/>
      <c r="F160" s="186"/>
      <c r="G160" s="11"/>
      <c r="H160" s="186">
        <f t="shared" si="74"/>
        <v>0</v>
      </c>
      <c r="I160" s="186"/>
      <c r="J160" s="186"/>
      <c r="O160" t="s">
        <v>116</v>
      </c>
    </row>
    <row r="161" spans="2:15" x14ac:dyDescent="0.35">
      <c r="B161" s="89">
        <v>43900</v>
      </c>
      <c r="C161" s="15"/>
      <c r="D161" s="185"/>
      <c r="E161" s="11"/>
      <c r="F161" s="186"/>
      <c r="G161" s="11"/>
      <c r="H161" s="186">
        <f t="shared" si="74"/>
        <v>0</v>
      </c>
      <c r="I161" s="186"/>
      <c r="J161" s="186"/>
      <c r="O161" t="s">
        <v>116</v>
      </c>
    </row>
    <row r="162" spans="2:15" x14ac:dyDescent="0.35">
      <c r="B162" s="89">
        <v>43882</v>
      </c>
      <c r="C162" s="15"/>
      <c r="D162" s="185"/>
      <c r="E162" s="11"/>
      <c r="F162" s="186"/>
      <c r="G162" s="11"/>
      <c r="H162" s="186">
        <f t="shared" si="74"/>
        <v>0</v>
      </c>
      <c r="I162" s="186"/>
      <c r="J162" s="186"/>
      <c r="O162" t="s">
        <v>116</v>
      </c>
    </row>
    <row r="163" spans="2:15" x14ac:dyDescent="0.35">
      <c r="B163" s="89">
        <v>43882</v>
      </c>
      <c r="C163" s="15"/>
      <c r="D163" s="185"/>
      <c r="E163" s="11"/>
      <c r="F163" s="186"/>
      <c r="G163" s="11"/>
      <c r="H163" s="186">
        <f t="shared" si="74"/>
        <v>0</v>
      </c>
      <c r="I163" s="186"/>
      <c r="J163" s="186"/>
      <c r="O163" t="s">
        <v>116</v>
      </c>
    </row>
    <row r="164" spans="2:15" x14ac:dyDescent="0.35">
      <c r="B164" s="89">
        <v>43882</v>
      </c>
      <c r="C164" s="15"/>
      <c r="D164" s="185"/>
      <c r="E164" s="11"/>
      <c r="F164" s="186"/>
      <c r="G164" s="11"/>
      <c r="H164" s="186">
        <f t="shared" si="74"/>
        <v>0</v>
      </c>
      <c r="I164" s="186"/>
      <c r="J164" s="186"/>
      <c r="O164" t="s">
        <v>116</v>
      </c>
    </row>
    <row r="165" spans="2:15" x14ac:dyDescent="0.35">
      <c r="B165" s="185">
        <v>43882</v>
      </c>
      <c r="C165" s="15"/>
      <c r="D165" s="185"/>
      <c r="E165" s="11"/>
      <c r="F165" s="186"/>
      <c r="G165" s="11"/>
      <c r="H165" s="186">
        <f t="shared" si="74"/>
        <v>0</v>
      </c>
      <c r="I165" s="186"/>
      <c r="J165" s="186"/>
      <c r="O165" t="s">
        <v>116</v>
      </c>
    </row>
    <row r="166" spans="2:15" x14ac:dyDescent="0.35">
      <c r="B166" s="185">
        <v>43874</v>
      </c>
      <c r="C166" s="15"/>
      <c r="D166" s="185"/>
      <c r="E166" s="11"/>
      <c r="F166" s="186"/>
      <c r="G166" s="11"/>
      <c r="H166" s="186">
        <f t="shared" si="74"/>
        <v>0</v>
      </c>
      <c r="I166" s="186"/>
      <c r="J166" s="186"/>
      <c r="O166" t="s">
        <v>116</v>
      </c>
    </row>
    <row r="167" spans="2:15" x14ac:dyDescent="0.35">
      <c r="B167" s="89">
        <v>43872</v>
      </c>
      <c r="C167" s="15"/>
      <c r="D167" s="185"/>
      <c r="E167" s="11"/>
      <c r="F167" s="186"/>
      <c r="G167" s="11"/>
      <c r="H167" s="186">
        <f t="shared" si="74"/>
        <v>0</v>
      </c>
      <c r="I167" s="186"/>
      <c r="J167" s="186"/>
      <c r="O167" t="s">
        <v>116</v>
      </c>
    </row>
    <row r="168" spans="2:15" x14ac:dyDescent="0.35">
      <c r="B168" s="89">
        <v>43859</v>
      </c>
      <c r="C168" s="15"/>
      <c r="D168" s="185"/>
      <c r="E168" s="11"/>
      <c r="F168" s="186"/>
      <c r="G168" s="11"/>
      <c r="H168" s="186">
        <f t="shared" si="74"/>
        <v>0</v>
      </c>
      <c r="I168" s="186"/>
      <c r="J168" s="186"/>
      <c r="O168" t="s">
        <v>116</v>
      </c>
    </row>
    <row r="169" spans="2:15" x14ac:dyDescent="0.35">
      <c r="B169" s="89">
        <v>43858</v>
      </c>
      <c r="C169" s="15"/>
      <c r="D169" s="185"/>
      <c r="E169" s="11"/>
      <c r="F169" s="186"/>
      <c r="G169" s="11"/>
      <c r="H169" s="186">
        <f t="shared" si="74"/>
        <v>0</v>
      </c>
      <c r="I169" s="186"/>
      <c r="J169" s="186"/>
      <c r="O169" t="s">
        <v>116</v>
      </c>
    </row>
    <row r="170" spans="2:15" x14ac:dyDescent="0.35">
      <c r="B170" s="89">
        <v>43854</v>
      </c>
      <c r="C170" s="15"/>
      <c r="D170" s="185"/>
      <c r="E170" s="11"/>
      <c r="F170" s="186"/>
      <c r="G170" s="11"/>
      <c r="H170" s="186">
        <f t="shared" si="74"/>
        <v>0</v>
      </c>
      <c r="I170" s="186"/>
      <c r="J170" s="186"/>
      <c r="O170" t="s">
        <v>116</v>
      </c>
    </row>
    <row r="171" spans="2:15" x14ac:dyDescent="0.35">
      <c r="B171" s="89">
        <v>43846</v>
      </c>
      <c r="C171" s="15"/>
      <c r="D171" s="185"/>
      <c r="E171" s="11"/>
      <c r="F171" s="186"/>
      <c r="G171" s="11"/>
      <c r="H171" s="186">
        <f t="shared" si="74"/>
        <v>0</v>
      </c>
      <c r="I171" s="186"/>
      <c r="J171" s="186"/>
      <c r="O171" t="s">
        <v>116</v>
      </c>
    </row>
    <row r="172" spans="2:15" x14ac:dyDescent="0.35">
      <c r="B172" s="89">
        <v>43839</v>
      </c>
      <c r="C172" s="15"/>
      <c r="D172" s="185"/>
      <c r="E172" s="11"/>
      <c r="F172" s="186"/>
      <c r="G172" s="11"/>
      <c r="H172" s="186">
        <f t="shared" si="74"/>
        <v>0</v>
      </c>
      <c r="I172" s="186"/>
      <c r="J172" s="186"/>
      <c r="O172" t="s">
        <v>116</v>
      </c>
    </row>
    <row r="173" spans="2:15" x14ac:dyDescent="0.35">
      <c r="B173" s="89" t="s">
        <v>89</v>
      </c>
      <c r="C173" s="15"/>
      <c r="D173" s="185"/>
      <c r="E173" s="11"/>
      <c r="F173" s="186"/>
      <c r="G173" s="11"/>
      <c r="H173" s="186">
        <f t="shared" si="74"/>
        <v>0</v>
      </c>
      <c r="I173" s="186"/>
      <c r="J173" s="186"/>
      <c r="O173" t="s">
        <v>116</v>
      </c>
    </row>
    <row r="174" spans="2:15" x14ac:dyDescent="0.35">
      <c r="B174" s="271">
        <v>44104</v>
      </c>
      <c r="C174" s="15"/>
      <c r="D174" s="185"/>
      <c r="E174" s="11"/>
      <c r="F174" s="186"/>
      <c r="G174" s="11"/>
      <c r="H174" s="186">
        <f t="shared" si="74"/>
        <v>0</v>
      </c>
      <c r="I174" s="186"/>
      <c r="J174" s="186"/>
      <c r="O174" t="s">
        <v>116</v>
      </c>
    </row>
    <row r="175" spans="2:15" x14ac:dyDescent="0.35">
      <c r="B175" s="271">
        <v>44111</v>
      </c>
      <c r="C175" s="15"/>
      <c r="D175" s="185"/>
      <c r="E175" s="11"/>
      <c r="F175" s="186"/>
      <c r="G175" s="11"/>
      <c r="H175" s="186">
        <f t="shared" si="74"/>
        <v>0</v>
      </c>
      <c r="I175" s="186"/>
      <c r="J175" s="186"/>
      <c r="O175" t="s">
        <v>116</v>
      </c>
    </row>
    <row r="176" spans="2:15" x14ac:dyDescent="0.35">
      <c r="B176" s="39">
        <v>8.52</v>
      </c>
      <c r="C176" s="186">
        <f>A176+B176</f>
        <v>8.52</v>
      </c>
      <c r="D176" s="186"/>
      <c r="E176" s="39" t="s">
        <v>6</v>
      </c>
      <c r="F176" s="73"/>
      <c r="G176" s="39" t="s">
        <v>45</v>
      </c>
      <c r="H176" s="89">
        <v>43986</v>
      </c>
      <c r="J176" s="185">
        <v>43843</v>
      </c>
      <c r="O176" t="s">
        <v>116</v>
      </c>
    </row>
    <row r="177" spans="2:15" x14ac:dyDescent="0.35">
      <c r="B177" s="186">
        <v>4.2300000000000004</v>
      </c>
      <c r="C177" s="186">
        <f>A177+B177</f>
        <v>4.2300000000000004</v>
      </c>
      <c r="D177" s="186"/>
      <c r="E177" s="138" t="s">
        <v>13</v>
      </c>
      <c r="F177" s="73"/>
      <c r="G177" s="138" t="s">
        <v>54</v>
      </c>
      <c r="H177" s="185">
        <v>43955</v>
      </c>
      <c r="J177" s="185">
        <v>44074</v>
      </c>
      <c r="O177" t="s">
        <v>116</v>
      </c>
    </row>
    <row r="178" spans="2:15" x14ac:dyDescent="0.35">
      <c r="B178" s="167">
        <v>-2.19</v>
      </c>
      <c r="C178" s="162">
        <f>A178+B178</f>
        <v>-2.19</v>
      </c>
      <c r="D178" s="162"/>
      <c r="E178" s="167" t="s">
        <v>13</v>
      </c>
      <c r="F178" s="73"/>
      <c r="G178" s="95" t="s">
        <v>93</v>
      </c>
      <c r="H178" s="161">
        <v>43955</v>
      </c>
      <c r="J178" s="185">
        <v>44103</v>
      </c>
      <c r="O178" t="s">
        <v>116</v>
      </c>
    </row>
    <row r="179" spans="2:15" x14ac:dyDescent="0.35">
      <c r="B179" s="186">
        <v>22.51</v>
      </c>
      <c r="C179" s="186">
        <f>A179+B179</f>
        <v>22.51</v>
      </c>
      <c r="D179" s="186"/>
      <c r="E179" s="138" t="s">
        <v>8</v>
      </c>
      <c r="F179" s="163"/>
      <c r="G179" s="138" t="s">
        <v>56</v>
      </c>
      <c r="H179" s="185">
        <v>44074</v>
      </c>
      <c r="I179" s="8"/>
      <c r="J179" s="185">
        <v>44074</v>
      </c>
      <c r="O179" t="s">
        <v>116</v>
      </c>
    </row>
    <row r="180" spans="2:15" x14ac:dyDescent="0.35">
      <c r="B180" s="186">
        <v>5.48</v>
      </c>
      <c r="C180" s="186">
        <f>A180+B180</f>
        <v>5.48</v>
      </c>
      <c r="D180" s="186"/>
      <c r="E180" s="186" t="s">
        <v>13</v>
      </c>
      <c r="F180" s="73"/>
      <c r="G180" s="186" t="s">
        <v>45</v>
      </c>
      <c r="H180" s="185">
        <v>43955</v>
      </c>
      <c r="J180" s="185">
        <v>44042</v>
      </c>
      <c r="O180" t="s">
        <v>116</v>
      </c>
    </row>
    <row r="181" spans="2:15" x14ac:dyDescent="0.35">
      <c r="B181" s="186" t="e">
        <f t="shared" ref="B181" si="75">#REF!+A181</f>
        <v>#REF!</v>
      </c>
      <c r="C181" s="186"/>
      <c r="D181" s="186"/>
      <c r="E181" s="11"/>
      <c r="F181" s="73"/>
      <c r="G181" s="39"/>
      <c r="H181" s="11"/>
      <c r="J181" s="185">
        <v>44011</v>
      </c>
      <c r="O181" t="s">
        <v>116</v>
      </c>
    </row>
    <row r="182" spans="2:15" x14ac:dyDescent="0.35">
      <c r="B182" s="186" t="e">
        <f t="shared" ref="B182" si="76">#REF!+A182</f>
        <v>#REF!</v>
      </c>
      <c r="C182" s="186"/>
      <c r="D182" s="186"/>
      <c r="E182" s="11"/>
      <c r="F182" s="11"/>
      <c r="G182" s="39"/>
      <c r="H182" s="11"/>
      <c r="J182" s="46">
        <v>43980</v>
      </c>
      <c r="O182" t="s">
        <v>116</v>
      </c>
    </row>
    <row r="183" spans="2:15" x14ac:dyDescent="0.35">
      <c r="B183" s="186" t="e">
        <f t="shared" ref="B183" si="77">#REF!+A183</f>
        <v>#REF!</v>
      </c>
      <c r="C183" s="186"/>
      <c r="D183" s="186"/>
      <c r="E183" s="11"/>
      <c r="F183" s="11"/>
      <c r="G183" s="39"/>
      <c r="H183" s="11"/>
      <c r="J183" s="185">
        <v>43951</v>
      </c>
      <c r="O183" t="s">
        <v>116</v>
      </c>
    </row>
    <row r="184" spans="2:15" x14ac:dyDescent="0.35">
      <c r="B184" s="186" t="e">
        <f t="shared" ref="B184" si="78">#REF!+A184</f>
        <v>#REF!</v>
      </c>
      <c r="C184" s="186"/>
      <c r="D184" s="186"/>
      <c r="E184" s="11"/>
      <c r="F184" s="11"/>
      <c r="G184" s="39"/>
      <c r="H184" s="11"/>
      <c r="J184" s="185">
        <v>44043</v>
      </c>
      <c r="O184" t="s">
        <v>116</v>
      </c>
    </row>
    <row r="185" spans="2:15" x14ac:dyDescent="0.35">
      <c r="B185" s="186" t="e">
        <f t="shared" ref="B185" si="79">#REF!+A185</f>
        <v>#REF!</v>
      </c>
      <c r="C185" s="186"/>
      <c r="D185" s="186"/>
      <c r="E185" s="11"/>
      <c r="F185" s="11"/>
      <c r="G185" s="39"/>
      <c r="H185" s="11"/>
      <c r="J185" s="185">
        <v>44012</v>
      </c>
      <c r="O185" t="s">
        <v>116</v>
      </c>
    </row>
    <row r="186" spans="2:15" x14ac:dyDescent="0.35">
      <c r="B186" s="186" t="e">
        <f t="shared" ref="B186" si="80">#REF!+A186</f>
        <v>#REF!</v>
      </c>
      <c r="C186" s="186"/>
      <c r="D186" s="186"/>
      <c r="E186" s="11"/>
      <c r="F186" s="11"/>
      <c r="G186" s="39"/>
      <c r="H186" s="11"/>
      <c r="J186" s="185">
        <v>43921</v>
      </c>
      <c r="O186" t="s">
        <v>116</v>
      </c>
    </row>
    <row r="187" spans="2:15" x14ac:dyDescent="0.35">
      <c r="B187" s="186" t="e">
        <f t="shared" ref="B187" si="81">#REF!+A187</f>
        <v>#REF!</v>
      </c>
      <c r="C187" s="186"/>
      <c r="D187" s="186"/>
      <c r="E187" s="11"/>
      <c r="F187" s="11"/>
      <c r="G187" s="39"/>
      <c r="H187" s="11"/>
      <c r="J187" s="134">
        <v>43889</v>
      </c>
      <c r="O187" t="s">
        <v>116</v>
      </c>
    </row>
    <row r="188" spans="2:15" x14ac:dyDescent="0.35">
      <c r="B188" s="186" t="e">
        <f t="shared" ref="B188" si="82">#REF!+A188</f>
        <v>#REF!</v>
      </c>
      <c r="C188" s="186"/>
      <c r="D188" s="186"/>
      <c r="E188" s="11"/>
      <c r="F188" s="11"/>
      <c r="G188" s="39"/>
      <c r="H188" s="11"/>
      <c r="J188" s="185">
        <v>43890</v>
      </c>
      <c r="O188" t="s">
        <v>116</v>
      </c>
    </row>
    <row r="189" spans="2:15" x14ac:dyDescent="0.35">
      <c r="B189" s="186" t="e">
        <f t="shared" ref="B189" si="83">#REF!+A189</f>
        <v>#REF!</v>
      </c>
      <c r="C189" s="186"/>
      <c r="D189" s="186"/>
      <c r="E189" s="11"/>
      <c r="F189" s="11"/>
      <c r="G189" s="39"/>
      <c r="H189" s="11"/>
      <c r="J189" s="18">
        <v>43858</v>
      </c>
      <c r="O189" t="s">
        <v>116</v>
      </c>
    </row>
    <row r="190" spans="2:15" x14ac:dyDescent="0.35">
      <c r="B190" s="186" t="e">
        <f t="shared" ref="B190" si="84">#REF!+A190</f>
        <v>#REF!</v>
      </c>
      <c r="C190" s="186"/>
      <c r="D190" s="186"/>
      <c r="E190" s="11"/>
      <c r="F190" s="11"/>
      <c r="G190" s="39"/>
      <c r="H190" s="11"/>
      <c r="J190" s="185">
        <v>43861</v>
      </c>
      <c r="O190" t="s">
        <v>116</v>
      </c>
    </row>
    <row r="191" spans="2:15" x14ac:dyDescent="0.35">
      <c r="B191" s="186" t="e">
        <f t="shared" ref="B191" si="85">#REF!+A191</f>
        <v>#REF!</v>
      </c>
      <c r="C191" s="186"/>
      <c r="D191" s="186"/>
      <c r="E191" s="11"/>
      <c r="F191" s="11"/>
      <c r="G191" s="39"/>
      <c r="H191" s="11"/>
      <c r="J191" s="185">
        <v>43921</v>
      </c>
      <c r="O191" t="s">
        <v>116</v>
      </c>
    </row>
    <row r="192" spans="2:15" x14ac:dyDescent="0.35">
      <c r="B192" s="186" t="e">
        <f t="shared" ref="B192" si="86">#REF!+A192</f>
        <v>#REF!</v>
      </c>
      <c r="C192" s="186"/>
      <c r="D192" s="186"/>
      <c r="E192" s="11"/>
      <c r="F192" s="11"/>
      <c r="G192" s="39"/>
      <c r="H192" s="11"/>
      <c r="J192" s="185"/>
      <c r="O192" t="s">
        <v>116</v>
      </c>
    </row>
    <row r="193" spans="2:15" x14ac:dyDescent="0.35">
      <c r="B193" s="186" t="e">
        <f t="shared" ref="B193" si="87">#REF!+A193</f>
        <v>#REF!</v>
      </c>
      <c r="C193" s="186"/>
      <c r="D193" s="186"/>
      <c r="E193" s="11"/>
      <c r="F193" s="11"/>
      <c r="G193" s="39"/>
      <c r="H193" s="11"/>
      <c r="J193" s="185"/>
      <c r="O193" t="s">
        <v>116</v>
      </c>
    </row>
    <row r="194" spans="2:15" x14ac:dyDescent="0.35">
      <c r="B194" s="186" t="e">
        <f t="shared" ref="B194" si="88">#REF!+A194</f>
        <v>#REF!</v>
      </c>
      <c r="C194" s="186"/>
      <c r="D194" s="186"/>
      <c r="E194" s="11"/>
      <c r="F194" s="11"/>
      <c r="G194" s="39"/>
      <c r="H194" s="11"/>
      <c r="J194" s="185"/>
      <c r="O194" t="s">
        <v>116</v>
      </c>
    </row>
    <row r="195" spans="2:15" x14ac:dyDescent="0.35">
      <c r="B195" s="186" t="e">
        <f t="shared" ref="B195" si="89">#REF!+A195</f>
        <v>#REF!</v>
      </c>
      <c r="C195" s="186"/>
      <c r="D195" s="186"/>
      <c r="E195" s="11"/>
      <c r="F195" s="11"/>
      <c r="G195" s="39"/>
      <c r="H195" s="11"/>
      <c r="J195" s="185"/>
      <c r="O195" t="s">
        <v>116</v>
      </c>
    </row>
    <row r="196" spans="2:15" x14ac:dyDescent="0.35">
      <c r="B196" s="186" t="e">
        <f t="shared" ref="B196" si="90">#REF!+A196</f>
        <v>#REF!</v>
      </c>
      <c r="C196" s="186"/>
      <c r="D196" s="186"/>
      <c r="E196" s="11"/>
      <c r="F196" s="11"/>
      <c r="G196" s="39"/>
      <c r="H196" s="11"/>
      <c r="J196" s="185"/>
      <c r="O196" t="s">
        <v>116</v>
      </c>
    </row>
    <row r="197" spans="2:15" x14ac:dyDescent="0.35">
      <c r="B197" s="186" t="e">
        <f t="shared" ref="B197" si="91">#REF!+A197</f>
        <v>#REF!</v>
      </c>
      <c r="C197" s="186"/>
      <c r="D197" s="186"/>
      <c r="E197" s="11"/>
      <c r="F197" s="11"/>
      <c r="G197" s="39"/>
      <c r="H197" s="11"/>
      <c r="J197" s="185"/>
      <c r="O197" t="s">
        <v>116</v>
      </c>
    </row>
    <row r="198" spans="2:15" x14ac:dyDescent="0.35">
      <c r="B198" s="186" t="e">
        <f t="shared" ref="B198" si="92">#REF!+A198</f>
        <v>#REF!</v>
      </c>
      <c r="C198" s="186"/>
      <c r="D198" s="186"/>
      <c r="E198" s="11"/>
      <c r="F198" s="11"/>
      <c r="G198" s="39"/>
      <c r="H198" s="11"/>
      <c r="J198" s="185"/>
      <c r="O198" t="s">
        <v>116</v>
      </c>
    </row>
    <row r="199" spans="2:15" x14ac:dyDescent="0.35">
      <c r="B199" s="186" t="e">
        <f t="shared" ref="B199" si="93">#REF!+A199</f>
        <v>#REF!</v>
      </c>
      <c r="C199" s="186"/>
      <c r="D199" s="186"/>
      <c r="E199" s="11"/>
      <c r="F199" s="11"/>
      <c r="G199" s="39"/>
      <c r="H199" s="11"/>
      <c r="J199" s="185"/>
      <c r="O199" t="s">
        <v>116</v>
      </c>
    </row>
    <row r="200" spans="2:15" x14ac:dyDescent="0.35">
      <c r="B200" s="186" t="e">
        <f t="shared" ref="B200" si="94">#REF!+A200</f>
        <v>#REF!</v>
      </c>
      <c r="C200" s="186"/>
      <c r="D200" s="186"/>
      <c r="E200" s="11"/>
      <c r="F200" s="11"/>
      <c r="G200" s="39"/>
      <c r="H200" s="11"/>
      <c r="J200" s="185"/>
      <c r="O200" t="s">
        <v>116</v>
      </c>
    </row>
    <row r="201" spans="2:15" x14ac:dyDescent="0.35">
      <c r="B201" s="186" t="e">
        <f t="shared" ref="B201" si="95">#REF!+A201</f>
        <v>#REF!</v>
      </c>
      <c r="C201" s="186"/>
      <c r="D201" s="186"/>
      <c r="E201" s="11"/>
      <c r="F201" s="11"/>
      <c r="G201" s="39"/>
      <c r="H201" s="11"/>
      <c r="J201" s="185"/>
      <c r="O201" t="s">
        <v>116</v>
      </c>
    </row>
    <row r="202" spans="2:15" x14ac:dyDescent="0.35">
      <c r="B202" s="186" t="e">
        <f t="shared" ref="B202" si="96">#REF!+A202</f>
        <v>#REF!</v>
      </c>
      <c r="C202" s="186"/>
      <c r="D202" s="186"/>
      <c r="E202" s="11"/>
      <c r="F202" s="11"/>
      <c r="G202" s="39"/>
      <c r="H202" s="11"/>
      <c r="J202" s="185"/>
      <c r="O202" t="s">
        <v>116</v>
      </c>
    </row>
    <row r="203" spans="2:15" x14ac:dyDescent="0.35">
      <c r="B203" s="186" t="e">
        <f t="shared" ref="B203" si="97">#REF!+A203</f>
        <v>#REF!</v>
      </c>
      <c r="C203" s="186"/>
      <c r="D203" s="186"/>
      <c r="E203" s="11"/>
      <c r="F203" s="11"/>
      <c r="G203" s="39"/>
      <c r="H203" s="11"/>
      <c r="J203" s="185"/>
      <c r="O203" t="s">
        <v>116</v>
      </c>
    </row>
    <row r="204" spans="2:15" x14ac:dyDescent="0.35">
      <c r="B204" s="186" t="e">
        <f t="shared" ref="B204" si="98">#REF!+A204</f>
        <v>#REF!</v>
      </c>
      <c r="C204" s="186"/>
      <c r="D204" s="186"/>
      <c r="E204" s="11"/>
      <c r="F204" s="11"/>
      <c r="G204" s="39"/>
      <c r="H204" s="11"/>
      <c r="J204" s="185"/>
      <c r="O204" t="s">
        <v>116</v>
      </c>
    </row>
    <row r="205" spans="2:15" x14ac:dyDescent="0.35">
      <c r="B205" s="186" t="e">
        <f t="shared" ref="B205" si="99">#REF!+A205</f>
        <v>#REF!</v>
      </c>
      <c r="C205" s="186"/>
      <c r="D205" s="186"/>
      <c r="E205" s="11"/>
      <c r="F205" s="11"/>
      <c r="G205" s="39"/>
      <c r="H205" s="11"/>
      <c r="J205" s="185"/>
      <c r="O205" t="s">
        <v>116</v>
      </c>
    </row>
    <row r="206" spans="2:15" x14ac:dyDescent="0.35">
      <c r="B206" s="186" t="e">
        <f t="shared" ref="B206" si="100">#REF!+A206</f>
        <v>#REF!</v>
      </c>
      <c r="C206" s="186"/>
      <c r="D206" s="186"/>
      <c r="E206" s="11"/>
      <c r="F206" s="11"/>
      <c r="G206" s="39"/>
      <c r="H206" s="11"/>
      <c r="J206" s="185"/>
      <c r="O206" t="s">
        <v>116</v>
      </c>
    </row>
    <row r="207" spans="2:15" x14ac:dyDescent="0.35">
      <c r="B207" s="186" t="e">
        <f t="shared" ref="B207" si="101">#REF!+A207</f>
        <v>#REF!</v>
      </c>
      <c r="C207" s="186"/>
      <c r="D207" s="186"/>
      <c r="E207" s="11"/>
      <c r="F207" s="11"/>
      <c r="G207" s="39"/>
      <c r="H207" s="11"/>
      <c r="J207" s="20"/>
      <c r="O207" t="s">
        <v>116</v>
      </c>
    </row>
    <row r="208" spans="2:15" x14ac:dyDescent="0.35">
      <c r="B208" s="186" t="e">
        <f t="shared" ref="B208" si="102">#REF!+A208</f>
        <v>#REF!</v>
      </c>
      <c r="C208" s="186"/>
      <c r="D208" s="186"/>
      <c r="E208" s="11"/>
      <c r="F208" s="11"/>
      <c r="G208" s="39"/>
      <c r="H208" s="11"/>
      <c r="J208" s="20"/>
      <c r="O208" t="s">
        <v>116</v>
      </c>
    </row>
    <row r="209" spans="2:15" x14ac:dyDescent="0.35">
      <c r="B209" s="186" t="e">
        <f t="shared" ref="B209" si="103">#REF!+A209</f>
        <v>#REF!</v>
      </c>
      <c r="C209" s="186"/>
      <c r="D209" s="186"/>
      <c r="E209" s="11"/>
      <c r="F209" s="11"/>
      <c r="G209" s="39"/>
      <c r="H209" s="11"/>
      <c r="J209" s="185"/>
      <c r="O209" t="s">
        <v>116</v>
      </c>
    </row>
    <row r="210" spans="2:15" x14ac:dyDescent="0.35">
      <c r="B210" s="186" t="e">
        <f t="shared" ref="B210" si="104">#REF!+A210</f>
        <v>#REF!</v>
      </c>
      <c r="C210" s="186"/>
      <c r="D210" s="186"/>
      <c r="E210" s="11"/>
      <c r="F210" s="11"/>
      <c r="G210" s="39"/>
      <c r="H210" s="11"/>
      <c r="J210" s="185"/>
      <c r="O210" t="s">
        <v>116</v>
      </c>
    </row>
    <row r="211" spans="2:15" x14ac:dyDescent="0.35">
      <c r="B211" s="186" t="e">
        <f t="shared" ref="B211" si="105">#REF!+A211</f>
        <v>#REF!</v>
      </c>
      <c r="C211" s="186"/>
      <c r="D211" s="186"/>
      <c r="E211" s="11"/>
      <c r="F211" s="11"/>
      <c r="G211" s="39"/>
      <c r="H211" s="11"/>
      <c r="J211" s="185"/>
      <c r="O211" t="s">
        <v>116</v>
      </c>
    </row>
    <row r="212" spans="2:15" x14ac:dyDescent="0.35">
      <c r="B212" s="186" t="e">
        <f t="shared" ref="B212" si="106">#REF!+A212</f>
        <v>#REF!</v>
      </c>
      <c r="C212" s="186"/>
      <c r="D212" s="186"/>
      <c r="E212" s="11"/>
      <c r="F212" s="11"/>
      <c r="G212" s="39"/>
      <c r="H212" s="11"/>
      <c r="J212" s="185"/>
      <c r="O212" t="s">
        <v>116</v>
      </c>
    </row>
    <row r="213" spans="2:15" x14ac:dyDescent="0.35">
      <c r="B213" s="186" t="e">
        <f t="shared" ref="B213" si="107">#REF!+A213</f>
        <v>#REF!</v>
      </c>
      <c r="C213" s="186"/>
      <c r="D213" s="186"/>
      <c r="E213" s="11"/>
      <c r="F213" s="11"/>
      <c r="G213" s="39"/>
      <c r="H213" s="11"/>
      <c r="J213" s="185"/>
      <c r="O213" t="s">
        <v>116</v>
      </c>
    </row>
    <row r="214" spans="2:15" x14ac:dyDescent="0.35">
      <c r="B214" s="186" t="e">
        <f t="shared" ref="B214" si="108">#REF!+A214</f>
        <v>#REF!</v>
      </c>
      <c r="C214" s="186"/>
      <c r="D214" s="186"/>
      <c r="E214" s="11"/>
      <c r="F214" s="11"/>
      <c r="G214" s="39"/>
      <c r="H214" s="11"/>
      <c r="J214" s="185"/>
      <c r="O214" t="s">
        <v>116</v>
      </c>
    </row>
    <row r="215" spans="2:15" x14ac:dyDescent="0.35">
      <c r="B215" s="186" t="e">
        <f t="shared" ref="B215" si="109">#REF!+A215</f>
        <v>#REF!</v>
      </c>
      <c r="C215" s="186"/>
      <c r="D215" s="186"/>
      <c r="E215" s="11"/>
      <c r="F215" s="11"/>
      <c r="G215" s="39"/>
      <c r="H215" s="11"/>
      <c r="J215" s="185"/>
      <c r="O215" t="s">
        <v>116</v>
      </c>
    </row>
    <row r="216" spans="2:15" x14ac:dyDescent="0.35">
      <c r="B216" s="186" t="e">
        <f t="shared" ref="B216" si="110">#REF!+A216</f>
        <v>#REF!</v>
      </c>
      <c r="C216" s="186"/>
      <c r="D216" s="186"/>
      <c r="E216" s="11"/>
      <c r="F216" s="11"/>
      <c r="G216" s="39"/>
      <c r="H216" s="11"/>
      <c r="J216" s="185"/>
      <c r="O216" t="s">
        <v>116</v>
      </c>
    </row>
    <row r="217" spans="2:15" x14ac:dyDescent="0.35">
      <c r="B217" s="186" t="e">
        <f t="shared" ref="B217" si="111">#REF!+A217</f>
        <v>#REF!</v>
      </c>
      <c r="C217" s="186"/>
      <c r="D217" s="186"/>
      <c r="E217" s="11"/>
      <c r="F217" s="11"/>
      <c r="G217" s="39"/>
      <c r="H217" s="11"/>
      <c r="J217" s="185"/>
      <c r="O217" t="s">
        <v>116</v>
      </c>
    </row>
    <row r="218" spans="2:15" x14ac:dyDescent="0.35">
      <c r="B218" s="186" t="e">
        <f t="shared" ref="B218" si="112">#REF!+A218</f>
        <v>#REF!</v>
      </c>
      <c r="C218" s="186"/>
      <c r="D218" s="186"/>
      <c r="E218" s="11"/>
      <c r="F218" s="11"/>
      <c r="G218" s="39"/>
      <c r="H218" s="11"/>
      <c r="J218" s="185"/>
      <c r="O218" t="s">
        <v>116</v>
      </c>
    </row>
    <row r="219" spans="2:15" x14ac:dyDescent="0.35">
      <c r="B219" s="186" t="e">
        <f t="shared" ref="B219" si="113">#REF!+A219</f>
        <v>#REF!</v>
      </c>
      <c r="C219" s="186"/>
      <c r="D219" s="186"/>
      <c r="E219" s="11"/>
      <c r="F219" s="11"/>
      <c r="G219" s="39"/>
      <c r="H219" s="11"/>
      <c r="J219" s="185"/>
      <c r="O219" t="s">
        <v>116</v>
      </c>
    </row>
    <row r="220" spans="2:15" x14ac:dyDescent="0.35">
      <c r="B220" s="186" t="e">
        <f t="shared" ref="B220" si="114">#REF!+A220</f>
        <v>#REF!</v>
      </c>
      <c r="C220" s="186"/>
      <c r="D220" s="186"/>
      <c r="E220" s="11"/>
      <c r="F220" s="11"/>
      <c r="G220" s="39"/>
      <c r="H220" s="11"/>
      <c r="J220" s="185"/>
      <c r="O220" t="s">
        <v>116</v>
      </c>
    </row>
    <row r="221" spans="2:15" x14ac:dyDescent="0.35">
      <c r="B221" s="186" t="e">
        <f t="shared" ref="B221" si="115">#REF!+A221</f>
        <v>#REF!</v>
      </c>
      <c r="C221" s="186"/>
      <c r="D221" s="186"/>
      <c r="E221" s="11"/>
      <c r="F221" s="11"/>
      <c r="G221" s="39"/>
      <c r="H221" s="11"/>
      <c r="J221" s="185"/>
      <c r="O221" t="s">
        <v>116</v>
      </c>
    </row>
    <row r="222" spans="2:15" x14ac:dyDescent="0.35">
      <c r="B222" s="186" t="e">
        <f t="shared" ref="B222" si="116">#REF!+A222</f>
        <v>#REF!</v>
      </c>
      <c r="C222" s="186"/>
      <c r="D222" s="186"/>
      <c r="E222" s="11"/>
      <c r="F222" s="11"/>
      <c r="G222" s="39"/>
      <c r="H222" s="11"/>
      <c r="J222" s="185"/>
      <c r="O222" t="s">
        <v>116</v>
      </c>
    </row>
    <row r="223" spans="2:15" x14ac:dyDescent="0.35">
      <c r="B223" s="186" t="e">
        <f t="shared" ref="B223" si="117">#REF!+A223</f>
        <v>#REF!</v>
      </c>
      <c r="C223" s="186"/>
      <c r="D223" s="186"/>
      <c r="E223" s="11"/>
      <c r="F223" s="11"/>
      <c r="G223" s="39"/>
      <c r="H223" s="11"/>
      <c r="J223" s="185"/>
      <c r="O223" t="s">
        <v>116</v>
      </c>
    </row>
    <row r="224" spans="2:15" x14ac:dyDescent="0.35">
      <c r="B224" s="186" t="e">
        <f t="shared" ref="B224" si="118">#REF!+A224</f>
        <v>#REF!</v>
      </c>
      <c r="C224" s="186"/>
      <c r="D224" s="186"/>
      <c r="E224" s="11"/>
      <c r="F224" s="11"/>
      <c r="G224" s="39"/>
      <c r="H224" s="11"/>
      <c r="J224" s="185"/>
      <c r="O224" t="s">
        <v>116</v>
      </c>
    </row>
    <row r="225" spans="2:15" x14ac:dyDescent="0.35">
      <c r="B225" s="186" t="e">
        <f t="shared" ref="B225" si="119">#REF!+A225</f>
        <v>#REF!</v>
      </c>
      <c r="C225" s="186"/>
      <c r="D225" s="186"/>
      <c r="E225" s="11"/>
      <c r="F225" s="11"/>
      <c r="G225" s="39"/>
      <c r="H225" s="11"/>
      <c r="J225" s="185"/>
      <c r="O225" t="s">
        <v>116</v>
      </c>
    </row>
    <row r="226" spans="2:15" x14ac:dyDescent="0.35">
      <c r="B226" s="186" t="e">
        <f t="shared" ref="B226" si="120">#REF!+A226</f>
        <v>#REF!</v>
      </c>
      <c r="C226" s="186"/>
      <c r="D226" s="186"/>
      <c r="E226" s="11"/>
      <c r="F226" s="11"/>
      <c r="G226" s="39"/>
      <c r="H226" s="11"/>
      <c r="J226" s="185"/>
      <c r="O226" t="s">
        <v>116</v>
      </c>
    </row>
    <row r="227" spans="2:15" x14ac:dyDescent="0.35">
      <c r="B227" s="186" t="e">
        <f t="shared" ref="B227" si="121">#REF!+A227</f>
        <v>#REF!</v>
      </c>
      <c r="C227" s="186"/>
      <c r="D227" s="186"/>
      <c r="E227" s="11"/>
      <c r="F227" s="11"/>
      <c r="G227" s="39"/>
      <c r="H227" s="11"/>
      <c r="J227" s="185"/>
      <c r="O227" t="s">
        <v>116</v>
      </c>
    </row>
    <row r="228" spans="2:15" x14ac:dyDescent="0.35">
      <c r="B228" s="186" t="e">
        <f t="shared" ref="B228" si="122">#REF!+A228</f>
        <v>#REF!</v>
      </c>
      <c r="C228" s="186"/>
      <c r="D228" s="186"/>
      <c r="E228" s="11"/>
      <c r="F228" s="11"/>
      <c r="G228" s="39"/>
      <c r="H228" s="11"/>
      <c r="J228" s="185"/>
      <c r="O228" t="s">
        <v>116</v>
      </c>
    </row>
    <row r="229" spans="2:15" x14ac:dyDescent="0.35">
      <c r="B229" s="186" t="e">
        <f t="shared" ref="B229" si="123">#REF!+A229</f>
        <v>#REF!</v>
      </c>
      <c r="C229" s="186"/>
      <c r="D229" s="186"/>
      <c r="E229" s="11"/>
      <c r="F229" s="11"/>
      <c r="G229" s="39"/>
      <c r="H229" s="11"/>
      <c r="J229" s="185"/>
      <c r="O229" t="s">
        <v>116</v>
      </c>
    </row>
    <row r="230" spans="2:15" x14ac:dyDescent="0.35">
      <c r="B230" s="186" t="e">
        <f t="shared" ref="B230" si="124">#REF!+A230</f>
        <v>#REF!</v>
      </c>
      <c r="C230" s="186"/>
      <c r="D230" s="186"/>
      <c r="E230" s="11"/>
      <c r="F230" s="11"/>
      <c r="G230" s="39"/>
      <c r="H230" s="11"/>
      <c r="J230" s="185"/>
      <c r="O230" t="s">
        <v>116</v>
      </c>
    </row>
    <row r="231" spans="2:15" x14ac:dyDescent="0.35">
      <c r="B231" s="186" t="e">
        <f t="shared" ref="B231" si="125">#REF!+A231</f>
        <v>#REF!</v>
      </c>
      <c r="C231" s="186"/>
      <c r="D231" s="186"/>
      <c r="E231" s="11"/>
      <c r="F231" s="11"/>
      <c r="G231" s="39"/>
      <c r="H231" s="11"/>
      <c r="J231" s="185"/>
      <c r="O231" t="s">
        <v>116</v>
      </c>
    </row>
    <row r="232" spans="2:15" x14ac:dyDescent="0.35">
      <c r="B232" s="186" t="e">
        <f t="shared" ref="B232" si="126">#REF!+A232</f>
        <v>#REF!</v>
      </c>
      <c r="C232" s="186"/>
      <c r="D232" s="186"/>
      <c r="E232" s="11"/>
      <c r="F232" s="11"/>
      <c r="G232" s="39"/>
      <c r="H232" s="11"/>
      <c r="J232" s="185"/>
      <c r="O232" t="s">
        <v>116</v>
      </c>
    </row>
    <row r="233" spans="2:15" x14ac:dyDescent="0.35">
      <c r="B233" s="186" t="e">
        <f t="shared" ref="B233" si="127">#REF!+A233</f>
        <v>#REF!</v>
      </c>
      <c r="C233" s="186"/>
      <c r="D233" s="186"/>
      <c r="E233" s="11"/>
      <c r="F233" s="11"/>
      <c r="G233" s="39"/>
      <c r="H233" s="11"/>
      <c r="J233" s="185"/>
      <c r="O233" t="s">
        <v>116</v>
      </c>
    </row>
    <row r="234" spans="2:15" x14ac:dyDescent="0.35">
      <c r="B234" s="186" t="e">
        <f t="shared" ref="B234" si="128">#REF!+A234</f>
        <v>#REF!</v>
      </c>
      <c r="C234" s="186"/>
      <c r="D234" s="186"/>
      <c r="E234" s="11"/>
      <c r="F234" s="11"/>
      <c r="G234" s="39"/>
      <c r="H234" s="11"/>
      <c r="J234" s="185"/>
      <c r="O234" t="s">
        <v>116</v>
      </c>
    </row>
    <row r="235" spans="2:15" x14ac:dyDescent="0.35">
      <c r="B235" s="186" t="e">
        <f t="shared" ref="B235" si="129">#REF!+A235</f>
        <v>#REF!</v>
      </c>
      <c r="C235" s="186"/>
      <c r="D235" s="186"/>
      <c r="E235" s="11"/>
      <c r="F235" s="11"/>
      <c r="G235" s="39"/>
      <c r="H235" s="11"/>
      <c r="J235" s="185"/>
      <c r="O235" t="s">
        <v>116</v>
      </c>
    </row>
    <row r="236" spans="2:15" x14ac:dyDescent="0.35">
      <c r="B236" s="186" t="e">
        <f t="shared" ref="B236" si="130">#REF!+A236</f>
        <v>#REF!</v>
      </c>
      <c r="C236" s="186"/>
      <c r="D236" s="186"/>
      <c r="E236" s="11"/>
      <c r="F236" s="11"/>
      <c r="G236" s="39"/>
      <c r="H236" s="11"/>
      <c r="J236" s="185"/>
      <c r="O236" t="s">
        <v>116</v>
      </c>
    </row>
    <row r="237" spans="2:15" x14ac:dyDescent="0.35">
      <c r="B237" s="186" t="e">
        <f t="shared" ref="B237" si="131">#REF!+A237</f>
        <v>#REF!</v>
      </c>
      <c r="C237" s="186"/>
      <c r="D237" s="186"/>
      <c r="E237" s="11"/>
      <c r="F237" s="11"/>
      <c r="G237" s="39"/>
      <c r="H237" s="11"/>
      <c r="J237" s="185"/>
      <c r="O237" t="s">
        <v>116</v>
      </c>
    </row>
    <row r="238" spans="2:15" x14ac:dyDescent="0.35">
      <c r="B238" s="186" t="e">
        <f t="shared" ref="B238" si="132">#REF!+A238</f>
        <v>#REF!</v>
      </c>
      <c r="C238" s="186"/>
      <c r="D238" s="186"/>
      <c r="E238" s="11"/>
      <c r="F238" s="11"/>
      <c r="G238" s="39"/>
      <c r="H238" s="11"/>
      <c r="J238" s="185"/>
      <c r="O238" t="s">
        <v>116</v>
      </c>
    </row>
    <row r="239" spans="2:15" x14ac:dyDescent="0.35">
      <c r="B239" s="186" t="e">
        <f t="shared" ref="B239" si="133">#REF!+A239</f>
        <v>#REF!</v>
      </c>
      <c r="C239" s="186"/>
      <c r="D239" s="186"/>
      <c r="E239" s="11"/>
      <c r="F239" s="11"/>
      <c r="G239" s="39"/>
      <c r="H239" s="11"/>
      <c r="J239" s="185"/>
      <c r="O239" t="s">
        <v>116</v>
      </c>
    </row>
    <row r="240" spans="2:15" x14ac:dyDescent="0.35">
      <c r="B240" s="186" t="e">
        <f t="shared" ref="B240" si="134">#REF!+A240</f>
        <v>#REF!</v>
      </c>
      <c r="C240" s="186"/>
      <c r="D240" s="186"/>
      <c r="E240" s="11"/>
      <c r="F240" s="11"/>
      <c r="G240" s="39"/>
      <c r="H240" s="11"/>
      <c r="J240" s="185"/>
      <c r="O240" t="s">
        <v>116</v>
      </c>
    </row>
    <row r="241" spans="2:15" x14ac:dyDescent="0.35">
      <c r="B241" s="186" t="e">
        <f t="shared" ref="B241" si="135">#REF!+A241</f>
        <v>#REF!</v>
      </c>
      <c r="C241" s="186"/>
      <c r="D241" s="186"/>
      <c r="E241" s="11"/>
      <c r="F241" s="11"/>
      <c r="G241" s="39"/>
      <c r="H241" s="11"/>
      <c r="J241" s="185"/>
      <c r="O241" t="s">
        <v>116</v>
      </c>
    </row>
    <row r="242" spans="2:15" x14ac:dyDescent="0.35">
      <c r="B242" s="186" t="e">
        <f t="shared" ref="B242" si="136">#REF!+A242</f>
        <v>#REF!</v>
      </c>
      <c r="C242" s="186"/>
      <c r="D242" s="186"/>
      <c r="E242" s="11"/>
      <c r="F242" s="11"/>
      <c r="G242" s="39"/>
      <c r="H242" s="11"/>
      <c r="J242" s="185"/>
      <c r="O242" t="s">
        <v>116</v>
      </c>
    </row>
    <row r="243" spans="2:15" x14ac:dyDescent="0.35">
      <c r="B243" s="186" t="e">
        <f t="shared" ref="B243" si="137">#REF!+A243</f>
        <v>#REF!</v>
      </c>
      <c r="C243" s="186"/>
      <c r="D243" s="186"/>
      <c r="E243" s="11"/>
      <c r="F243" s="11"/>
      <c r="G243" s="39"/>
      <c r="H243" s="11"/>
      <c r="J243" s="185"/>
      <c r="O243" t="s">
        <v>116</v>
      </c>
    </row>
    <row r="244" spans="2:15" x14ac:dyDescent="0.35">
      <c r="B244" s="186" t="e">
        <f t="shared" ref="B244" si="138">#REF!+A244</f>
        <v>#REF!</v>
      </c>
      <c r="C244" s="186"/>
      <c r="D244" s="186"/>
      <c r="E244" s="11"/>
      <c r="F244" s="11"/>
      <c r="G244" s="39"/>
      <c r="H244" s="11"/>
      <c r="J244" s="185"/>
      <c r="O244" t="s">
        <v>116</v>
      </c>
    </row>
    <row r="245" spans="2:15" x14ac:dyDescent="0.35">
      <c r="B245" s="186" t="e">
        <f t="shared" ref="B245" si="139">#REF!+A245</f>
        <v>#REF!</v>
      </c>
      <c r="C245" s="186"/>
      <c r="D245" s="186"/>
      <c r="E245" s="11"/>
      <c r="F245" s="11"/>
      <c r="G245" s="39"/>
      <c r="H245" s="11"/>
      <c r="J245" s="185"/>
      <c r="O245" t="s">
        <v>116</v>
      </c>
    </row>
    <row r="246" spans="2:15" x14ac:dyDescent="0.35">
      <c r="B246" s="186" t="e">
        <f t="shared" ref="B246" si="140">#REF!+A246</f>
        <v>#REF!</v>
      </c>
      <c r="C246" s="186"/>
      <c r="D246" s="186"/>
      <c r="E246" s="11"/>
      <c r="F246" s="11"/>
      <c r="G246" s="39"/>
      <c r="H246" s="11"/>
      <c r="J246" s="185"/>
      <c r="O246" t="s">
        <v>116</v>
      </c>
    </row>
    <row r="247" spans="2:15" x14ac:dyDescent="0.35">
      <c r="B247" s="186" t="e">
        <f t="shared" ref="B247" si="141">#REF!+A247</f>
        <v>#REF!</v>
      </c>
      <c r="C247" s="186"/>
      <c r="D247" s="186"/>
      <c r="E247" s="11"/>
      <c r="F247" s="11"/>
      <c r="G247" s="39"/>
      <c r="H247" s="11"/>
      <c r="J247" s="185"/>
      <c r="O247" t="s">
        <v>116</v>
      </c>
    </row>
    <row r="248" spans="2:15" x14ac:dyDescent="0.35">
      <c r="B248" s="186" t="e">
        <f t="shared" ref="B248" si="142">#REF!+A248</f>
        <v>#REF!</v>
      </c>
      <c r="C248" s="186"/>
      <c r="D248" s="186"/>
      <c r="E248" s="11"/>
      <c r="F248" s="11"/>
      <c r="G248" s="39"/>
      <c r="H248" s="11"/>
      <c r="J248" s="185"/>
      <c r="O248" t="s">
        <v>116</v>
      </c>
    </row>
    <row r="249" spans="2:15" x14ac:dyDescent="0.35">
      <c r="B249" s="186" t="e">
        <f t="shared" ref="B249" si="143">#REF!+A249</f>
        <v>#REF!</v>
      </c>
      <c r="C249" s="186"/>
      <c r="D249" s="186"/>
      <c r="E249" s="11"/>
      <c r="F249" s="11"/>
      <c r="G249" s="39"/>
      <c r="H249" s="11"/>
      <c r="J249" s="185"/>
      <c r="O249" t="s">
        <v>116</v>
      </c>
    </row>
    <row r="250" spans="2:15" x14ac:dyDescent="0.35">
      <c r="B250" s="186" t="e">
        <f t="shared" ref="B250" si="144">#REF!+A250</f>
        <v>#REF!</v>
      </c>
      <c r="C250" s="186"/>
      <c r="D250" s="186"/>
      <c r="E250" s="11"/>
      <c r="F250" s="11"/>
      <c r="G250" s="39"/>
      <c r="H250" s="11"/>
      <c r="J250" s="138"/>
      <c r="O250" t="s">
        <v>116</v>
      </c>
    </row>
    <row r="251" spans="2:15" x14ac:dyDescent="0.35">
      <c r="B251" s="203" t="e">
        <f t="shared" ref="B251" si="145">#REF!+A251</f>
        <v>#REF!</v>
      </c>
      <c r="C251" s="203"/>
      <c r="D251" s="203"/>
      <c r="E251" s="189"/>
      <c r="F251" s="11"/>
      <c r="G251" s="39"/>
      <c r="H251" s="11"/>
      <c r="J251" s="163"/>
      <c r="O251" t="s">
        <v>116</v>
      </c>
    </row>
    <row r="252" spans="2:15" x14ac:dyDescent="0.35">
      <c r="B252" s="312" t="e">
        <f>SUBTOTAL(9,B176:B251)</f>
        <v>#REF!</v>
      </c>
      <c r="C252" s="312"/>
      <c r="D252" s="312"/>
      <c r="E252" s="312">
        <f>SUBTOTAL(9,E176:E251)</f>
        <v>0</v>
      </c>
      <c r="F252" s="312"/>
      <c r="G252" s="312"/>
      <c r="H252" s="312"/>
      <c r="J252" s="310"/>
      <c r="O252" t="s">
        <v>116</v>
      </c>
    </row>
    <row r="253" spans="2:15" x14ac:dyDescent="0.35">
      <c r="B253" s="73" t="s">
        <v>503</v>
      </c>
      <c r="C253" s="11" t="s">
        <v>66</v>
      </c>
      <c r="D253" s="186">
        <v>120</v>
      </c>
      <c r="E253" s="11">
        <v>10.199999999999999</v>
      </c>
      <c r="F253" s="186">
        <f t="shared" ref="F253:F261" si="146">D253+E253</f>
        <v>130.19999999999999</v>
      </c>
      <c r="G253" s="11" t="s">
        <v>9</v>
      </c>
      <c r="H253" s="73"/>
      <c r="I253" s="39"/>
      <c r="J253" s="11"/>
      <c r="O253" t="s">
        <v>116</v>
      </c>
    </row>
    <row r="254" spans="2:15" x14ac:dyDescent="0.35">
      <c r="B254" s="73" t="s">
        <v>504</v>
      </c>
      <c r="C254" s="11" t="s">
        <v>66</v>
      </c>
      <c r="D254" s="186">
        <v>120</v>
      </c>
      <c r="E254" s="11">
        <v>10.199999999999999</v>
      </c>
      <c r="F254" s="186">
        <f t="shared" si="146"/>
        <v>130.19999999999999</v>
      </c>
      <c r="G254" s="11" t="s">
        <v>8</v>
      </c>
      <c r="H254" s="163"/>
      <c r="I254" s="39"/>
      <c r="J254" s="11"/>
      <c r="O254" t="s">
        <v>116</v>
      </c>
    </row>
    <row r="255" spans="2:15" x14ac:dyDescent="0.35">
      <c r="B255" s="73" t="s">
        <v>505</v>
      </c>
      <c r="C255" s="11" t="s">
        <v>66</v>
      </c>
      <c r="D255" s="186">
        <v>270</v>
      </c>
      <c r="E255" s="11">
        <v>22.95</v>
      </c>
      <c r="F255" s="186">
        <f t="shared" si="146"/>
        <v>292.95</v>
      </c>
      <c r="G255" s="11" t="s">
        <v>7</v>
      </c>
      <c r="H255" s="73"/>
      <c r="I255" s="39"/>
      <c r="J255" s="11"/>
      <c r="O255" t="s">
        <v>116</v>
      </c>
    </row>
    <row r="256" spans="2:15" x14ac:dyDescent="0.35">
      <c r="B256" s="73" t="s">
        <v>506</v>
      </c>
      <c r="C256" s="11" t="s">
        <v>66</v>
      </c>
      <c r="D256" s="186">
        <v>120</v>
      </c>
      <c r="E256" s="11">
        <v>10.199999999999999</v>
      </c>
      <c r="F256" s="186">
        <f t="shared" si="146"/>
        <v>130.19999999999999</v>
      </c>
      <c r="G256" s="11" t="s">
        <v>6</v>
      </c>
      <c r="H256" s="73"/>
      <c r="I256" s="39"/>
      <c r="J256" s="11"/>
      <c r="O256" t="s">
        <v>116</v>
      </c>
    </row>
    <row r="257" spans="2:15" x14ac:dyDescent="0.35">
      <c r="B257" s="73" t="s">
        <v>507</v>
      </c>
      <c r="C257" s="138" t="s">
        <v>66</v>
      </c>
      <c r="D257" s="186">
        <v>120</v>
      </c>
      <c r="E257" s="186">
        <v>10.199999999999999</v>
      </c>
      <c r="F257" s="186">
        <f t="shared" si="146"/>
        <v>130.19999999999999</v>
      </c>
      <c r="G257" s="138" t="s">
        <v>13</v>
      </c>
      <c r="H257" s="73"/>
      <c r="I257" s="273"/>
      <c r="J257" s="138"/>
      <c r="O257" t="s">
        <v>116</v>
      </c>
    </row>
    <row r="258" spans="2:15" x14ac:dyDescent="0.35">
      <c r="B258" s="73" t="s">
        <v>508</v>
      </c>
      <c r="C258" s="138" t="s">
        <v>66</v>
      </c>
      <c r="D258" s="186">
        <v>120</v>
      </c>
      <c r="E258" s="186">
        <v>10.199999999999999</v>
      </c>
      <c r="F258" s="186">
        <f t="shared" si="146"/>
        <v>130.19999999999999</v>
      </c>
      <c r="G258" s="138" t="s">
        <v>4</v>
      </c>
      <c r="H258" s="73"/>
      <c r="I258" s="138"/>
      <c r="J258" s="302"/>
      <c r="O258" t="s">
        <v>116</v>
      </c>
    </row>
    <row r="259" spans="2:15" x14ac:dyDescent="0.35">
      <c r="B259" s="73" t="s">
        <v>511</v>
      </c>
      <c r="C259" s="138" t="s">
        <v>66</v>
      </c>
      <c r="D259" s="186">
        <v>120</v>
      </c>
      <c r="E259" s="186">
        <v>10.199999999999999</v>
      </c>
      <c r="F259" s="186">
        <f t="shared" si="146"/>
        <v>130.19999999999999</v>
      </c>
      <c r="G259" s="186" t="s">
        <v>3</v>
      </c>
      <c r="H259" s="73"/>
      <c r="I259" s="186"/>
      <c r="J259" s="185"/>
      <c r="O259" t="s">
        <v>116</v>
      </c>
    </row>
    <row r="260" spans="2:15" x14ac:dyDescent="0.35">
      <c r="B260" s="73" t="s">
        <v>513</v>
      </c>
      <c r="C260" s="11" t="s">
        <v>66</v>
      </c>
      <c r="D260" s="186">
        <v>120</v>
      </c>
      <c r="E260" s="11">
        <v>10.199999999999999</v>
      </c>
      <c r="F260" s="186">
        <f t="shared" si="146"/>
        <v>130.19999999999999</v>
      </c>
      <c r="G260" s="11" t="s">
        <v>2</v>
      </c>
      <c r="H260" s="73"/>
      <c r="I260" s="39"/>
      <c r="J260" s="69"/>
      <c r="O260" t="s">
        <v>116</v>
      </c>
    </row>
    <row r="261" spans="2:15" x14ac:dyDescent="0.35">
      <c r="B261" s="73" t="s">
        <v>515</v>
      </c>
      <c r="C261" s="11" t="s">
        <v>66</v>
      </c>
      <c r="D261" s="186">
        <v>120</v>
      </c>
      <c r="E261" s="11">
        <v>10.199999999999999</v>
      </c>
      <c r="F261" s="186">
        <f t="shared" si="146"/>
        <v>130.19999999999999</v>
      </c>
      <c r="G261" s="11" t="s">
        <v>1</v>
      </c>
      <c r="H261" s="73"/>
      <c r="I261" s="39"/>
      <c r="J261" s="69"/>
      <c r="O261" t="s">
        <v>116</v>
      </c>
    </row>
    <row r="262" spans="2:15" x14ac:dyDescent="0.35">
      <c r="B262" s="312" t="e">
        <f>SUBTOTAL(9,B186:B261)</f>
        <v>#REF!</v>
      </c>
      <c r="C262" s="312">
        <f>SUBTOTAL(9,C186:C261)</f>
        <v>0</v>
      </c>
      <c r="D262" s="312"/>
      <c r="E262" s="312"/>
      <c r="F262" s="312">
        <f>SUBTOTAL(9,F186:F261)</f>
        <v>1334.5500000000002</v>
      </c>
      <c r="G262" s="312">
        <f>SUBTOTAL(9,G186:G261)</f>
        <v>0</v>
      </c>
      <c r="H262" s="312"/>
      <c r="I262" s="312"/>
      <c r="J262" s="312"/>
      <c r="O262" t="s">
        <v>116</v>
      </c>
    </row>
    <row r="263" spans="2:15" ht="18.5" x14ac:dyDescent="0.35">
      <c r="B263" s="137">
        <v>44025</v>
      </c>
      <c r="C263" s="13"/>
      <c r="D263" s="18">
        <v>43844</v>
      </c>
      <c r="E263" s="19" t="s">
        <v>607</v>
      </c>
      <c r="F263" s="17">
        <v>164</v>
      </c>
      <c r="G263" s="17"/>
      <c r="H263" s="17">
        <f t="shared" ref="H263:H277" si="147">F263+G263</f>
        <v>164</v>
      </c>
      <c r="I263" s="139"/>
      <c r="J263" s="139"/>
      <c r="O263" t="s">
        <v>117</v>
      </c>
    </row>
    <row r="264" spans="2:15" ht="18.5" x14ac:dyDescent="0.35">
      <c r="B264" s="69">
        <v>44106</v>
      </c>
      <c r="C264" s="13"/>
      <c r="D264" s="18">
        <v>44002</v>
      </c>
      <c r="E264" s="19" t="s">
        <v>611</v>
      </c>
      <c r="F264" s="17">
        <v>49.51</v>
      </c>
      <c r="G264" s="17">
        <v>30.49</v>
      </c>
      <c r="H264" s="17">
        <f t="shared" si="147"/>
        <v>80</v>
      </c>
      <c r="I264" s="139"/>
      <c r="J264" s="139"/>
      <c r="O264" t="s">
        <v>117</v>
      </c>
    </row>
    <row r="265" spans="2:15" x14ac:dyDescent="0.35">
      <c r="B265" s="18">
        <v>43971</v>
      </c>
      <c r="C265" s="14"/>
      <c r="D265" s="164">
        <v>44006</v>
      </c>
      <c r="E265" s="19" t="s">
        <v>612</v>
      </c>
      <c r="F265" s="17">
        <v>40.51</v>
      </c>
      <c r="G265" s="17">
        <v>21.49</v>
      </c>
      <c r="H265" s="17">
        <f t="shared" si="147"/>
        <v>62</v>
      </c>
      <c r="I265" s="139"/>
      <c r="J265" s="139"/>
      <c r="O265" t="s">
        <v>117</v>
      </c>
    </row>
    <row r="266" spans="2:15" ht="29" x14ac:dyDescent="0.35">
      <c r="B266" s="141" t="s">
        <v>91</v>
      </c>
      <c r="C266" s="15"/>
      <c r="D266" s="18">
        <v>44012</v>
      </c>
      <c r="E266" s="19" t="s">
        <v>613</v>
      </c>
      <c r="F266" s="17">
        <v>31</v>
      </c>
      <c r="G266" s="88">
        <v>2.64</v>
      </c>
      <c r="H266" s="17">
        <f t="shared" si="147"/>
        <v>33.64</v>
      </c>
      <c r="I266" s="139"/>
      <c r="J266" s="139"/>
      <c r="O266" t="s">
        <v>117</v>
      </c>
    </row>
    <row r="267" spans="2:15" x14ac:dyDescent="0.35">
      <c r="B267" s="69">
        <v>44106</v>
      </c>
      <c r="C267" s="15"/>
      <c r="D267" s="18">
        <v>44012</v>
      </c>
      <c r="E267" s="19" t="s">
        <v>614</v>
      </c>
      <c r="F267" s="17">
        <v>105.25</v>
      </c>
      <c r="G267" s="88"/>
      <c r="H267" s="17">
        <f t="shared" si="147"/>
        <v>105.25</v>
      </c>
      <c r="I267" s="139"/>
      <c r="J267" s="139"/>
      <c r="O267" t="s">
        <v>117</v>
      </c>
    </row>
    <row r="268" spans="2:15" x14ac:dyDescent="0.35">
      <c r="B268" s="69">
        <v>44110</v>
      </c>
      <c r="C268" s="15"/>
      <c r="D268" s="18">
        <v>44022</v>
      </c>
      <c r="E268" s="19" t="s">
        <v>615</v>
      </c>
      <c r="F268" s="17">
        <v>21.51</v>
      </c>
      <c r="G268" s="17">
        <v>6.49</v>
      </c>
      <c r="H268" s="17">
        <f t="shared" si="147"/>
        <v>28</v>
      </c>
      <c r="I268" s="139"/>
      <c r="J268" s="139"/>
      <c r="O268" t="s">
        <v>117</v>
      </c>
    </row>
    <row r="269" spans="2:15" x14ac:dyDescent="0.35">
      <c r="B269" s="89">
        <v>44090</v>
      </c>
      <c r="C269" s="169"/>
      <c r="D269" s="18">
        <v>44026</v>
      </c>
      <c r="E269" s="19" t="s">
        <v>616</v>
      </c>
      <c r="F269" s="17">
        <v>134</v>
      </c>
      <c r="G269" s="88"/>
      <c r="H269" s="17">
        <f t="shared" si="147"/>
        <v>134</v>
      </c>
      <c r="I269" s="139"/>
      <c r="J269" s="139"/>
      <c r="O269" t="s">
        <v>117</v>
      </c>
    </row>
    <row r="270" spans="2:15" x14ac:dyDescent="0.35">
      <c r="B270" s="69">
        <v>43994</v>
      </c>
      <c r="C270" s="15"/>
      <c r="D270" s="18">
        <v>44043</v>
      </c>
      <c r="E270" s="19" t="s">
        <v>617</v>
      </c>
      <c r="F270" s="17">
        <v>53</v>
      </c>
      <c r="G270" s="88">
        <v>4.5</v>
      </c>
      <c r="H270" s="17">
        <f t="shared" si="147"/>
        <v>57.5</v>
      </c>
      <c r="I270" s="88"/>
      <c r="J270" s="88"/>
      <c r="O270" t="s">
        <v>117</v>
      </c>
    </row>
    <row r="271" spans="2:15" x14ac:dyDescent="0.35">
      <c r="B271" s="283">
        <v>43994</v>
      </c>
      <c r="C271" s="15"/>
      <c r="D271" s="18">
        <v>44047</v>
      </c>
      <c r="E271" s="19" t="s">
        <v>618</v>
      </c>
      <c r="F271" s="17">
        <v>24</v>
      </c>
      <c r="G271" s="88"/>
      <c r="H271" s="17">
        <f t="shared" si="147"/>
        <v>24</v>
      </c>
      <c r="I271" s="139"/>
      <c r="J271" s="139"/>
      <c r="O271" t="s">
        <v>117</v>
      </c>
    </row>
    <row r="272" spans="2:15" x14ac:dyDescent="0.35">
      <c r="B272" s="283">
        <v>43994</v>
      </c>
      <c r="C272" s="15"/>
      <c r="D272" s="18">
        <v>44056</v>
      </c>
      <c r="E272" s="19" t="s">
        <v>619</v>
      </c>
      <c r="F272" s="88">
        <v>128</v>
      </c>
      <c r="G272" s="88"/>
      <c r="H272" s="17">
        <f t="shared" si="147"/>
        <v>128</v>
      </c>
      <c r="I272" s="88"/>
      <c r="J272" s="88"/>
      <c r="O272" t="s">
        <v>117</v>
      </c>
    </row>
    <row r="273" spans="2:15" x14ac:dyDescent="0.35">
      <c r="B273" s="69">
        <v>43994</v>
      </c>
      <c r="C273" s="15"/>
      <c r="D273" s="18">
        <v>44071</v>
      </c>
      <c r="E273" s="19" t="s">
        <v>620</v>
      </c>
      <c r="F273" s="17">
        <v>7</v>
      </c>
      <c r="G273" s="88"/>
      <c r="H273" s="17">
        <f t="shared" si="147"/>
        <v>7</v>
      </c>
      <c r="I273" s="88"/>
      <c r="J273" s="88"/>
      <c r="O273" t="s">
        <v>117</v>
      </c>
    </row>
    <row r="274" spans="2:15" x14ac:dyDescent="0.35">
      <c r="B274" s="18">
        <v>44106</v>
      </c>
      <c r="C274" s="15"/>
      <c r="D274" s="18">
        <v>44074</v>
      </c>
      <c r="E274" s="19" t="s">
        <v>621</v>
      </c>
      <c r="F274" s="17">
        <v>989.35</v>
      </c>
      <c r="G274" s="88"/>
      <c r="H274" s="17">
        <f t="shared" si="147"/>
        <v>989.35</v>
      </c>
      <c r="I274" s="88"/>
      <c r="J274" s="88"/>
      <c r="O274" t="s">
        <v>117</v>
      </c>
    </row>
    <row r="275" spans="2:15" x14ac:dyDescent="0.35">
      <c r="B275" s="69">
        <v>44110</v>
      </c>
      <c r="C275" s="15"/>
      <c r="D275" s="18">
        <v>44075</v>
      </c>
      <c r="E275" s="19" t="s">
        <v>622</v>
      </c>
      <c r="F275" s="17">
        <v>2600.73</v>
      </c>
      <c r="G275" s="88"/>
      <c r="H275" s="17">
        <f t="shared" si="147"/>
        <v>2600.73</v>
      </c>
      <c r="I275" s="88"/>
      <c r="J275" s="88"/>
      <c r="O275" t="s">
        <v>117</v>
      </c>
    </row>
    <row r="276" spans="2:15" x14ac:dyDescent="0.35">
      <c r="B276" s="69">
        <v>44110</v>
      </c>
      <c r="C276" s="15"/>
      <c r="D276" s="18">
        <v>44074</v>
      </c>
      <c r="E276" s="19" t="s">
        <v>623</v>
      </c>
      <c r="F276" s="17">
        <v>75</v>
      </c>
      <c r="G276" s="88">
        <v>6.38</v>
      </c>
      <c r="H276" s="17">
        <f t="shared" si="147"/>
        <v>81.38</v>
      </c>
      <c r="I276" s="88"/>
      <c r="J276" s="88"/>
      <c r="O276" t="s">
        <v>117</v>
      </c>
    </row>
    <row r="277" spans="2:15" x14ac:dyDescent="0.35">
      <c r="B277" s="69">
        <v>44062</v>
      </c>
      <c r="C277" s="15"/>
      <c r="D277" s="18">
        <v>44084</v>
      </c>
      <c r="E277" s="19" t="s">
        <v>625</v>
      </c>
      <c r="F277" s="17">
        <v>218.08</v>
      </c>
      <c r="G277" s="88"/>
      <c r="H277" s="17">
        <f t="shared" si="147"/>
        <v>218.08</v>
      </c>
      <c r="I277" s="88"/>
      <c r="J277" s="88"/>
      <c r="O277" t="s">
        <v>117</v>
      </c>
    </row>
    <row r="278" spans="2:15" x14ac:dyDescent="0.35">
      <c r="B278" s="17" t="s">
        <v>1</v>
      </c>
      <c r="C278" s="19" t="s">
        <v>56</v>
      </c>
      <c r="D278" s="18">
        <v>43845</v>
      </c>
      <c r="F278" s="59"/>
      <c r="G278" s="340"/>
      <c r="H278" s="55"/>
      <c r="I278" s="55"/>
      <c r="J278" s="55"/>
      <c r="O278" t="s">
        <v>117</v>
      </c>
    </row>
    <row r="279" spans="2:15" x14ac:dyDescent="0.35">
      <c r="B279" s="39" t="s">
        <v>2</v>
      </c>
      <c r="C279" s="39" t="s">
        <v>56</v>
      </c>
      <c r="D279" s="89">
        <v>43879</v>
      </c>
      <c r="F279" s="59"/>
      <c r="G279" s="340"/>
      <c r="H279" s="55"/>
      <c r="I279" s="55"/>
      <c r="J279" s="55"/>
      <c r="O279" t="s">
        <v>117</v>
      </c>
    </row>
    <row r="280" spans="2:15" x14ac:dyDescent="0.35">
      <c r="B280" s="17" t="s">
        <v>3</v>
      </c>
      <c r="C280" s="19" t="s">
        <v>80</v>
      </c>
      <c r="D280" s="18">
        <v>44018</v>
      </c>
      <c r="F280" s="59"/>
      <c r="G280" s="340"/>
      <c r="H280" s="55"/>
      <c r="I280" s="55"/>
      <c r="J280" s="55"/>
      <c r="O280" t="s">
        <v>117</v>
      </c>
    </row>
    <row r="281" spans="2:15" x14ac:dyDescent="0.35">
      <c r="B281" s="40" t="s">
        <v>4</v>
      </c>
      <c r="C281" s="340" t="s">
        <v>134</v>
      </c>
      <c r="D281" s="18">
        <v>44016</v>
      </c>
      <c r="F281" s="62"/>
      <c r="G281" s="340"/>
      <c r="H281" s="55"/>
      <c r="I281" s="55"/>
      <c r="J281" s="55"/>
      <c r="O281" t="s">
        <v>117</v>
      </c>
    </row>
    <row r="282" spans="2:15" x14ac:dyDescent="0.35">
      <c r="B282" s="17" t="s">
        <v>6</v>
      </c>
      <c r="C282" s="17" t="s">
        <v>79</v>
      </c>
      <c r="D282" s="18">
        <v>44002</v>
      </c>
      <c r="F282" s="59"/>
      <c r="G282" s="340"/>
      <c r="H282" s="55"/>
      <c r="I282" s="55"/>
      <c r="J282" s="55"/>
      <c r="O282" t="s">
        <v>117</v>
      </c>
    </row>
    <row r="283" spans="2:15" x14ac:dyDescent="0.35">
      <c r="B283" s="39" t="s">
        <v>6</v>
      </c>
      <c r="C283" s="138" t="s">
        <v>45</v>
      </c>
      <c r="D283" s="18">
        <v>44006</v>
      </c>
      <c r="F283" s="59"/>
      <c r="G283" s="63"/>
      <c r="H283" s="55"/>
      <c r="I283" s="55"/>
      <c r="J283" s="55"/>
      <c r="O283" t="s">
        <v>117</v>
      </c>
    </row>
    <row r="284" spans="2:15" x14ac:dyDescent="0.35">
      <c r="B284" s="88" t="s">
        <v>6</v>
      </c>
      <c r="C284" s="39" t="s">
        <v>60</v>
      </c>
      <c r="D284" s="89">
        <v>44043</v>
      </c>
      <c r="F284" s="59"/>
      <c r="G284" s="342"/>
      <c r="H284" s="55"/>
      <c r="I284" s="65"/>
      <c r="J284" s="55"/>
      <c r="O284" t="s">
        <v>117</v>
      </c>
    </row>
    <row r="285" spans="2:15" x14ac:dyDescent="0.35">
      <c r="B285" s="88" t="s">
        <v>6</v>
      </c>
      <c r="C285" s="39" t="s">
        <v>60</v>
      </c>
      <c r="D285" s="89">
        <v>44043</v>
      </c>
      <c r="E285" s="23"/>
      <c r="F285" s="59"/>
      <c r="G285" s="342"/>
      <c r="H285" s="55"/>
      <c r="I285" s="65"/>
      <c r="J285" s="55"/>
      <c r="O285" t="s">
        <v>117</v>
      </c>
    </row>
    <row r="286" spans="2:15" x14ac:dyDescent="0.35">
      <c r="B286" s="17" t="s">
        <v>7</v>
      </c>
      <c r="C286" s="19" t="s">
        <v>79</v>
      </c>
      <c r="D286" s="18">
        <v>44021</v>
      </c>
      <c r="E286" s="23"/>
      <c r="F286" s="59"/>
      <c r="G286" s="342"/>
      <c r="H286" s="55"/>
      <c r="I286" s="65"/>
      <c r="J286" s="55"/>
      <c r="O286" t="s">
        <v>117</v>
      </c>
    </row>
    <row r="287" spans="2:15" x14ac:dyDescent="0.35">
      <c r="B287" s="88" t="s">
        <v>7</v>
      </c>
      <c r="C287" s="39" t="s">
        <v>56</v>
      </c>
      <c r="D287" s="89">
        <v>44026</v>
      </c>
      <c r="E287" s="67"/>
      <c r="F287" s="59"/>
      <c r="G287" s="341"/>
      <c r="H287" s="55"/>
      <c r="I287" s="181"/>
      <c r="J287" s="55"/>
      <c r="O287" t="s">
        <v>117</v>
      </c>
    </row>
    <row r="288" spans="2:15" x14ac:dyDescent="0.35">
      <c r="B288" s="39" t="s">
        <v>7</v>
      </c>
      <c r="C288" s="39" t="s">
        <v>60</v>
      </c>
      <c r="D288" s="89">
        <v>44074</v>
      </c>
      <c r="E288" s="23"/>
      <c r="F288" s="59"/>
      <c r="G288" s="342"/>
      <c r="H288" s="65"/>
      <c r="I288" s="65"/>
      <c r="J288" s="55"/>
      <c r="O288" t="s">
        <v>117</v>
      </c>
    </row>
    <row r="289" spans="2:15" x14ac:dyDescent="0.35">
      <c r="B289" s="88" t="s">
        <v>8</v>
      </c>
      <c r="C289" s="39" t="s">
        <v>45</v>
      </c>
      <c r="D289" s="89">
        <v>44048</v>
      </c>
      <c r="E289" s="23"/>
      <c r="F289" s="59"/>
      <c r="G289" s="342"/>
      <c r="H289" s="55"/>
      <c r="I289" s="65"/>
      <c r="J289" s="55"/>
      <c r="O289" t="s">
        <v>117</v>
      </c>
    </row>
    <row r="290" spans="2:15" x14ac:dyDescent="0.35">
      <c r="B290" s="39" t="s">
        <v>8</v>
      </c>
      <c r="C290" s="39" t="s">
        <v>56</v>
      </c>
      <c r="D290" s="89">
        <v>44056</v>
      </c>
      <c r="E290" s="23"/>
      <c r="F290" s="59"/>
      <c r="G290" s="342"/>
      <c r="H290" s="55"/>
      <c r="I290" s="65"/>
      <c r="J290" s="55"/>
      <c r="O290" t="s">
        <v>117</v>
      </c>
    </row>
    <row r="291" spans="2:15" x14ac:dyDescent="0.35">
      <c r="B291" s="39" t="s">
        <v>8</v>
      </c>
      <c r="C291" s="39" t="s">
        <v>45</v>
      </c>
      <c r="D291" s="89">
        <v>44075</v>
      </c>
      <c r="E291" s="23"/>
      <c r="F291" s="59"/>
      <c r="G291" s="342"/>
      <c r="H291" s="55"/>
      <c r="I291" s="65"/>
      <c r="J291" s="55"/>
      <c r="O291" t="s">
        <v>117</v>
      </c>
    </row>
    <row r="292" spans="2:15" x14ac:dyDescent="0.35">
      <c r="B292" s="39" t="s">
        <v>8</v>
      </c>
      <c r="C292" s="39"/>
      <c r="D292" s="89"/>
      <c r="E292" s="23"/>
      <c r="F292" s="59"/>
      <c r="G292" s="342"/>
      <c r="H292" s="55"/>
      <c r="I292" s="65"/>
      <c r="J292" s="55"/>
      <c r="O292" t="s">
        <v>117</v>
      </c>
    </row>
    <row r="293" spans="2:15" x14ac:dyDescent="0.35">
      <c r="B293" s="39" t="s">
        <v>9</v>
      </c>
      <c r="C293" s="39" t="s">
        <v>80</v>
      </c>
      <c r="D293" s="89">
        <v>44106</v>
      </c>
      <c r="E293" s="23"/>
      <c r="F293" s="59"/>
      <c r="G293" s="342"/>
      <c r="H293" s="55"/>
      <c r="I293" s="65"/>
      <c r="J293" s="55"/>
      <c r="O293" t="s">
        <v>117</v>
      </c>
    </row>
    <row r="294" spans="2:15" x14ac:dyDescent="0.35">
      <c r="B294" s="39" t="s">
        <v>8</v>
      </c>
      <c r="C294" s="39" t="s">
        <v>60</v>
      </c>
      <c r="D294" s="89">
        <v>44104</v>
      </c>
      <c r="E294" s="23"/>
      <c r="F294" s="59"/>
      <c r="G294" s="342"/>
      <c r="H294" s="55"/>
      <c r="I294" s="65"/>
      <c r="J294" s="55"/>
      <c r="O294" t="s">
        <v>117</v>
      </c>
    </row>
    <row r="295" spans="2:15" x14ac:dyDescent="0.35">
      <c r="B295" s="39" t="s">
        <v>9</v>
      </c>
      <c r="C295" s="39" t="s">
        <v>45</v>
      </c>
      <c r="D295" s="89">
        <v>44097</v>
      </c>
      <c r="E295" s="23"/>
      <c r="F295" s="59"/>
      <c r="G295" s="342"/>
      <c r="H295" s="55"/>
      <c r="I295" s="65"/>
      <c r="J295" s="55"/>
      <c r="O295" t="s">
        <v>117</v>
      </c>
    </row>
    <row r="296" spans="2:15" x14ac:dyDescent="0.35">
      <c r="B296" s="39" t="s">
        <v>9</v>
      </c>
      <c r="C296" s="39" t="s">
        <v>80</v>
      </c>
      <c r="D296" s="89">
        <v>44106</v>
      </c>
      <c r="E296" s="23"/>
      <c r="F296" s="59"/>
      <c r="G296" s="342"/>
      <c r="H296" s="55"/>
      <c r="I296" s="65"/>
      <c r="J296" s="55"/>
      <c r="O296" t="s">
        <v>117</v>
      </c>
    </row>
  </sheetData>
  <autoFilter ref="B5:P5" xr:uid="{00000000-0009-0000-0000-000006000000}">
    <sortState xmlns:xlrd2="http://schemas.microsoft.com/office/spreadsheetml/2017/richdata2" ref="B6:P65">
      <sortCondition ref="C5:C65"/>
    </sortState>
  </autoFilter>
  <mergeCells count="4">
    <mergeCell ref="A1:D1"/>
    <mergeCell ref="A2:D2"/>
    <mergeCell ref="H3:I3"/>
    <mergeCell ref="H2:I2"/>
  </mergeCells>
  <conditionalFormatting sqref="B6">
    <cfRule type="expression" dxfId="519" priority="620">
      <formula>$N6=""</formula>
    </cfRule>
  </conditionalFormatting>
  <conditionalFormatting sqref="B7">
    <cfRule type="expression" dxfId="518" priority="619">
      <formula>$N7=""</formula>
    </cfRule>
  </conditionalFormatting>
  <conditionalFormatting sqref="B8">
    <cfRule type="expression" dxfId="517" priority="618">
      <formula>$N8=""</formula>
    </cfRule>
  </conditionalFormatting>
  <conditionalFormatting sqref="B9">
    <cfRule type="expression" dxfId="516" priority="617">
      <formula>$N9=""</formula>
    </cfRule>
  </conditionalFormatting>
  <conditionalFormatting sqref="B10">
    <cfRule type="expression" dxfId="515" priority="616">
      <formula>$N10=""</formula>
    </cfRule>
  </conditionalFormatting>
  <conditionalFormatting sqref="B11">
    <cfRule type="expression" dxfId="514" priority="615">
      <formula>$N11=""</formula>
    </cfRule>
  </conditionalFormatting>
  <conditionalFormatting sqref="B12">
    <cfRule type="expression" dxfId="513" priority="614">
      <formula>$N12=""</formula>
    </cfRule>
  </conditionalFormatting>
  <conditionalFormatting sqref="B13">
    <cfRule type="expression" dxfId="512" priority="613">
      <formula>$N13=""</formula>
    </cfRule>
  </conditionalFormatting>
  <conditionalFormatting sqref="B14">
    <cfRule type="expression" dxfId="511" priority="612">
      <formula>$N14=""</formula>
    </cfRule>
  </conditionalFormatting>
  <conditionalFormatting sqref="B15">
    <cfRule type="expression" dxfId="510" priority="611">
      <formula>$N15=""</formula>
    </cfRule>
  </conditionalFormatting>
  <conditionalFormatting sqref="B16">
    <cfRule type="expression" dxfId="509" priority="610">
      <formula>$N16=""</formula>
    </cfRule>
  </conditionalFormatting>
  <conditionalFormatting sqref="B17">
    <cfRule type="expression" dxfId="508" priority="609">
      <formula>$N17=""</formula>
    </cfRule>
  </conditionalFormatting>
  <conditionalFormatting sqref="B18">
    <cfRule type="expression" dxfId="507" priority="608">
      <formula>$N18=""</formula>
    </cfRule>
  </conditionalFormatting>
  <conditionalFormatting sqref="B19">
    <cfRule type="expression" dxfId="506" priority="607">
      <formula>$N19=""</formula>
    </cfRule>
  </conditionalFormatting>
  <conditionalFormatting sqref="B20">
    <cfRule type="expression" dxfId="505" priority="606">
      <formula>$N20=""</formula>
    </cfRule>
  </conditionalFormatting>
  <conditionalFormatting sqref="B21">
    <cfRule type="expression" dxfId="504" priority="605">
      <formula>$N21=""</formula>
    </cfRule>
  </conditionalFormatting>
  <conditionalFormatting sqref="B22">
    <cfRule type="expression" dxfId="503" priority="604">
      <formula>$N22=""</formula>
    </cfRule>
  </conditionalFormatting>
  <conditionalFormatting sqref="B23">
    <cfRule type="expression" dxfId="502" priority="603">
      <formula>$N23=""</formula>
    </cfRule>
  </conditionalFormatting>
  <conditionalFormatting sqref="B24">
    <cfRule type="expression" dxfId="501" priority="602">
      <formula>$N24=""</formula>
    </cfRule>
  </conditionalFormatting>
  <conditionalFormatting sqref="B25">
    <cfRule type="expression" dxfId="500" priority="601">
      <formula>$N25=""</formula>
    </cfRule>
  </conditionalFormatting>
  <conditionalFormatting sqref="B26">
    <cfRule type="expression" dxfId="499" priority="600">
      <formula>$N26=""</formula>
    </cfRule>
  </conditionalFormatting>
  <conditionalFormatting sqref="B27">
    <cfRule type="expression" dxfId="498" priority="599">
      <formula>$N27=""</formula>
    </cfRule>
  </conditionalFormatting>
  <conditionalFormatting sqref="B28">
    <cfRule type="expression" dxfId="497" priority="598">
      <formula>$N28=""</formula>
    </cfRule>
  </conditionalFormatting>
  <conditionalFormatting sqref="B29">
    <cfRule type="expression" dxfId="496" priority="597">
      <formula>$N29=""</formula>
    </cfRule>
  </conditionalFormatting>
  <conditionalFormatting sqref="B30">
    <cfRule type="expression" dxfId="495" priority="593">
      <formula>$N30=""</formula>
    </cfRule>
  </conditionalFormatting>
  <conditionalFormatting sqref="B31">
    <cfRule type="expression" dxfId="494" priority="582">
      <formula>$N31=""</formula>
    </cfRule>
  </conditionalFormatting>
  <conditionalFormatting sqref="B32">
    <cfRule type="expression" dxfId="493" priority="577">
      <formula>$N32=""</formula>
    </cfRule>
  </conditionalFormatting>
  <conditionalFormatting sqref="B33">
    <cfRule type="expression" dxfId="492" priority="570">
      <formula>$N33=""</formula>
    </cfRule>
  </conditionalFormatting>
  <conditionalFormatting sqref="B34">
    <cfRule type="expression" dxfId="491" priority="569">
      <formula>$N34=""</formula>
    </cfRule>
  </conditionalFormatting>
  <conditionalFormatting sqref="D35:J35">
    <cfRule type="expression" dxfId="490" priority="567">
      <formula>$Z35=""</formula>
    </cfRule>
  </conditionalFormatting>
  <conditionalFormatting sqref="B35">
    <cfRule type="expression" dxfId="489" priority="568">
      <formula>$N35=""</formula>
    </cfRule>
  </conditionalFormatting>
  <conditionalFormatting sqref="D36:J36">
    <cfRule type="expression" dxfId="488" priority="565">
      <formula>$Z36=""</formula>
    </cfRule>
  </conditionalFormatting>
  <conditionalFormatting sqref="B36">
    <cfRule type="expression" dxfId="487" priority="566">
      <formula>$N36=""</formula>
    </cfRule>
  </conditionalFormatting>
  <conditionalFormatting sqref="D37:J37">
    <cfRule type="expression" dxfId="486" priority="563">
      <formula>$Z37=""</formula>
    </cfRule>
  </conditionalFormatting>
  <conditionalFormatting sqref="B37">
    <cfRule type="expression" dxfId="485" priority="564">
      <formula>$N37=""</formula>
    </cfRule>
  </conditionalFormatting>
  <conditionalFormatting sqref="D38:J38">
    <cfRule type="expression" dxfId="484" priority="561">
      <formula>$Z38=""</formula>
    </cfRule>
  </conditionalFormatting>
  <conditionalFormatting sqref="B38">
    <cfRule type="expression" dxfId="483" priority="562">
      <formula>$N38=""</formula>
    </cfRule>
  </conditionalFormatting>
  <conditionalFormatting sqref="D39:J39">
    <cfRule type="expression" dxfId="482" priority="559">
      <formula>$Z39=""</formula>
    </cfRule>
  </conditionalFormatting>
  <conditionalFormatting sqref="B39">
    <cfRule type="expression" dxfId="481" priority="560">
      <formula>$N39=""</formula>
    </cfRule>
  </conditionalFormatting>
  <conditionalFormatting sqref="D40:J40">
    <cfRule type="expression" dxfId="480" priority="557">
      <formula>$Z40=""</formula>
    </cfRule>
  </conditionalFormatting>
  <conditionalFormatting sqref="B40">
    <cfRule type="expression" dxfId="479" priority="558">
      <formula>$N40=""</formula>
    </cfRule>
  </conditionalFormatting>
  <conditionalFormatting sqref="D41:J41">
    <cfRule type="expression" dxfId="478" priority="555">
      <formula>$Z41=""</formula>
    </cfRule>
  </conditionalFormatting>
  <conditionalFormatting sqref="B41">
    <cfRule type="expression" dxfId="477" priority="556">
      <formula>$N41=""</formula>
    </cfRule>
  </conditionalFormatting>
  <conditionalFormatting sqref="D42:J42">
    <cfRule type="expression" dxfId="476" priority="553">
      <formula>$Z42=""</formula>
    </cfRule>
  </conditionalFormatting>
  <conditionalFormatting sqref="B42">
    <cfRule type="expression" dxfId="475" priority="554">
      <formula>$N42=""</formula>
    </cfRule>
  </conditionalFormatting>
  <conditionalFormatting sqref="D43:J43">
    <cfRule type="expression" dxfId="474" priority="551">
      <formula>$Z43=""</formula>
    </cfRule>
  </conditionalFormatting>
  <conditionalFormatting sqref="B43">
    <cfRule type="expression" dxfId="473" priority="552">
      <formula>$N43=""</formula>
    </cfRule>
  </conditionalFormatting>
  <conditionalFormatting sqref="D44:J44">
    <cfRule type="expression" dxfId="472" priority="549">
      <formula>$Z44=""</formula>
    </cfRule>
  </conditionalFormatting>
  <conditionalFormatting sqref="B44">
    <cfRule type="expression" dxfId="471" priority="550">
      <formula>$N44=""</formula>
    </cfRule>
  </conditionalFormatting>
  <conditionalFormatting sqref="D45:J45">
    <cfRule type="expression" dxfId="470" priority="547">
      <formula>$Z45=""</formula>
    </cfRule>
  </conditionalFormatting>
  <conditionalFormatting sqref="B45">
    <cfRule type="expression" dxfId="469" priority="548">
      <formula>$N45=""</formula>
    </cfRule>
  </conditionalFormatting>
  <conditionalFormatting sqref="D46:J46">
    <cfRule type="expression" dxfId="468" priority="545">
      <formula>$Z46=""</formula>
    </cfRule>
  </conditionalFormatting>
  <conditionalFormatting sqref="B46">
    <cfRule type="expression" dxfId="467" priority="546">
      <formula>$N46=""</formula>
    </cfRule>
  </conditionalFormatting>
  <conditionalFormatting sqref="D47:J47">
    <cfRule type="expression" dxfId="466" priority="543">
      <formula>$Z47=""</formula>
    </cfRule>
  </conditionalFormatting>
  <conditionalFormatting sqref="B47">
    <cfRule type="expression" dxfId="465" priority="544">
      <formula>$N47=""</formula>
    </cfRule>
  </conditionalFormatting>
  <conditionalFormatting sqref="D48:J48">
    <cfRule type="expression" dxfId="464" priority="541">
      <formula>$Z48=""</formula>
    </cfRule>
  </conditionalFormatting>
  <conditionalFormatting sqref="B48">
    <cfRule type="expression" dxfId="463" priority="542">
      <formula>$N48=""</formula>
    </cfRule>
  </conditionalFormatting>
  <conditionalFormatting sqref="D49:J49">
    <cfRule type="expression" dxfId="462" priority="539">
      <formula>$Z49=""</formula>
    </cfRule>
  </conditionalFormatting>
  <conditionalFormatting sqref="B49">
    <cfRule type="expression" dxfId="461" priority="540">
      <formula>$N49=""</formula>
    </cfRule>
  </conditionalFormatting>
  <conditionalFormatting sqref="D50:J50">
    <cfRule type="expression" dxfId="460" priority="537">
      <formula>$Z50=""</formula>
    </cfRule>
  </conditionalFormatting>
  <conditionalFormatting sqref="B50">
    <cfRule type="expression" dxfId="459" priority="538">
      <formula>$N50=""</formula>
    </cfRule>
  </conditionalFormatting>
  <conditionalFormatting sqref="D51:J51">
    <cfRule type="expression" dxfId="458" priority="535">
      <formula>$Z51=""</formula>
    </cfRule>
  </conditionalFormatting>
  <conditionalFormatting sqref="B51">
    <cfRule type="expression" dxfId="457" priority="536">
      <formula>$N51=""</formula>
    </cfRule>
  </conditionalFormatting>
  <conditionalFormatting sqref="D52:J52">
    <cfRule type="expression" dxfId="456" priority="533">
      <formula>$Z52=""</formula>
    </cfRule>
  </conditionalFormatting>
  <conditionalFormatting sqref="B52">
    <cfRule type="expression" dxfId="455" priority="534">
      <formula>$N52=""</formula>
    </cfRule>
  </conditionalFormatting>
  <conditionalFormatting sqref="D53:J53">
    <cfRule type="expression" dxfId="454" priority="531">
      <formula>$Z53=""</formula>
    </cfRule>
  </conditionalFormatting>
  <conditionalFormatting sqref="B53">
    <cfRule type="expression" dxfId="453" priority="532">
      <formula>$N53=""</formula>
    </cfRule>
  </conditionalFormatting>
  <conditionalFormatting sqref="D54:J54">
    <cfRule type="expression" dxfId="452" priority="529">
      <formula>$Z54=""</formula>
    </cfRule>
  </conditionalFormatting>
  <conditionalFormatting sqref="B54">
    <cfRule type="expression" dxfId="451" priority="530">
      <formula>$N54=""</formula>
    </cfRule>
  </conditionalFormatting>
  <conditionalFormatting sqref="D55:J55">
    <cfRule type="expression" dxfId="450" priority="527">
      <formula>$Z55=""</formula>
    </cfRule>
  </conditionalFormatting>
  <conditionalFormatting sqref="B55">
    <cfRule type="expression" dxfId="449" priority="528">
      <formula>$N55=""</formula>
    </cfRule>
  </conditionalFormatting>
  <conditionalFormatting sqref="D56:J56">
    <cfRule type="expression" dxfId="448" priority="525">
      <formula>$Z56=""</formula>
    </cfRule>
  </conditionalFormatting>
  <conditionalFormatting sqref="B56">
    <cfRule type="expression" dxfId="447" priority="526">
      <formula>$N56=""</formula>
    </cfRule>
  </conditionalFormatting>
  <conditionalFormatting sqref="D57:J57">
    <cfRule type="expression" dxfId="446" priority="523">
      <formula>$Z57=""</formula>
    </cfRule>
  </conditionalFormatting>
  <conditionalFormatting sqref="B57">
    <cfRule type="expression" dxfId="445" priority="524">
      <formula>$N57=""</formula>
    </cfRule>
  </conditionalFormatting>
  <conditionalFormatting sqref="D58:J58">
    <cfRule type="expression" dxfId="444" priority="521">
      <formula>$Z58=""</formula>
    </cfRule>
  </conditionalFormatting>
  <conditionalFormatting sqref="B58">
    <cfRule type="expression" dxfId="443" priority="522">
      <formula>$N58=""</formula>
    </cfRule>
  </conditionalFormatting>
  <conditionalFormatting sqref="D59:J59">
    <cfRule type="expression" dxfId="442" priority="519">
      <formula>$Z59=""</formula>
    </cfRule>
  </conditionalFormatting>
  <conditionalFormatting sqref="B59">
    <cfRule type="expression" dxfId="441" priority="520">
      <formula>$N59=""</formula>
    </cfRule>
  </conditionalFormatting>
  <conditionalFormatting sqref="D60:J60">
    <cfRule type="expression" dxfId="440" priority="517">
      <formula>$Z60=""</formula>
    </cfRule>
  </conditionalFormatting>
  <conditionalFormatting sqref="B60">
    <cfRule type="expression" dxfId="439" priority="518">
      <formula>$N60=""</formula>
    </cfRule>
  </conditionalFormatting>
  <conditionalFormatting sqref="D61:J61">
    <cfRule type="expression" dxfId="438" priority="513">
      <formula>$Z61=""</formula>
    </cfRule>
  </conditionalFormatting>
  <conditionalFormatting sqref="B61">
    <cfRule type="expression" dxfId="437" priority="514">
      <formula>$N61=""</formula>
    </cfRule>
  </conditionalFormatting>
  <conditionalFormatting sqref="D62:J62">
    <cfRule type="expression" dxfId="436" priority="511">
      <formula>$Z62=""</formula>
    </cfRule>
  </conditionalFormatting>
  <conditionalFormatting sqref="B62">
    <cfRule type="expression" dxfId="435" priority="512">
      <formula>$N62=""</formula>
    </cfRule>
  </conditionalFormatting>
  <conditionalFormatting sqref="D63:J63">
    <cfRule type="expression" dxfId="434" priority="509">
      <formula>$Z63=""</formula>
    </cfRule>
  </conditionalFormatting>
  <conditionalFormatting sqref="B63">
    <cfRule type="expression" dxfId="433" priority="510">
      <formula>$N63=""</formula>
    </cfRule>
  </conditionalFormatting>
  <conditionalFormatting sqref="D64:J64">
    <cfRule type="expression" dxfId="432" priority="507">
      <formula>$Z64=""</formula>
    </cfRule>
  </conditionalFormatting>
  <conditionalFormatting sqref="B64">
    <cfRule type="expression" dxfId="431" priority="508">
      <formula>$N64=""</formula>
    </cfRule>
  </conditionalFormatting>
  <conditionalFormatting sqref="D65:J65">
    <cfRule type="expression" dxfId="430" priority="505">
      <formula>$Z65=""</formula>
    </cfRule>
  </conditionalFormatting>
  <conditionalFormatting sqref="B65">
    <cfRule type="expression" dxfId="429" priority="506">
      <formula>$N65=""</formula>
    </cfRule>
  </conditionalFormatting>
  <conditionalFormatting sqref="D66:J66">
    <cfRule type="expression" dxfId="428" priority="503">
      <formula>$Z66=""</formula>
    </cfRule>
  </conditionalFormatting>
  <conditionalFormatting sqref="B66">
    <cfRule type="expression" dxfId="427" priority="504">
      <formula>$N66=""</formula>
    </cfRule>
  </conditionalFormatting>
  <conditionalFormatting sqref="D67:J67">
    <cfRule type="expression" dxfId="426" priority="501">
      <formula>$Z67=""</formula>
    </cfRule>
  </conditionalFormatting>
  <conditionalFormatting sqref="B67">
    <cfRule type="expression" dxfId="425" priority="502">
      <formula>$N67=""</formula>
    </cfRule>
  </conditionalFormatting>
  <conditionalFormatting sqref="D68:J68">
    <cfRule type="expression" dxfId="424" priority="499">
      <formula>$Z68=""</formula>
    </cfRule>
  </conditionalFormatting>
  <conditionalFormatting sqref="B68">
    <cfRule type="expression" dxfId="423" priority="500">
      <formula>$N68=""</formula>
    </cfRule>
  </conditionalFormatting>
  <conditionalFormatting sqref="B69:F69">
    <cfRule type="expression" dxfId="422" priority="496">
      <formula>$AL69=""</formula>
    </cfRule>
  </conditionalFormatting>
  <conditionalFormatting sqref="J69">
    <cfRule type="expression" dxfId="421" priority="495">
      <formula>$AX69=""</formula>
    </cfRule>
  </conditionalFormatting>
  <conditionalFormatting sqref="B70:F70">
    <cfRule type="expression" dxfId="420" priority="494">
      <formula>$AL70=""</formula>
    </cfRule>
  </conditionalFormatting>
  <conditionalFormatting sqref="J70">
    <cfRule type="expression" dxfId="419" priority="493">
      <formula>$AX70=""</formula>
    </cfRule>
  </conditionalFormatting>
  <conditionalFormatting sqref="B71:F71">
    <cfRule type="expression" dxfId="418" priority="492">
      <formula>$AL71=""</formula>
    </cfRule>
  </conditionalFormatting>
  <conditionalFormatting sqref="J71">
    <cfRule type="expression" dxfId="417" priority="491">
      <formula>$AX71=""</formula>
    </cfRule>
  </conditionalFormatting>
  <conditionalFormatting sqref="B72:F72">
    <cfRule type="expression" dxfId="416" priority="490">
      <formula>$AL72=""</formula>
    </cfRule>
  </conditionalFormatting>
  <conditionalFormatting sqref="J72">
    <cfRule type="expression" dxfId="415" priority="489">
      <formula>$AX72=""</formula>
    </cfRule>
  </conditionalFormatting>
  <conditionalFormatting sqref="B73:F73">
    <cfRule type="expression" dxfId="414" priority="488">
      <formula>$AL73=""</formula>
    </cfRule>
  </conditionalFormatting>
  <conditionalFormatting sqref="J73">
    <cfRule type="expression" dxfId="413" priority="487">
      <formula>$AX73=""</formula>
    </cfRule>
  </conditionalFormatting>
  <conditionalFormatting sqref="B74:F74">
    <cfRule type="expression" dxfId="412" priority="486">
      <formula>$AL74=""</formula>
    </cfRule>
  </conditionalFormatting>
  <conditionalFormatting sqref="J74">
    <cfRule type="expression" dxfId="411" priority="485">
      <formula>$AX74=""</formula>
    </cfRule>
  </conditionalFormatting>
  <conditionalFormatting sqref="B75:F75">
    <cfRule type="expression" dxfId="410" priority="484">
      <formula>$AL75=""</formula>
    </cfRule>
  </conditionalFormatting>
  <conditionalFormatting sqref="J75">
    <cfRule type="expression" dxfId="409" priority="483">
      <formula>$AX75=""</formula>
    </cfRule>
  </conditionalFormatting>
  <conditionalFormatting sqref="B76:F76">
    <cfRule type="expression" dxfId="408" priority="482">
      <formula>$AL76=""</formula>
    </cfRule>
  </conditionalFormatting>
  <conditionalFormatting sqref="J76">
    <cfRule type="expression" dxfId="407" priority="481">
      <formula>$AX76=""</formula>
    </cfRule>
  </conditionalFormatting>
  <conditionalFormatting sqref="B77:F77">
    <cfRule type="expression" dxfId="406" priority="480">
      <formula>$AL77=""</formula>
    </cfRule>
  </conditionalFormatting>
  <conditionalFormatting sqref="J77">
    <cfRule type="expression" dxfId="405" priority="479">
      <formula>$AX77=""</formula>
    </cfRule>
  </conditionalFormatting>
  <conditionalFormatting sqref="B78:F78">
    <cfRule type="expression" dxfId="404" priority="478">
      <formula>$AL78=""</formula>
    </cfRule>
  </conditionalFormatting>
  <conditionalFormatting sqref="J78">
    <cfRule type="expression" dxfId="403" priority="477">
      <formula>$AX78=""</formula>
    </cfRule>
  </conditionalFormatting>
  <conditionalFormatting sqref="B79:F79">
    <cfRule type="expression" dxfId="402" priority="476">
      <formula>$AL79=""</formula>
    </cfRule>
  </conditionalFormatting>
  <conditionalFormatting sqref="J79">
    <cfRule type="expression" dxfId="401" priority="475">
      <formula>$AX79=""</formula>
    </cfRule>
  </conditionalFormatting>
  <conditionalFormatting sqref="B80:F80">
    <cfRule type="expression" dxfId="400" priority="474">
      <formula>$AL80=""</formula>
    </cfRule>
  </conditionalFormatting>
  <conditionalFormatting sqref="J80">
    <cfRule type="expression" dxfId="399" priority="473">
      <formula>$AX80=""</formula>
    </cfRule>
  </conditionalFormatting>
  <conditionalFormatting sqref="B81:F81">
    <cfRule type="expression" dxfId="398" priority="472">
      <formula>$AL81=""</formula>
    </cfRule>
  </conditionalFormatting>
  <conditionalFormatting sqref="J81">
    <cfRule type="expression" dxfId="397" priority="471">
      <formula>$AX81=""</formula>
    </cfRule>
  </conditionalFormatting>
  <conditionalFormatting sqref="B82:F82">
    <cfRule type="expression" dxfId="396" priority="470">
      <formula>$AL82=""</formula>
    </cfRule>
  </conditionalFormatting>
  <conditionalFormatting sqref="J82">
    <cfRule type="expression" dxfId="395" priority="469">
      <formula>$AX82=""</formula>
    </cfRule>
  </conditionalFormatting>
  <conditionalFormatting sqref="B83:F83">
    <cfRule type="expression" dxfId="394" priority="468">
      <formula>$AL83=""</formula>
    </cfRule>
  </conditionalFormatting>
  <conditionalFormatting sqref="J83">
    <cfRule type="expression" dxfId="393" priority="467">
      <formula>$AX83=""</formula>
    </cfRule>
  </conditionalFormatting>
  <conditionalFormatting sqref="B84:F84">
    <cfRule type="expression" dxfId="392" priority="466">
      <formula>$AL84=""</formula>
    </cfRule>
  </conditionalFormatting>
  <conditionalFormatting sqref="J84">
    <cfRule type="expression" dxfId="391" priority="465">
      <formula>$AX84=""</formula>
    </cfRule>
  </conditionalFormatting>
  <conditionalFormatting sqref="B85:F85">
    <cfRule type="expression" dxfId="390" priority="464">
      <formula>$AL85=""</formula>
    </cfRule>
  </conditionalFormatting>
  <conditionalFormatting sqref="J85">
    <cfRule type="expression" dxfId="389" priority="463">
      <formula>$AX85=""</formula>
    </cfRule>
  </conditionalFormatting>
  <conditionalFormatting sqref="B86:F86">
    <cfRule type="expression" dxfId="388" priority="462">
      <formula>$AL86=""</formula>
    </cfRule>
  </conditionalFormatting>
  <conditionalFormatting sqref="J86">
    <cfRule type="expression" dxfId="387" priority="461">
      <formula>$AX86=""</formula>
    </cfRule>
  </conditionalFormatting>
  <conditionalFormatting sqref="B87:F87">
    <cfRule type="expression" dxfId="386" priority="460">
      <formula>$AL87=""</formula>
    </cfRule>
  </conditionalFormatting>
  <conditionalFormatting sqref="J87">
    <cfRule type="expression" dxfId="385" priority="459">
      <formula>$AX87=""</formula>
    </cfRule>
  </conditionalFormatting>
  <conditionalFormatting sqref="B88:F88">
    <cfRule type="expression" dxfId="384" priority="458">
      <formula>$AL88=""</formula>
    </cfRule>
  </conditionalFormatting>
  <conditionalFormatting sqref="J88">
    <cfRule type="expression" dxfId="383" priority="457">
      <formula>$AX88=""</formula>
    </cfRule>
  </conditionalFormatting>
  <conditionalFormatting sqref="B89:F89">
    <cfRule type="expression" dxfId="382" priority="456">
      <formula>$AL89=""</formula>
    </cfRule>
  </conditionalFormatting>
  <conditionalFormatting sqref="J89">
    <cfRule type="expression" dxfId="381" priority="455">
      <formula>$AX89=""</formula>
    </cfRule>
  </conditionalFormatting>
  <conditionalFormatting sqref="B90:F90">
    <cfRule type="expression" dxfId="380" priority="454">
      <formula>$AL90=""</formula>
    </cfRule>
  </conditionalFormatting>
  <conditionalFormatting sqref="J90">
    <cfRule type="expression" dxfId="379" priority="453">
      <formula>$AX90=""</formula>
    </cfRule>
  </conditionalFormatting>
  <conditionalFormatting sqref="B91:F91">
    <cfRule type="expression" dxfId="378" priority="452">
      <formula>$AL91=""</formula>
    </cfRule>
  </conditionalFormatting>
  <conditionalFormatting sqref="J91">
    <cfRule type="expression" dxfId="377" priority="451">
      <formula>$AX91=""</formula>
    </cfRule>
  </conditionalFormatting>
  <conditionalFormatting sqref="B92:F92">
    <cfRule type="expression" dxfId="376" priority="450">
      <formula>$AL92=""</formula>
    </cfRule>
  </conditionalFormatting>
  <conditionalFormatting sqref="J92">
    <cfRule type="expression" dxfId="375" priority="449">
      <formula>$AX92=""</formula>
    </cfRule>
  </conditionalFormatting>
  <conditionalFormatting sqref="B93:F93">
    <cfRule type="expression" dxfId="374" priority="448">
      <formula>$AL93=""</formula>
    </cfRule>
  </conditionalFormatting>
  <conditionalFormatting sqref="J93">
    <cfRule type="expression" dxfId="373" priority="447">
      <formula>$AX93=""</formula>
    </cfRule>
  </conditionalFormatting>
  <conditionalFormatting sqref="B94:F94">
    <cfRule type="expression" dxfId="372" priority="446">
      <formula>$AL94=""</formula>
    </cfRule>
  </conditionalFormatting>
  <conditionalFormatting sqref="J94">
    <cfRule type="expression" dxfId="371" priority="445">
      <formula>$AX94=""</formula>
    </cfRule>
  </conditionalFormatting>
  <conditionalFormatting sqref="B95:F95">
    <cfRule type="expression" dxfId="370" priority="444">
      <formula>$AL95=""</formula>
    </cfRule>
  </conditionalFormatting>
  <conditionalFormatting sqref="J95">
    <cfRule type="expression" dxfId="369" priority="443">
      <formula>$AX95=""</formula>
    </cfRule>
  </conditionalFormatting>
  <conditionalFormatting sqref="B96:F96">
    <cfRule type="expression" dxfId="368" priority="442">
      <formula>$AL96=""</formula>
    </cfRule>
  </conditionalFormatting>
  <conditionalFormatting sqref="J96">
    <cfRule type="expression" dxfId="367" priority="441">
      <formula>$AX96=""</formula>
    </cfRule>
  </conditionalFormatting>
  <conditionalFormatting sqref="B97:F97">
    <cfRule type="expression" dxfId="366" priority="440">
      <formula>$AL97=""</formula>
    </cfRule>
  </conditionalFormatting>
  <conditionalFormatting sqref="J97">
    <cfRule type="expression" dxfId="365" priority="439">
      <formula>$AX97=""</formula>
    </cfRule>
  </conditionalFormatting>
  <conditionalFormatting sqref="B98:F98">
    <cfRule type="expression" dxfId="364" priority="438">
      <formula>$AL98=""</formula>
    </cfRule>
  </conditionalFormatting>
  <conditionalFormatting sqref="J98">
    <cfRule type="expression" dxfId="363" priority="437">
      <formula>$AX98=""</formula>
    </cfRule>
  </conditionalFormatting>
  <conditionalFormatting sqref="B99:F99">
    <cfRule type="expression" dxfId="362" priority="436">
      <formula>$AL99=""</formula>
    </cfRule>
  </conditionalFormatting>
  <conditionalFormatting sqref="J99">
    <cfRule type="expression" dxfId="361" priority="435">
      <formula>$AX99=""</formula>
    </cfRule>
  </conditionalFormatting>
  <conditionalFormatting sqref="B100:F100">
    <cfRule type="expression" dxfId="360" priority="434">
      <formula>$AL100=""</formula>
    </cfRule>
  </conditionalFormatting>
  <conditionalFormatting sqref="J100">
    <cfRule type="expression" dxfId="359" priority="433">
      <formula>$AX100=""</formula>
    </cfRule>
  </conditionalFormatting>
  <conditionalFormatting sqref="B101:F101">
    <cfRule type="expression" dxfId="358" priority="432">
      <formula>$AL101=""</formula>
    </cfRule>
  </conditionalFormatting>
  <conditionalFormatting sqref="J101">
    <cfRule type="expression" dxfId="357" priority="431">
      <formula>$AX101=""</formula>
    </cfRule>
  </conditionalFormatting>
  <conditionalFormatting sqref="B102:F102">
    <cfRule type="expression" dxfId="356" priority="430">
      <formula>$AL102=""</formula>
    </cfRule>
  </conditionalFormatting>
  <conditionalFormatting sqref="J102">
    <cfRule type="expression" dxfId="355" priority="429">
      <formula>$AX102=""</formula>
    </cfRule>
  </conditionalFormatting>
  <conditionalFormatting sqref="B103:F103">
    <cfRule type="expression" dxfId="354" priority="428">
      <formula>$AL103=""</formula>
    </cfRule>
  </conditionalFormatting>
  <conditionalFormatting sqref="J103">
    <cfRule type="expression" dxfId="353" priority="427">
      <formula>$AX103=""</formula>
    </cfRule>
  </conditionalFormatting>
  <conditionalFormatting sqref="B104:F104">
    <cfRule type="expression" dxfId="352" priority="426">
      <formula>$AL104=""</formula>
    </cfRule>
  </conditionalFormatting>
  <conditionalFormatting sqref="J104">
    <cfRule type="expression" dxfId="351" priority="425">
      <formula>$AX104=""</formula>
    </cfRule>
  </conditionalFormatting>
  <conditionalFormatting sqref="B105:F105">
    <cfRule type="expression" dxfId="350" priority="424">
      <formula>$AL105=""</formula>
    </cfRule>
  </conditionalFormatting>
  <conditionalFormatting sqref="J105">
    <cfRule type="expression" dxfId="349" priority="423">
      <formula>$AX105=""</formula>
    </cfRule>
  </conditionalFormatting>
  <conditionalFormatting sqref="B106:F106">
    <cfRule type="expression" dxfId="348" priority="422">
      <formula>$AL106=""</formula>
    </cfRule>
  </conditionalFormatting>
  <conditionalFormatting sqref="J106">
    <cfRule type="expression" dxfId="347" priority="421">
      <formula>$AX106=""</formula>
    </cfRule>
  </conditionalFormatting>
  <conditionalFormatting sqref="B107:F107">
    <cfRule type="expression" dxfId="346" priority="420">
      <formula>$AL107=""</formula>
    </cfRule>
  </conditionalFormatting>
  <conditionalFormatting sqref="J107">
    <cfRule type="expression" dxfId="345" priority="419">
      <formula>$AX107=""</formula>
    </cfRule>
  </conditionalFormatting>
  <conditionalFormatting sqref="B108:F108">
    <cfRule type="expression" dxfId="344" priority="418">
      <formula>$AL108=""</formula>
    </cfRule>
  </conditionalFormatting>
  <conditionalFormatting sqref="J108">
    <cfRule type="expression" dxfId="343" priority="417">
      <formula>$AX108=""</formula>
    </cfRule>
  </conditionalFormatting>
  <conditionalFormatting sqref="B109:F109">
    <cfRule type="expression" dxfId="342" priority="416">
      <formula>$AL109=""</formula>
    </cfRule>
  </conditionalFormatting>
  <conditionalFormatting sqref="J109">
    <cfRule type="expression" dxfId="341" priority="415">
      <formula>$AX109=""</formula>
    </cfRule>
  </conditionalFormatting>
  <conditionalFormatting sqref="B110:F110">
    <cfRule type="expression" dxfId="340" priority="414">
      <formula>$AL110=""</formula>
    </cfRule>
  </conditionalFormatting>
  <conditionalFormatting sqref="J110">
    <cfRule type="expression" dxfId="339" priority="413">
      <formula>$AX110=""</formula>
    </cfRule>
  </conditionalFormatting>
  <conditionalFormatting sqref="B111:F111">
    <cfRule type="expression" dxfId="338" priority="412">
      <formula>$AL111=""</formula>
    </cfRule>
  </conditionalFormatting>
  <conditionalFormatting sqref="J111">
    <cfRule type="expression" dxfId="337" priority="411">
      <formula>$AX111=""</formula>
    </cfRule>
  </conditionalFormatting>
  <conditionalFormatting sqref="B112:F112">
    <cfRule type="expression" dxfId="336" priority="410">
      <formula>$AL112=""</formula>
    </cfRule>
  </conditionalFormatting>
  <conditionalFormatting sqref="J112">
    <cfRule type="expression" dxfId="335" priority="409">
      <formula>$AX112=""</formula>
    </cfRule>
  </conditionalFormatting>
  <conditionalFormatting sqref="B113:F113">
    <cfRule type="expression" dxfId="334" priority="408">
      <formula>$AL113=""</formula>
    </cfRule>
  </conditionalFormatting>
  <conditionalFormatting sqref="J113">
    <cfRule type="expression" dxfId="333" priority="407">
      <formula>$AX113=""</formula>
    </cfRule>
  </conditionalFormatting>
  <conditionalFormatting sqref="B114:F114">
    <cfRule type="expression" dxfId="332" priority="406">
      <formula>$AL114=""</formula>
    </cfRule>
  </conditionalFormatting>
  <conditionalFormatting sqref="J114">
    <cfRule type="expression" dxfId="331" priority="405">
      <formula>$AX114=""</formula>
    </cfRule>
  </conditionalFormatting>
  <conditionalFormatting sqref="B115:F115">
    <cfRule type="expression" dxfId="330" priority="404">
      <formula>$AL115=""</formula>
    </cfRule>
  </conditionalFormatting>
  <conditionalFormatting sqref="J115">
    <cfRule type="expression" dxfId="329" priority="403">
      <formula>$AX115=""</formula>
    </cfRule>
  </conditionalFormatting>
  <conditionalFormatting sqref="B116:F116">
    <cfRule type="expression" dxfId="328" priority="402">
      <formula>$AL116=""</formula>
    </cfRule>
  </conditionalFormatting>
  <conditionalFormatting sqref="J116">
    <cfRule type="expression" dxfId="327" priority="401">
      <formula>$AX116=""</formula>
    </cfRule>
  </conditionalFormatting>
  <conditionalFormatting sqref="B117:F117">
    <cfRule type="expression" dxfId="326" priority="400">
      <formula>$AL117=""</formula>
    </cfRule>
  </conditionalFormatting>
  <conditionalFormatting sqref="J117">
    <cfRule type="expression" dxfId="325" priority="399">
      <formula>$AX117=""</formula>
    </cfRule>
  </conditionalFormatting>
  <conditionalFormatting sqref="B118:F118">
    <cfRule type="expression" dxfId="324" priority="398">
      <formula>$AL118=""</formula>
    </cfRule>
  </conditionalFormatting>
  <conditionalFormatting sqref="J118">
    <cfRule type="expression" dxfId="323" priority="397">
      <formula>$AX118=""</formula>
    </cfRule>
  </conditionalFormatting>
  <conditionalFormatting sqref="B119:F119">
    <cfRule type="expression" dxfId="322" priority="396">
      <formula>$AL119=""</formula>
    </cfRule>
  </conditionalFormatting>
  <conditionalFormatting sqref="J119">
    <cfRule type="expression" dxfId="321" priority="395">
      <formula>$AX119=""</formula>
    </cfRule>
  </conditionalFormatting>
  <conditionalFormatting sqref="B120:F120">
    <cfRule type="expression" dxfId="320" priority="394">
      <formula>$AL120=""</formula>
    </cfRule>
  </conditionalFormatting>
  <conditionalFormatting sqref="J120">
    <cfRule type="expression" dxfId="319" priority="393">
      <formula>$AX120=""</formula>
    </cfRule>
  </conditionalFormatting>
  <conditionalFormatting sqref="B121:F121">
    <cfRule type="expression" dxfId="318" priority="392">
      <formula>$AL121=""</formula>
    </cfRule>
  </conditionalFormatting>
  <conditionalFormatting sqref="J121">
    <cfRule type="expression" dxfId="317" priority="391">
      <formula>$AX121=""</formula>
    </cfRule>
  </conditionalFormatting>
  <conditionalFormatting sqref="B122:F122">
    <cfRule type="expression" dxfId="316" priority="390">
      <formula>$AL122=""</formula>
    </cfRule>
  </conditionalFormatting>
  <conditionalFormatting sqref="J122">
    <cfRule type="expression" dxfId="315" priority="389">
      <formula>$AX122=""</formula>
    </cfRule>
  </conditionalFormatting>
  <conditionalFormatting sqref="B123:F123">
    <cfRule type="expression" dxfId="314" priority="388">
      <formula>$AL123=""</formula>
    </cfRule>
  </conditionalFormatting>
  <conditionalFormatting sqref="J123">
    <cfRule type="expression" dxfId="313" priority="387">
      <formula>$AX123=""</formula>
    </cfRule>
  </conditionalFormatting>
  <conditionalFormatting sqref="B124:F124">
    <cfRule type="expression" dxfId="312" priority="386">
      <formula>$AL124=""</formula>
    </cfRule>
  </conditionalFormatting>
  <conditionalFormatting sqref="J124">
    <cfRule type="expression" dxfId="311" priority="385">
      <formula>$AX124=""</formula>
    </cfRule>
  </conditionalFormatting>
  <conditionalFormatting sqref="B125:F125">
    <cfRule type="expression" dxfId="310" priority="384">
      <formula>$AL125=""</formula>
    </cfRule>
  </conditionalFormatting>
  <conditionalFormatting sqref="J125">
    <cfRule type="expression" dxfId="309" priority="383">
      <formula>$AX125=""</formula>
    </cfRule>
  </conditionalFormatting>
  <conditionalFormatting sqref="B126:F126">
    <cfRule type="expression" dxfId="308" priority="382">
      <formula>$AL126=""</formula>
    </cfRule>
  </conditionalFormatting>
  <conditionalFormatting sqref="J126">
    <cfRule type="expression" dxfId="307" priority="381">
      <formula>$AX126=""</formula>
    </cfRule>
  </conditionalFormatting>
  <conditionalFormatting sqref="B127:F127">
    <cfRule type="expression" dxfId="306" priority="380">
      <formula>$AL127=""</formula>
    </cfRule>
  </conditionalFormatting>
  <conditionalFormatting sqref="J127">
    <cfRule type="expression" dxfId="305" priority="379">
      <formula>$AX127=""</formula>
    </cfRule>
  </conditionalFormatting>
  <conditionalFormatting sqref="B128:F128">
    <cfRule type="expression" dxfId="304" priority="378">
      <formula>$AL128=""</formula>
    </cfRule>
  </conditionalFormatting>
  <conditionalFormatting sqref="J128">
    <cfRule type="expression" dxfId="303" priority="377">
      <formula>$AX128=""</formula>
    </cfRule>
  </conditionalFormatting>
  <conditionalFormatting sqref="B129:F129">
    <cfRule type="expression" dxfId="302" priority="376">
      <formula>$AL129=""</formula>
    </cfRule>
  </conditionalFormatting>
  <conditionalFormatting sqref="J129">
    <cfRule type="expression" dxfId="301" priority="375">
      <formula>$AX129=""</formula>
    </cfRule>
  </conditionalFormatting>
  <conditionalFormatting sqref="B130:F130">
    <cfRule type="expression" dxfId="300" priority="374">
      <formula>$AL130=""</formula>
    </cfRule>
  </conditionalFormatting>
  <conditionalFormatting sqref="J130">
    <cfRule type="expression" dxfId="299" priority="373">
      <formula>$AX130=""</formula>
    </cfRule>
  </conditionalFormatting>
  <conditionalFormatting sqref="B131:F131">
    <cfRule type="expression" dxfId="298" priority="372">
      <formula>$AL131=""</formula>
    </cfRule>
  </conditionalFormatting>
  <conditionalFormatting sqref="J131">
    <cfRule type="expression" dxfId="297" priority="371">
      <formula>$AX131=""</formula>
    </cfRule>
  </conditionalFormatting>
  <conditionalFormatting sqref="B132:F132">
    <cfRule type="expression" dxfId="296" priority="370">
      <formula>$AL132=""</formula>
    </cfRule>
  </conditionalFormatting>
  <conditionalFormatting sqref="J132">
    <cfRule type="expression" dxfId="295" priority="369">
      <formula>$AX132=""</formula>
    </cfRule>
  </conditionalFormatting>
  <conditionalFormatting sqref="B133:F133">
    <cfRule type="expression" dxfId="294" priority="368">
      <formula>$AL133=""</formula>
    </cfRule>
  </conditionalFormatting>
  <conditionalFormatting sqref="J133">
    <cfRule type="expression" dxfId="293" priority="367">
      <formula>$AX133=""</formula>
    </cfRule>
  </conditionalFormatting>
  <conditionalFormatting sqref="B134:F134">
    <cfRule type="expression" dxfId="292" priority="366">
      <formula>$AL134=""</formula>
    </cfRule>
  </conditionalFormatting>
  <conditionalFormatting sqref="J134">
    <cfRule type="expression" dxfId="291" priority="365">
      <formula>$AX134=""</formula>
    </cfRule>
  </conditionalFormatting>
  <conditionalFormatting sqref="B135:F135">
    <cfRule type="expression" dxfId="290" priority="364">
      <formula>$AL135=""</formula>
    </cfRule>
  </conditionalFormatting>
  <conditionalFormatting sqref="J135">
    <cfRule type="expression" dxfId="289" priority="363">
      <formula>$AX135=""</formula>
    </cfRule>
  </conditionalFormatting>
  <conditionalFormatting sqref="B136:F136">
    <cfRule type="expression" dxfId="288" priority="362">
      <formula>$AL136=""</formula>
    </cfRule>
  </conditionalFormatting>
  <conditionalFormatting sqref="J136">
    <cfRule type="expression" dxfId="287" priority="361">
      <formula>$AX136=""</formula>
    </cfRule>
  </conditionalFormatting>
  <conditionalFormatting sqref="B137:F137">
    <cfRule type="expression" dxfId="286" priority="348">
      <formula>$AL137=""</formula>
    </cfRule>
  </conditionalFormatting>
  <conditionalFormatting sqref="J137">
    <cfRule type="expression" dxfId="285" priority="347">
      <formula>$AX137=""</formula>
    </cfRule>
  </conditionalFormatting>
  <conditionalFormatting sqref="B138:F138">
    <cfRule type="expression" dxfId="284" priority="346">
      <formula>$AL138=""</formula>
    </cfRule>
  </conditionalFormatting>
  <conditionalFormatting sqref="J138">
    <cfRule type="expression" dxfId="283" priority="345">
      <formula>$AX138=""</formula>
    </cfRule>
  </conditionalFormatting>
  <conditionalFormatting sqref="B139:F139">
    <cfRule type="expression" dxfId="282" priority="344">
      <formula>$AL139=""</formula>
    </cfRule>
  </conditionalFormatting>
  <conditionalFormatting sqref="J139">
    <cfRule type="expression" dxfId="281" priority="343">
      <formula>$AX139=""</formula>
    </cfRule>
  </conditionalFormatting>
  <conditionalFormatting sqref="B140:F140">
    <cfRule type="expression" dxfId="280" priority="342">
      <formula>$AL140=""</formula>
    </cfRule>
  </conditionalFormatting>
  <conditionalFormatting sqref="J140">
    <cfRule type="expression" dxfId="279" priority="341">
      <formula>$AX140=""</formula>
    </cfRule>
  </conditionalFormatting>
  <conditionalFormatting sqref="B141:F141">
    <cfRule type="expression" dxfId="278" priority="340">
      <formula>$AL141=""</formula>
    </cfRule>
  </conditionalFormatting>
  <conditionalFormatting sqref="J141">
    <cfRule type="expression" dxfId="277" priority="339">
      <formula>$AX141=""</formula>
    </cfRule>
  </conditionalFormatting>
  <conditionalFormatting sqref="B143">
    <cfRule type="expression" dxfId="276" priority="338">
      <formula>$BL143=""</formula>
    </cfRule>
  </conditionalFormatting>
  <conditionalFormatting sqref="B144">
    <cfRule type="expression" dxfId="275" priority="337">
      <formula>$BL144=""</formula>
    </cfRule>
  </conditionalFormatting>
  <conditionalFormatting sqref="B145">
    <cfRule type="expression" dxfId="274" priority="336">
      <formula>$BL145=""</formula>
    </cfRule>
  </conditionalFormatting>
  <conditionalFormatting sqref="B146">
    <cfRule type="expression" dxfId="273" priority="335">
      <formula>$BL146=""</formula>
    </cfRule>
  </conditionalFormatting>
  <conditionalFormatting sqref="B147">
    <cfRule type="expression" dxfId="272" priority="334">
      <formula>$BL147=""</formula>
    </cfRule>
  </conditionalFormatting>
  <conditionalFormatting sqref="B148">
    <cfRule type="expression" dxfId="271" priority="333">
      <formula>$BL148=""</formula>
    </cfRule>
  </conditionalFormatting>
  <conditionalFormatting sqref="B149">
    <cfRule type="expression" dxfId="270" priority="332">
      <formula>$BL149=""</formula>
    </cfRule>
  </conditionalFormatting>
  <conditionalFormatting sqref="B150">
    <cfRule type="expression" dxfId="269" priority="331">
      <formula>$BL150=""</formula>
    </cfRule>
  </conditionalFormatting>
  <conditionalFormatting sqref="D151:J151">
    <cfRule type="expression" dxfId="268" priority="330">
      <formula>$Z151=""</formula>
    </cfRule>
  </conditionalFormatting>
  <conditionalFormatting sqref="B151">
    <cfRule type="expression" dxfId="267" priority="329">
      <formula>$N151=""</formula>
    </cfRule>
  </conditionalFormatting>
  <conditionalFormatting sqref="D152:J152">
    <cfRule type="expression" dxfId="266" priority="328">
      <formula>$Z152=""</formula>
    </cfRule>
  </conditionalFormatting>
  <conditionalFormatting sqref="B152">
    <cfRule type="expression" dxfId="265" priority="327">
      <formula>$N152=""</formula>
    </cfRule>
  </conditionalFormatting>
  <conditionalFormatting sqref="D153:J153">
    <cfRule type="expression" dxfId="264" priority="326">
      <formula>$Z153=""</formula>
    </cfRule>
  </conditionalFormatting>
  <conditionalFormatting sqref="B153">
    <cfRule type="expression" dxfId="263" priority="325">
      <formula>$N153=""</formula>
    </cfRule>
  </conditionalFormatting>
  <conditionalFormatting sqref="D154:J154">
    <cfRule type="expression" dxfId="262" priority="324">
      <formula>$Z154=""</formula>
    </cfRule>
  </conditionalFormatting>
  <conditionalFormatting sqref="B154">
    <cfRule type="expression" dxfId="261" priority="323">
      <formula>$N154=""</formula>
    </cfRule>
  </conditionalFormatting>
  <conditionalFormatting sqref="D155:J155">
    <cfRule type="expression" dxfId="260" priority="322">
      <formula>$Z155=""</formula>
    </cfRule>
  </conditionalFormatting>
  <conditionalFormatting sqref="B155">
    <cfRule type="expression" dxfId="259" priority="321">
      <formula>$N155=""</formula>
    </cfRule>
  </conditionalFormatting>
  <conditionalFormatting sqref="D156:J156">
    <cfRule type="expression" dxfId="258" priority="320">
      <formula>$Z156=""</formula>
    </cfRule>
  </conditionalFormatting>
  <conditionalFormatting sqref="B156">
    <cfRule type="expression" dxfId="257" priority="319">
      <formula>$N156=""</formula>
    </cfRule>
  </conditionalFormatting>
  <conditionalFormatting sqref="D157:J157">
    <cfRule type="expression" dxfId="256" priority="318">
      <formula>$Z157=""</formula>
    </cfRule>
  </conditionalFormatting>
  <conditionalFormatting sqref="B157">
    <cfRule type="expression" dxfId="255" priority="317">
      <formula>$N157=""</formula>
    </cfRule>
  </conditionalFormatting>
  <conditionalFormatting sqref="D158:J158">
    <cfRule type="expression" dxfId="254" priority="316">
      <formula>$Z158=""</formula>
    </cfRule>
  </conditionalFormatting>
  <conditionalFormatting sqref="B158">
    <cfRule type="expression" dxfId="253" priority="315">
      <formula>$N158=""</formula>
    </cfRule>
  </conditionalFormatting>
  <conditionalFormatting sqref="D159:J159">
    <cfRule type="expression" dxfId="252" priority="314">
      <formula>$Z159=""</formula>
    </cfRule>
  </conditionalFormatting>
  <conditionalFormatting sqref="B159">
    <cfRule type="expression" dxfId="251" priority="313">
      <formula>$N159=""</formula>
    </cfRule>
  </conditionalFormatting>
  <conditionalFormatting sqref="D160:J160">
    <cfRule type="expression" dxfId="250" priority="312">
      <formula>$Z160=""</formula>
    </cfRule>
  </conditionalFormatting>
  <conditionalFormatting sqref="B160">
    <cfRule type="expression" dxfId="249" priority="311">
      <formula>$N160=""</formula>
    </cfRule>
  </conditionalFormatting>
  <conditionalFormatting sqref="D161:J161">
    <cfRule type="expression" dxfId="248" priority="310">
      <formula>$Z161=""</formula>
    </cfRule>
  </conditionalFormatting>
  <conditionalFormatting sqref="B161">
    <cfRule type="expression" dxfId="247" priority="309">
      <formula>$N161=""</formula>
    </cfRule>
  </conditionalFormatting>
  <conditionalFormatting sqref="D162:J162">
    <cfRule type="expression" dxfId="246" priority="308">
      <formula>$Z162=""</formula>
    </cfRule>
  </conditionalFormatting>
  <conditionalFormatting sqref="B162">
    <cfRule type="expression" dxfId="245" priority="307">
      <formula>$N162=""</formula>
    </cfRule>
  </conditionalFormatting>
  <conditionalFormatting sqref="D163:J163">
    <cfRule type="expression" dxfId="244" priority="306">
      <formula>$Z163=""</formula>
    </cfRule>
  </conditionalFormatting>
  <conditionalFormatting sqref="B163">
    <cfRule type="expression" dxfId="243" priority="305">
      <formula>$N163=""</formula>
    </cfRule>
  </conditionalFormatting>
  <conditionalFormatting sqref="D164:J164">
    <cfRule type="expression" dxfId="242" priority="304">
      <formula>$Z164=""</formula>
    </cfRule>
  </conditionalFormatting>
  <conditionalFormatting sqref="B164">
    <cfRule type="expression" dxfId="241" priority="303">
      <formula>$N164=""</formula>
    </cfRule>
  </conditionalFormatting>
  <conditionalFormatting sqref="D165:J165">
    <cfRule type="expression" dxfId="240" priority="302">
      <formula>$Z165=""</formula>
    </cfRule>
  </conditionalFormatting>
  <conditionalFormatting sqref="B165">
    <cfRule type="expression" dxfId="239" priority="301">
      <formula>$N165=""</formula>
    </cfRule>
  </conditionalFormatting>
  <conditionalFormatting sqref="D166:J166">
    <cfRule type="expression" dxfId="238" priority="300">
      <formula>$Z166=""</formula>
    </cfRule>
  </conditionalFormatting>
  <conditionalFormatting sqref="B166">
    <cfRule type="expression" dxfId="237" priority="299">
      <formula>$N166=""</formula>
    </cfRule>
  </conditionalFormatting>
  <conditionalFormatting sqref="D167:J167">
    <cfRule type="expression" dxfId="236" priority="298">
      <formula>$Z167=""</formula>
    </cfRule>
  </conditionalFormatting>
  <conditionalFormatting sqref="B167">
    <cfRule type="expression" dxfId="235" priority="297">
      <formula>$N167=""</formula>
    </cfRule>
  </conditionalFormatting>
  <conditionalFormatting sqref="D168:J168">
    <cfRule type="expression" dxfId="234" priority="296">
      <formula>$Z168=""</formula>
    </cfRule>
  </conditionalFormatting>
  <conditionalFormatting sqref="B168">
    <cfRule type="expression" dxfId="233" priority="295">
      <formula>$N168=""</formula>
    </cfRule>
  </conditionalFormatting>
  <conditionalFormatting sqref="D169:J169">
    <cfRule type="expression" dxfId="232" priority="294">
      <formula>$Z169=""</formula>
    </cfRule>
  </conditionalFormatting>
  <conditionalFormatting sqref="B169">
    <cfRule type="expression" dxfId="231" priority="293">
      <formula>$N169=""</formula>
    </cfRule>
  </conditionalFormatting>
  <conditionalFormatting sqref="D170:J170">
    <cfRule type="expression" dxfId="230" priority="292">
      <formula>$Z170=""</formula>
    </cfRule>
  </conditionalFormatting>
  <conditionalFormatting sqref="B170">
    <cfRule type="expression" dxfId="229" priority="291">
      <formula>$N170=""</formula>
    </cfRule>
  </conditionalFormatting>
  <conditionalFormatting sqref="D171:J171">
    <cfRule type="expression" dxfId="228" priority="290">
      <formula>$Z171=""</formula>
    </cfRule>
  </conditionalFormatting>
  <conditionalFormatting sqref="B171">
    <cfRule type="expression" dxfId="227" priority="289">
      <formula>$N171=""</formula>
    </cfRule>
  </conditionalFormatting>
  <conditionalFormatting sqref="D172:J172">
    <cfRule type="expression" dxfId="226" priority="288">
      <formula>$Z172=""</formula>
    </cfRule>
  </conditionalFormatting>
  <conditionalFormatting sqref="B172">
    <cfRule type="expression" dxfId="225" priority="287">
      <formula>$N172=""</formula>
    </cfRule>
  </conditionalFormatting>
  <conditionalFormatting sqref="D173:J173">
    <cfRule type="expression" dxfId="224" priority="286">
      <formula>$Z173=""</formula>
    </cfRule>
  </conditionalFormatting>
  <conditionalFormatting sqref="B173">
    <cfRule type="expression" dxfId="223" priority="285">
      <formula>$N173=""</formula>
    </cfRule>
  </conditionalFormatting>
  <conditionalFormatting sqref="D174:J174">
    <cfRule type="expression" dxfId="222" priority="282">
      <formula>$Z174=""</formula>
    </cfRule>
  </conditionalFormatting>
  <conditionalFormatting sqref="B174">
    <cfRule type="expression" dxfId="221" priority="281">
      <formula>$N174=""</formula>
    </cfRule>
  </conditionalFormatting>
  <conditionalFormatting sqref="D175:J175">
    <cfRule type="expression" dxfId="220" priority="280">
      <formula>$Z175=""</formula>
    </cfRule>
  </conditionalFormatting>
  <conditionalFormatting sqref="B175">
    <cfRule type="expression" dxfId="219" priority="279">
      <formula>$N175=""</formula>
    </cfRule>
  </conditionalFormatting>
  <conditionalFormatting sqref="G176:H176 B176:E176">
    <cfRule type="expression" dxfId="218" priority="278">
      <formula>$AX176=""</formula>
    </cfRule>
  </conditionalFormatting>
  <conditionalFormatting sqref="J176">
    <cfRule type="expression" dxfId="217" priority="277">
      <formula>$BJ176=""</formula>
    </cfRule>
  </conditionalFormatting>
  <conditionalFormatting sqref="G177:H177 B177:E177">
    <cfRule type="expression" dxfId="216" priority="276">
      <formula>$AX177=""</formula>
    </cfRule>
  </conditionalFormatting>
  <conditionalFormatting sqref="J177">
    <cfRule type="expression" dxfId="215" priority="275">
      <formula>$BJ177=""</formula>
    </cfRule>
  </conditionalFormatting>
  <conditionalFormatting sqref="G178:H178 B178:E178">
    <cfRule type="expression" dxfId="214" priority="274">
      <formula>$AX178=""</formula>
    </cfRule>
  </conditionalFormatting>
  <conditionalFormatting sqref="J178">
    <cfRule type="expression" dxfId="213" priority="273">
      <formula>$BJ178=""</formula>
    </cfRule>
  </conditionalFormatting>
  <conditionalFormatting sqref="G179:H179 B179:E179">
    <cfRule type="expression" dxfId="212" priority="272">
      <formula>$AX179=""</formula>
    </cfRule>
  </conditionalFormatting>
  <conditionalFormatting sqref="J179">
    <cfRule type="expression" dxfId="211" priority="271">
      <formula>$BJ179=""</formula>
    </cfRule>
  </conditionalFormatting>
  <conditionalFormatting sqref="G180:H180 B180:E180">
    <cfRule type="expression" dxfId="210" priority="270">
      <formula>$AX180=""</formula>
    </cfRule>
  </conditionalFormatting>
  <conditionalFormatting sqref="J180">
    <cfRule type="expression" dxfId="209" priority="269">
      <formula>$BJ180=""</formula>
    </cfRule>
  </conditionalFormatting>
  <conditionalFormatting sqref="G181:H181 B181:E181">
    <cfRule type="expression" dxfId="208" priority="268">
      <formula>$AX181=""</formula>
    </cfRule>
  </conditionalFormatting>
  <conditionalFormatting sqref="J181">
    <cfRule type="expression" dxfId="207" priority="267">
      <formula>$BJ181=""</formula>
    </cfRule>
  </conditionalFormatting>
  <conditionalFormatting sqref="B182:H182">
    <cfRule type="expression" dxfId="206" priority="266">
      <formula>$AX182=""</formula>
    </cfRule>
  </conditionalFormatting>
  <conditionalFormatting sqref="J182">
    <cfRule type="expression" dxfId="205" priority="265">
      <formula>$BJ182=""</formula>
    </cfRule>
  </conditionalFormatting>
  <conditionalFormatting sqref="B183:H183">
    <cfRule type="expression" dxfId="204" priority="264">
      <formula>$AX183=""</formula>
    </cfRule>
  </conditionalFormatting>
  <conditionalFormatting sqref="J183">
    <cfRule type="expression" dxfId="203" priority="263">
      <formula>$BJ183=""</formula>
    </cfRule>
  </conditionalFormatting>
  <conditionalFormatting sqref="B184:H184">
    <cfRule type="expression" dxfId="202" priority="262">
      <formula>$AX184=""</formula>
    </cfRule>
  </conditionalFormatting>
  <conditionalFormatting sqref="J184">
    <cfRule type="expression" dxfId="201" priority="261">
      <formula>$BJ184=""</formula>
    </cfRule>
  </conditionalFormatting>
  <conditionalFormatting sqref="B185:H185">
    <cfRule type="expression" dxfId="200" priority="260">
      <formula>$AX185=""</formula>
    </cfRule>
  </conditionalFormatting>
  <conditionalFormatting sqref="J185">
    <cfRule type="expression" dxfId="199" priority="259">
      <formula>$BJ185=""</formula>
    </cfRule>
  </conditionalFormatting>
  <conditionalFormatting sqref="B186:H186">
    <cfRule type="expression" dxfId="198" priority="258">
      <formula>$AX186=""</formula>
    </cfRule>
  </conditionalFormatting>
  <conditionalFormatting sqref="J186">
    <cfRule type="expression" dxfId="197" priority="257">
      <formula>$BJ186=""</formula>
    </cfRule>
  </conditionalFormatting>
  <conditionalFormatting sqref="B187:H187">
    <cfRule type="expression" dxfId="196" priority="256">
      <formula>$AX187=""</formula>
    </cfRule>
  </conditionalFormatting>
  <conditionalFormatting sqref="J187">
    <cfRule type="expression" dxfId="195" priority="255">
      <formula>$BJ187=""</formula>
    </cfRule>
  </conditionalFormatting>
  <conditionalFormatting sqref="B188:H188">
    <cfRule type="expression" dxfId="194" priority="254">
      <formula>$AX188=""</formula>
    </cfRule>
  </conditionalFormatting>
  <conditionalFormatting sqref="J188">
    <cfRule type="expression" dxfId="193" priority="253">
      <formula>$BJ188=""</formula>
    </cfRule>
  </conditionalFormatting>
  <conditionalFormatting sqref="B189:H189">
    <cfRule type="expression" dxfId="192" priority="252">
      <formula>$AX189=""</formula>
    </cfRule>
  </conditionalFormatting>
  <conditionalFormatting sqref="J189">
    <cfRule type="expression" dxfId="191" priority="251">
      <formula>$BJ189=""</formula>
    </cfRule>
  </conditionalFormatting>
  <conditionalFormatting sqref="B190:H190">
    <cfRule type="expression" dxfId="190" priority="250">
      <formula>$AX190=""</formula>
    </cfRule>
  </conditionalFormatting>
  <conditionalFormatting sqref="J190">
    <cfRule type="expression" dxfId="189" priority="249">
      <formula>$BJ190=""</formula>
    </cfRule>
  </conditionalFormatting>
  <conditionalFormatting sqref="B191:H191">
    <cfRule type="expression" dxfId="188" priority="248">
      <formula>$AX191=""</formula>
    </cfRule>
  </conditionalFormatting>
  <conditionalFormatting sqref="J191">
    <cfRule type="expression" dxfId="187" priority="247">
      <formula>$BJ191=""</formula>
    </cfRule>
  </conditionalFormatting>
  <conditionalFormatting sqref="B192:H192">
    <cfRule type="expression" dxfId="186" priority="246">
      <formula>$AX192=""</formula>
    </cfRule>
  </conditionalFormatting>
  <conditionalFormatting sqref="J192">
    <cfRule type="expression" dxfId="185" priority="245">
      <formula>$BJ192=""</formula>
    </cfRule>
  </conditionalFormatting>
  <conditionalFormatting sqref="B193:H193">
    <cfRule type="expression" dxfId="184" priority="244">
      <formula>$AX193=""</formula>
    </cfRule>
  </conditionalFormatting>
  <conditionalFormatting sqref="J193">
    <cfRule type="expression" dxfId="183" priority="243">
      <formula>$BJ193=""</formula>
    </cfRule>
  </conditionalFormatting>
  <conditionalFormatting sqref="B194:H194">
    <cfRule type="expression" dxfId="182" priority="242">
      <formula>$AX194=""</formula>
    </cfRule>
  </conditionalFormatting>
  <conditionalFormatting sqref="J194">
    <cfRule type="expression" dxfId="181" priority="241">
      <formula>$BJ194=""</formula>
    </cfRule>
  </conditionalFormatting>
  <conditionalFormatting sqref="B195:H195">
    <cfRule type="expression" dxfId="180" priority="240">
      <formula>$AX195=""</formula>
    </cfRule>
  </conditionalFormatting>
  <conditionalFormatting sqref="J195">
    <cfRule type="expression" dxfId="179" priority="239">
      <formula>$BJ195=""</formula>
    </cfRule>
  </conditionalFormatting>
  <conditionalFormatting sqref="B196:H196">
    <cfRule type="expression" dxfId="178" priority="238">
      <formula>$AX196=""</formula>
    </cfRule>
  </conditionalFormatting>
  <conditionalFormatting sqref="J196">
    <cfRule type="expression" dxfId="177" priority="237">
      <formula>$BJ196=""</formula>
    </cfRule>
  </conditionalFormatting>
  <conditionalFormatting sqref="B197:H197">
    <cfRule type="expression" dxfId="176" priority="236">
      <formula>$AX197=""</formula>
    </cfRule>
  </conditionalFormatting>
  <conditionalFormatting sqref="J197">
    <cfRule type="expression" dxfId="175" priority="235">
      <formula>$BJ197=""</formula>
    </cfRule>
  </conditionalFormatting>
  <conditionalFormatting sqref="B198:H198">
    <cfRule type="expression" dxfId="174" priority="234">
      <formula>$AX198=""</formula>
    </cfRule>
  </conditionalFormatting>
  <conditionalFormatting sqref="J198">
    <cfRule type="expression" dxfId="173" priority="233">
      <formula>$BJ198=""</formula>
    </cfRule>
  </conditionalFormatting>
  <conditionalFormatting sqref="B199:H199">
    <cfRule type="expression" dxfId="172" priority="232">
      <formula>$AX199=""</formula>
    </cfRule>
  </conditionalFormatting>
  <conditionalFormatting sqref="J199">
    <cfRule type="expression" dxfId="171" priority="231">
      <formula>$BJ199=""</formula>
    </cfRule>
  </conditionalFormatting>
  <conditionalFormatting sqref="B200:H200">
    <cfRule type="expression" dxfId="170" priority="230">
      <formula>$AX200=""</formula>
    </cfRule>
  </conditionalFormatting>
  <conditionalFormatting sqref="J200">
    <cfRule type="expression" dxfId="169" priority="229">
      <formula>$BJ200=""</formula>
    </cfRule>
  </conditionalFormatting>
  <conditionalFormatting sqref="B201:H201">
    <cfRule type="expression" dxfId="168" priority="228">
      <formula>$AX201=""</formula>
    </cfRule>
  </conditionalFormatting>
  <conditionalFormatting sqref="J201">
    <cfRule type="expression" dxfId="167" priority="227">
      <formula>$BJ201=""</formula>
    </cfRule>
  </conditionalFormatting>
  <conditionalFormatting sqref="B202:H202">
    <cfRule type="expression" dxfId="166" priority="226">
      <formula>$AX202=""</formula>
    </cfRule>
  </conditionalFormatting>
  <conditionalFormatting sqref="J202">
    <cfRule type="expression" dxfId="165" priority="225">
      <formula>$BJ202=""</formula>
    </cfRule>
  </conditionalFormatting>
  <conditionalFormatting sqref="B203:H203">
    <cfRule type="expression" dxfId="164" priority="224">
      <formula>$AX203=""</formula>
    </cfRule>
  </conditionalFormatting>
  <conditionalFormatting sqref="J203">
    <cfRule type="expression" dxfId="163" priority="223">
      <formula>$BJ203=""</formula>
    </cfRule>
  </conditionalFormatting>
  <conditionalFormatting sqref="B204:H204">
    <cfRule type="expression" dxfId="162" priority="222">
      <formula>$AX204=""</formula>
    </cfRule>
  </conditionalFormatting>
  <conditionalFormatting sqref="J204">
    <cfRule type="expression" dxfId="161" priority="221">
      <formula>$BJ204=""</formula>
    </cfRule>
  </conditionalFormatting>
  <conditionalFormatting sqref="B205:H205">
    <cfRule type="expression" dxfId="160" priority="220">
      <formula>$AX205=""</formula>
    </cfRule>
  </conditionalFormatting>
  <conditionalFormatting sqref="J205">
    <cfRule type="expression" dxfId="159" priority="219">
      <formula>$BJ205=""</formula>
    </cfRule>
  </conditionalFormatting>
  <conditionalFormatting sqref="B206:H206">
    <cfRule type="expression" dxfId="158" priority="218">
      <formula>$AX206=""</formula>
    </cfRule>
  </conditionalFormatting>
  <conditionalFormatting sqref="J206">
    <cfRule type="expression" dxfId="157" priority="217">
      <formula>$BJ206=""</formula>
    </cfRule>
  </conditionalFormatting>
  <conditionalFormatting sqref="B207:H207">
    <cfRule type="expression" dxfId="156" priority="216">
      <formula>$AX207=""</formula>
    </cfRule>
  </conditionalFormatting>
  <conditionalFormatting sqref="J207">
    <cfRule type="expression" dxfId="155" priority="215">
      <formula>$BJ207=""</formula>
    </cfRule>
  </conditionalFormatting>
  <conditionalFormatting sqref="B208:H208">
    <cfRule type="expression" dxfId="154" priority="214">
      <formula>$AX208=""</formula>
    </cfRule>
  </conditionalFormatting>
  <conditionalFormatting sqref="J208">
    <cfRule type="expression" dxfId="153" priority="213">
      <formula>$BJ208=""</formula>
    </cfRule>
  </conditionalFormatting>
  <conditionalFormatting sqref="B209:H209">
    <cfRule type="expression" dxfId="152" priority="212">
      <formula>$AX209=""</formula>
    </cfRule>
  </conditionalFormatting>
  <conditionalFormatting sqref="J209">
    <cfRule type="expression" dxfId="151" priority="211">
      <formula>$BJ209=""</formula>
    </cfRule>
  </conditionalFormatting>
  <conditionalFormatting sqref="B210:H210">
    <cfRule type="expression" dxfId="150" priority="210">
      <formula>$AX210=""</formula>
    </cfRule>
  </conditionalFormatting>
  <conditionalFormatting sqref="J210">
    <cfRule type="expression" dxfId="149" priority="209">
      <formula>$BJ210=""</formula>
    </cfRule>
  </conditionalFormatting>
  <conditionalFormatting sqref="B211:H211">
    <cfRule type="expression" dxfId="148" priority="208">
      <formula>$AX211=""</formula>
    </cfRule>
  </conditionalFormatting>
  <conditionalFormatting sqref="J211">
    <cfRule type="expression" dxfId="147" priority="207">
      <formula>$BJ211=""</formula>
    </cfRule>
  </conditionalFormatting>
  <conditionalFormatting sqref="B212:H212">
    <cfRule type="expression" dxfId="146" priority="206">
      <formula>$AX212=""</formula>
    </cfRule>
  </conditionalFormatting>
  <conditionalFormatting sqref="J212">
    <cfRule type="expression" dxfId="145" priority="205">
      <formula>$BJ212=""</formula>
    </cfRule>
  </conditionalFormatting>
  <conditionalFormatting sqref="B213:H213">
    <cfRule type="expression" dxfId="144" priority="204">
      <formula>$AX213=""</formula>
    </cfRule>
  </conditionalFormatting>
  <conditionalFormatting sqref="J213">
    <cfRule type="expression" dxfId="143" priority="203">
      <formula>$BJ213=""</formula>
    </cfRule>
  </conditionalFormatting>
  <conditionalFormatting sqref="B214:H214">
    <cfRule type="expression" dxfId="142" priority="202">
      <formula>$AX214=""</formula>
    </cfRule>
  </conditionalFormatting>
  <conditionalFormatting sqref="J214">
    <cfRule type="expression" dxfId="141" priority="201">
      <formula>$BJ214=""</formula>
    </cfRule>
  </conditionalFormatting>
  <conditionalFormatting sqref="B215:H215">
    <cfRule type="expression" dxfId="140" priority="200">
      <formula>$AX215=""</formula>
    </cfRule>
  </conditionalFormatting>
  <conditionalFormatting sqref="J215">
    <cfRule type="expression" dxfId="139" priority="199">
      <formula>$BJ215=""</formula>
    </cfRule>
  </conditionalFormatting>
  <conditionalFormatting sqref="B216:H216">
    <cfRule type="expression" dxfId="138" priority="198">
      <formula>$AX216=""</formula>
    </cfRule>
  </conditionalFormatting>
  <conditionalFormatting sqref="J216">
    <cfRule type="expression" dxfId="137" priority="197">
      <formula>$BJ216=""</formula>
    </cfRule>
  </conditionalFormatting>
  <conditionalFormatting sqref="B217:H217">
    <cfRule type="expression" dxfId="136" priority="196">
      <formula>$AX217=""</formula>
    </cfRule>
  </conditionalFormatting>
  <conditionalFormatting sqref="J217">
    <cfRule type="expression" dxfId="135" priority="195">
      <formula>$BJ217=""</formula>
    </cfRule>
  </conditionalFormatting>
  <conditionalFormatting sqref="B218:H218">
    <cfRule type="expression" dxfId="134" priority="194">
      <formula>$AX218=""</formula>
    </cfRule>
  </conditionalFormatting>
  <conditionalFormatting sqref="J218">
    <cfRule type="expression" dxfId="133" priority="193">
      <formula>$BJ218=""</formula>
    </cfRule>
  </conditionalFormatting>
  <conditionalFormatting sqref="B219:H219">
    <cfRule type="expression" dxfId="132" priority="192">
      <formula>$AX219=""</formula>
    </cfRule>
  </conditionalFormatting>
  <conditionalFormatting sqref="J219">
    <cfRule type="expression" dxfId="131" priority="191">
      <formula>$BJ219=""</formula>
    </cfRule>
  </conditionalFormatting>
  <conditionalFormatting sqref="B220:H220">
    <cfRule type="expression" dxfId="130" priority="190">
      <formula>$AX220=""</formula>
    </cfRule>
  </conditionalFormatting>
  <conditionalFormatting sqref="J220">
    <cfRule type="expression" dxfId="129" priority="189">
      <formula>$BJ220=""</formula>
    </cfRule>
  </conditionalFormatting>
  <conditionalFormatting sqref="B221:H221">
    <cfRule type="expression" dxfId="128" priority="188">
      <formula>$AX221=""</formula>
    </cfRule>
  </conditionalFormatting>
  <conditionalFormatting sqref="J221">
    <cfRule type="expression" dxfId="127" priority="187">
      <formula>$BJ221=""</formula>
    </cfRule>
  </conditionalFormatting>
  <conditionalFormatting sqref="B222:H222">
    <cfRule type="expression" dxfId="126" priority="186">
      <formula>$AX222=""</formula>
    </cfRule>
  </conditionalFormatting>
  <conditionalFormatting sqref="J222">
    <cfRule type="expression" dxfId="125" priority="185">
      <formula>$BJ222=""</formula>
    </cfRule>
  </conditionalFormatting>
  <conditionalFormatting sqref="B223:H223">
    <cfRule type="expression" dxfId="124" priority="184">
      <formula>$AX223=""</formula>
    </cfRule>
  </conditionalFormatting>
  <conditionalFormatting sqref="J223">
    <cfRule type="expression" dxfId="123" priority="183">
      <formula>$BJ223=""</formula>
    </cfRule>
  </conditionalFormatting>
  <conditionalFormatting sqref="B224:H224">
    <cfRule type="expression" dxfId="122" priority="182">
      <formula>$AX224=""</formula>
    </cfRule>
  </conditionalFormatting>
  <conditionalFormatting sqref="J224">
    <cfRule type="expression" dxfId="121" priority="181">
      <formula>$BJ224=""</formula>
    </cfRule>
  </conditionalFormatting>
  <conditionalFormatting sqref="B225:H225">
    <cfRule type="expression" dxfId="120" priority="180">
      <formula>$AX225=""</formula>
    </cfRule>
  </conditionalFormatting>
  <conditionalFormatting sqref="J225">
    <cfRule type="expression" dxfId="119" priority="179">
      <formula>$BJ225=""</formula>
    </cfRule>
  </conditionalFormatting>
  <conditionalFormatting sqref="B226:H226">
    <cfRule type="expression" dxfId="118" priority="178">
      <formula>$AX226=""</formula>
    </cfRule>
  </conditionalFormatting>
  <conditionalFormatting sqref="J226">
    <cfRule type="expression" dxfId="117" priority="177">
      <formula>$BJ226=""</formula>
    </cfRule>
  </conditionalFormatting>
  <conditionalFormatting sqref="B227:H227">
    <cfRule type="expression" dxfId="116" priority="176">
      <formula>$AX227=""</formula>
    </cfRule>
  </conditionalFormatting>
  <conditionalFormatting sqref="J227">
    <cfRule type="expression" dxfId="115" priority="175">
      <formula>$BJ227=""</formula>
    </cfRule>
  </conditionalFormatting>
  <conditionalFormatting sqref="B228:H228">
    <cfRule type="expression" dxfId="114" priority="174">
      <formula>$AX228=""</formula>
    </cfRule>
  </conditionalFormatting>
  <conditionalFormatting sqref="J228">
    <cfRule type="expression" dxfId="113" priority="173">
      <formula>$BJ228=""</formula>
    </cfRule>
  </conditionalFormatting>
  <conditionalFormatting sqref="B229:H229">
    <cfRule type="expression" dxfId="112" priority="172">
      <formula>$AX229=""</formula>
    </cfRule>
  </conditionalFormatting>
  <conditionalFormatting sqref="J229">
    <cfRule type="expression" dxfId="111" priority="171">
      <formula>$BJ229=""</formula>
    </cfRule>
  </conditionalFormatting>
  <conditionalFormatting sqref="B230:H230">
    <cfRule type="expression" dxfId="110" priority="170">
      <formula>$AX230=""</formula>
    </cfRule>
  </conditionalFormatting>
  <conditionalFormatting sqref="J230">
    <cfRule type="expression" dxfId="109" priority="169">
      <formula>$BJ230=""</formula>
    </cfRule>
  </conditionalFormatting>
  <conditionalFormatting sqref="B231:H231">
    <cfRule type="expression" dxfId="108" priority="168">
      <formula>$AX231=""</formula>
    </cfRule>
  </conditionalFormatting>
  <conditionalFormatting sqref="J231">
    <cfRule type="expression" dxfId="107" priority="167">
      <formula>$BJ231=""</formula>
    </cfRule>
  </conditionalFormatting>
  <conditionalFormatting sqref="B232:H232">
    <cfRule type="expression" dxfId="106" priority="166">
      <formula>$AX232=""</formula>
    </cfRule>
  </conditionalFormatting>
  <conditionalFormatting sqref="J232">
    <cfRule type="expression" dxfId="105" priority="165">
      <formula>$BJ232=""</formula>
    </cfRule>
  </conditionalFormatting>
  <conditionalFormatting sqref="B233:H233">
    <cfRule type="expression" dxfId="104" priority="164">
      <formula>$AX233=""</formula>
    </cfRule>
  </conditionalFormatting>
  <conditionalFormatting sqref="J233">
    <cfRule type="expression" dxfId="103" priority="163">
      <formula>$BJ233=""</formula>
    </cfRule>
  </conditionalFormatting>
  <conditionalFormatting sqref="B234:H234">
    <cfRule type="expression" dxfId="102" priority="162">
      <formula>$AX234=""</formula>
    </cfRule>
  </conditionalFormatting>
  <conditionalFormatting sqref="J234">
    <cfRule type="expression" dxfId="101" priority="161">
      <formula>$BJ234=""</formula>
    </cfRule>
  </conditionalFormatting>
  <conditionalFormatting sqref="B235:H235">
    <cfRule type="expression" dxfId="100" priority="160">
      <formula>$AX235=""</formula>
    </cfRule>
  </conditionalFormatting>
  <conditionalFormatting sqref="J235">
    <cfRule type="expression" dxfId="99" priority="159">
      <formula>$BJ235=""</formula>
    </cfRule>
  </conditionalFormatting>
  <conditionalFormatting sqref="B236:H236">
    <cfRule type="expression" dxfId="98" priority="158">
      <formula>$AX236=""</formula>
    </cfRule>
  </conditionalFormatting>
  <conditionalFormatting sqref="J236">
    <cfRule type="expression" dxfId="97" priority="157">
      <formula>$BJ236=""</formula>
    </cfRule>
  </conditionalFormatting>
  <conditionalFormatting sqref="B237:H237">
    <cfRule type="expression" dxfId="96" priority="156">
      <formula>$AX237=""</formula>
    </cfRule>
  </conditionalFormatting>
  <conditionalFormatting sqref="J237">
    <cfRule type="expression" dxfId="95" priority="155">
      <formula>$BJ237=""</formula>
    </cfRule>
  </conditionalFormatting>
  <conditionalFormatting sqref="B238:H238">
    <cfRule type="expression" dxfId="94" priority="154">
      <formula>$AX238=""</formula>
    </cfRule>
  </conditionalFormatting>
  <conditionalFormatting sqref="J238">
    <cfRule type="expression" dxfId="93" priority="153">
      <formula>$BJ238=""</formula>
    </cfRule>
  </conditionalFormatting>
  <conditionalFormatting sqref="B239:H239">
    <cfRule type="expression" dxfId="92" priority="152">
      <formula>$AX239=""</formula>
    </cfRule>
  </conditionalFormatting>
  <conditionalFormatting sqref="J239">
    <cfRule type="expression" dxfId="91" priority="151">
      <formula>$BJ239=""</formula>
    </cfRule>
  </conditionalFormatting>
  <conditionalFormatting sqref="B240:H240">
    <cfRule type="expression" dxfId="90" priority="150">
      <formula>$AX240=""</formula>
    </cfRule>
  </conditionalFormatting>
  <conditionalFormatting sqref="J240">
    <cfRule type="expression" dxfId="89" priority="149">
      <formula>$BJ240=""</formula>
    </cfRule>
  </conditionalFormatting>
  <conditionalFormatting sqref="B241:H241">
    <cfRule type="expression" dxfId="88" priority="148">
      <formula>$AX241=""</formula>
    </cfRule>
  </conditionalFormatting>
  <conditionalFormatting sqref="J241">
    <cfRule type="expression" dxfId="87" priority="147">
      <formula>$BJ241=""</formula>
    </cfRule>
  </conditionalFormatting>
  <conditionalFormatting sqref="B242:H242">
    <cfRule type="expression" dxfId="86" priority="146">
      <formula>$AX242=""</formula>
    </cfRule>
  </conditionalFormatting>
  <conditionalFormatting sqref="J242">
    <cfRule type="expression" dxfId="85" priority="145">
      <formula>$BJ242=""</formula>
    </cfRule>
  </conditionalFormatting>
  <conditionalFormatting sqref="B243:H243">
    <cfRule type="expression" dxfId="84" priority="144">
      <formula>$AX243=""</formula>
    </cfRule>
  </conditionalFormatting>
  <conditionalFormatting sqref="J243">
    <cfRule type="expression" dxfId="83" priority="143">
      <formula>$BJ243=""</formula>
    </cfRule>
  </conditionalFormatting>
  <conditionalFormatting sqref="B244:H244">
    <cfRule type="expression" dxfId="82" priority="142">
      <formula>$AX244=""</formula>
    </cfRule>
  </conditionalFormatting>
  <conditionalFormatting sqref="J244">
    <cfRule type="expression" dxfId="81" priority="141">
      <formula>$BJ244=""</formula>
    </cfRule>
  </conditionalFormatting>
  <conditionalFormatting sqref="B245:H245">
    <cfRule type="expression" dxfId="80" priority="140">
      <formula>$AX245=""</formula>
    </cfRule>
  </conditionalFormatting>
  <conditionalFormatting sqref="J245">
    <cfRule type="expression" dxfId="79" priority="139">
      <formula>$BJ245=""</formula>
    </cfRule>
  </conditionalFormatting>
  <conditionalFormatting sqref="B246:H246">
    <cfRule type="expression" dxfId="78" priority="138">
      <formula>$AX246=""</formula>
    </cfRule>
  </conditionalFormatting>
  <conditionalFormatting sqref="J246">
    <cfRule type="expression" dxfId="77" priority="137">
      <formula>$BJ246=""</formula>
    </cfRule>
  </conditionalFormatting>
  <conditionalFormatting sqref="B247:H247">
    <cfRule type="expression" dxfId="76" priority="136">
      <formula>$AX247=""</formula>
    </cfRule>
  </conditionalFormatting>
  <conditionalFormatting sqref="J247">
    <cfRule type="expression" dxfId="75" priority="135">
      <formula>$BJ247=""</formula>
    </cfRule>
  </conditionalFormatting>
  <conditionalFormatting sqref="B248:H248">
    <cfRule type="expression" dxfId="74" priority="134">
      <formula>$AX248=""</formula>
    </cfRule>
  </conditionalFormatting>
  <conditionalFormatting sqref="J248">
    <cfRule type="expression" dxfId="73" priority="133">
      <formula>$BJ248=""</formula>
    </cfRule>
  </conditionalFormatting>
  <conditionalFormatting sqref="B249:H249">
    <cfRule type="expression" dxfId="72" priority="132">
      <formula>$AX249=""</formula>
    </cfRule>
  </conditionalFormatting>
  <conditionalFormatting sqref="J249">
    <cfRule type="expression" dxfId="71" priority="131">
      <formula>$BJ249=""</formula>
    </cfRule>
  </conditionalFormatting>
  <conditionalFormatting sqref="B250:H250">
    <cfRule type="expression" dxfId="70" priority="130">
      <formula>$AX250=""</formula>
    </cfRule>
  </conditionalFormatting>
  <conditionalFormatting sqref="J250">
    <cfRule type="expression" dxfId="69" priority="129">
      <formula>$BJ250=""</formula>
    </cfRule>
  </conditionalFormatting>
  <conditionalFormatting sqref="B251:H251">
    <cfRule type="expression" dxfId="68" priority="128">
      <formula>$AX251=""</formula>
    </cfRule>
  </conditionalFormatting>
  <conditionalFormatting sqref="J251">
    <cfRule type="expression" dxfId="67" priority="127">
      <formula>$BJ251=""</formula>
    </cfRule>
  </conditionalFormatting>
  <conditionalFormatting sqref="I253:J253 C253:G253">
    <cfRule type="expression" dxfId="66" priority="126">
      <formula>$BJ253=""</formula>
    </cfRule>
  </conditionalFormatting>
  <conditionalFormatting sqref="I254:J254 C254:G254">
    <cfRule type="expression" dxfId="65" priority="125">
      <formula>$BJ254=""</formula>
    </cfRule>
  </conditionalFormatting>
  <conditionalFormatting sqref="I255:J255 C255:G255">
    <cfRule type="expression" dxfId="64" priority="124">
      <formula>$BJ255=""</formula>
    </cfRule>
  </conditionalFormatting>
  <conditionalFormatting sqref="I256:J256 C256:G256">
    <cfRule type="expression" dxfId="63" priority="123">
      <formula>$BJ256=""</formula>
    </cfRule>
  </conditionalFormatting>
  <conditionalFormatting sqref="I257:J257 C257:G257">
    <cfRule type="expression" dxfId="62" priority="122">
      <formula>$BJ257=""</formula>
    </cfRule>
  </conditionalFormatting>
  <conditionalFormatting sqref="I258:J258 C258:G258">
    <cfRule type="expression" dxfId="61" priority="121">
      <formula>$BJ258=""</formula>
    </cfRule>
  </conditionalFormatting>
  <conditionalFormatting sqref="I259:J259 C259:G259">
    <cfRule type="expression" dxfId="60" priority="120">
      <formula>$BJ259=""</formula>
    </cfRule>
  </conditionalFormatting>
  <conditionalFormatting sqref="I260:J260 C260:G260">
    <cfRule type="expression" dxfId="59" priority="119">
      <formula>$BJ260=""</formula>
    </cfRule>
  </conditionalFormatting>
  <conditionalFormatting sqref="I261:J261 C261:G261">
    <cfRule type="expression" dxfId="58" priority="118">
      <formula>$BJ261=""</formula>
    </cfRule>
  </conditionalFormatting>
  <conditionalFormatting sqref="B263">
    <cfRule type="expression" dxfId="57" priority="57">
      <formula>$N263=""</formula>
    </cfRule>
  </conditionalFormatting>
  <conditionalFormatting sqref="D263:J263">
    <cfRule type="expression" dxfId="56" priority="56">
      <formula>$Z263=""</formula>
    </cfRule>
  </conditionalFormatting>
  <conditionalFormatting sqref="B264">
    <cfRule type="expression" dxfId="55" priority="49">
      <formula>$N264=""</formula>
    </cfRule>
  </conditionalFormatting>
  <conditionalFormatting sqref="D264:J264">
    <cfRule type="expression" dxfId="54" priority="48">
      <formula>$Z264=""</formula>
    </cfRule>
  </conditionalFormatting>
  <conditionalFormatting sqref="B265">
    <cfRule type="expression" dxfId="53" priority="47">
      <formula>$N265=""</formula>
    </cfRule>
  </conditionalFormatting>
  <conditionalFormatting sqref="D265:J265">
    <cfRule type="expression" dxfId="52" priority="46">
      <formula>$Z265=""</formula>
    </cfRule>
  </conditionalFormatting>
  <conditionalFormatting sqref="B266">
    <cfRule type="expression" dxfId="51" priority="45">
      <formula>$N266=""</formula>
    </cfRule>
  </conditionalFormatting>
  <conditionalFormatting sqref="D266:J266">
    <cfRule type="expression" dxfId="50" priority="44">
      <formula>$Z266=""</formula>
    </cfRule>
  </conditionalFormatting>
  <conditionalFormatting sqref="B267">
    <cfRule type="expression" dxfId="49" priority="43">
      <formula>$N267=""</formula>
    </cfRule>
  </conditionalFormatting>
  <conditionalFormatting sqref="D267:J267">
    <cfRule type="expression" dxfId="48" priority="42">
      <formula>$Z267=""</formula>
    </cfRule>
  </conditionalFormatting>
  <conditionalFormatting sqref="B268">
    <cfRule type="expression" dxfId="47" priority="41">
      <formula>$N268=""</formula>
    </cfRule>
  </conditionalFormatting>
  <conditionalFormatting sqref="D268:J268">
    <cfRule type="expression" dxfId="46" priority="40">
      <formula>$Z268=""</formula>
    </cfRule>
  </conditionalFormatting>
  <conditionalFormatting sqref="B269">
    <cfRule type="expression" dxfId="45" priority="39">
      <formula>$N269=""</formula>
    </cfRule>
  </conditionalFormatting>
  <conditionalFormatting sqref="D269:J269">
    <cfRule type="expression" dxfId="44" priority="38">
      <formula>$Z269=""</formula>
    </cfRule>
  </conditionalFormatting>
  <conditionalFormatting sqref="B270">
    <cfRule type="expression" dxfId="43" priority="37">
      <formula>$N270=""</formula>
    </cfRule>
  </conditionalFormatting>
  <conditionalFormatting sqref="D270:J270">
    <cfRule type="expression" dxfId="42" priority="36">
      <formula>$Z270=""</formula>
    </cfRule>
  </conditionalFormatting>
  <conditionalFormatting sqref="B271">
    <cfRule type="expression" dxfId="41" priority="35">
      <formula>$N271=""</formula>
    </cfRule>
  </conditionalFormatting>
  <conditionalFormatting sqref="D271:J271">
    <cfRule type="expression" dxfId="40" priority="34">
      <formula>$Z271=""</formula>
    </cfRule>
  </conditionalFormatting>
  <conditionalFormatting sqref="B272">
    <cfRule type="expression" dxfId="39" priority="33">
      <formula>$N272=""</formula>
    </cfRule>
  </conditionalFormatting>
  <conditionalFormatting sqref="D272:J272">
    <cfRule type="expression" dxfId="38" priority="32">
      <formula>$Z272=""</formula>
    </cfRule>
  </conditionalFormatting>
  <conditionalFormatting sqref="B273">
    <cfRule type="expression" dxfId="37" priority="31">
      <formula>$N273=""</formula>
    </cfRule>
  </conditionalFormatting>
  <conditionalFormatting sqref="D273:J273">
    <cfRule type="expression" dxfId="36" priority="30">
      <formula>$Z273=""</formula>
    </cfRule>
  </conditionalFormatting>
  <conditionalFormatting sqref="B274">
    <cfRule type="expression" dxfId="35" priority="29">
      <formula>$N274=""</formula>
    </cfRule>
  </conditionalFormatting>
  <conditionalFormatting sqref="D274:J274">
    <cfRule type="expression" dxfId="34" priority="28">
      <formula>$Z274=""</formula>
    </cfRule>
  </conditionalFormatting>
  <conditionalFormatting sqref="B275">
    <cfRule type="expression" dxfId="33" priority="27">
      <formula>$N275=""</formula>
    </cfRule>
  </conditionalFormatting>
  <conditionalFormatting sqref="D275:J275">
    <cfRule type="expression" dxfId="32" priority="26">
      <formula>$Z275=""</formula>
    </cfRule>
  </conditionalFormatting>
  <conditionalFormatting sqref="B276">
    <cfRule type="expression" dxfId="31" priority="25">
      <formula>$N276=""</formula>
    </cfRule>
  </conditionalFormatting>
  <conditionalFormatting sqref="D276:J276">
    <cfRule type="expression" dxfId="30" priority="24">
      <formula>$Z276=""</formula>
    </cfRule>
  </conditionalFormatting>
  <conditionalFormatting sqref="B277">
    <cfRule type="expression" dxfId="29" priority="21">
      <formula>$N277=""</formula>
    </cfRule>
  </conditionalFormatting>
  <conditionalFormatting sqref="D277:J277">
    <cfRule type="expression" dxfId="28" priority="20">
      <formula>$Z277=""</formula>
    </cfRule>
  </conditionalFormatting>
  <conditionalFormatting sqref="B278:D278">
    <cfRule type="expression" dxfId="27" priority="19">
      <formula>$Z278=""</formula>
    </cfRule>
  </conditionalFormatting>
  <conditionalFormatting sqref="B279:D279">
    <cfRule type="expression" dxfId="26" priority="18">
      <formula>$Z279=""</formula>
    </cfRule>
  </conditionalFormatting>
  <conditionalFormatting sqref="B280:D280">
    <cfRule type="expression" dxfId="25" priority="17">
      <formula>$Z280=""</formula>
    </cfRule>
  </conditionalFormatting>
  <conditionalFormatting sqref="B281:D281">
    <cfRule type="expression" dxfId="24" priority="16">
      <formula>$Z281=""</formula>
    </cfRule>
  </conditionalFormatting>
  <conditionalFormatting sqref="B282:D282">
    <cfRule type="expression" dxfId="23" priority="15">
      <formula>$Z282=""</formula>
    </cfRule>
  </conditionalFormatting>
  <conditionalFormatting sqref="B283:D283">
    <cfRule type="expression" dxfId="22" priority="14">
      <formula>$Z283=""</formula>
    </cfRule>
  </conditionalFormatting>
  <conditionalFormatting sqref="B284:D284">
    <cfRule type="expression" dxfId="21" priority="13">
      <formula>$Z284=""</formula>
    </cfRule>
  </conditionalFormatting>
  <conditionalFormatting sqref="B285:D285">
    <cfRule type="expression" dxfId="20" priority="12">
      <formula>$Z285=""</formula>
    </cfRule>
  </conditionalFormatting>
  <conditionalFormatting sqref="B286:D286">
    <cfRule type="expression" dxfId="19" priority="11">
      <formula>$Z286=""</formula>
    </cfRule>
  </conditionalFormatting>
  <conditionalFormatting sqref="B287:D287">
    <cfRule type="expression" dxfId="18" priority="10">
      <formula>$Z287=""</formula>
    </cfRule>
  </conditionalFormatting>
  <conditionalFormatting sqref="B288:D288">
    <cfRule type="expression" dxfId="17" priority="9">
      <formula>$Z288=""</formula>
    </cfRule>
  </conditionalFormatting>
  <conditionalFormatting sqref="B289:D289">
    <cfRule type="expression" dxfId="16" priority="8">
      <formula>$Z289=""</formula>
    </cfRule>
  </conditionalFormatting>
  <conditionalFormatting sqref="B290:D290">
    <cfRule type="expression" dxfId="15" priority="7">
      <formula>$Z290=""</formula>
    </cfRule>
  </conditionalFormatting>
  <conditionalFormatting sqref="B291:D291">
    <cfRule type="expression" dxfId="14" priority="6">
      <formula>$Z291=""</formula>
    </cfRule>
  </conditionalFormatting>
  <conditionalFormatting sqref="B292:D292">
    <cfRule type="expression" dxfId="13" priority="5">
      <formula>$Z292=""</formula>
    </cfRule>
  </conditionalFormatting>
  <conditionalFormatting sqref="B293:D293">
    <cfRule type="expression" dxfId="12" priority="4">
      <formula>$Z293=""</formula>
    </cfRule>
  </conditionalFormatting>
  <conditionalFormatting sqref="B294:D294">
    <cfRule type="expression" dxfId="11" priority="3">
      <formula>$Z294=""</formula>
    </cfRule>
  </conditionalFormatting>
  <conditionalFormatting sqref="B295:D295">
    <cfRule type="expression" dxfId="10" priority="2">
      <formula>$Z295=""</formula>
    </cfRule>
  </conditionalFormatting>
  <conditionalFormatting sqref="B296:D296">
    <cfRule type="expression" dxfId="9" priority="1">
      <formula>$Z296=""</formula>
    </cfRule>
  </conditionalFormatting>
  <pageMargins left="0.7" right="0.7" top="0.75" bottom="0.75" header="0.3" footer="0.3"/>
  <pageSetup paperSize="9" scale="68" fitToHeight="0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6D5C0-85F4-4BC3-9FA8-413789D2553C}">
  <dimension ref="A1:L23"/>
  <sheetViews>
    <sheetView tabSelected="1" workbookViewId="0">
      <selection activeCell="B17" sqref="B17"/>
    </sheetView>
  </sheetViews>
  <sheetFormatPr baseColWidth="10" defaultRowHeight="14.5" x14ac:dyDescent="0.35"/>
  <cols>
    <col min="1" max="1" width="11.81640625" bestFit="1" customWidth="1"/>
    <col min="2" max="2" width="14.6328125" customWidth="1"/>
    <col min="3" max="3" width="18.81640625" customWidth="1"/>
    <col min="4" max="4" width="11.54296875" bestFit="1" customWidth="1"/>
    <col min="5" max="5" width="14.08984375" customWidth="1"/>
    <col min="6" max="7" width="11.54296875" bestFit="1" customWidth="1"/>
    <col min="8" max="8" width="12" bestFit="1" customWidth="1"/>
    <col min="9" max="9" width="11.54296875" bestFit="1" customWidth="1"/>
    <col min="10" max="10" width="14" bestFit="1" customWidth="1"/>
    <col min="11" max="11" width="12.81640625" bestFit="1" customWidth="1"/>
    <col min="12" max="12" width="12.26953125" bestFit="1" customWidth="1"/>
    <col min="13" max="13" width="14.6328125" customWidth="1"/>
    <col min="14" max="19" width="11.6328125" customWidth="1"/>
  </cols>
  <sheetData>
    <row r="1" spans="1:12" ht="31" x14ac:dyDescent="0.35">
      <c r="A1" s="388" t="s">
        <v>626</v>
      </c>
      <c r="B1" s="388"/>
      <c r="C1" s="388"/>
      <c r="D1" s="388"/>
      <c r="E1" s="388"/>
      <c r="I1" s="389"/>
      <c r="J1" s="389"/>
      <c r="K1" s="389"/>
    </row>
    <row r="2" spans="1:12" ht="31" x14ac:dyDescent="0.35">
      <c r="A2" s="390" t="s">
        <v>112</v>
      </c>
      <c r="B2" s="390"/>
      <c r="C2" s="390"/>
      <c r="D2" s="390"/>
      <c r="E2" s="390"/>
      <c r="J2" s="1"/>
      <c r="K2" s="1"/>
      <c r="L2" s="389"/>
    </row>
    <row r="3" spans="1:12" x14ac:dyDescent="0.35">
      <c r="J3" s="1"/>
      <c r="K3" s="1"/>
    </row>
    <row r="4" spans="1:12" x14ac:dyDescent="0.35">
      <c r="I4" s="391" t="s">
        <v>152</v>
      </c>
      <c r="J4" s="392"/>
      <c r="K4" s="393"/>
      <c r="L4" s="271">
        <f ca="1">NOW()</f>
        <v>44126.008666898146</v>
      </c>
    </row>
    <row r="5" spans="1:12" ht="15.5" x14ac:dyDescent="0.35">
      <c r="I5" s="394" t="s">
        <v>158</v>
      </c>
      <c r="J5" s="395"/>
      <c r="K5" s="396"/>
      <c r="L5" s="397">
        <f>SUM(F9:F23)</f>
        <v>14893.01</v>
      </c>
    </row>
    <row r="6" spans="1:12" x14ac:dyDescent="0.35">
      <c r="J6" s="1"/>
      <c r="K6" s="1"/>
    </row>
    <row r="7" spans="1:12" x14ac:dyDescent="0.35">
      <c r="E7" s="398"/>
      <c r="F7" s="398"/>
      <c r="G7" s="398"/>
      <c r="H7" s="398"/>
    </row>
    <row r="8" spans="1:12" ht="42" x14ac:dyDescent="0.35">
      <c r="A8" s="399" t="s">
        <v>36</v>
      </c>
      <c r="B8" s="399" t="s">
        <v>627</v>
      </c>
      <c r="C8" s="399" t="s">
        <v>0</v>
      </c>
      <c r="D8" s="399" t="s">
        <v>34</v>
      </c>
      <c r="E8" s="399" t="s">
        <v>628</v>
      </c>
      <c r="F8" s="399" t="s">
        <v>179</v>
      </c>
      <c r="G8" s="399" t="s">
        <v>39</v>
      </c>
      <c r="H8" s="399" t="s">
        <v>37</v>
      </c>
      <c r="I8" s="399" t="s">
        <v>629</v>
      </c>
      <c r="J8" s="399" t="s">
        <v>630</v>
      </c>
      <c r="K8" s="399" t="s">
        <v>631</v>
      </c>
      <c r="L8" s="399" t="s">
        <v>632</v>
      </c>
    </row>
    <row r="9" spans="1:12" x14ac:dyDescent="0.35">
      <c r="A9" s="400">
        <v>44081</v>
      </c>
      <c r="B9" s="401">
        <v>2003653</v>
      </c>
      <c r="C9" s="402" t="s">
        <v>633</v>
      </c>
      <c r="D9" s="403">
        <v>97.3</v>
      </c>
      <c r="E9" s="403">
        <v>0.12</v>
      </c>
      <c r="F9" s="404">
        <v>97.42</v>
      </c>
      <c r="G9" s="405">
        <v>97.42</v>
      </c>
      <c r="H9" s="406" t="s">
        <v>9</v>
      </c>
      <c r="I9" s="407">
        <v>377.42</v>
      </c>
      <c r="J9" s="408">
        <v>44134</v>
      </c>
      <c r="K9" s="409"/>
      <c r="L9" s="410"/>
    </row>
    <row r="10" spans="1:12" x14ac:dyDescent="0.35">
      <c r="A10" s="411">
        <v>44100</v>
      </c>
      <c r="B10" s="412">
        <v>2003654</v>
      </c>
      <c r="C10" s="402"/>
      <c r="D10" s="413">
        <v>70</v>
      </c>
      <c r="E10" s="413"/>
      <c r="F10" s="414">
        <v>70</v>
      </c>
      <c r="G10" s="415">
        <v>70</v>
      </c>
      <c r="H10" s="406"/>
      <c r="I10" s="407"/>
      <c r="J10" s="408"/>
      <c r="K10" s="409"/>
      <c r="L10" s="416"/>
    </row>
    <row r="11" spans="1:12" ht="15" thickBot="1" x14ac:dyDescent="0.4">
      <c r="A11" s="417">
        <v>44095</v>
      </c>
      <c r="B11" s="418">
        <v>2003655</v>
      </c>
      <c r="C11" s="402"/>
      <c r="D11" s="419">
        <v>210</v>
      </c>
      <c r="E11" s="419"/>
      <c r="F11" s="420">
        <v>210</v>
      </c>
      <c r="G11" s="421">
        <v>210</v>
      </c>
      <c r="H11" s="422"/>
      <c r="I11" s="423"/>
      <c r="J11" s="424"/>
      <c r="K11" s="425"/>
      <c r="L11" s="426"/>
    </row>
    <row r="12" spans="1:12" ht="15.5" thickTop="1" thickBot="1" x14ac:dyDescent="0.4">
      <c r="A12" s="427">
        <v>44106</v>
      </c>
      <c r="B12" s="428">
        <v>2003656</v>
      </c>
      <c r="C12" s="429"/>
      <c r="D12" s="430">
        <v>170.51</v>
      </c>
      <c r="E12" s="430"/>
      <c r="F12" s="431">
        <v>170.51</v>
      </c>
      <c r="G12" s="432">
        <v>170.51</v>
      </c>
      <c r="H12" s="433" t="s">
        <v>10</v>
      </c>
      <c r="I12" s="434">
        <v>210</v>
      </c>
      <c r="J12" s="434" t="s">
        <v>634</v>
      </c>
      <c r="K12" s="435"/>
      <c r="L12" s="436"/>
    </row>
    <row r="13" spans="1:12" x14ac:dyDescent="0.35">
      <c r="A13" s="437">
        <v>43998</v>
      </c>
      <c r="B13" s="438">
        <v>2003657</v>
      </c>
      <c r="C13" s="439" t="s">
        <v>635</v>
      </c>
      <c r="D13" s="440">
        <v>74.290000000000006</v>
      </c>
      <c r="E13" s="440">
        <v>6.31</v>
      </c>
      <c r="F13" s="441">
        <v>80.600000000000009</v>
      </c>
      <c r="G13" s="442">
        <v>80.600000000000009</v>
      </c>
      <c r="H13" s="440" t="s">
        <v>6</v>
      </c>
      <c r="I13" s="443">
        <v>80.600000000000009</v>
      </c>
      <c r="J13" s="444">
        <v>44028</v>
      </c>
      <c r="K13" s="445"/>
      <c r="L13" s="446"/>
    </row>
    <row r="14" spans="1:12" ht="15" thickBot="1" x14ac:dyDescent="0.4">
      <c r="A14" s="447">
        <v>44074</v>
      </c>
      <c r="B14" s="448">
        <v>2003658</v>
      </c>
      <c r="C14" s="449" t="s">
        <v>636</v>
      </c>
      <c r="D14" s="450">
        <v>989.35</v>
      </c>
      <c r="E14" s="450"/>
      <c r="F14" s="451">
        <v>989.35</v>
      </c>
      <c r="G14" s="452">
        <v>989.35</v>
      </c>
      <c r="H14" s="453" t="s">
        <v>8</v>
      </c>
      <c r="I14" s="454">
        <v>989.35</v>
      </c>
      <c r="J14" s="455">
        <v>44104</v>
      </c>
      <c r="K14" s="456"/>
      <c r="L14" s="457"/>
    </row>
    <row r="15" spans="1:12" ht="15" thickBot="1" x14ac:dyDescent="0.4">
      <c r="A15" s="458">
        <v>44075</v>
      </c>
      <c r="B15" s="459">
        <v>2003659</v>
      </c>
      <c r="C15" s="460" t="s">
        <v>637</v>
      </c>
      <c r="D15" s="461">
        <v>50.45</v>
      </c>
      <c r="E15" s="462">
        <v>4.29</v>
      </c>
      <c r="F15" s="462">
        <v>54.74</v>
      </c>
      <c r="G15" s="463">
        <v>54.74</v>
      </c>
      <c r="H15" s="464" t="s">
        <v>9</v>
      </c>
      <c r="I15" s="465">
        <v>139.68</v>
      </c>
      <c r="J15" s="466">
        <v>44105</v>
      </c>
      <c r="K15" s="467"/>
      <c r="L15" s="468"/>
    </row>
    <row r="16" spans="1:12" ht="15.5" thickTop="1" thickBot="1" x14ac:dyDescent="0.4">
      <c r="A16" s="469">
        <v>44044</v>
      </c>
      <c r="B16" s="470">
        <v>2003660</v>
      </c>
      <c r="C16" s="471"/>
      <c r="D16" s="472">
        <v>78.290000000000006</v>
      </c>
      <c r="E16" s="472">
        <v>6.65</v>
      </c>
      <c r="F16" s="441">
        <v>84.940000000000012</v>
      </c>
      <c r="G16" s="473">
        <v>84.940000000000012</v>
      </c>
      <c r="H16" s="474" t="s">
        <v>8</v>
      </c>
      <c r="I16" s="475">
        <v>84.94</v>
      </c>
      <c r="J16" s="476">
        <v>44074</v>
      </c>
      <c r="K16" s="477"/>
      <c r="L16" s="478"/>
    </row>
    <row r="17" spans="1:12" ht="15" thickBot="1" x14ac:dyDescent="0.4">
      <c r="A17" s="479">
        <v>44047</v>
      </c>
      <c r="B17" s="438">
        <v>2003661</v>
      </c>
      <c r="C17" s="480" t="s">
        <v>638</v>
      </c>
      <c r="D17" s="481">
        <v>294.3</v>
      </c>
      <c r="E17" s="481"/>
      <c r="F17" s="462">
        <v>294.3</v>
      </c>
      <c r="G17" s="482">
        <v>294.3</v>
      </c>
      <c r="H17" s="483" t="s">
        <v>8</v>
      </c>
      <c r="I17" s="483">
        <v>294.3</v>
      </c>
      <c r="J17" s="466">
        <v>44077</v>
      </c>
      <c r="K17" s="484"/>
      <c r="L17" s="485"/>
    </row>
    <row r="18" spans="1:12" ht="15" thickTop="1" x14ac:dyDescent="0.35">
      <c r="A18" s="486">
        <v>44043</v>
      </c>
      <c r="B18" s="412">
        <v>2003662</v>
      </c>
      <c r="C18" s="487"/>
      <c r="D18" s="488">
        <v>1072.4000000000001</v>
      </c>
      <c r="E18" s="488"/>
      <c r="F18" s="489">
        <v>1072.4000000000001</v>
      </c>
      <c r="G18" s="490">
        <v>1072.4000000000001</v>
      </c>
      <c r="H18" s="491" t="s">
        <v>7</v>
      </c>
      <c r="I18" s="491">
        <v>12211.47</v>
      </c>
      <c r="J18" s="492">
        <v>44073</v>
      </c>
      <c r="K18" s="493"/>
      <c r="L18" s="494"/>
    </row>
    <row r="19" spans="1:12" ht="15" thickBot="1" x14ac:dyDescent="0.4">
      <c r="A19" s="486">
        <v>44035</v>
      </c>
      <c r="B19" s="412">
        <v>2003663</v>
      </c>
      <c r="C19" s="487"/>
      <c r="D19" s="495">
        <v>11139.07</v>
      </c>
      <c r="E19" s="495"/>
      <c r="F19" s="420">
        <v>11139.07</v>
      </c>
      <c r="G19" s="496">
        <v>11139.07</v>
      </c>
      <c r="H19" s="423"/>
      <c r="I19" s="423"/>
      <c r="J19" s="497">
        <v>44065</v>
      </c>
      <c r="K19" s="425"/>
      <c r="L19" s="498"/>
    </row>
    <row r="20" spans="1:12" ht="15" thickTop="1" x14ac:dyDescent="0.35">
      <c r="A20" s="486">
        <v>44001</v>
      </c>
      <c r="B20" s="412">
        <v>2003664</v>
      </c>
      <c r="C20" s="487"/>
      <c r="D20" s="488">
        <v>31.2</v>
      </c>
      <c r="E20" s="488"/>
      <c r="F20" s="489">
        <v>31.2</v>
      </c>
      <c r="G20" s="490">
        <v>31.2</v>
      </c>
      <c r="H20" s="491" t="s">
        <v>6</v>
      </c>
      <c r="I20" s="491">
        <v>1214.3300000000002</v>
      </c>
      <c r="J20" s="492">
        <v>44031</v>
      </c>
      <c r="K20" s="493"/>
      <c r="L20" s="494"/>
    </row>
    <row r="21" spans="1:12" ht="15" thickBot="1" x14ac:dyDescent="0.4">
      <c r="A21" s="486">
        <v>44000</v>
      </c>
      <c r="B21" s="412">
        <v>2003665</v>
      </c>
      <c r="C21" s="487"/>
      <c r="D21" s="495">
        <v>1183.1300000000001</v>
      </c>
      <c r="E21" s="495"/>
      <c r="F21" s="420">
        <v>1183.1300000000001</v>
      </c>
      <c r="G21" s="496">
        <v>1183.1300000000001</v>
      </c>
      <c r="H21" s="423"/>
      <c r="I21" s="423"/>
      <c r="J21" s="497">
        <v>44030</v>
      </c>
      <c r="K21" s="425"/>
      <c r="L21" s="498"/>
    </row>
    <row r="22" spans="1:12" ht="15.5" thickTop="1" thickBot="1" x14ac:dyDescent="0.4">
      <c r="A22" s="499">
        <v>44102</v>
      </c>
      <c r="B22" s="500">
        <v>2003666</v>
      </c>
      <c r="C22" s="487"/>
      <c r="D22" s="501">
        <v>-588.6</v>
      </c>
      <c r="E22" s="501"/>
      <c r="F22" s="502">
        <v>-588.6</v>
      </c>
      <c r="G22" s="503">
        <v>-588.6</v>
      </c>
      <c r="H22" s="504" t="s">
        <v>9</v>
      </c>
      <c r="I22" s="504">
        <v>-588.6</v>
      </c>
      <c r="J22" s="455">
        <v>44132</v>
      </c>
      <c r="K22" s="505"/>
      <c r="L22" s="506"/>
    </row>
    <row r="23" spans="1:12" ht="44" thickBot="1" x14ac:dyDescent="0.4">
      <c r="A23" s="507">
        <v>44057</v>
      </c>
      <c r="B23" s="508">
        <v>2003667</v>
      </c>
      <c r="C23" s="509" t="s">
        <v>639</v>
      </c>
      <c r="D23" s="510">
        <v>3.64</v>
      </c>
      <c r="E23" s="510">
        <v>0.31</v>
      </c>
      <c r="F23" s="511">
        <v>3.95</v>
      </c>
      <c r="G23" s="512">
        <v>3.95</v>
      </c>
      <c r="H23" s="513" t="s">
        <v>8</v>
      </c>
      <c r="I23" s="513">
        <v>3.95</v>
      </c>
      <c r="J23" s="514">
        <v>44087</v>
      </c>
      <c r="K23" s="515"/>
      <c r="L23" s="516"/>
    </row>
  </sheetData>
  <mergeCells count="17">
    <mergeCell ref="C15:C16"/>
    <mergeCell ref="C17:C22"/>
    <mergeCell ref="H18:H19"/>
    <mergeCell ref="I18:I19"/>
    <mergeCell ref="K18:K19"/>
    <mergeCell ref="H20:H21"/>
    <mergeCell ref="I20:I21"/>
    <mergeCell ref="K20:K21"/>
    <mergeCell ref="A1:E1"/>
    <mergeCell ref="A2:E2"/>
    <mergeCell ref="I4:K4"/>
    <mergeCell ref="I5:K5"/>
    <mergeCell ref="C9:C12"/>
    <mergeCell ref="H9:H11"/>
    <mergeCell ref="I9:I11"/>
    <mergeCell ref="J9:J11"/>
    <mergeCell ref="K9:K11"/>
  </mergeCells>
  <conditionalFormatting sqref="K12:K15 K9 K17:K18 K20 K22">
    <cfRule type="expression" dxfId="8" priority="7">
      <formula>$U1048553=""</formula>
    </cfRule>
  </conditionalFormatting>
  <conditionalFormatting sqref="L9">
    <cfRule type="expression" dxfId="7" priority="6">
      <formula>$N8=""</formula>
    </cfRule>
  </conditionalFormatting>
  <conditionalFormatting sqref="L12">
    <cfRule type="expression" dxfId="6" priority="5">
      <formula>$X1048556=""</formula>
    </cfRule>
  </conditionalFormatting>
  <conditionalFormatting sqref="L13">
    <cfRule type="expression" dxfId="5" priority="4">
      <formula>$X1048557=""</formula>
    </cfRule>
  </conditionalFormatting>
  <conditionalFormatting sqref="L14">
    <cfRule type="expression" dxfId="4" priority="3">
      <formula>$X1048558=""</formula>
    </cfRule>
  </conditionalFormatting>
  <conditionalFormatting sqref="L15">
    <cfRule type="expression" dxfId="3" priority="2">
      <formula>$X1048559=""</formula>
    </cfRule>
  </conditionalFormatting>
  <conditionalFormatting sqref="L17:L18 L20 L22">
    <cfRule type="expression" dxfId="2" priority="1">
      <formula>$N17=""</formula>
    </cfRule>
  </conditionalFormatting>
  <conditionalFormatting sqref="K23">
    <cfRule type="expression" dxfId="1" priority="8">
      <formula>$J24=""</formula>
    </cfRule>
  </conditionalFormatting>
  <conditionalFormatting sqref="L23">
    <cfRule type="expression" dxfId="0" priority="9">
      <formula>#REF!=""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"/>
  <dimension ref="B3:N39"/>
  <sheetViews>
    <sheetView workbookViewId="0">
      <selection activeCell="B24" sqref="B24"/>
    </sheetView>
  </sheetViews>
  <sheetFormatPr baseColWidth="10" defaultRowHeight="14.5" x14ac:dyDescent="0.35"/>
  <cols>
    <col min="2" max="2" width="28.54296875" bestFit="1" customWidth="1"/>
    <col min="3" max="3" width="13.26953125" bestFit="1" customWidth="1"/>
    <col min="4" max="4" width="15.26953125" customWidth="1"/>
    <col min="5" max="5" width="19.81640625" bestFit="1" customWidth="1"/>
    <col min="7" max="7" width="22.453125" bestFit="1" customWidth="1"/>
    <col min="8" max="8" width="18" bestFit="1" customWidth="1"/>
  </cols>
  <sheetData>
    <row r="3" spans="2:14" x14ac:dyDescent="0.35">
      <c r="F3" t="s">
        <v>152</v>
      </c>
      <c r="G3" s="255">
        <f>DATE(2020,7,20)</f>
        <v>44032</v>
      </c>
    </row>
    <row r="5" spans="2:14" ht="31" x14ac:dyDescent="0.35">
      <c r="B5" s="261" t="s">
        <v>0</v>
      </c>
      <c r="C5" s="262" t="s">
        <v>157</v>
      </c>
      <c r="D5" s="262" t="s">
        <v>153</v>
      </c>
      <c r="E5" s="262" t="s">
        <v>154</v>
      </c>
      <c r="F5" s="262" t="s">
        <v>103</v>
      </c>
      <c r="G5" s="263" t="s">
        <v>155</v>
      </c>
      <c r="H5" s="263" t="s">
        <v>156</v>
      </c>
      <c r="I5" s="23"/>
      <c r="J5" s="23"/>
      <c r="K5" s="23"/>
      <c r="L5" s="23"/>
      <c r="M5" s="23"/>
      <c r="N5" s="23"/>
    </row>
    <row r="6" spans="2:14" ht="15.5" x14ac:dyDescent="0.35">
      <c r="B6" s="256" t="s">
        <v>41</v>
      </c>
      <c r="C6" s="259"/>
      <c r="D6" s="264"/>
      <c r="E6" s="180"/>
      <c r="F6" s="259"/>
      <c r="G6" s="259"/>
      <c r="H6" s="259"/>
      <c r="I6" s="9"/>
      <c r="J6" s="9"/>
      <c r="K6" s="23"/>
      <c r="L6" s="23"/>
      <c r="M6" s="23"/>
      <c r="N6" s="23"/>
    </row>
    <row r="7" spans="2:14" ht="15.5" x14ac:dyDescent="0.35">
      <c r="B7" s="256" t="s">
        <v>27</v>
      </c>
      <c r="C7" s="20"/>
      <c r="D7" s="20"/>
      <c r="E7" s="20"/>
      <c r="F7" s="20"/>
      <c r="G7" s="20"/>
      <c r="H7" s="20"/>
      <c r="I7" s="181"/>
      <c r="J7" s="60"/>
      <c r="K7" s="66"/>
      <c r="L7" s="23"/>
      <c r="M7" s="23"/>
      <c r="N7" s="23"/>
    </row>
    <row r="8" spans="2:14" ht="15.5" x14ac:dyDescent="0.35">
      <c r="B8" s="256" t="s">
        <v>46</v>
      </c>
      <c r="C8" s="20"/>
      <c r="D8" s="265"/>
      <c r="E8" s="39"/>
      <c r="F8" s="20"/>
      <c r="G8" s="20"/>
      <c r="H8" s="20"/>
      <c r="I8" s="181"/>
      <c r="J8" s="60"/>
      <c r="K8" s="66"/>
      <c r="L8" s="23"/>
      <c r="M8" s="23"/>
      <c r="N8" s="23"/>
    </row>
    <row r="9" spans="2:14" ht="15.5" x14ac:dyDescent="0.35">
      <c r="B9" s="256" t="s">
        <v>124</v>
      </c>
      <c r="C9" s="20"/>
      <c r="D9" s="18"/>
      <c r="E9" s="37"/>
      <c r="F9" s="17"/>
      <c r="G9" s="17"/>
      <c r="H9" s="17"/>
      <c r="I9" s="181"/>
      <c r="J9" s="66"/>
      <c r="K9" s="66"/>
      <c r="L9" s="23"/>
      <c r="M9" s="23"/>
      <c r="N9" s="23"/>
    </row>
    <row r="10" spans="2:14" ht="15.5" x14ac:dyDescent="0.35">
      <c r="B10" s="256" t="s">
        <v>22</v>
      </c>
      <c r="C10" s="20"/>
      <c r="D10" s="265"/>
      <c r="E10" s="39"/>
      <c r="F10" s="20"/>
      <c r="G10" s="20"/>
      <c r="H10" s="20"/>
      <c r="I10" s="181"/>
      <c r="J10" s="66"/>
      <c r="K10" s="66"/>
      <c r="L10" s="23"/>
      <c r="M10" s="23"/>
      <c r="N10" s="23"/>
    </row>
    <row r="11" spans="2:14" ht="15.5" x14ac:dyDescent="0.35">
      <c r="B11" s="256" t="s">
        <v>100</v>
      </c>
      <c r="C11" s="20"/>
      <c r="D11" s="18"/>
      <c r="E11" s="19"/>
      <c r="F11" s="17"/>
      <c r="G11" s="17"/>
      <c r="H11" s="17"/>
      <c r="I11" s="181"/>
      <c r="J11" s="66"/>
      <c r="K11" s="66"/>
      <c r="L11" s="23"/>
      <c r="M11" s="23"/>
      <c r="N11" s="23"/>
    </row>
    <row r="12" spans="2:14" ht="15.5" x14ac:dyDescent="0.35">
      <c r="B12" s="256" t="s">
        <v>31</v>
      </c>
      <c r="C12" s="20"/>
      <c r="D12" s="18"/>
      <c r="E12" s="53"/>
      <c r="F12" s="88"/>
      <c r="G12" s="88"/>
      <c r="H12" s="17"/>
      <c r="I12" s="181"/>
      <c r="J12" s="60"/>
      <c r="K12" s="66"/>
      <c r="L12" s="23"/>
      <c r="M12" s="23"/>
      <c r="N12" s="23"/>
    </row>
    <row r="13" spans="2:14" ht="15.5" x14ac:dyDescent="0.35">
      <c r="B13" s="235" t="s">
        <v>150</v>
      </c>
      <c r="C13" s="73"/>
      <c r="D13" s="73"/>
      <c r="E13" s="73"/>
      <c r="F13" s="73"/>
      <c r="G13" s="73"/>
      <c r="H13" s="73"/>
      <c r="I13" s="181"/>
      <c r="J13" s="60"/>
      <c r="K13" s="66"/>
      <c r="L13" s="23"/>
      <c r="M13" s="23"/>
      <c r="N13" s="23"/>
    </row>
    <row r="14" spans="2:14" ht="15.5" x14ac:dyDescent="0.35">
      <c r="B14" s="256" t="s">
        <v>125</v>
      </c>
      <c r="C14" s="20"/>
      <c r="D14" s="20"/>
      <c r="E14" s="20"/>
      <c r="F14" s="20"/>
      <c r="G14" s="20"/>
      <c r="H14" s="20"/>
      <c r="I14" s="181"/>
      <c r="J14" s="60"/>
      <c r="K14" s="66"/>
      <c r="L14" s="23"/>
      <c r="M14" s="23"/>
      <c r="N14" s="23"/>
    </row>
    <row r="15" spans="2:14" ht="15.5" x14ac:dyDescent="0.35">
      <c r="B15" s="256" t="s">
        <v>20</v>
      </c>
      <c r="C15" s="20"/>
      <c r="D15" s="20"/>
      <c r="E15" s="20"/>
      <c r="F15" s="20"/>
      <c r="G15" s="20"/>
      <c r="H15" s="20"/>
      <c r="I15" s="181"/>
      <c r="J15" s="55"/>
      <c r="K15" s="66"/>
      <c r="L15" s="23"/>
      <c r="M15" s="23"/>
      <c r="N15" s="23"/>
    </row>
    <row r="16" spans="2:14" ht="15.5" x14ac:dyDescent="0.35">
      <c r="B16" s="256" t="s">
        <v>119</v>
      </c>
      <c r="C16" s="20"/>
      <c r="D16" s="18"/>
      <c r="E16" s="53"/>
      <c r="F16" s="88"/>
      <c r="G16" s="88"/>
      <c r="H16" s="17"/>
      <c r="I16" s="55"/>
      <c r="J16" s="60"/>
      <c r="K16" s="60"/>
      <c r="L16" s="23"/>
      <c r="M16" s="23"/>
      <c r="N16" s="23"/>
    </row>
    <row r="17" spans="2:14" ht="15.5" x14ac:dyDescent="0.35">
      <c r="B17" s="256" t="s">
        <v>33</v>
      </c>
      <c r="C17" s="20"/>
      <c r="D17" s="18"/>
      <c r="E17" s="53"/>
      <c r="F17" s="88"/>
      <c r="G17" s="88"/>
      <c r="H17" s="17"/>
      <c r="I17" s="55"/>
      <c r="J17" s="60"/>
      <c r="K17" s="60"/>
      <c r="L17" s="23"/>
      <c r="M17" s="23"/>
      <c r="N17" s="23"/>
    </row>
    <row r="18" spans="2:14" ht="15.5" x14ac:dyDescent="0.35">
      <c r="B18" s="256" t="s">
        <v>123</v>
      </c>
      <c r="C18" s="20"/>
      <c r="D18" s="18"/>
      <c r="E18" s="19"/>
      <c r="F18" s="17"/>
      <c r="G18" s="17"/>
      <c r="H18" s="17"/>
      <c r="I18" s="55"/>
      <c r="J18" s="60"/>
      <c r="K18" s="60"/>
      <c r="L18" s="23"/>
      <c r="M18" s="23"/>
      <c r="N18" s="23"/>
    </row>
    <row r="19" spans="2:14" ht="15.5" x14ac:dyDescent="0.35">
      <c r="B19" s="133" t="s">
        <v>121</v>
      </c>
      <c r="C19" s="20"/>
      <c r="D19" s="18"/>
      <c r="E19" s="39"/>
      <c r="F19" s="88"/>
      <c r="G19" s="88"/>
      <c r="H19" s="17"/>
      <c r="I19" s="55"/>
      <c r="J19" s="55"/>
      <c r="K19" s="55"/>
      <c r="L19" s="23"/>
      <c r="M19" s="23"/>
      <c r="N19" s="23"/>
    </row>
    <row r="20" spans="2:14" ht="15.5" x14ac:dyDescent="0.35">
      <c r="B20" s="133" t="s">
        <v>28</v>
      </c>
      <c r="C20" s="20"/>
      <c r="D20" s="20"/>
      <c r="E20" s="20"/>
      <c r="F20" s="20"/>
      <c r="G20" s="20"/>
      <c r="H20" s="20"/>
      <c r="I20" s="23"/>
      <c r="J20" s="23"/>
      <c r="K20" s="23"/>
      <c r="L20" s="23"/>
      <c r="M20" s="23"/>
      <c r="N20" s="23"/>
    </row>
    <row r="21" spans="2:14" ht="15.5" x14ac:dyDescent="0.35">
      <c r="B21" s="133" t="s">
        <v>120</v>
      </c>
      <c r="C21" s="20"/>
      <c r="D21" s="18"/>
      <c r="E21" s="53"/>
      <c r="F21" s="88"/>
      <c r="G21" s="88"/>
      <c r="H21" s="17"/>
      <c r="I21" s="23"/>
      <c r="J21" s="23"/>
      <c r="K21" s="23"/>
      <c r="L21" s="23"/>
      <c r="M21" s="23"/>
      <c r="N21" s="23"/>
    </row>
    <row r="22" spans="2:14" ht="15.5" x14ac:dyDescent="0.35">
      <c r="B22" s="133" t="s">
        <v>122</v>
      </c>
      <c r="C22" s="20"/>
      <c r="D22" s="18"/>
      <c r="E22" s="53"/>
      <c r="F22" s="17"/>
      <c r="G22" s="17"/>
      <c r="H22" s="17"/>
      <c r="I22" s="23"/>
      <c r="J22" s="23"/>
      <c r="K22" s="23"/>
      <c r="L22" s="23"/>
      <c r="M22" s="23"/>
      <c r="N22" s="23"/>
    </row>
    <row r="23" spans="2:14" ht="15.5" x14ac:dyDescent="0.35">
      <c r="B23" s="133" t="s">
        <v>71</v>
      </c>
      <c r="C23" s="73"/>
      <c r="D23" s="73"/>
      <c r="E23" s="73"/>
      <c r="F23" s="73"/>
      <c r="G23" s="73"/>
      <c r="H23" s="73"/>
      <c r="I23" s="23"/>
      <c r="J23" s="23"/>
      <c r="K23" s="23"/>
      <c r="L23" s="23"/>
      <c r="M23" s="23"/>
      <c r="N23" s="23"/>
    </row>
    <row r="24" spans="2:14" ht="15.5" x14ac:dyDescent="0.35">
      <c r="B24" s="133" t="s">
        <v>126</v>
      </c>
      <c r="C24" s="20"/>
      <c r="D24" s="265"/>
      <c r="E24" s="39"/>
      <c r="F24" s="258"/>
      <c r="G24" s="20"/>
      <c r="H24" s="20"/>
      <c r="I24" s="23"/>
      <c r="J24" s="23"/>
      <c r="K24" s="23"/>
      <c r="L24" s="23"/>
      <c r="M24" s="23"/>
      <c r="N24" s="23"/>
    </row>
    <row r="25" spans="2:14" ht="15.5" x14ac:dyDescent="0.35">
      <c r="B25" s="133" t="s">
        <v>52</v>
      </c>
      <c r="C25" s="73"/>
      <c r="D25" s="73"/>
      <c r="E25" s="73"/>
      <c r="F25" s="73"/>
      <c r="G25" s="73"/>
      <c r="H25" s="73"/>
      <c r="I25" s="23"/>
      <c r="J25" s="23"/>
      <c r="K25" s="23"/>
      <c r="L25" s="23"/>
      <c r="M25" s="23"/>
      <c r="N25" s="23"/>
    </row>
    <row r="26" spans="2:14" ht="15.5" x14ac:dyDescent="0.35">
      <c r="B26" s="133" t="s">
        <v>17</v>
      </c>
      <c r="C26" s="20"/>
      <c r="D26" s="265"/>
      <c r="E26" s="39"/>
      <c r="F26" s="258"/>
      <c r="G26" s="20"/>
      <c r="H26" s="20"/>
      <c r="I26" s="23"/>
      <c r="J26" s="23"/>
      <c r="K26" s="23"/>
      <c r="L26" s="23"/>
      <c r="M26" s="23"/>
      <c r="N26" s="23"/>
    </row>
    <row r="27" spans="2:14" ht="15.5" x14ac:dyDescent="0.35">
      <c r="B27" s="133" t="s">
        <v>76</v>
      </c>
      <c r="C27" s="20"/>
      <c r="D27" s="18"/>
      <c r="E27" s="53"/>
      <c r="F27" s="88"/>
      <c r="G27" s="88"/>
      <c r="H27" s="17"/>
      <c r="I27" s="23"/>
      <c r="J27" s="23"/>
      <c r="K27" s="23"/>
      <c r="L27" s="23"/>
      <c r="M27" s="23"/>
      <c r="N27" s="23"/>
    </row>
    <row r="28" spans="2:14" ht="15.5" x14ac:dyDescent="0.35">
      <c r="B28" s="133" t="s">
        <v>24</v>
      </c>
      <c r="C28" s="20"/>
      <c r="D28" s="265"/>
      <c r="E28" s="39"/>
      <c r="F28" s="20"/>
      <c r="G28" s="20"/>
      <c r="H28" s="20"/>
      <c r="I28" s="23"/>
      <c r="J28" s="23"/>
      <c r="K28" s="23"/>
      <c r="L28" s="23"/>
      <c r="M28" s="23"/>
      <c r="N28" s="23"/>
    </row>
    <row r="29" spans="2:14" ht="15.5" x14ac:dyDescent="0.35">
      <c r="B29" s="133" t="s">
        <v>25</v>
      </c>
      <c r="C29" s="20"/>
      <c r="D29" s="265"/>
      <c r="E29" s="39"/>
      <c r="F29" s="20"/>
      <c r="G29" s="20"/>
      <c r="H29" s="20"/>
      <c r="I29" s="23"/>
      <c r="J29" s="23"/>
      <c r="K29" s="23"/>
      <c r="L29" s="23"/>
      <c r="M29" s="23"/>
      <c r="N29" s="23"/>
    </row>
    <row r="30" spans="2:14" ht="15.5" x14ac:dyDescent="0.35">
      <c r="B30" s="256" t="s">
        <v>19</v>
      </c>
      <c r="C30" s="20"/>
      <c r="D30" s="18"/>
      <c r="E30" s="37"/>
      <c r="F30" s="17"/>
      <c r="G30" s="17"/>
      <c r="H30" s="17"/>
      <c r="I30" s="23"/>
      <c r="J30" s="23"/>
      <c r="K30" s="23"/>
      <c r="L30" s="23"/>
      <c r="M30" s="23"/>
      <c r="N30" s="23"/>
    </row>
    <row r="31" spans="2:14" ht="15.5" x14ac:dyDescent="0.35">
      <c r="B31" s="133" t="s">
        <v>75</v>
      </c>
      <c r="C31" s="20"/>
      <c r="D31" s="18"/>
      <c r="E31" s="19"/>
      <c r="F31" s="17"/>
      <c r="G31" s="17"/>
      <c r="H31" s="17"/>
      <c r="I31" s="23"/>
      <c r="J31" s="23"/>
      <c r="K31" s="23"/>
      <c r="L31" s="23"/>
      <c r="M31" s="23"/>
      <c r="N31" s="23"/>
    </row>
    <row r="32" spans="2:14" ht="15.5" x14ac:dyDescent="0.35">
      <c r="B32" s="256" t="s">
        <v>21</v>
      </c>
      <c r="C32" s="20"/>
      <c r="D32" s="265"/>
      <c r="E32" s="39"/>
      <c r="F32" s="20"/>
      <c r="G32" s="20"/>
      <c r="H32" s="20"/>
      <c r="I32" s="23"/>
      <c r="J32" s="23"/>
      <c r="K32" s="23"/>
      <c r="L32" s="23"/>
      <c r="M32" s="23"/>
      <c r="N32" s="23"/>
    </row>
    <row r="33" spans="2:14" ht="15.5" x14ac:dyDescent="0.35">
      <c r="B33" s="256" t="s">
        <v>26</v>
      </c>
      <c r="C33" s="20"/>
      <c r="D33" s="20"/>
      <c r="E33" s="20"/>
      <c r="F33" s="20"/>
      <c r="G33" s="20"/>
      <c r="H33" s="20"/>
      <c r="I33" s="23"/>
      <c r="J33" s="23"/>
      <c r="K33" s="23"/>
      <c r="L33" s="23"/>
      <c r="M33" s="23"/>
      <c r="N33" s="23"/>
    </row>
    <row r="34" spans="2:14" ht="15.5" x14ac:dyDescent="0.35">
      <c r="B34" s="235" t="s">
        <v>18</v>
      </c>
      <c r="C34" s="20"/>
      <c r="D34" s="18"/>
      <c r="E34" s="19"/>
      <c r="F34" s="17"/>
      <c r="G34" s="17"/>
      <c r="H34" s="17"/>
    </row>
    <row r="35" spans="2:14" ht="15.5" x14ac:dyDescent="0.35">
      <c r="B35" s="133" t="s">
        <v>128</v>
      </c>
      <c r="C35" s="73"/>
      <c r="D35" s="73"/>
      <c r="E35" s="73"/>
      <c r="F35" s="73"/>
      <c r="G35" s="73"/>
      <c r="H35" s="73"/>
    </row>
    <row r="36" spans="2:14" ht="15.5" x14ac:dyDescent="0.35">
      <c r="B36" s="133" t="s">
        <v>50</v>
      </c>
      <c r="C36" s="20"/>
      <c r="D36" s="20"/>
      <c r="E36" s="20"/>
      <c r="F36" s="20"/>
      <c r="G36" s="20"/>
      <c r="H36" s="20"/>
    </row>
    <row r="37" spans="2:14" ht="15.5" x14ac:dyDescent="0.35">
      <c r="B37" s="133" t="s">
        <v>118</v>
      </c>
      <c r="C37" s="20"/>
      <c r="D37" s="257"/>
      <c r="E37" s="257"/>
      <c r="F37" s="257"/>
      <c r="G37" s="257"/>
      <c r="H37" s="257"/>
    </row>
    <row r="38" spans="2:14" ht="15.5" x14ac:dyDescent="0.35">
      <c r="B38" s="133" t="s">
        <v>127</v>
      </c>
      <c r="C38" s="73"/>
      <c r="D38" s="73"/>
      <c r="E38" s="73"/>
      <c r="F38" s="73"/>
      <c r="G38" s="73"/>
      <c r="H38" s="73"/>
    </row>
    <row r="39" spans="2:14" ht="15.5" x14ac:dyDescent="0.35">
      <c r="B39" s="133" t="s">
        <v>23</v>
      </c>
      <c r="C39" s="73"/>
      <c r="D39" s="73"/>
      <c r="E39" s="73"/>
      <c r="F39" s="73"/>
      <c r="G39" s="73"/>
      <c r="H39" s="73"/>
    </row>
  </sheetData>
  <autoFilter ref="B5:H5" xr:uid="{00000000-0009-0000-0000-000007000000}">
    <sortState xmlns:xlrd2="http://schemas.microsoft.com/office/spreadsheetml/2017/richdata2" ref="B3:H36">
      <sortCondition ref="B2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ACHATS FRS 20</vt:lpstr>
      <vt:lpstr>FACT - PEINTURE- SERRURERIE</vt:lpstr>
      <vt:lpstr>FACT - ELECTRICITE</vt:lpstr>
      <vt:lpstr>FACT - ACHAT DIVERS</vt:lpstr>
      <vt:lpstr>FACT - FRAIS Généraux</vt:lpstr>
      <vt:lpstr>FACT - FRS EXPORTS-TRANSPORTS</vt:lpstr>
      <vt:lpstr>SUIVI DES FACTURES FRS</vt:lpstr>
      <vt:lpstr>MAQUETTE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BELVEDER</dc:creator>
  <cp:lastModifiedBy>axelle EUGNE</cp:lastModifiedBy>
  <cp:lastPrinted>2020-10-09T16:10:33Z</cp:lastPrinted>
  <dcterms:created xsi:type="dcterms:W3CDTF">2017-04-27T18:24:26Z</dcterms:created>
  <dcterms:modified xsi:type="dcterms:W3CDTF">2020-10-22T04:12:38Z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2020-07-09T08:53:25.5812993Z</vt:lpwstr>
  </property>
  <property fmtid="{D5CDD505-2E9C-101B-9397-08002B2CF9AE}" pid="6" name="MSIP_Label_2e1fccfb-80ca-4fe1-a574-1516544edb53_Name">
    <vt:lpwstr>C2 General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ActionId">
    <vt:lpwstr>7eac3503-e34e-418a-89aa-e7088f2fb8d6</vt:lpwstr>
  </property>
  <property fmtid="{D5CDD505-2E9C-101B-9397-08002B2CF9AE}" pid="9" name="MSIP_Label_2e1fccfb-80ca-4fe1-a574-1516544edb53_Extended_MSFT_Method">
    <vt:lpwstr>Automatic</vt:lpwstr>
  </property>
  <property fmtid="{D5CDD505-2E9C-101B-9397-08002B2CF9AE}" pid="10" name="Sensitivity">
    <vt:lpwstr>C2 General</vt:lpwstr>
  </property>
</Properties>
</file>