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01" codeName="{662AC1DA-710E-409A-AF98-282AFDE22985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abien\Desktop\"/>
    </mc:Choice>
  </mc:AlternateContent>
  <xr:revisionPtr revIDLastSave="0" documentId="13_ncr:1_{CFE2CB5E-EB37-4F79-A673-C22F83C442CB}" xr6:coauthVersionLast="45" xr6:coauthVersionMax="45" xr10:uidLastSave="{00000000-0000-0000-0000-000000000000}"/>
  <bookViews>
    <workbookView xWindow="-120" yWindow="-120" windowWidth="29040" windowHeight="15840" activeTab="1" xr2:uid="{00000000-000D-0000-FFFF-FFFF00000000}"/>
  </bookViews>
  <sheets>
    <sheet name="planning" sheetId="4" r:id="rId1"/>
    <sheet name="lot réclamés" sheetId="9" r:id="rId2"/>
    <sheet name="lot finis" sheetId="5" r:id="rId3"/>
    <sheet name="données plan-article-opérateurs" sheetId="3" r:id="rId4"/>
    <sheet name="Charge Par Article" sheetId="1" r:id="rId5"/>
    <sheet name="Feries" sheetId="7" r:id="rId6"/>
    <sheet name="indicateurs" sheetId="6" r:id="rId7"/>
    <sheet name="expiication fichier" sheetId="8" r:id="rId8"/>
  </sheets>
  <definedNames>
    <definedName name="_xlnm._FilterDatabase" localSheetId="4" hidden="1">'Charge Par Article'!$A$2:$U$59</definedName>
    <definedName name="_xlnm._FilterDatabase" localSheetId="3" hidden="1">'données plan-article-opérateurs'!$A$2:$B$260</definedName>
    <definedName name="_xlnm._FilterDatabase" localSheetId="2" hidden="1">'lot finis'!$A$1:$L$1</definedName>
    <definedName name="_xlnm._FilterDatabase" localSheetId="0" hidden="1">planning!$A$5:$L$201</definedName>
    <definedName name="_Toc43900609" localSheetId="0">'expiication fichier'!$A$32</definedName>
    <definedName name="_Toc43900610" localSheetId="0">'expiication fichier'!$A$41</definedName>
    <definedName name="_Toc43900611" localSheetId="0">'expiication fichier'!$A$47</definedName>
    <definedName name="feries">Feries!$B$3:$B$14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2" i="9" l="1"/>
  <c r="V7" i="4"/>
  <c r="D7" i="9"/>
  <c r="D8" i="9"/>
  <c r="D9" i="9"/>
  <c r="D10" i="9"/>
  <c r="D11" i="9"/>
  <c r="D12" i="9"/>
  <c r="D13" i="9"/>
  <c r="D14" i="9"/>
  <c r="D15" i="9"/>
  <c r="D16" i="9"/>
  <c r="D17" i="9"/>
  <c r="D18" i="9"/>
  <c r="D19" i="9"/>
  <c r="D20" i="9"/>
  <c r="D21" i="9"/>
  <c r="D22" i="9"/>
  <c r="D23" i="9"/>
  <c r="D24" i="9"/>
  <c r="D25" i="9"/>
  <c r="D26" i="9"/>
  <c r="D27" i="9"/>
  <c r="D28" i="9"/>
  <c r="D29" i="9"/>
  <c r="D30" i="9"/>
  <c r="D31" i="9"/>
  <c r="D32" i="9"/>
  <c r="D33" i="9"/>
  <c r="D34" i="9"/>
  <c r="D35" i="9"/>
  <c r="D36" i="9"/>
  <c r="D37" i="9"/>
  <c r="D38" i="9"/>
  <c r="D39" i="9"/>
  <c r="D40" i="9"/>
  <c r="D41" i="9"/>
  <c r="D42" i="9"/>
  <c r="D43" i="9"/>
  <c r="D44" i="9"/>
  <c r="D45" i="9"/>
  <c r="D46" i="9"/>
  <c r="D47" i="9"/>
  <c r="D48" i="9"/>
  <c r="D49" i="9"/>
  <c r="D50" i="9"/>
  <c r="G7" i="4"/>
  <c r="G8" i="4"/>
  <c r="G9" i="4"/>
  <c r="G10" i="4"/>
  <c r="G11" i="4"/>
  <c r="G12" i="4"/>
  <c r="G13" i="4"/>
  <c r="G14" i="4"/>
  <c r="G15" i="4"/>
  <c r="G16" i="4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38" i="4"/>
  <c r="G39" i="4"/>
  <c r="G40" i="4"/>
  <c r="G41" i="4"/>
  <c r="G42" i="4"/>
  <c r="G43" i="4"/>
  <c r="G44" i="4"/>
  <c r="G45" i="4"/>
  <c r="G46" i="4"/>
  <c r="G47" i="4"/>
  <c r="G48" i="4"/>
  <c r="G49" i="4"/>
  <c r="G50" i="4"/>
  <c r="G51" i="4"/>
  <c r="G52" i="4"/>
  <c r="G53" i="4"/>
  <c r="G54" i="4"/>
  <c r="G55" i="4"/>
  <c r="G56" i="4"/>
  <c r="G57" i="4"/>
  <c r="G58" i="4"/>
  <c r="G59" i="4"/>
  <c r="G60" i="4"/>
  <c r="G61" i="4"/>
  <c r="G62" i="4"/>
  <c r="G63" i="4"/>
  <c r="G64" i="4"/>
  <c r="G65" i="4"/>
  <c r="G66" i="4"/>
  <c r="G67" i="4"/>
  <c r="G68" i="4"/>
  <c r="G69" i="4"/>
  <c r="G70" i="4"/>
  <c r="G71" i="4"/>
  <c r="G72" i="4"/>
  <c r="G73" i="4"/>
  <c r="G74" i="4"/>
  <c r="G75" i="4"/>
  <c r="G76" i="4"/>
  <c r="G77" i="4"/>
  <c r="G78" i="4"/>
  <c r="G79" i="4"/>
  <c r="G80" i="4"/>
  <c r="G81" i="4"/>
  <c r="G82" i="4"/>
  <c r="G83" i="4"/>
  <c r="G84" i="4"/>
  <c r="G85" i="4"/>
  <c r="G86" i="4"/>
  <c r="G87" i="4"/>
  <c r="G88" i="4"/>
  <c r="G89" i="4"/>
  <c r="G90" i="4"/>
  <c r="G91" i="4"/>
  <c r="G92" i="4"/>
  <c r="G93" i="4"/>
  <c r="G94" i="4"/>
  <c r="G95" i="4"/>
  <c r="G96" i="4"/>
  <c r="G97" i="4"/>
  <c r="G98" i="4"/>
  <c r="G99" i="4"/>
  <c r="G100" i="4"/>
  <c r="G101" i="4"/>
  <c r="G102" i="4"/>
  <c r="G103" i="4"/>
  <c r="G104" i="4"/>
  <c r="G105" i="4"/>
  <c r="G106" i="4"/>
  <c r="G107" i="4"/>
  <c r="G108" i="4"/>
  <c r="G109" i="4"/>
  <c r="G110" i="4"/>
  <c r="G111" i="4"/>
  <c r="G112" i="4"/>
  <c r="G113" i="4"/>
  <c r="G114" i="4"/>
  <c r="G115" i="4"/>
  <c r="G116" i="4"/>
  <c r="G117" i="4"/>
  <c r="G118" i="4"/>
  <c r="G119" i="4"/>
  <c r="G120" i="4"/>
  <c r="G121" i="4"/>
  <c r="G122" i="4"/>
  <c r="G123" i="4"/>
  <c r="G124" i="4"/>
  <c r="G125" i="4"/>
  <c r="G126" i="4"/>
  <c r="G127" i="4"/>
  <c r="G128" i="4"/>
  <c r="G129" i="4"/>
  <c r="G130" i="4"/>
  <c r="G131" i="4"/>
  <c r="G132" i="4"/>
  <c r="G133" i="4"/>
  <c r="G134" i="4"/>
  <c r="G135" i="4"/>
  <c r="G136" i="4"/>
  <c r="G137" i="4"/>
  <c r="G138" i="4"/>
  <c r="G139" i="4"/>
  <c r="G140" i="4"/>
  <c r="G141" i="4"/>
  <c r="G142" i="4"/>
  <c r="G143" i="4"/>
  <c r="G144" i="4"/>
  <c r="G145" i="4"/>
  <c r="G146" i="4"/>
  <c r="G147" i="4"/>
  <c r="G148" i="4"/>
  <c r="G149" i="4"/>
  <c r="G150" i="4"/>
  <c r="G151" i="4"/>
  <c r="G152" i="4"/>
  <c r="G153" i="4"/>
  <c r="G154" i="4"/>
  <c r="G155" i="4"/>
  <c r="G156" i="4"/>
  <c r="G157" i="4"/>
  <c r="G158" i="4"/>
  <c r="G159" i="4"/>
  <c r="G160" i="4"/>
  <c r="G161" i="4"/>
  <c r="G162" i="4"/>
  <c r="G163" i="4"/>
  <c r="G164" i="4"/>
  <c r="G165" i="4"/>
  <c r="G166" i="4"/>
  <c r="G167" i="4"/>
  <c r="G168" i="4"/>
  <c r="G169" i="4"/>
  <c r="G170" i="4"/>
  <c r="G171" i="4"/>
  <c r="G172" i="4"/>
  <c r="G173" i="4"/>
  <c r="G174" i="4"/>
  <c r="G175" i="4"/>
  <c r="G176" i="4"/>
  <c r="G177" i="4"/>
  <c r="G178" i="4"/>
  <c r="G179" i="4"/>
  <c r="G180" i="4"/>
  <c r="G181" i="4"/>
  <c r="G182" i="4"/>
  <c r="G183" i="4"/>
  <c r="G184" i="4"/>
  <c r="G185" i="4"/>
  <c r="G186" i="4"/>
  <c r="G187" i="4"/>
  <c r="G188" i="4"/>
  <c r="G189" i="4"/>
  <c r="G190" i="4"/>
  <c r="G191" i="4"/>
  <c r="G192" i="4"/>
  <c r="G193" i="4"/>
  <c r="G194" i="4"/>
  <c r="G195" i="4"/>
  <c r="G196" i="4"/>
  <c r="G197" i="4"/>
  <c r="G198" i="4"/>
  <c r="G199" i="4"/>
  <c r="G200" i="4"/>
  <c r="G201" i="4"/>
  <c r="G6" i="4"/>
  <c r="H42" i="4" l="1"/>
  <c r="H43" i="4"/>
  <c r="H44" i="4"/>
  <c r="H45" i="4"/>
  <c r="H46" i="4"/>
  <c r="H47" i="4"/>
  <c r="H48" i="4"/>
  <c r="H49" i="4"/>
  <c r="H50" i="4"/>
  <c r="H51" i="4"/>
  <c r="H52" i="4"/>
  <c r="H53" i="4"/>
  <c r="H54" i="4"/>
  <c r="H55" i="4"/>
  <c r="H56" i="4"/>
  <c r="H57" i="4"/>
  <c r="H58" i="4"/>
  <c r="H59" i="4"/>
  <c r="H60" i="4"/>
  <c r="H61" i="4"/>
  <c r="H62" i="4"/>
  <c r="H63" i="4"/>
  <c r="H64" i="4"/>
  <c r="H65" i="4"/>
  <c r="H66" i="4"/>
  <c r="H67" i="4"/>
  <c r="H68" i="4"/>
  <c r="H69" i="4"/>
  <c r="H70" i="4"/>
  <c r="H71" i="4"/>
  <c r="H72" i="4"/>
  <c r="H73" i="4"/>
  <c r="H74" i="4"/>
  <c r="H75" i="4"/>
  <c r="H76" i="4"/>
  <c r="H77" i="4"/>
  <c r="H78" i="4"/>
  <c r="H79" i="4"/>
  <c r="H80" i="4"/>
  <c r="H81" i="4"/>
  <c r="H82" i="4"/>
  <c r="H83" i="4"/>
  <c r="H84" i="4"/>
  <c r="H85" i="4"/>
  <c r="H86" i="4"/>
  <c r="H87" i="4"/>
  <c r="H88" i="4"/>
  <c r="H89" i="4"/>
  <c r="H90" i="4"/>
  <c r="H91" i="4"/>
  <c r="H92" i="4"/>
  <c r="H93" i="4"/>
  <c r="H94" i="4"/>
  <c r="H95" i="4"/>
  <c r="H96" i="4"/>
  <c r="H97" i="4"/>
  <c r="H98" i="4"/>
  <c r="H99" i="4"/>
  <c r="H100" i="4"/>
  <c r="H101" i="4"/>
  <c r="H102" i="4"/>
  <c r="H103" i="4"/>
  <c r="H104" i="4"/>
  <c r="H105" i="4"/>
  <c r="H106" i="4"/>
  <c r="H107" i="4"/>
  <c r="H108" i="4"/>
  <c r="H109" i="4"/>
  <c r="H110" i="4"/>
  <c r="H111" i="4"/>
  <c r="H112" i="4"/>
  <c r="H113" i="4"/>
  <c r="H114" i="4"/>
  <c r="H115" i="4"/>
  <c r="H116" i="4"/>
  <c r="H117" i="4"/>
  <c r="H118" i="4"/>
  <c r="H119" i="4"/>
  <c r="H120" i="4"/>
  <c r="H121" i="4"/>
  <c r="H122" i="4"/>
  <c r="H123" i="4"/>
  <c r="H124" i="4"/>
  <c r="H125" i="4"/>
  <c r="H126" i="4"/>
  <c r="H127" i="4"/>
  <c r="H128" i="4"/>
  <c r="H129" i="4"/>
  <c r="H130" i="4"/>
  <c r="H131" i="4"/>
  <c r="H132" i="4"/>
  <c r="H133" i="4"/>
  <c r="H134" i="4"/>
  <c r="H135" i="4"/>
  <c r="H136" i="4"/>
  <c r="H137" i="4"/>
  <c r="H138" i="4"/>
  <c r="H139" i="4"/>
  <c r="H140" i="4"/>
  <c r="H141" i="4"/>
  <c r="H142" i="4"/>
  <c r="H143" i="4"/>
  <c r="H144" i="4"/>
  <c r="H145" i="4"/>
  <c r="H146" i="4"/>
  <c r="H147" i="4"/>
  <c r="H148" i="4"/>
  <c r="H149" i="4"/>
  <c r="H150" i="4"/>
  <c r="H151" i="4"/>
  <c r="H152" i="4"/>
  <c r="H153" i="4"/>
  <c r="H154" i="4"/>
  <c r="H155" i="4"/>
  <c r="H156" i="4"/>
  <c r="H157" i="4"/>
  <c r="H158" i="4"/>
  <c r="H159" i="4"/>
  <c r="H160" i="4"/>
  <c r="H161" i="4"/>
  <c r="H162" i="4"/>
  <c r="H163" i="4"/>
  <c r="H164" i="4"/>
  <c r="H165" i="4"/>
  <c r="H166" i="4"/>
  <c r="H167" i="4"/>
  <c r="H168" i="4"/>
  <c r="H169" i="4"/>
  <c r="H170" i="4"/>
  <c r="H171" i="4"/>
  <c r="H172" i="4"/>
  <c r="H173" i="4"/>
  <c r="H174" i="4"/>
  <c r="H175" i="4"/>
  <c r="H176" i="4"/>
  <c r="H177" i="4"/>
  <c r="H178" i="4"/>
  <c r="H179" i="4"/>
  <c r="H180" i="4"/>
  <c r="H181" i="4"/>
  <c r="H182" i="4"/>
  <c r="H183" i="4"/>
  <c r="H184" i="4"/>
  <c r="H185" i="4"/>
  <c r="H186" i="4"/>
  <c r="H187" i="4"/>
  <c r="H188" i="4"/>
  <c r="H189" i="4"/>
  <c r="H190" i="4"/>
  <c r="H191" i="4"/>
  <c r="H192" i="4"/>
  <c r="H193" i="4"/>
  <c r="H194" i="4"/>
  <c r="H195" i="4"/>
  <c r="H196" i="4"/>
  <c r="H197" i="4"/>
  <c r="H198" i="4"/>
  <c r="H199" i="4"/>
  <c r="H200" i="4"/>
  <c r="H201" i="4"/>
  <c r="H7" i="4"/>
  <c r="H8" i="4"/>
  <c r="H9" i="4"/>
  <c r="H10" i="4"/>
  <c r="H11" i="4"/>
  <c r="H12" i="4"/>
  <c r="H13" i="4"/>
  <c r="H14" i="4"/>
  <c r="H15" i="4"/>
  <c r="H16" i="4"/>
  <c r="H17" i="4"/>
  <c r="H18" i="4"/>
  <c r="H19" i="4"/>
  <c r="H20" i="4"/>
  <c r="H21" i="4"/>
  <c r="H22" i="4"/>
  <c r="H23" i="4"/>
  <c r="H24" i="4"/>
  <c r="H25" i="4"/>
  <c r="H26" i="4"/>
  <c r="H27" i="4"/>
  <c r="H28" i="4"/>
  <c r="H29" i="4"/>
  <c r="H30" i="4"/>
  <c r="H31" i="4"/>
  <c r="H32" i="4"/>
  <c r="H33" i="4"/>
  <c r="H34" i="4"/>
  <c r="H35" i="4"/>
  <c r="H36" i="4"/>
  <c r="B2" i="7" l="1"/>
  <c r="B9" i="7"/>
  <c r="B8" i="7" l="1"/>
  <c r="B5" i="7"/>
  <c r="B3" i="7"/>
  <c r="B6" i="7"/>
  <c r="B10" i="7"/>
  <c r="D3" i="7"/>
  <c r="B11" i="7" s="1"/>
  <c r="B7" i="7"/>
  <c r="B4" i="7"/>
  <c r="B14" i="7" l="1"/>
  <c r="B13" i="7"/>
  <c r="B12" i="7"/>
  <c r="A3" i="6" l="1"/>
  <c r="C3" i="6"/>
  <c r="M20" i="6"/>
  <c r="M19" i="6"/>
  <c r="A29" i="6"/>
  <c r="A28" i="6"/>
  <c r="B6" i="6" l="1"/>
  <c r="L9" i="4"/>
  <c r="L46" i="4"/>
  <c r="L16" i="4"/>
  <c r="L17" i="4"/>
  <c r="L32" i="4"/>
  <c r="L34" i="4"/>
  <c r="L44" i="4"/>
  <c r="L7" i="4"/>
  <c r="L31" i="4"/>
  <c r="L18" i="4"/>
  <c r="L22" i="4"/>
  <c r="L24" i="4"/>
  <c r="L8" i="4"/>
  <c r="L25" i="4"/>
  <c r="L12" i="4"/>
  <c r="L15" i="4"/>
  <c r="L49" i="4"/>
  <c r="L51" i="4"/>
  <c r="L35" i="4"/>
  <c r="L19" i="4"/>
  <c r="L23" i="4"/>
  <c r="L11" i="4"/>
  <c r="L36" i="4"/>
  <c r="L26" i="4"/>
  <c r="L20" i="4"/>
  <c r="L30" i="4"/>
  <c r="L21" i="4"/>
  <c r="L10" i="4"/>
  <c r="L33" i="4"/>
  <c r="L45" i="4"/>
  <c r="L14" i="4"/>
  <c r="L27" i="4"/>
  <c r="L6" i="4"/>
  <c r="H6" i="4" s="1"/>
  <c r="V8" i="4" s="1"/>
  <c r="L50" i="4"/>
  <c r="L47" i="4"/>
  <c r="L40" i="4"/>
  <c r="H40" i="4" s="1"/>
  <c r="L48" i="4"/>
  <c r="L42" i="4"/>
  <c r="L39" i="4"/>
  <c r="H39" i="4" s="1"/>
  <c r="L43" i="4"/>
  <c r="L52" i="4"/>
  <c r="L53" i="4"/>
  <c r="L54" i="4"/>
  <c r="L55" i="4"/>
  <c r="L56" i="4"/>
  <c r="L57" i="4"/>
  <c r="L38" i="4"/>
  <c r="H38" i="4" s="1"/>
  <c r="L29" i="4"/>
  <c r="L13" i="4"/>
  <c r="L37" i="4"/>
  <c r="H37" i="4" s="1"/>
  <c r="L28" i="4"/>
  <c r="L58" i="4"/>
  <c r="L59" i="4"/>
  <c r="L60" i="4"/>
  <c r="L61" i="4"/>
  <c r="L62" i="4"/>
  <c r="L63" i="4"/>
  <c r="L64" i="4"/>
  <c r="L65" i="4"/>
  <c r="L66" i="4"/>
  <c r="L67" i="4"/>
  <c r="L68" i="4"/>
  <c r="L69" i="4"/>
  <c r="L70" i="4"/>
  <c r="L71" i="4"/>
  <c r="L72" i="4"/>
  <c r="L73" i="4"/>
  <c r="L74" i="4"/>
  <c r="L75" i="4"/>
  <c r="L76" i="4"/>
  <c r="L77" i="4"/>
  <c r="L78" i="4"/>
  <c r="L79" i="4"/>
  <c r="L80" i="4"/>
  <c r="L81" i="4"/>
  <c r="L82" i="4"/>
  <c r="L83" i="4"/>
  <c r="L84" i="4"/>
  <c r="L85" i="4"/>
  <c r="L86" i="4"/>
  <c r="L87" i="4"/>
  <c r="L88" i="4"/>
  <c r="L89" i="4"/>
  <c r="L90" i="4"/>
  <c r="L91" i="4"/>
  <c r="L92" i="4"/>
  <c r="L93" i="4"/>
  <c r="L94" i="4"/>
  <c r="L95" i="4"/>
  <c r="L96" i="4"/>
  <c r="L97" i="4"/>
  <c r="L98" i="4"/>
  <c r="L99" i="4"/>
  <c r="L100" i="4"/>
  <c r="L101" i="4"/>
  <c r="L102" i="4"/>
  <c r="L103" i="4"/>
  <c r="L104" i="4"/>
  <c r="L105" i="4"/>
  <c r="L106" i="4"/>
  <c r="L107" i="4"/>
  <c r="L108" i="4"/>
  <c r="L109" i="4"/>
  <c r="L110" i="4"/>
  <c r="L111" i="4"/>
  <c r="L112" i="4"/>
  <c r="L113" i="4"/>
  <c r="L114" i="4"/>
  <c r="L115" i="4"/>
  <c r="L116" i="4"/>
  <c r="L117" i="4"/>
  <c r="L118" i="4"/>
  <c r="L119" i="4"/>
  <c r="L120" i="4"/>
  <c r="L121" i="4"/>
  <c r="L122" i="4"/>
  <c r="L123" i="4"/>
  <c r="L124" i="4"/>
  <c r="L125" i="4"/>
  <c r="L126" i="4"/>
  <c r="L127" i="4"/>
  <c r="L128" i="4"/>
  <c r="L129" i="4"/>
  <c r="L130" i="4"/>
  <c r="L131" i="4"/>
  <c r="L132" i="4"/>
  <c r="L133" i="4"/>
  <c r="L134" i="4"/>
  <c r="L135" i="4"/>
  <c r="L136" i="4"/>
  <c r="L137" i="4"/>
  <c r="L138" i="4"/>
  <c r="L139" i="4"/>
  <c r="L140" i="4"/>
  <c r="L141" i="4"/>
  <c r="L142" i="4"/>
  <c r="L143" i="4"/>
  <c r="L144" i="4"/>
  <c r="L145" i="4"/>
  <c r="L146" i="4"/>
  <c r="L147" i="4"/>
  <c r="L148" i="4"/>
  <c r="L149" i="4"/>
  <c r="L150" i="4"/>
  <c r="L151" i="4"/>
  <c r="L152" i="4"/>
  <c r="L153" i="4"/>
  <c r="L154" i="4"/>
  <c r="L155" i="4"/>
  <c r="L156" i="4"/>
  <c r="L157" i="4"/>
  <c r="L158" i="4"/>
  <c r="L159" i="4"/>
  <c r="L160" i="4"/>
  <c r="L161" i="4"/>
  <c r="L162" i="4"/>
  <c r="L163" i="4"/>
  <c r="L164" i="4"/>
  <c r="L165" i="4"/>
  <c r="L166" i="4"/>
  <c r="L167" i="4"/>
  <c r="L168" i="4"/>
  <c r="L169" i="4"/>
  <c r="L170" i="4"/>
  <c r="L171" i="4"/>
  <c r="L172" i="4"/>
  <c r="L173" i="4"/>
  <c r="L174" i="4"/>
  <c r="L175" i="4"/>
  <c r="L176" i="4"/>
  <c r="L177" i="4"/>
  <c r="L178" i="4"/>
  <c r="L179" i="4"/>
  <c r="L180" i="4"/>
  <c r="L181" i="4"/>
  <c r="L182" i="4"/>
  <c r="L183" i="4"/>
  <c r="L184" i="4"/>
  <c r="L185" i="4"/>
  <c r="L186" i="4"/>
  <c r="L187" i="4"/>
  <c r="L188" i="4"/>
  <c r="L189" i="4"/>
  <c r="L190" i="4"/>
  <c r="L191" i="4"/>
  <c r="L192" i="4"/>
  <c r="L193" i="4"/>
  <c r="L194" i="4"/>
  <c r="L195" i="4"/>
  <c r="L196" i="4"/>
  <c r="L197" i="4"/>
  <c r="L198" i="4"/>
  <c r="L199" i="4"/>
  <c r="L200" i="4"/>
  <c r="L41" i="4"/>
  <c r="H41" i="4" s="1"/>
  <c r="M16" i="6" l="1"/>
  <c r="M15" i="6"/>
  <c r="H19" i="6"/>
  <c r="G19" i="6"/>
  <c r="H18" i="6"/>
  <c r="G18" i="6"/>
  <c r="H17" i="6"/>
  <c r="G17" i="6"/>
  <c r="H16" i="6"/>
  <c r="G16" i="6"/>
  <c r="H15" i="6"/>
  <c r="G15" i="6"/>
  <c r="H14" i="6"/>
  <c r="G14" i="6"/>
  <c r="H13" i="6"/>
  <c r="G13" i="6"/>
  <c r="H12" i="6"/>
  <c r="G12" i="6"/>
  <c r="H11" i="6"/>
  <c r="G11" i="6"/>
  <c r="H10" i="6"/>
  <c r="G10" i="6"/>
  <c r="H9" i="6"/>
  <c r="G9" i="6"/>
  <c r="H8" i="6"/>
  <c r="G8" i="6"/>
  <c r="H7" i="6"/>
  <c r="G7" i="6"/>
  <c r="H6" i="6"/>
  <c r="G6" i="6"/>
  <c r="L201" i="4"/>
  <c r="K201" i="4"/>
  <c r="J201" i="4"/>
  <c r="K200" i="4"/>
  <c r="J200" i="4"/>
  <c r="K199" i="4"/>
  <c r="J199" i="4"/>
  <c r="K198" i="4"/>
  <c r="J198" i="4"/>
  <c r="K197" i="4"/>
  <c r="J197" i="4"/>
  <c r="K196" i="4"/>
  <c r="J196" i="4"/>
  <c r="K195" i="4"/>
  <c r="J195" i="4"/>
  <c r="K194" i="4"/>
  <c r="J194" i="4"/>
  <c r="K193" i="4"/>
  <c r="J193" i="4"/>
  <c r="K192" i="4"/>
  <c r="J192" i="4"/>
  <c r="K191" i="4"/>
  <c r="J191" i="4"/>
  <c r="K190" i="4"/>
  <c r="J190" i="4"/>
  <c r="K189" i="4"/>
  <c r="J189" i="4"/>
  <c r="K188" i="4"/>
  <c r="J188" i="4"/>
  <c r="K187" i="4"/>
  <c r="J187" i="4"/>
  <c r="K186" i="4"/>
  <c r="J186" i="4"/>
  <c r="K185" i="4"/>
  <c r="J185" i="4"/>
  <c r="K184" i="4"/>
  <c r="J184" i="4"/>
  <c r="K183" i="4"/>
  <c r="J183" i="4"/>
  <c r="K182" i="4"/>
  <c r="J182" i="4"/>
  <c r="K181" i="4"/>
  <c r="J181" i="4"/>
  <c r="K180" i="4"/>
  <c r="J180" i="4"/>
  <c r="K179" i="4"/>
  <c r="J179" i="4"/>
  <c r="K178" i="4"/>
  <c r="J178" i="4"/>
  <c r="K177" i="4"/>
  <c r="J177" i="4"/>
  <c r="K176" i="4"/>
  <c r="J176" i="4"/>
  <c r="K175" i="4"/>
  <c r="J175" i="4"/>
  <c r="K174" i="4"/>
  <c r="J174" i="4"/>
  <c r="K173" i="4"/>
  <c r="J173" i="4"/>
  <c r="K172" i="4"/>
  <c r="J172" i="4"/>
  <c r="K171" i="4"/>
  <c r="J171" i="4"/>
  <c r="K170" i="4"/>
  <c r="J170" i="4"/>
  <c r="K169" i="4"/>
  <c r="J169" i="4"/>
  <c r="K168" i="4"/>
  <c r="J168" i="4"/>
  <c r="K167" i="4"/>
  <c r="J167" i="4"/>
  <c r="K166" i="4"/>
  <c r="J166" i="4"/>
  <c r="K165" i="4"/>
  <c r="J165" i="4"/>
  <c r="K164" i="4"/>
  <c r="J164" i="4"/>
  <c r="K163" i="4"/>
  <c r="J163" i="4"/>
  <c r="K162" i="4"/>
  <c r="J162" i="4"/>
  <c r="K161" i="4"/>
  <c r="J161" i="4"/>
  <c r="K160" i="4"/>
  <c r="J160" i="4"/>
  <c r="K159" i="4"/>
  <c r="J159" i="4"/>
  <c r="K158" i="4"/>
  <c r="J158" i="4"/>
  <c r="K157" i="4"/>
  <c r="J157" i="4"/>
  <c r="K156" i="4"/>
  <c r="J156" i="4"/>
  <c r="K155" i="4"/>
  <c r="J155" i="4"/>
  <c r="K154" i="4"/>
  <c r="J154" i="4"/>
  <c r="K153" i="4"/>
  <c r="J153" i="4"/>
  <c r="K152" i="4"/>
  <c r="J152" i="4"/>
  <c r="K151" i="4"/>
  <c r="J151" i="4"/>
  <c r="K150" i="4"/>
  <c r="J150" i="4"/>
  <c r="K149" i="4"/>
  <c r="J149" i="4"/>
  <c r="K148" i="4"/>
  <c r="J148" i="4"/>
  <c r="K147" i="4"/>
  <c r="J147" i="4"/>
  <c r="K146" i="4"/>
  <c r="J146" i="4"/>
  <c r="K145" i="4"/>
  <c r="J145" i="4"/>
  <c r="K144" i="4"/>
  <c r="J144" i="4"/>
  <c r="K143" i="4"/>
  <c r="J143" i="4"/>
  <c r="K142" i="4"/>
  <c r="J142" i="4"/>
  <c r="K141" i="4"/>
  <c r="J141" i="4"/>
  <c r="K140" i="4"/>
  <c r="J140" i="4"/>
  <c r="K139" i="4"/>
  <c r="J139" i="4"/>
  <c r="K138" i="4"/>
  <c r="J138" i="4"/>
  <c r="K137" i="4"/>
  <c r="J137" i="4"/>
  <c r="K136" i="4"/>
  <c r="J136" i="4"/>
  <c r="K135" i="4"/>
  <c r="J135" i="4"/>
  <c r="K134" i="4"/>
  <c r="J134" i="4"/>
  <c r="K133" i="4"/>
  <c r="J133" i="4"/>
  <c r="K132" i="4"/>
  <c r="J132" i="4"/>
  <c r="K131" i="4"/>
  <c r="J131" i="4"/>
  <c r="K130" i="4"/>
  <c r="J130" i="4"/>
  <c r="K129" i="4"/>
  <c r="J129" i="4"/>
  <c r="K128" i="4"/>
  <c r="J128" i="4"/>
  <c r="K127" i="4"/>
  <c r="J127" i="4"/>
  <c r="K126" i="4"/>
  <c r="J126" i="4"/>
  <c r="K125" i="4"/>
  <c r="J125" i="4"/>
  <c r="K124" i="4"/>
  <c r="J124" i="4"/>
  <c r="K123" i="4"/>
  <c r="J123" i="4"/>
  <c r="K122" i="4"/>
  <c r="J122" i="4"/>
  <c r="K121" i="4"/>
  <c r="J121" i="4"/>
  <c r="K120" i="4"/>
  <c r="J120" i="4"/>
  <c r="K119" i="4"/>
  <c r="J119" i="4"/>
  <c r="K118" i="4"/>
  <c r="J118" i="4"/>
  <c r="K117" i="4"/>
  <c r="J117" i="4"/>
  <c r="K116" i="4"/>
  <c r="J116" i="4"/>
  <c r="K115" i="4"/>
  <c r="J115" i="4"/>
  <c r="K114" i="4"/>
  <c r="J114" i="4"/>
  <c r="K113" i="4"/>
  <c r="J113" i="4"/>
  <c r="K112" i="4"/>
  <c r="J112" i="4"/>
  <c r="K111" i="4"/>
  <c r="J111" i="4"/>
  <c r="K110" i="4"/>
  <c r="J110" i="4"/>
  <c r="K109" i="4"/>
  <c r="J109" i="4"/>
  <c r="K108" i="4"/>
  <c r="J108" i="4"/>
  <c r="K107" i="4"/>
  <c r="J107" i="4"/>
  <c r="K106" i="4"/>
  <c r="J106" i="4"/>
  <c r="K105" i="4"/>
  <c r="J105" i="4"/>
  <c r="K104" i="4"/>
  <c r="J104" i="4"/>
  <c r="K103" i="4"/>
  <c r="J103" i="4"/>
  <c r="K102" i="4"/>
  <c r="J102" i="4"/>
  <c r="K101" i="4"/>
  <c r="J101" i="4"/>
  <c r="K100" i="4"/>
  <c r="J100" i="4"/>
  <c r="K99" i="4"/>
  <c r="J99" i="4"/>
  <c r="K98" i="4"/>
  <c r="J98" i="4"/>
  <c r="K97" i="4"/>
  <c r="J97" i="4"/>
  <c r="K96" i="4"/>
  <c r="J96" i="4"/>
  <c r="K95" i="4"/>
  <c r="J95" i="4"/>
  <c r="K94" i="4"/>
  <c r="J94" i="4"/>
  <c r="K93" i="4"/>
  <c r="J93" i="4"/>
  <c r="K92" i="4"/>
  <c r="J92" i="4"/>
  <c r="K91" i="4"/>
  <c r="J91" i="4"/>
  <c r="K90" i="4"/>
  <c r="J90" i="4"/>
  <c r="K89" i="4"/>
  <c r="J89" i="4"/>
  <c r="K88" i="4"/>
  <c r="J88" i="4"/>
  <c r="K87" i="4"/>
  <c r="J87" i="4"/>
  <c r="K86" i="4"/>
  <c r="J86" i="4"/>
  <c r="K85" i="4"/>
  <c r="J85" i="4"/>
  <c r="K84" i="4"/>
  <c r="J84" i="4"/>
  <c r="K83" i="4"/>
  <c r="J83" i="4"/>
  <c r="K82" i="4"/>
  <c r="J82" i="4"/>
  <c r="K81" i="4"/>
  <c r="J81" i="4"/>
  <c r="K80" i="4"/>
  <c r="J80" i="4"/>
  <c r="K79" i="4"/>
  <c r="J79" i="4"/>
  <c r="K78" i="4"/>
  <c r="J78" i="4"/>
  <c r="K77" i="4"/>
  <c r="J77" i="4"/>
  <c r="K76" i="4"/>
  <c r="J76" i="4"/>
  <c r="K75" i="4"/>
  <c r="J75" i="4"/>
  <c r="K74" i="4"/>
  <c r="J74" i="4"/>
  <c r="K73" i="4"/>
  <c r="J73" i="4"/>
  <c r="K72" i="4"/>
  <c r="J72" i="4"/>
  <c r="K71" i="4"/>
  <c r="J71" i="4"/>
  <c r="K70" i="4"/>
  <c r="J70" i="4"/>
  <c r="K69" i="4"/>
  <c r="J69" i="4"/>
  <c r="K68" i="4"/>
  <c r="J68" i="4"/>
  <c r="K67" i="4"/>
  <c r="J67" i="4"/>
  <c r="K66" i="4"/>
  <c r="J66" i="4"/>
  <c r="K65" i="4"/>
  <c r="J65" i="4"/>
  <c r="K64" i="4"/>
  <c r="J64" i="4"/>
  <c r="K63" i="4"/>
  <c r="J63" i="4"/>
  <c r="K62" i="4"/>
  <c r="J62" i="4"/>
  <c r="K61" i="4"/>
  <c r="J61" i="4"/>
  <c r="K60" i="4"/>
  <c r="J60" i="4"/>
  <c r="K59" i="4"/>
  <c r="J59" i="4"/>
  <c r="K58" i="4"/>
  <c r="J58" i="4"/>
  <c r="K28" i="4"/>
  <c r="J28" i="4"/>
  <c r="K37" i="4"/>
  <c r="J6" i="4"/>
  <c r="K13" i="4"/>
  <c r="J16" i="4"/>
  <c r="K29" i="4"/>
  <c r="J8" i="4"/>
  <c r="K38" i="4"/>
  <c r="J38" i="4"/>
  <c r="K57" i="4"/>
  <c r="J57" i="4"/>
  <c r="K56" i="4"/>
  <c r="J56" i="4"/>
  <c r="K51" i="4"/>
  <c r="J51" i="4"/>
  <c r="K31" i="4"/>
  <c r="J31" i="4"/>
  <c r="K24" i="4"/>
  <c r="J24" i="4"/>
  <c r="K17" i="4"/>
  <c r="J42" i="4"/>
  <c r="K15" i="4"/>
  <c r="J33" i="4"/>
  <c r="K27" i="4"/>
  <c r="J27" i="4"/>
  <c r="K25" i="4"/>
  <c r="J12" i="4"/>
  <c r="K22" i="4"/>
  <c r="J22" i="4"/>
  <c r="K35" i="4"/>
  <c r="J35" i="4"/>
  <c r="K14" i="4"/>
  <c r="J14" i="4"/>
  <c r="K45" i="4"/>
  <c r="J45" i="4"/>
  <c r="K7" i="4"/>
  <c r="J29" i="4"/>
  <c r="K16" i="4"/>
  <c r="J32" i="4"/>
  <c r="K26" i="4"/>
  <c r="J26" i="4"/>
  <c r="K44" i="4"/>
  <c r="J44" i="4"/>
  <c r="K8" i="4"/>
  <c r="J7" i="4"/>
  <c r="K36" i="4"/>
  <c r="J17" i="4"/>
  <c r="K33" i="4"/>
  <c r="J39" i="4"/>
  <c r="K11" i="4"/>
  <c r="J11" i="4"/>
  <c r="K20" i="4"/>
  <c r="J20" i="4"/>
  <c r="K46" i="4"/>
  <c r="J46" i="4"/>
  <c r="K34" i="4"/>
  <c r="J13" i="4"/>
  <c r="K49" i="4"/>
  <c r="J49" i="4"/>
  <c r="K10" i="4"/>
  <c r="J10" i="4"/>
  <c r="K18" i="4"/>
  <c r="J18" i="4"/>
  <c r="K21" i="4"/>
  <c r="J25" i="4"/>
  <c r="K9" i="4"/>
  <c r="J9" i="4"/>
  <c r="K32" i="4"/>
  <c r="J41" i="4"/>
  <c r="K23" i="4"/>
  <c r="J23" i="4"/>
  <c r="K41" i="4"/>
  <c r="J40" i="4"/>
  <c r="K19" i="4"/>
  <c r="J19" i="4"/>
  <c r="K12" i="4"/>
  <c r="J34" i="4"/>
  <c r="K54" i="4"/>
  <c r="J54" i="4"/>
  <c r="K55" i="4"/>
  <c r="J55" i="4"/>
  <c r="K52" i="4"/>
  <c r="J52" i="4"/>
  <c r="K53" i="4"/>
  <c r="J53" i="4"/>
  <c r="K43" i="4"/>
  <c r="J43" i="4"/>
  <c r="K39" i="4"/>
  <c r="J15" i="4"/>
  <c r="K50" i="4"/>
  <c r="J50" i="4"/>
  <c r="K42" i="4"/>
  <c r="J37" i="4"/>
  <c r="K48" i="4"/>
  <c r="J48" i="4"/>
  <c r="K47" i="4"/>
  <c r="J47" i="4"/>
  <c r="K6" i="4"/>
  <c r="J21" i="4"/>
  <c r="K30" i="4"/>
  <c r="J30" i="4"/>
  <c r="K40" i="4"/>
  <c r="J36" i="4"/>
  <c r="C6" i="6" l="1"/>
  <c r="D6" i="6" s="1"/>
  <c r="D17" i="6"/>
  <c r="M12" i="6"/>
  <c r="L12" i="6"/>
  <c r="M7" i="6"/>
  <c r="M9" i="6"/>
  <c r="L6" i="6"/>
  <c r="L8" i="6"/>
  <c r="L10" i="6"/>
  <c r="M11" i="6"/>
  <c r="M6" i="6"/>
  <c r="M8" i="6"/>
  <c r="M10" i="6"/>
  <c r="L7" i="6"/>
  <c r="L9" i="6"/>
  <c r="L11" i="6"/>
  <c r="C8" i="6" l="1"/>
  <c r="D8" i="6" s="1"/>
  <c r="C9" i="6"/>
  <c r="D9" i="6" s="1"/>
  <c r="B9" i="6"/>
  <c r="B10" i="6"/>
  <c r="B8" i="6"/>
  <c r="C7" i="6"/>
  <c r="D7" i="6" s="1"/>
  <c r="B7" i="6"/>
  <c r="C10" i="6"/>
  <c r="D10" i="6" s="1"/>
  <c r="B11" i="6" l="1"/>
  <c r="C11" i="6"/>
  <c r="D11" i="6" s="1"/>
</calcChain>
</file>

<file path=xl/sharedStrings.xml><?xml version="1.0" encoding="utf-8"?>
<sst xmlns="http://schemas.openxmlformats.org/spreadsheetml/2006/main" count="1802" uniqueCount="932">
  <si>
    <t>Lot</t>
  </si>
  <si>
    <t>Article</t>
  </si>
  <si>
    <t>Date fin théorique du lot</t>
  </si>
  <si>
    <t>Etat Op.</t>
  </si>
  <si>
    <t>Référence gamme</t>
  </si>
  <si>
    <t>Date réception</t>
  </si>
  <si>
    <t>PROJET9996</t>
  </si>
  <si>
    <t>PROJET9766</t>
  </si>
  <si>
    <t>article</t>
  </si>
  <si>
    <t>temps de contrôle</t>
  </si>
  <si>
    <t>Affecté à</t>
  </si>
  <si>
    <t>nb jour retard</t>
  </si>
  <si>
    <t>nb jour atelier</t>
  </si>
  <si>
    <t>en minute</t>
  </si>
  <si>
    <t>en nb de jour</t>
  </si>
  <si>
    <t>données ajoutées ou calculées</t>
  </si>
  <si>
    <t>on retrouvera ici les lots "finis" avec les infos figées, on videra manuellement l'onglet au besoin</t>
  </si>
  <si>
    <t>opérateur</t>
  </si>
  <si>
    <t>infos viennent des colonnes de l'onglet charge par article</t>
  </si>
  <si>
    <t>lot demandé pour le</t>
  </si>
  <si>
    <t>P857775A</t>
  </si>
  <si>
    <t>P539192C</t>
  </si>
  <si>
    <t>P501803</t>
  </si>
  <si>
    <t>P542133A</t>
  </si>
  <si>
    <t>P540508A</t>
  </si>
  <si>
    <t>P849179A</t>
  </si>
  <si>
    <t>P538775B</t>
  </si>
  <si>
    <t>P563790A</t>
  </si>
  <si>
    <t>P566871A</t>
  </si>
  <si>
    <t>P552873B</t>
  </si>
  <si>
    <t>P836735A</t>
  </si>
  <si>
    <t>P506793B</t>
  </si>
  <si>
    <t>P833212A</t>
  </si>
  <si>
    <t>P509336B</t>
  </si>
  <si>
    <t>P804893</t>
  </si>
  <si>
    <t>P532551A</t>
  </si>
  <si>
    <t>P532776A</t>
  </si>
  <si>
    <t>P519795A</t>
  </si>
  <si>
    <t>P575584A</t>
  </si>
  <si>
    <t>P532792A</t>
  </si>
  <si>
    <t>P575677A</t>
  </si>
  <si>
    <t>P569815A</t>
  </si>
  <si>
    <t>P570950A</t>
  </si>
  <si>
    <t>P575781A</t>
  </si>
  <si>
    <t>P864215A</t>
  </si>
  <si>
    <t>P571629A</t>
  </si>
  <si>
    <t>P535335B</t>
  </si>
  <si>
    <t>P501802A</t>
  </si>
  <si>
    <t>P535857A</t>
  </si>
  <si>
    <t>P504293B</t>
  </si>
  <si>
    <t>P538431C</t>
  </si>
  <si>
    <t>P503770C</t>
  </si>
  <si>
    <t>P516458A</t>
  </si>
  <si>
    <t>P547682A</t>
  </si>
  <si>
    <t>P550504A</t>
  </si>
  <si>
    <t>P575287B</t>
  </si>
  <si>
    <t>P515769B</t>
  </si>
  <si>
    <t>P571329B</t>
  </si>
  <si>
    <t>P619851A</t>
  </si>
  <si>
    <t>P541070A</t>
  </si>
  <si>
    <t>P804151B</t>
  </si>
  <si>
    <t>P537154C</t>
  </si>
  <si>
    <t>P502910A</t>
  </si>
  <si>
    <t>P553288A</t>
  </si>
  <si>
    <t>P558070A</t>
  </si>
  <si>
    <t>P561467A</t>
  </si>
  <si>
    <t>RGX179</t>
  </si>
  <si>
    <t>P514108D</t>
  </si>
  <si>
    <t>RG316</t>
  </si>
  <si>
    <t>P549795-</t>
  </si>
  <si>
    <t>P538943A</t>
  </si>
  <si>
    <t>P575614A</t>
  </si>
  <si>
    <t>P569273B</t>
  </si>
  <si>
    <t>P531371C</t>
  </si>
  <si>
    <t>P501582B</t>
  </si>
  <si>
    <t>P538072B</t>
  </si>
  <si>
    <t>PF70236A</t>
  </si>
  <si>
    <t>P513941B</t>
  </si>
  <si>
    <t>P575527A</t>
  </si>
  <si>
    <t>P536205A</t>
  </si>
  <si>
    <t>P570078A</t>
  </si>
  <si>
    <t>P507647C</t>
  </si>
  <si>
    <t xml:space="preserve">Angélique </t>
  </si>
  <si>
    <t>Dominique</t>
  </si>
  <si>
    <t>Erika</t>
  </si>
  <si>
    <t>Florence</t>
  </si>
  <si>
    <t>Francine</t>
  </si>
  <si>
    <t>Marie-Christine</t>
  </si>
  <si>
    <t>Marie-Victoire</t>
  </si>
  <si>
    <t>Patricia</t>
  </si>
  <si>
    <t>Rémy</t>
  </si>
  <si>
    <t>Sandrine</t>
  </si>
  <si>
    <t>Sarah</t>
  </si>
  <si>
    <t>Séverine</t>
  </si>
  <si>
    <t>Stéphanie</t>
  </si>
  <si>
    <t>Tanya</t>
  </si>
  <si>
    <t>calcul intermédiaire</t>
  </si>
  <si>
    <t>nb jour</t>
  </si>
  <si>
    <t>nb lot</t>
  </si>
  <si>
    <t>&gt;5</t>
  </si>
  <si>
    <t>retard</t>
  </si>
  <si>
    <t>j0-1</t>
  </si>
  <si>
    <t>j2-3</t>
  </si>
  <si>
    <t>j4-5</t>
  </si>
  <si>
    <t>J&gt;5</t>
  </si>
  <si>
    <t>Total</t>
  </si>
  <si>
    <t>p842357E</t>
  </si>
  <si>
    <t>PC345380A</t>
  </si>
  <si>
    <t>UT3607SCA</t>
  </si>
  <si>
    <t>P557796A</t>
  </si>
  <si>
    <t>P515218B</t>
  </si>
  <si>
    <t>P535749A</t>
  </si>
  <si>
    <t>P504196B</t>
  </si>
  <si>
    <t>lots affectés</t>
  </si>
  <si>
    <t>temps moyen de présence au labo</t>
  </si>
  <si>
    <t xml:space="preserve"> retard</t>
  </si>
  <si>
    <t xml:space="preserve"> atelier</t>
  </si>
  <si>
    <t>WZT2601</t>
  </si>
  <si>
    <t>K2237TSTK2</t>
  </si>
  <si>
    <t>ET2819</t>
  </si>
  <si>
    <t>ET3207</t>
  </si>
  <si>
    <t>ZN1819</t>
  </si>
  <si>
    <t>P542504B</t>
  </si>
  <si>
    <t>K1291CUSN</t>
  </si>
  <si>
    <t>P535096B</t>
  </si>
  <si>
    <t>P501123E</t>
  </si>
  <si>
    <t>RE2419</t>
  </si>
  <si>
    <t>KZ5705</t>
  </si>
  <si>
    <t>ZN1619</t>
  </si>
  <si>
    <t>ZN1437</t>
  </si>
  <si>
    <t>TUBEPVC1X3</t>
  </si>
  <si>
    <t>P541171A</t>
  </si>
  <si>
    <t>P530512A</t>
  </si>
  <si>
    <t>P511208A</t>
  </si>
  <si>
    <t>P811538C</t>
  </si>
  <si>
    <t>heure</t>
  </si>
  <si>
    <t>SPC2407C1AG5%</t>
  </si>
  <si>
    <t>P844859B</t>
  </si>
  <si>
    <t>P570075A</t>
  </si>
  <si>
    <t>RV1.50</t>
  </si>
  <si>
    <t>P545756A</t>
  </si>
  <si>
    <t>ET2819S2</t>
  </si>
  <si>
    <t>P543431A</t>
  </si>
  <si>
    <t>P543434A</t>
  </si>
  <si>
    <t>E2219STK4</t>
  </si>
  <si>
    <t>P804894</t>
  </si>
  <si>
    <t>P660342A</t>
  </si>
  <si>
    <t>P559627A</t>
  </si>
  <si>
    <t>RET2619</t>
  </si>
  <si>
    <t>ZL2019STK1</t>
  </si>
  <si>
    <t>ZL2619STZ1</t>
  </si>
  <si>
    <t>P509665A</t>
  </si>
  <si>
    <t>P547357C</t>
  </si>
  <si>
    <t>P568556A</t>
  </si>
  <si>
    <t>P545419A</t>
  </si>
  <si>
    <t>P569276C</t>
  </si>
  <si>
    <t>P534438A</t>
  </si>
  <si>
    <t>ZN2019</t>
  </si>
  <si>
    <t>SP050035D</t>
  </si>
  <si>
    <t>P833213A</t>
  </si>
  <si>
    <t>P575208A</t>
  </si>
  <si>
    <t>UT3207SCA</t>
  </si>
  <si>
    <t>P503680A</t>
  </si>
  <si>
    <t>P570242B</t>
  </si>
  <si>
    <t>HT2219</t>
  </si>
  <si>
    <t>P541404A</t>
  </si>
  <si>
    <t>P532002A</t>
  </si>
  <si>
    <t>ZL2419STZ2</t>
  </si>
  <si>
    <t>P542330A</t>
  </si>
  <si>
    <t>P561322A</t>
  </si>
  <si>
    <t>P508835B</t>
  </si>
  <si>
    <t>P533908A</t>
  </si>
  <si>
    <t>P562237A</t>
  </si>
  <si>
    <t>P502810</t>
  </si>
  <si>
    <t>P562350A</t>
  </si>
  <si>
    <t>P532476A</t>
  </si>
  <si>
    <t>P542452A</t>
  </si>
  <si>
    <t>P530912</t>
  </si>
  <si>
    <t>P505059E</t>
  </si>
  <si>
    <t>RG179</t>
  </si>
  <si>
    <t>P512177A</t>
  </si>
  <si>
    <t>ZL2619</t>
  </si>
  <si>
    <t>RET2819</t>
  </si>
  <si>
    <t>P563483A</t>
  </si>
  <si>
    <t>P568211B</t>
  </si>
  <si>
    <t>P834252D</t>
  </si>
  <si>
    <t>P531984C</t>
  </si>
  <si>
    <t>Etat lot</t>
  </si>
  <si>
    <t>Numéro d'opération</t>
  </si>
  <si>
    <t>Année</t>
  </si>
  <si>
    <t>Semaine</t>
  </si>
  <si>
    <t>Retard</t>
  </si>
  <si>
    <t>Date début calculée</t>
  </si>
  <si>
    <t>Date de fin calculée</t>
  </si>
  <si>
    <t>Date début de l'opération</t>
  </si>
  <si>
    <t>Date fin de l'opération</t>
  </si>
  <si>
    <t>Qté restante</t>
  </si>
  <si>
    <t>Temps de l'opération</t>
  </si>
  <si>
    <t>Initiales planning</t>
  </si>
  <si>
    <t>Commentaire</t>
  </si>
  <si>
    <t>Temps Indus validé techniquement</t>
  </si>
  <si>
    <t>T31106</t>
  </si>
  <si>
    <t>En cours</t>
  </si>
  <si>
    <t>R</t>
  </si>
  <si>
    <t>ZN 2019 R 2 ASC10</t>
  </si>
  <si>
    <t>F54411</t>
  </si>
  <si>
    <t>ESCC3901.012.05 AWG22 (avant irrad) blanc</t>
  </si>
  <si>
    <t>G982</t>
  </si>
  <si>
    <t>Coax C80SK (8N) bleu</t>
  </si>
  <si>
    <t>X25214</t>
  </si>
  <si>
    <t>Composite cable for A400M program</t>
  </si>
  <si>
    <t>F54016</t>
  </si>
  <si>
    <t>Fil PE 19x0,044mm inox violet</t>
  </si>
  <si>
    <t>X25312</t>
  </si>
  <si>
    <t>(A-PTFE 2707 MA 2) STX 4 100 Ohms</t>
  </si>
  <si>
    <t>B47457</t>
  </si>
  <si>
    <t>M17/113RG316 marron clair</t>
  </si>
  <si>
    <t>X25380</t>
  </si>
  <si>
    <t>Câble W5IAC</t>
  </si>
  <si>
    <t>B47506</t>
  </si>
  <si>
    <t>B</t>
  </si>
  <si>
    <t>RGX179  marron clair</t>
  </si>
  <si>
    <t>F54643</t>
  </si>
  <si>
    <t>Flat Cable 82x2.8mm TPU with 7xR2019E Noir</t>
  </si>
  <si>
    <t>R48494</t>
  </si>
  <si>
    <t>ESCC 3901.019.05 AWG22</t>
  </si>
  <si>
    <t>TB19866</t>
  </si>
  <si>
    <t>ESCC 3901.002.51 AWG26 ShHE 3</t>
  </si>
  <si>
    <t>X25286</t>
  </si>
  <si>
    <t>Câble composite 12 paires ET2619</t>
  </si>
  <si>
    <t>TB19819</t>
  </si>
  <si>
    <t>RV2207 STV 03</t>
  </si>
  <si>
    <t>TB19834</t>
  </si>
  <si>
    <t>UT3607 ES 6 TRESSE TPC</t>
  </si>
  <si>
    <t/>
  </si>
  <si>
    <t>B47405</t>
  </si>
  <si>
    <t>Triax AWG40, 75 Ohms, non gaine</t>
  </si>
  <si>
    <t>P71197</t>
  </si>
  <si>
    <t>Fil UT2801 NPC noir</t>
  </si>
  <si>
    <t>R48421</t>
  </si>
  <si>
    <t>HH 1819 - LH rouge</t>
  </si>
  <si>
    <t>R48306</t>
  </si>
  <si>
    <t>EHT3607SCA vert</t>
  </si>
  <si>
    <t>IN3983</t>
  </si>
  <si>
    <t>REE8133</t>
  </si>
  <si>
    <t>PL46</t>
  </si>
  <si>
    <t>FLEXTRACK 150°C 4X(RET1619E3)+ET2407 STE11</t>
  </si>
  <si>
    <t>B47440</t>
  </si>
  <si>
    <t>RG400DT Modifié (A21977)</t>
  </si>
  <si>
    <t>R47471</t>
  </si>
  <si>
    <t>Core 50 Ohms E3407SCA graphité</t>
  </si>
  <si>
    <t>X25303</t>
  </si>
  <si>
    <t>CABLE KZT3X0.59/AGW20 - 96154824 REV B</t>
  </si>
  <si>
    <t>IN3921</t>
  </si>
  <si>
    <t>(2 x type EE2201) R MaST 100 ohms</t>
  </si>
  <si>
    <t>R48259</t>
  </si>
  <si>
    <t>ESCC 3901.002.60 AWG18 kaki beige</t>
  </si>
  <si>
    <t>B47494</t>
  </si>
  <si>
    <t>Coax Celloflon 2619CEP 60/75 DT</t>
  </si>
  <si>
    <t>X25115</t>
  </si>
  <si>
    <t>EL2207STHP2 PTFE low noise layer pour cable P569276</t>
  </si>
  <si>
    <t>R48434</t>
  </si>
  <si>
    <t>CORE SML50 SCA GRAPHITE</t>
  </si>
  <si>
    <t>X25116</t>
  </si>
  <si>
    <t>TB19908</t>
  </si>
  <si>
    <t>a-PTFE AWG30SCA S2, 100 ohms</t>
  </si>
  <si>
    <t>B47187</t>
  </si>
  <si>
    <t>EL2207STHPFVS2 taped</t>
  </si>
  <si>
    <t>R48422</t>
  </si>
  <si>
    <t>HH 2619 - LH Rose</t>
  </si>
  <si>
    <t>IN3988</t>
  </si>
  <si>
    <t>COAX 50 OHMS EN4604-009 KW</t>
  </si>
  <si>
    <t>X25087</t>
  </si>
  <si>
    <t>G992</t>
  </si>
  <si>
    <t>P71502</t>
  </si>
  <si>
    <t>D</t>
  </si>
  <si>
    <t>ET3401 SCA  blanc</t>
  </si>
  <si>
    <t>B47431</t>
  </si>
  <si>
    <t>B47397</t>
  </si>
  <si>
    <t>COAX E 3007 STE 50 Ohms</t>
  </si>
  <si>
    <t>TB19803</t>
  </si>
  <si>
    <t>ZL2419 DtER 4 (Hytrel 40 ShD)</t>
  </si>
  <si>
    <t>T31110</t>
  </si>
  <si>
    <t>Paire a-PTFE 2407 MA 2 + drain AWG28 blanc-marron</t>
  </si>
  <si>
    <t>X25300</t>
  </si>
  <si>
    <t>CABLE 96 157 864 REV B</t>
  </si>
  <si>
    <t>IN3979</t>
  </si>
  <si>
    <t>REE1427 - KZ06-10R - marron</t>
  </si>
  <si>
    <t>T31025</t>
  </si>
  <si>
    <t>PCX38C06BK (PFA) EShK 3</t>
  </si>
  <si>
    <t>TB19829</t>
  </si>
  <si>
    <t>ET2419STK4</t>
  </si>
  <si>
    <t>X25153</t>
  </si>
  <si>
    <t>CABLE BUS AWG24 (Type M17/176-00002)</t>
  </si>
  <si>
    <t>P543050A</t>
  </si>
  <si>
    <t>P542810C</t>
  </si>
  <si>
    <t>P549676A</t>
  </si>
  <si>
    <t>P511106A</t>
  </si>
  <si>
    <t>RV2207STV03</t>
  </si>
  <si>
    <t>P542505B</t>
  </si>
  <si>
    <t>ET3401SCA</t>
  </si>
  <si>
    <t>TB19903</t>
  </si>
  <si>
    <t>LFW26/42 ES6</t>
  </si>
  <si>
    <t>X25088</t>
  </si>
  <si>
    <t>X25327</t>
  </si>
  <si>
    <t>(a-PTFE 2707 Ha 2) StP 4 - 100 ohms</t>
  </si>
  <si>
    <t>F54678</t>
  </si>
  <si>
    <t>KT 2619 CuSn (FEPTE9494) (noir)</t>
  </si>
  <si>
    <t>TB19798</t>
  </si>
  <si>
    <t>ET2819 StK 2  +  dw - marron blanc</t>
  </si>
  <si>
    <t>F54583</t>
  </si>
  <si>
    <t>Genre WPT 3001 NIAG + Coating C</t>
  </si>
  <si>
    <t>FG829</t>
  </si>
  <si>
    <t>QFX 86 FEP</t>
  </si>
  <si>
    <t>F54704</t>
  </si>
  <si>
    <t>AHT9/125/242Z0.9</t>
  </si>
  <si>
    <t>F54711</t>
  </si>
  <si>
    <t>Core type KK2807 TPC Bleu numéroté 0</t>
  </si>
  <si>
    <t>P71543</t>
  </si>
  <si>
    <t>T31152</t>
  </si>
  <si>
    <t>2ZN2019</t>
  </si>
  <si>
    <t>P71557</t>
  </si>
  <si>
    <t>E2801  rouge</t>
  </si>
  <si>
    <t>R48505</t>
  </si>
  <si>
    <t>RE 2219 - UL 5427 - blanc</t>
  </si>
  <si>
    <t>P71567</t>
  </si>
  <si>
    <t>Core RG316 monobrin (naturel)</t>
  </si>
  <si>
    <t>P71569</t>
  </si>
  <si>
    <t>E1819 - KZ 05 08 -   blanc</t>
  </si>
  <si>
    <t>P71574</t>
  </si>
  <si>
    <t>ET3019SCA</t>
  </si>
  <si>
    <t>F54713</t>
  </si>
  <si>
    <t>KT2807 Cu Sn</t>
  </si>
  <si>
    <t>T31039</t>
  </si>
  <si>
    <t>2 x UT3607SCA au pas de 8mm Noir Rouge</t>
  </si>
  <si>
    <t>SC45114</t>
  </si>
  <si>
    <t>TEST ET CONDITIONNEMENT</t>
  </si>
  <si>
    <t>CT1750</t>
  </si>
  <si>
    <t>CORDON SURMOULÉ PT2619 STFKM 2X3 TFNI/CUNI</t>
  </si>
  <si>
    <t>B47315</t>
  </si>
  <si>
    <t>P</t>
  </si>
  <si>
    <t>CaBLE (UKT49x0,025mm) ShPE 1</t>
  </si>
  <si>
    <t>P71560</t>
  </si>
  <si>
    <t>EE1819</t>
  </si>
  <si>
    <t>IN3967</t>
  </si>
  <si>
    <t>RET2019 CUNI   BLANC</t>
  </si>
  <si>
    <t>X24949</t>
  </si>
  <si>
    <t>Inkjet cable LJ2NEO flexible version (RG179)</t>
  </si>
  <si>
    <t>IN3849</t>
  </si>
  <si>
    <t>PROJET9656</t>
  </si>
  <si>
    <t>Fil LEE2219  rubanage longitudinal</t>
  </si>
  <si>
    <t>T31078</t>
  </si>
  <si>
    <t>2 x K1861CuSn pas 36mm à droite</t>
  </si>
  <si>
    <t>-20</t>
  </si>
  <si>
    <t>-14</t>
  </si>
  <si>
    <t>-7</t>
  </si>
  <si>
    <t>-2</t>
  </si>
  <si>
    <t>-0</t>
  </si>
  <si>
    <t>+5</t>
  </si>
  <si>
    <t>+6</t>
  </si>
  <si>
    <t>+8</t>
  </si>
  <si>
    <t>+14</t>
  </si>
  <si>
    <t>+19</t>
  </si>
  <si>
    <t>+23</t>
  </si>
  <si>
    <t>P556842A</t>
  </si>
  <si>
    <t>P571186A</t>
  </si>
  <si>
    <t>P537442C</t>
  </si>
  <si>
    <t>P550505A</t>
  </si>
  <si>
    <t>P518669C</t>
  </si>
  <si>
    <t>P517888C</t>
  </si>
  <si>
    <t>PF62756B</t>
  </si>
  <si>
    <t>P570952A</t>
  </si>
  <si>
    <t>E2801</t>
  </si>
  <si>
    <t>RE2219</t>
  </si>
  <si>
    <t>P552411A</t>
  </si>
  <si>
    <t>E1819</t>
  </si>
  <si>
    <t>KT2807CUSN</t>
  </si>
  <si>
    <t>2UT3607SCAP8D</t>
  </si>
  <si>
    <t>PF54868B</t>
  </si>
  <si>
    <t>P554656A</t>
  </si>
  <si>
    <t>P563087A</t>
  </si>
  <si>
    <t>2K1861CUSNP36D</t>
  </si>
  <si>
    <t>date fin</t>
  </si>
  <si>
    <t>I</t>
  </si>
  <si>
    <t>SC45134</t>
  </si>
  <si>
    <t>NP4477</t>
  </si>
  <si>
    <t>NACF238L</t>
  </si>
  <si>
    <t>Nickelage sur NanoD ciruculaire</t>
  </si>
  <si>
    <t>SC45133</t>
  </si>
  <si>
    <t>P71307</t>
  </si>
  <si>
    <t>ET 2819 35DFT28%Ag</t>
  </si>
  <si>
    <t>+90</t>
  </si>
  <si>
    <t>+63</t>
  </si>
  <si>
    <t>-4</t>
  </si>
  <si>
    <t>+3</t>
  </si>
  <si>
    <t>+13</t>
  </si>
  <si>
    <t>-1</t>
  </si>
  <si>
    <t>+28</t>
  </si>
  <si>
    <t>-6</t>
  </si>
  <si>
    <t>P555225A</t>
  </si>
  <si>
    <t>P512806</t>
  </si>
  <si>
    <t>P546518A</t>
  </si>
  <si>
    <t>X24984</t>
  </si>
  <si>
    <t>AA2407Si HStHA HStHA 2x3, 30 kV</t>
  </si>
  <si>
    <t>TB19843</t>
  </si>
  <si>
    <t>Cable BUS AWG26 SCA  120 ohms</t>
  </si>
  <si>
    <t>P71464</t>
  </si>
  <si>
    <t>Core aPTFE 2419 SCA Rouge</t>
  </si>
  <si>
    <t>R48441</t>
  </si>
  <si>
    <t>RET2407  BLANC</t>
  </si>
  <si>
    <t>TB19792</t>
  </si>
  <si>
    <t>CABLE BUS ALLEGE CRK 2419 DT 2 77 OHMS</t>
  </si>
  <si>
    <t>B47475</t>
  </si>
  <si>
    <t>SMX50SCA  gaine noire</t>
  </si>
  <si>
    <t>F54683</t>
  </si>
  <si>
    <t>Genre ESCC 3901.012 AWG28 double isolation avant irradiation</t>
  </si>
  <si>
    <t>R48496</t>
  </si>
  <si>
    <t>Core BUS AWG28 120 ohms</t>
  </si>
  <si>
    <t>R48321</t>
  </si>
  <si>
    <t>K 1291 CUSN bleu filet blanc</t>
  </si>
  <si>
    <t>TB19914</t>
  </si>
  <si>
    <t>R48514</t>
  </si>
  <si>
    <t>RET2456</t>
  </si>
  <si>
    <t>F54710</t>
  </si>
  <si>
    <t>Core coax 50 ohms AWG36 FEP/SP</t>
  </si>
  <si>
    <t>B47454</t>
  </si>
  <si>
    <t>AHT625/125/242Z0.9TAZ1.5OM3</t>
  </si>
  <si>
    <t>TB19874</t>
  </si>
  <si>
    <t>RET2807S2 Blanc-BlancTresse Optimisée</t>
  </si>
  <si>
    <t>R45843</t>
  </si>
  <si>
    <t>UT2807sca StE 26 (Tresse 24 fu</t>
  </si>
  <si>
    <t>TB19652</t>
  </si>
  <si>
    <t>RA6S-A24-C4 Type H2419SCAnu StHE 4 (DHGF/H)</t>
  </si>
  <si>
    <t>-11</t>
  </si>
  <si>
    <t>+7</t>
  </si>
  <si>
    <t>+1</t>
  </si>
  <si>
    <t>+21</t>
  </si>
  <si>
    <t>+27</t>
  </si>
  <si>
    <t>-5</t>
  </si>
  <si>
    <t>P570407A</t>
  </si>
  <si>
    <t>P871978A</t>
  </si>
  <si>
    <t>P574885A</t>
  </si>
  <si>
    <t>RET2407</t>
  </si>
  <si>
    <t>P835852A</t>
  </si>
  <si>
    <t>SMX50SCA</t>
  </si>
  <si>
    <t>P565180A</t>
  </si>
  <si>
    <t>P841290B</t>
  </si>
  <si>
    <t>P506907A</t>
  </si>
  <si>
    <t>P531072A</t>
  </si>
  <si>
    <t>PF70235A</t>
  </si>
  <si>
    <t>P535094B</t>
  </si>
  <si>
    <t>P547308A</t>
  </si>
  <si>
    <t>P570089A</t>
  </si>
  <si>
    <t>B47511</t>
  </si>
  <si>
    <t>TRESSE ST12SN200</t>
  </si>
  <si>
    <t>X25219</t>
  </si>
  <si>
    <t>RG316 StY 7 UL20276</t>
  </si>
  <si>
    <t>T31098</t>
  </si>
  <si>
    <t>ESCC 3901.019.11 2xAWG26</t>
  </si>
  <si>
    <t>B47208</t>
  </si>
  <si>
    <t>N</t>
  </si>
  <si>
    <t>SC45142</t>
  </si>
  <si>
    <t>SC45143</t>
  </si>
  <si>
    <t>SC45138</t>
  </si>
  <si>
    <t>SC45141</t>
  </si>
  <si>
    <t>SC45140</t>
  </si>
  <si>
    <t>SC45139</t>
  </si>
  <si>
    <t>+2</t>
  </si>
  <si>
    <t>-3</t>
  </si>
  <si>
    <t>-18</t>
  </si>
  <si>
    <t>P534303A</t>
  </si>
  <si>
    <t>P518061A</t>
  </si>
  <si>
    <t>P542137A</t>
  </si>
  <si>
    <t>F54444</t>
  </si>
  <si>
    <t>BDI</t>
  </si>
  <si>
    <t>KT2037E</t>
  </si>
  <si>
    <t>CP3236</t>
  </si>
  <si>
    <t>CABLE PLAT 4 et3007 SCA S1 24mm</t>
  </si>
  <si>
    <t>R48455</t>
  </si>
  <si>
    <t>RA6U-A22-C1 Type H2219 CuNu Vert</t>
  </si>
  <si>
    <t>ID2850</t>
  </si>
  <si>
    <t>ESCC390100131 AWG12 (khaki beige)</t>
  </si>
  <si>
    <t>B46876</t>
  </si>
  <si>
    <t>Coax 50 Ohms E3407 StP SCA graphité (bleu)</t>
  </si>
  <si>
    <t>ID2963</t>
  </si>
  <si>
    <t>CORE AXOWAVE SC25SP</t>
  </si>
  <si>
    <t>TB19777</t>
  </si>
  <si>
    <t>ESCC 3902.002.25 BUS AWG24 120 ohm</t>
  </si>
  <si>
    <t>SC45113</t>
  </si>
  <si>
    <t>B46877</t>
  </si>
  <si>
    <t>Z14984</t>
  </si>
  <si>
    <t>E1819$</t>
  </si>
  <si>
    <t>+94</t>
  </si>
  <si>
    <t>+136</t>
  </si>
  <si>
    <t>KT2037CUSN</t>
  </si>
  <si>
    <t>P538011A</t>
  </si>
  <si>
    <t>P515207A</t>
  </si>
  <si>
    <t>P509337C</t>
  </si>
  <si>
    <t>P836895D</t>
  </si>
  <si>
    <t>P838426E</t>
  </si>
  <si>
    <t>E2019</t>
  </si>
  <si>
    <t>P71562</t>
  </si>
  <si>
    <t>HP3-EXBFE (blanc marqué)</t>
  </si>
  <si>
    <t>R48349</t>
  </si>
  <si>
    <t>Fil REEMiTVE 2.50 mm² CuNi Rouge</t>
  </si>
  <si>
    <t>P71563</t>
  </si>
  <si>
    <t>Core 25 ohms/AWG2219 CuAg</t>
  </si>
  <si>
    <t>X24044</t>
  </si>
  <si>
    <t>(10UPT2619SCA + 2UT2807SCA)E</t>
  </si>
  <si>
    <t>F54572</t>
  </si>
  <si>
    <t>B47407</t>
  </si>
  <si>
    <t>F54532</t>
  </si>
  <si>
    <t>K2037E</t>
  </si>
  <si>
    <t>R48504</t>
  </si>
  <si>
    <t>CD</t>
  </si>
  <si>
    <t>IN3971</t>
  </si>
  <si>
    <t>TB19909</t>
  </si>
  <si>
    <t>SC45175</t>
  </si>
  <si>
    <t>P71440</t>
  </si>
  <si>
    <t>UT3407SCA</t>
  </si>
  <si>
    <t>TB19793</t>
  </si>
  <si>
    <t>RV1419 StV 07  B H F C D L E  GAINE ROUGE</t>
  </si>
  <si>
    <t>T31097</t>
  </si>
  <si>
    <t>UPT3007 NCA STP2 noir blanc</t>
  </si>
  <si>
    <t>-8</t>
  </si>
  <si>
    <t>-15</t>
  </si>
  <si>
    <t>-10</t>
  </si>
  <si>
    <t>+17</t>
  </si>
  <si>
    <t>P537325A</t>
  </si>
  <si>
    <t>P607894A</t>
  </si>
  <si>
    <t>P507415A</t>
  </si>
  <si>
    <t>P545408A</t>
  </si>
  <si>
    <t>K2037CUSN</t>
  </si>
  <si>
    <t>RV1419STV07</t>
  </si>
  <si>
    <t>P568643A</t>
  </si>
  <si>
    <t>ID2974</t>
  </si>
  <si>
    <t>Haute tension K10HV2407 StK 1</t>
  </si>
  <si>
    <t>X25381</t>
  </si>
  <si>
    <t>Câble W5IDC</t>
  </si>
  <si>
    <t>R48480</t>
  </si>
  <si>
    <t>BV1801 CuNu Noir</t>
  </si>
  <si>
    <t>MC11816</t>
  </si>
  <si>
    <t>SHT3607E</t>
  </si>
  <si>
    <t>SHT 36/07 X 0.050  ECROUI</t>
  </si>
  <si>
    <t>X25328</t>
  </si>
  <si>
    <t>Cable VIBRO 5 paires, ZL2419 MStMR 5x2</t>
  </si>
  <si>
    <t>X25181</t>
  </si>
  <si>
    <t>CABLE BUS 120 OHMS E0807 WX 26</t>
  </si>
  <si>
    <t>B47188</t>
  </si>
  <si>
    <t>+46</t>
  </si>
  <si>
    <t>P575782A</t>
  </si>
  <si>
    <t>P549677A</t>
  </si>
  <si>
    <t>P660343A</t>
  </si>
  <si>
    <t>P562373D</t>
  </si>
  <si>
    <t>P819702B</t>
  </si>
  <si>
    <t>F</t>
  </si>
  <si>
    <t>TB19884</t>
  </si>
  <si>
    <t>ESCC 3902.002.28 AWG26 BUS 100ohms - LH/H</t>
  </si>
  <si>
    <t>P71523</t>
  </si>
  <si>
    <t>Core CE1x1.42 AlCuAg</t>
  </si>
  <si>
    <t>F53990</t>
  </si>
  <si>
    <t>Fil KT7x7x0,044mm inox AISI316 naturel</t>
  </si>
  <si>
    <t>X25201</t>
  </si>
  <si>
    <t>AA2407Si HStH A HStH A 2, 19 kV</t>
  </si>
  <si>
    <t>TB19904</t>
  </si>
  <si>
    <t>X2237TSTX2 NOIR BLANC GAINE NOIRE</t>
  </si>
  <si>
    <t>R48408</t>
  </si>
  <si>
    <t>VV1619</t>
  </si>
  <si>
    <t>T31084</t>
  </si>
  <si>
    <t>3E2219</t>
  </si>
  <si>
    <t>R47984</t>
  </si>
  <si>
    <t>Coax RGL196 gaine Vitax</t>
  </si>
  <si>
    <t>X25202</t>
  </si>
  <si>
    <t>A2407 SiHStHA 2x2, 4 kV</t>
  </si>
  <si>
    <t>X25278</t>
  </si>
  <si>
    <t>(3xa-PTFE2707Ma2 STX2 + 3xET2707)MSTX</t>
  </si>
  <si>
    <t>+15</t>
  </si>
  <si>
    <t>+33</t>
  </si>
  <si>
    <t>+56</t>
  </si>
  <si>
    <t>+75</t>
  </si>
  <si>
    <t>+26</t>
  </si>
  <si>
    <t>P849180C</t>
  </si>
  <si>
    <t>P836472B</t>
  </si>
  <si>
    <t>P501378F</t>
  </si>
  <si>
    <t>P559119B</t>
  </si>
  <si>
    <t>X2237TSTX2</t>
  </si>
  <si>
    <t>P602530</t>
  </si>
  <si>
    <t>P533929C</t>
  </si>
  <si>
    <t>P559115C</t>
  </si>
  <si>
    <t>P565804A</t>
  </si>
  <si>
    <t>somme si R</t>
  </si>
  <si>
    <t>somme si D</t>
  </si>
  <si>
    <t>si date théorique dépassé</t>
  </si>
  <si>
    <t>calcul temps lots date dépassé R ou D</t>
  </si>
  <si>
    <t>calcul nb lots date dépassé R ou D</t>
  </si>
  <si>
    <t>nb si D</t>
  </si>
  <si>
    <t>nb si R</t>
  </si>
  <si>
    <t>Nb de lots à faire</t>
  </si>
  <si>
    <t>nb lots bloqués</t>
  </si>
  <si>
    <t>nb lots en retard</t>
  </si>
  <si>
    <t>F54051</t>
  </si>
  <si>
    <t>AISI304L 1x0.4mm isole PE D=0.8mm</t>
  </si>
  <si>
    <t>P71572</t>
  </si>
  <si>
    <t>FIL EE19X0,403mm cuag UL1164 vert</t>
  </si>
  <si>
    <t>R48400</t>
  </si>
  <si>
    <t>TRIAX K3807 STKSHK1 / 50PF</t>
  </si>
  <si>
    <t>TB19835</t>
  </si>
  <si>
    <t>BUS GENRE WZ 2601 STK2 105 OHM</t>
  </si>
  <si>
    <t>TB19852</t>
  </si>
  <si>
    <t>RV1.50 StV 04</t>
  </si>
  <si>
    <t>X25204</t>
  </si>
  <si>
    <t>AA2407Si HStH A HStH A 2, 30kV</t>
  </si>
  <si>
    <t>TB19901</t>
  </si>
  <si>
    <t>X25200</t>
  </si>
  <si>
    <t>AA2407Si HStH A HStH A 2x3, 30kV</t>
  </si>
  <si>
    <t>T31024</t>
  </si>
  <si>
    <t>ESCC 3901.012.12 2xAWG28 bleu marron</t>
  </si>
  <si>
    <t>+97</t>
  </si>
  <si>
    <t>-12</t>
  </si>
  <si>
    <t>TB19867</t>
  </si>
  <si>
    <t>ESCC 3901.002.46 AWG26 ShH 2</t>
  </si>
  <si>
    <t>B47472</t>
  </si>
  <si>
    <t>AHT50/125/242Z0.9TAZ1.5OM3 LM</t>
  </si>
  <si>
    <t>F54719</t>
  </si>
  <si>
    <t>K2419E</t>
  </si>
  <si>
    <t>X25331</t>
  </si>
  <si>
    <t>KK2633 StESi 4 + drain</t>
  </si>
  <si>
    <t>R48512</t>
  </si>
  <si>
    <t>RET20135</t>
  </si>
  <si>
    <t>TB19956</t>
  </si>
  <si>
    <t>FG841</t>
  </si>
  <si>
    <t>Coax E2819 StYR 50 Ohms - noir</t>
  </si>
  <si>
    <t>TB19940</t>
  </si>
  <si>
    <t>RET2819SHE2</t>
  </si>
  <si>
    <t>F54571</t>
  </si>
  <si>
    <t>R48319</t>
  </si>
  <si>
    <t>ESCC 3901.002.58 AWG22 rouge</t>
  </si>
  <si>
    <t>TB19955</t>
  </si>
  <si>
    <t>X2037TSTX2</t>
  </si>
  <si>
    <t>+153</t>
  </si>
  <si>
    <t>P501584B</t>
  </si>
  <si>
    <t>P538766E</t>
  </si>
  <si>
    <t>PF55462A</t>
  </si>
  <si>
    <t>P540000B</t>
  </si>
  <si>
    <t>P542063B</t>
  </si>
  <si>
    <t>P506534B</t>
  </si>
  <si>
    <t>K2419CUSN</t>
  </si>
  <si>
    <t>RV1.50STV04</t>
  </si>
  <si>
    <t>P515412B</t>
  </si>
  <si>
    <t>P559134B</t>
  </si>
  <si>
    <t>P559299A</t>
  </si>
  <si>
    <t>P542740B</t>
  </si>
  <si>
    <t>P537785C</t>
  </si>
  <si>
    <t>P509765A</t>
  </si>
  <si>
    <t>Date démarrage au plus tard</t>
  </si>
  <si>
    <t xml:space="preserve">calcul </t>
  </si>
  <si>
    <t>X25117</t>
  </si>
  <si>
    <t>P71617</t>
  </si>
  <si>
    <t>Core Type AX086 Ag 2µm</t>
  </si>
  <si>
    <t>TB19872</t>
  </si>
  <si>
    <t>ZL2619S2 noir/violet</t>
  </si>
  <si>
    <t>SC45222</t>
  </si>
  <si>
    <t>SC45223</t>
  </si>
  <si>
    <t>SC45224</t>
  </si>
  <si>
    <t>+84</t>
  </si>
  <si>
    <t>+16</t>
  </si>
  <si>
    <t>P540321A</t>
  </si>
  <si>
    <t>P567086A</t>
  </si>
  <si>
    <t>P509768A</t>
  </si>
  <si>
    <t>P509767A</t>
  </si>
  <si>
    <t>P509773A</t>
  </si>
  <si>
    <t>PTr</t>
  </si>
  <si>
    <t>B47507</t>
  </si>
  <si>
    <t>M17/93RG178 marron clair</t>
  </si>
  <si>
    <t>X25377</t>
  </si>
  <si>
    <t>UT3607SCA EStK 6</t>
  </si>
  <si>
    <t>SJo</t>
  </si>
  <si>
    <t>P71549</t>
  </si>
  <si>
    <t>APn</t>
  </si>
  <si>
    <t>E3019SPC</t>
  </si>
  <si>
    <t>P71592</t>
  </si>
  <si>
    <t>E2207 - kZ 0506 - blanc</t>
  </si>
  <si>
    <t>P71604</t>
  </si>
  <si>
    <t>ET2807 - kz 04 03 - blanc</t>
  </si>
  <si>
    <t>P71589</t>
  </si>
  <si>
    <t>UT3607SCA (bleu ultramarine)</t>
  </si>
  <si>
    <t>B47465</t>
  </si>
  <si>
    <t>Coax 50 ohms SCA3001 graphite blanc</t>
  </si>
  <si>
    <t>T31059</t>
  </si>
  <si>
    <t>TH</t>
  </si>
  <si>
    <t>cable EE2419 sca MA 2 / Z= 100 ohms</t>
  </si>
  <si>
    <t>RG178</t>
  </si>
  <si>
    <t>P573601A</t>
  </si>
  <si>
    <t>E3019</t>
  </si>
  <si>
    <t>E2207</t>
  </si>
  <si>
    <t>ET2807</t>
  </si>
  <si>
    <t>P533721A</t>
  </si>
  <si>
    <t>P507646C</t>
  </si>
  <si>
    <t>P536364A</t>
  </si>
  <si>
    <t>Sophie</t>
  </si>
  <si>
    <t>Ces lots doivent être démarrés au labo au plus tard à J+1 après réception.</t>
  </si>
  <si>
    <t>La date de démarrage au plus tard correspondra à la date de réception labo +24h.</t>
  </si>
  <si>
    <t>Ces lots doivent être démarrés au plus tard à J+5 après réception au labo.</t>
  </si>
  <si>
    <r>
      <t>La date de démarrage doit être calculée au plus juste en fonction du temps de contrôle du lot afin que le lot ne sorte pas en retard du labo. (</t>
    </r>
    <r>
      <rPr>
        <sz val="11"/>
        <color rgb="FFFF0000"/>
        <rFont val="Calibri"/>
        <family val="2"/>
      </rPr>
      <t>Garder une marge d’une journée ?).</t>
    </r>
  </si>
  <si>
    <t>Date fin théorique – délai technique.</t>
  </si>
  <si>
    <t>Date souhaitée – délai technique.</t>
  </si>
  <si>
    <t>date de réception colonne E  &gt; date de fin théorique colonne F</t>
  </si>
  <si>
    <t>colonne H = colonne E + 1J (ouvrés)</t>
  </si>
  <si>
    <t>date de réception colonne E  &lt; date de fin théorique colonne F</t>
  </si>
  <si>
    <t>colonne H = Colonne E + 5 jours (ouvré) max</t>
  </si>
  <si>
    <t xml:space="preserve"> Dans ce cas il faut regarder les deux premieres lettres de chaque ligne de la colonne A Si cela commence par SC.</t>
  </si>
  <si>
    <t xml:space="preserve">1er cas : calcul à partir exclusivement de date : </t>
  </si>
  <si>
    <t>dans tous les cas la date de démarrage au plus tard doit etre exprimé en jour ouvrés : si possible tenir compte également des jours fériés</t>
  </si>
  <si>
    <r>
      <t>2,1</t>
    </r>
    <r>
      <rPr>
        <b/>
        <sz val="7"/>
        <rFont val="Times New Roman"/>
        <family val="1"/>
      </rPr>
      <t xml:space="preserve">       </t>
    </r>
    <r>
      <rPr>
        <b/>
        <sz val="10"/>
        <rFont val="Verdana"/>
        <family val="2"/>
      </rPr>
      <t>Lots arrivant sans retard</t>
    </r>
  </si>
  <si>
    <t>colonne F - colonne L</t>
  </si>
  <si>
    <t>colonne G - colonne L</t>
  </si>
  <si>
    <t xml:space="preserve">2eme cas : calcul à partir d'une date et d'un délai technique (temps en minute): </t>
  </si>
  <si>
    <t>dans ce cas le délai technique indiqué en minute peut etre converti :420 minute est étant égal à 1jour</t>
  </si>
  <si>
    <t>règles de calcul date de démarrage au plus tard : colonne H</t>
  </si>
  <si>
    <r>
      <t>1.1</t>
    </r>
    <r>
      <rPr>
        <b/>
        <sz val="7"/>
        <rFont val="Times New Roman"/>
        <family val="1"/>
      </rPr>
      <t xml:space="preserve">     </t>
    </r>
    <r>
      <rPr>
        <b/>
        <sz val="10"/>
        <rFont val="Verdana"/>
        <family val="2"/>
      </rPr>
      <t>lots en SC (cas dont je peux me passer car facilement identifiable)</t>
    </r>
  </si>
  <si>
    <r>
      <t>1.2</t>
    </r>
    <r>
      <rPr>
        <b/>
        <sz val="7"/>
        <rFont val="Times New Roman"/>
        <family val="1"/>
      </rPr>
      <t xml:space="preserve">        </t>
    </r>
    <r>
      <rPr>
        <b/>
        <sz val="10"/>
        <rFont val="Verdana"/>
        <family val="2"/>
      </rPr>
      <t xml:space="preserve">Lots arrivant déjà en retard </t>
    </r>
  </si>
  <si>
    <r>
      <t>2,2</t>
    </r>
    <r>
      <rPr>
        <b/>
        <sz val="7"/>
        <rFont val="Times New Roman"/>
        <family val="1"/>
      </rPr>
      <t xml:space="preserve">       </t>
    </r>
    <r>
      <rPr>
        <b/>
        <sz val="10"/>
        <rFont val="Verdana"/>
        <family val="2"/>
      </rPr>
      <t>Lots réclamés</t>
    </r>
  </si>
  <si>
    <t>Le calcul de la date de démarrage au plus tard se fera en fonction de la date de sortie souhaitée et tiendra donc compte du délai technique.</t>
  </si>
  <si>
    <t>en résumé si colonne L&lt;420 =&gt; on compte 1jentre 420 et 840 =&gt; 2j etc…. Jusque 2100 miunute 5j max</t>
  </si>
  <si>
    <t>Pâques</t>
  </si>
  <si>
    <t>Code poste</t>
  </si>
  <si>
    <t>LABO</t>
  </si>
  <si>
    <t>B46236</t>
  </si>
  <si>
    <t>Partiel</t>
  </si>
  <si>
    <t>P857775A^B</t>
  </si>
  <si>
    <t>Coax CRP3007 StR (FKM), 50 pF/m</t>
  </si>
  <si>
    <t>R48250</t>
  </si>
  <si>
    <t>P539192C^L</t>
  </si>
  <si>
    <t>HAUTE TENSION KSI 18 HV 2419 CUAG ROSE</t>
  </si>
  <si>
    <t>PhM</t>
  </si>
  <si>
    <t>R48391</t>
  </si>
  <si>
    <t>P849179A^L</t>
  </si>
  <si>
    <t>Core ESCC 3902.002.28 AWG26 BUS 100ohm Blanc</t>
  </si>
  <si>
    <t>P563790A^</t>
  </si>
  <si>
    <t>F54658</t>
  </si>
  <si>
    <t>P541871A^L</t>
  </si>
  <si>
    <t>UZT2807 CUSN Bleu</t>
  </si>
  <si>
    <t>TB19784</t>
  </si>
  <si>
    <t>P566871A^V4</t>
  </si>
  <si>
    <t>(a-PTFE2707Ma2 100 Ohms)STX2 vert-blanc/marron-blanc gaine bleu</t>
  </si>
  <si>
    <t>FB1439</t>
  </si>
  <si>
    <t>P552873B^</t>
  </si>
  <si>
    <t>PCXL38K10AK</t>
  </si>
  <si>
    <t>F54666</t>
  </si>
  <si>
    <t>P555218A^L</t>
  </si>
  <si>
    <t>Core genre FW32/70 D=0.64 blanc</t>
  </si>
  <si>
    <t>G990</t>
  </si>
  <si>
    <t>P836735A^</t>
  </si>
  <si>
    <t>Coax AXOWAVE 8M-PU</t>
  </si>
  <si>
    <t>P70006</t>
  </si>
  <si>
    <t>P506793B^A</t>
  </si>
  <si>
    <t>Core 50 Ohms AWG3407 SCA</t>
  </si>
  <si>
    <t>P71435</t>
  </si>
  <si>
    <t>P833212A^A</t>
  </si>
  <si>
    <t>Core 8N (P833212A)</t>
  </si>
  <si>
    <t>R47470</t>
  </si>
  <si>
    <t>P509336B^V1</t>
  </si>
  <si>
    <t>R48426</t>
  </si>
  <si>
    <t>P804893^L</t>
  </si>
  <si>
    <t>Core AWG3007-CR40/75</t>
  </si>
  <si>
    <t>T31075</t>
  </si>
  <si>
    <t>2K1861CUSNP36D^BD</t>
  </si>
  <si>
    <t>2 x K1861CuSn pas 36mm à droite noir rouge</t>
  </si>
  <si>
    <t>TB19782</t>
  </si>
  <si>
    <t>P564980B^</t>
  </si>
  <si>
    <t>(Ethernet cat6 + KU03-22) EDt</t>
  </si>
  <si>
    <t>TB19816</t>
  </si>
  <si>
    <t>P519795A^</t>
  </si>
  <si>
    <t>PTR</t>
  </si>
  <si>
    <t>Cable twinax AWG28 124R</t>
  </si>
  <si>
    <t>F54607</t>
  </si>
  <si>
    <t>P575645A^B</t>
  </si>
  <si>
    <t>XBT 2807 TPC noir</t>
  </si>
  <si>
    <t>MCO</t>
  </si>
  <si>
    <t>P70719</t>
  </si>
  <si>
    <t>P538492D^H</t>
  </si>
  <si>
    <t>Fil NiAg3001 + PTFE - C11 - bleu tropical</t>
  </si>
  <si>
    <t>R48401</t>
  </si>
  <si>
    <t>P575677A^</t>
  </si>
  <si>
    <t>Core low noise EL 3001 SCA</t>
  </si>
  <si>
    <t>SNt</t>
  </si>
  <si>
    <t>TB19850</t>
  </si>
  <si>
    <t>P514877A^</t>
  </si>
  <si>
    <t>ZL2807 StK 4 CuSn UL20700</t>
  </si>
  <si>
    <t>TB19859</t>
  </si>
  <si>
    <t>P573111A^</t>
  </si>
  <si>
    <t>(ZL2219STZ2)STM ASC3 low hal</t>
  </si>
  <si>
    <t>TB19781</t>
  </si>
  <si>
    <t>P564977A^</t>
  </si>
  <si>
    <t>( KU01-20 ) DtER2</t>
  </si>
  <si>
    <t>F52230</t>
  </si>
  <si>
    <t>P541592A^L</t>
  </si>
  <si>
    <t>UPT2619 SCA</t>
  </si>
  <si>
    <t>TB19886</t>
  </si>
  <si>
    <t>E2219STK3^BDL</t>
  </si>
  <si>
    <t>E2219STK3 Noir/ Vert /  Bleu  - gaine bleue</t>
  </si>
  <si>
    <t>X25302</t>
  </si>
  <si>
    <t>P503120C^</t>
  </si>
  <si>
    <t>CABLE 96 157 494 REV E</t>
  </si>
  <si>
    <t>B47476</t>
  </si>
  <si>
    <t>SM50SCA^C</t>
  </si>
  <si>
    <t>SM50SCA  marron clair</t>
  </si>
  <si>
    <t>B47488</t>
  </si>
  <si>
    <t>RG302^B</t>
  </si>
  <si>
    <t>M17/110 RG302    marron clair</t>
  </si>
  <si>
    <t>F54348</t>
  </si>
  <si>
    <t>P504822A^L</t>
  </si>
  <si>
    <t>COMPENSATION GENRE KT3201 CONSTANTAN T</t>
  </si>
  <si>
    <t>attente réponse FC pour conditionnement</t>
  </si>
  <si>
    <t>P71482</t>
  </si>
  <si>
    <t>P833214A^A</t>
  </si>
  <si>
    <t>Core 8M</t>
  </si>
  <si>
    <t>X25323</t>
  </si>
  <si>
    <t>P503119C^</t>
  </si>
  <si>
    <t>CABLE 96157 493 REV D</t>
  </si>
  <si>
    <t>R48234</t>
  </si>
  <si>
    <t>P560643B^</t>
  </si>
  <si>
    <t>Cordon spiralé B777 câble M22759/12-20 P 2</t>
  </si>
  <si>
    <t>R48288</t>
  </si>
  <si>
    <t>P575380A^</t>
  </si>
  <si>
    <t>Cordon spiralé ZN2419 K 2</t>
  </si>
  <si>
    <t>B47464</t>
  </si>
  <si>
    <t>P541071A^A/CL</t>
  </si>
  <si>
    <t>coaxial SM50/AWG3407sca Naturel/Blanc</t>
  </si>
  <si>
    <t>P71254</t>
  </si>
  <si>
    <t>P517416A^L</t>
  </si>
  <si>
    <t>GENRE ET2619 TFAG D=0.85 MM bleu</t>
  </si>
  <si>
    <t>B47410</t>
  </si>
  <si>
    <t>P542504B^A/M</t>
  </si>
  <si>
    <t>Coax AWG40, 75 Ohms</t>
  </si>
  <si>
    <t>F54651</t>
  </si>
  <si>
    <t>PF66103A^B</t>
  </si>
  <si>
    <t>AHT50/125/242Z0.9 OM3 B.I</t>
  </si>
  <si>
    <t>P504791A^</t>
  </si>
  <si>
    <t>ESCC 3901.002.59 AWG20 Vert</t>
  </si>
  <si>
    <t>MC11799</t>
  </si>
  <si>
    <t>SHT4001R</t>
  </si>
  <si>
    <t>SHT1x0.079 Alliage Cuivre Etain Argenté 4001x0.079 recuit</t>
  </si>
  <si>
    <t>P533929C^</t>
  </si>
  <si>
    <t>B47451</t>
  </si>
  <si>
    <t>RG316^C</t>
  </si>
  <si>
    <t>X25196</t>
  </si>
  <si>
    <t>P551605B^HL/D</t>
  </si>
  <si>
    <t>EEEL 2019 NLSTE 2</t>
  </si>
  <si>
    <t>ID2960</t>
  </si>
  <si>
    <t>P575419A^</t>
  </si>
  <si>
    <t>A3601NbTi HA2</t>
  </si>
  <si>
    <t>P513941B^A</t>
  </si>
  <si>
    <t>Fil UKT49x0.0254mm INOX316L</t>
  </si>
  <si>
    <t>ID2968</t>
  </si>
  <si>
    <t>P875647A^</t>
  </si>
  <si>
    <t>CE2901 D=0.86mm HARD Naturel</t>
  </si>
  <si>
    <t>SC44906</t>
  </si>
  <si>
    <t>RV0.50STV04^Z</t>
  </si>
  <si>
    <t>MLn</t>
  </si>
  <si>
    <t>P71451</t>
  </si>
  <si>
    <t>P537749B^G</t>
  </si>
  <si>
    <t>ESCC 3901.013.01 AWG28 Bleu</t>
  </si>
  <si>
    <t>R48295</t>
  </si>
  <si>
    <t>X25313</t>
  </si>
  <si>
    <t>P503769B^</t>
  </si>
  <si>
    <t>Cable 96 154 823 REV B</t>
  </si>
  <si>
    <t>P71312</t>
  </si>
  <si>
    <t>P537749B^H</t>
  </si>
  <si>
    <t>ID2967</t>
  </si>
  <si>
    <t>P875646A^</t>
  </si>
  <si>
    <t>CE2901 D=0.88mm naturel</t>
  </si>
  <si>
    <t>TB19810</t>
  </si>
  <si>
    <t>P538398A^</t>
  </si>
  <si>
    <t>ESCC 3901.019.72 AWG30 ShH4 longueur continue = 150m mini</t>
  </si>
  <si>
    <t>TB19840</t>
  </si>
  <si>
    <t>P536205A^</t>
  </si>
  <si>
    <t>EEE2619 STK 2 - 120 Ohms</t>
  </si>
  <si>
    <t>T31103</t>
  </si>
  <si>
    <t>2K2237CUSN^HL</t>
  </si>
  <si>
    <t>2 X K 2237</t>
  </si>
  <si>
    <t>TB19825</t>
  </si>
  <si>
    <t>RV1.50V02^Z</t>
  </si>
  <si>
    <t>RV1.50 V 02</t>
  </si>
  <si>
    <t>NP4409</t>
  </si>
  <si>
    <t>RACCORD410325A</t>
  </si>
  <si>
    <t>NICKELAGE SUR BOITIER</t>
  </si>
  <si>
    <t>F54421</t>
  </si>
  <si>
    <t>P575280A^</t>
  </si>
  <si>
    <t>AT2219 SPC</t>
  </si>
  <si>
    <t>TB19734</t>
  </si>
  <si>
    <t>P504621A^</t>
  </si>
  <si>
    <t>TWINAX BUS 70 AWG26 ST gaine bleue</t>
  </si>
  <si>
    <t>F54491</t>
  </si>
  <si>
    <t>NP3801</t>
  </si>
  <si>
    <t>CLIP304153C</t>
  </si>
  <si>
    <t>NICKELAGE SUR  CLIP</t>
  </si>
  <si>
    <t>X25145</t>
  </si>
  <si>
    <t>P574886A^</t>
  </si>
  <si>
    <t>RA6S-A24-C4-TTE aPTFE2419SCA HaSTP4 100ohm</t>
  </si>
  <si>
    <t>ID2876</t>
  </si>
  <si>
    <t>simpliciation charge</t>
  </si>
  <si>
    <t>sur l'onglet Charge par Article</t>
  </si>
  <si>
    <t>supprime la ligne 1</t>
  </si>
  <si>
    <t>met des filtres</t>
  </si>
  <si>
    <t>supprime les lignes dont la colonne U est vide</t>
  </si>
  <si>
    <t>supprime les doublons liés à la colonne A</t>
  </si>
  <si>
    <t>Le tableau devrait se mettre à jour entre 2 imports à l'aide d'un bouton</t>
  </si>
  <si>
    <t>pour les lignes existant déjà dans l'onglet planning  si elle n'existe plus dans le nouvel import il faut les déplacer ces lignes onglet planing vers l'onglet lot finis.</t>
  </si>
  <si>
    <t>ne prendre en compte dans l'onglet charge par Article que des lots ayant un Etat Op. non vide</t>
  </si>
  <si>
    <t>pour les lignes nouvelles les ajouter avec les bonnes infos dans les colonnes</t>
  </si>
  <si>
    <t xml:space="preserve">en détail : </t>
  </si>
  <si>
    <t>je vide manuellement l'onglet Charge par article</t>
  </si>
  <si>
    <t>Ensuite je viens y coller ma nouvelle extraction</t>
  </si>
  <si>
    <t xml:space="preserve">Il y aura 2 taches à faire pour traiter les nouvelles données : </t>
  </si>
  <si>
    <t xml:space="preserve">Tache 1 : </t>
  </si>
  <si>
    <t>sur l'onglet planning je veux comparer les lignes n° lot (colonne A) avec la colonne A de l'onglet charge par article</t>
  </si>
  <si>
    <t xml:space="preserve">cas 1 : </t>
  </si>
  <si>
    <t>si le lot existe dans l'onglet charge par article</t>
  </si>
  <si>
    <t xml:space="preserve"> on ne change rien</t>
  </si>
  <si>
    <t xml:space="preserve">cas 2 : </t>
  </si>
  <si>
    <t>si le lot n'existe pas dans l'onglet charge par article</t>
  </si>
  <si>
    <t>on déplace les données de l'onglet planning de ce lot vers l'onglet fini.</t>
  </si>
  <si>
    <t xml:space="preserve">Tache 2 : </t>
  </si>
  <si>
    <t>Copier les données"nouvelles"  dans l'ongelt planning=&gt; lot n'existant pas dans l'onglet planning mais existant dans l'onglet charge par article</t>
  </si>
  <si>
    <t>n° lot</t>
  </si>
  <si>
    <t>date souhaitée</t>
  </si>
  <si>
    <t>par</t>
  </si>
  <si>
    <t>fait</t>
  </si>
  <si>
    <t>Statut</t>
  </si>
  <si>
    <t>=SI(C6="R")ET(H6&lt;$A$1;H6&lt;&gt;"")</t>
  </si>
  <si>
    <t>cherche la valeur cellule A2 dans la colonne A de l'onglet lot finis si on trouve la valeur : Terminé si on trouve pas à faire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</si>
</sst>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yyyy\-mm\-dd"/>
    <numFmt numFmtId="165" formatCode="[$-F800]dddd\,\ mmmm\ dd\,\ yyyy"/>
  </numFmts>
  <fonts count="12">
    <font>
      <sz val="11"/>
      <name val="Calibri"/>
    </font>
    <font>
      <sz val="11"/>
      <color theme="1"/>
      <name val="Calibri"/>
      <family val="2"/>
      <scheme val="minor"/>
    </font>
    <font>
      <b/>
      <sz val="11"/>
      <name val="Calibri"/>
    </font>
    <font>
      <sz val="11"/>
      <name val="Calibri"/>
      <family val="2"/>
    </font>
    <font>
      <b/>
      <sz val="11"/>
      <name val="Calibri"/>
      <family val="2"/>
    </font>
    <font>
      <sz val="11"/>
      <color rgb="FFFF0000"/>
      <name val="Calibri"/>
      <family val="2"/>
    </font>
    <font>
      <b/>
      <sz val="10"/>
      <name val="Verdana"/>
      <family val="2"/>
    </font>
    <font>
      <b/>
      <sz val="7"/>
      <name val="Times New Roman"/>
      <family val="1"/>
    </font>
    <font>
      <sz val="11"/>
      <color theme="8" tint="-0.249977111117893"/>
      <name val="Calibri"/>
      <family val="2"/>
      <scheme val="minor"/>
    </font>
    <font>
      <sz val="11"/>
      <color theme="2" tint="-0.499984740745262"/>
      <name val="Calibri"/>
      <family val="2"/>
      <scheme val="minor"/>
    </font>
    <font>
      <sz val="11"/>
      <color theme="5" tint="-0.249977111117893"/>
      <name val="Calibri"/>
      <family val="2"/>
      <scheme val="minor"/>
    </font>
    <font>
      <sz val="8"/>
      <name val="Calibri"/>
    </font>
  </fonts>
  <fills count="1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6464"/>
      </patternFill>
    </fill>
    <fill>
      <patternFill patternType="solid">
        <fgColor theme="0"/>
        <bgColor indexed="64"/>
      </patternFill>
    </fill>
    <fill>
      <patternFill patternType="solid">
        <fgColor rgb="FF7DFF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3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8" tint="-0.24994659260841701"/>
      </left>
      <right style="thin">
        <color theme="8" tint="-0.24994659260841701"/>
      </right>
      <top style="thin">
        <color theme="8" tint="-0.24994659260841701"/>
      </top>
      <bottom/>
      <diagonal/>
    </border>
    <border>
      <left style="thin">
        <color theme="7" tint="-0.24994659260841701"/>
      </left>
      <right style="thin">
        <color theme="7" tint="-0.24994659260841701"/>
      </right>
      <top style="thin">
        <color theme="7" tint="-0.24994659260841701"/>
      </top>
      <bottom style="thin">
        <color theme="7" tint="-0.24994659260841701"/>
      </bottom>
      <diagonal/>
    </border>
    <border>
      <left style="thin">
        <color theme="8" tint="-0.24994659260841701"/>
      </left>
      <right style="thin">
        <color theme="8" tint="-0.24994659260841701"/>
      </right>
      <top/>
      <bottom/>
      <diagonal/>
    </border>
    <border>
      <left style="thin">
        <color theme="8" tint="-0.24994659260841701"/>
      </left>
      <right style="thin">
        <color theme="8" tint="-0.24994659260841701"/>
      </right>
      <top/>
      <bottom style="thin">
        <color theme="8" tint="-0.24994659260841701"/>
      </bottom>
      <diagonal/>
    </border>
    <border>
      <left style="thin">
        <color theme="7" tint="-0.24994659260841701"/>
      </left>
      <right style="thin">
        <color theme="7" tint="-0.24994659260841701"/>
      </right>
      <top/>
      <bottom/>
      <diagonal/>
    </border>
    <border>
      <left style="thin">
        <color theme="7" tint="-0.24994659260841701"/>
      </left>
      <right style="thin">
        <color theme="7" tint="-0.24994659260841701"/>
      </right>
      <top/>
      <bottom style="thin">
        <color theme="7" tint="-0.24994659260841701"/>
      </bottom>
      <diagonal/>
    </border>
  </borders>
  <cellStyleXfs count="2">
    <xf numFmtId="0" fontId="0" fillId="0" borderId="0"/>
    <xf numFmtId="0" fontId="1" fillId="0" borderId="0"/>
  </cellStyleXfs>
  <cellXfs count="111">
    <xf numFmtId="0" fontId="0" fillId="0" borderId="0" xfId="0" applyNumberFormat="1" applyFont="1" applyProtection="1"/>
    <xf numFmtId="0" fontId="2" fillId="2" borderId="1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Protection="1"/>
    <xf numFmtId="0" fontId="4" fillId="3" borderId="2" xfId="0" applyNumberFormat="1" applyFont="1" applyFill="1" applyBorder="1" applyAlignment="1" applyProtection="1">
      <alignment horizontal="center" vertical="center"/>
    </xf>
    <xf numFmtId="0" fontId="3" fillId="4" borderId="0" xfId="0" applyNumberFormat="1" applyFont="1" applyFill="1" applyProtection="1"/>
    <xf numFmtId="0" fontId="3" fillId="0" borderId="0" xfId="0" applyNumberFormat="1" applyFont="1" applyAlignment="1" applyProtection="1">
      <alignment vertical="center" wrapText="1"/>
    </xf>
    <xf numFmtId="14" fontId="3" fillId="0" borderId="0" xfId="0" applyNumberFormat="1" applyFont="1" applyProtection="1"/>
    <xf numFmtId="14" fontId="0" fillId="0" borderId="0" xfId="0" applyNumberFormat="1" applyFont="1" applyProtection="1"/>
    <xf numFmtId="0" fontId="3" fillId="0" borderId="0" xfId="0" applyNumberFormat="1" applyFont="1" applyAlignment="1" applyProtection="1">
      <alignment horizontal="center" vertical="center" wrapText="1"/>
    </xf>
    <xf numFmtId="0" fontId="3" fillId="0" borderId="0" xfId="0" quotePrefix="1" applyNumberFormat="1" applyFont="1" applyAlignment="1" applyProtection="1">
      <alignment vertical="center" wrapText="1"/>
    </xf>
    <xf numFmtId="0" fontId="0" fillId="5" borderId="0" xfId="0" applyNumberFormat="1" applyFont="1" applyFill="1" applyProtection="1"/>
    <xf numFmtId="0" fontId="0" fillId="0" borderId="0" xfId="0" applyNumberFormat="1" applyFont="1" applyBorder="1" applyProtection="1"/>
    <xf numFmtId="0" fontId="4" fillId="4" borderId="0" xfId="0" applyNumberFormat="1" applyFont="1" applyFill="1" applyBorder="1" applyAlignment="1" applyProtection="1">
      <alignment horizontal="center"/>
    </xf>
    <xf numFmtId="0" fontId="0" fillId="0" borderId="1" xfId="0" applyNumberFormat="1" applyFont="1" applyBorder="1" applyProtection="1"/>
    <xf numFmtId="14" fontId="2" fillId="2" borderId="1" xfId="0" applyNumberFormat="1" applyFont="1" applyFill="1" applyBorder="1" applyAlignment="1" applyProtection="1">
      <alignment horizontal="center" vertical="center"/>
    </xf>
    <xf numFmtId="0" fontId="2" fillId="2" borderId="2" xfId="0" applyNumberFormat="1" applyFont="1" applyFill="1" applyBorder="1" applyAlignment="1" applyProtection="1">
      <alignment horizontal="center" vertical="center"/>
    </xf>
    <xf numFmtId="0" fontId="5" fillId="0" borderId="0" xfId="0" applyNumberFormat="1" applyFont="1" applyProtection="1"/>
    <xf numFmtId="0" fontId="5" fillId="7" borderId="0" xfId="0" applyNumberFormat="1" applyFont="1" applyFill="1" applyProtection="1"/>
    <xf numFmtId="0" fontId="5" fillId="7" borderId="0" xfId="0" quotePrefix="1" applyNumberFormat="1" applyFont="1" applyFill="1" applyProtection="1"/>
    <xf numFmtId="0" fontId="3" fillId="6" borderId="0" xfId="0" quotePrefix="1" applyNumberFormat="1" applyFont="1" applyFill="1" applyProtection="1"/>
    <xf numFmtId="0" fontId="0" fillId="7" borderId="0" xfId="0" applyNumberFormat="1" applyFont="1" applyFill="1" applyProtection="1"/>
    <xf numFmtId="0" fontId="3" fillId="8" borderId="0" xfId="0" applyNumberFormat="1" applyFont="1" applyFill="1" applyAlignment="1" applyProtection="1">
      <alignment horizontal="center" vertical="center" wrapText="1"/>
    </xf>
    <xf numFmtId="0" fontId="3" fillId="8" borderId="0" xfId="0" quotePrefix="1" applyNumberFormat="1" applyFont="1" applyFill="1" applyAlignment="1" applyProtection="1">
      <alignment vertical="center" wrapText="1"/>
    </xf>
    <xf numFmtId="0" fontId="4" fillId="3" borderId="2" xfId="0" applyNumberFormat="1" applyFont="1" applyFill="1" applyBorder="1" applyAlignment="1" applyProtection="1">
      <alignment horizontal="center" vertical="center" wrapText="1"/>
    </xf>
    <xf numFmtId="0" fontId="0" fillId="0" borderId="6" xfId="0" applyNumberFormat="1" applyFont="1" applyBorder="1" applyAlignment="1" applyProtection="1">
      <alignment horizontal="center"/>
    </xf>
    <xf numFmtId="0" fontId="0" fillId="0" borderId="7" xfId="0" applyNumberFormat="1" applyFont="1" applyBorder="1" applyAlignment="1" applyProtection="1">
      <alignment horizontal="center"/>
    </xf>
    <xf numFmtId="0" fontId="0" fillId="0" borderId="8" xfId="0" applyNumberFormat="1" applyFont="1" applyBorder="1" applyAlignment="1" applyProtection="1">
      <alignment horizontal="center"/>
    </xf>
    <xf numFmtId="0" fontId="0" fillId="0" borderId="9" xfId="0" applyNumberFormat="1" applyFont="1" applyBorder="1" applyAlignment="1" applyProtection="1">
      <alignment horizontal="center"/>
    </xf>
    <xf numFmtId="0" fontId="0" fillId="0" borderId="10" xfId="0" applyNumberFormat="1" applyFont="1" applyBorder="1" applyAlignment="1" applyProtection="1">
      <alignment horizontal="center"/>
    </xf>
    <xf numFmtId="0" fontId="0" fillId="0" borderId="11" xfId="0" applyNumberFormat="1" applyFont="1" applyBorder="1" applyAlignment="1" applyProtection="1">
      <alignment horizontal="center"/>
    </xf>
    <xf numFmtId="0" fontId="0" fillId="7" borderId="1" xfId="0" quotePrefix="1" applyNumberFormat="1" applyFont="1" applyFill="1" applyBorder="1" applyAlignment="1" applyProtection="1">
      <alignment horizontal="center"/>
    </xf>
    <xf numFmtId="0" fontId="0" fillId="7" borderId="12" xfId="0" quotePrefix="1" applyNumberFormat="1" applyFont="1" applyFill="1" applyBorder="1" applyAlignment="1" applyProtection="1">
      <alignment horizontal="center"/>
    </xf>
    <xf numFmtId="0" fontId="0" fillId="7" borderId="13" xfId="0" quotePrefix="1" applyNumberFormat="1" applyFont="1" applyFill="1" applyBorder="1" applyAlignment="1" applyProtection="1">
      <alignment horizontal="center"/>
    </xf>
    <xf numFmtId="0" fontId="0" fillId="7" borderId="14" xfId="0" quotePrefix="1" applyNumberFormat="1" applyFont="1" applyFill="1" applyBorder="1" applyAlignment="1" applyProtection="1">
      <alignment horizontal="center"/>
    </xf>
    <xf numFmtId="0" fontId="0" fillId="7" borderId="17" xfId="0" quotePrefix="1" applyNumberFormat="1" applyFont="1" applyFill="1" applyBorder="1" applyAlignment="1" applyProtection="1">
      <alignment horizontal="center"/>
    </xf>
    <xf numFmtId="0" fontId="0" fillId="7" borderId="18" xfId="0" quotePrefix="1" applyNumberFormat="1" applyFont="1" applyFill="1" applyBorder="1" applyAlignment="1" applyProtection="1">
      <alignment horizontal="center"/>
    </xf>
    <xf numFmtId="0" fontId="0" fillId="7" borderId="16" xfId="0" applyNumberFormat="1" applyFont="1" applyFill="1" applyBorder="1" applyAlignment="1" applyProtection="1">
      <alignment horizontal="center"/>
    </xf>
    <xf numFmtId="0" fontId="0" fillId="7" borderId="19" xfId="0" applyNumberFormat="1" applyFont="1" applyFill="1" applyBorder="1" applyAlignment="1" applyProtection="1">
      <alignment horizontal="center"/>
    </xf>
    <xf numFmtId="0" fontId="0" fillId="7" borderId="14" xfId="0" applyNumberFormat="1" applyFont="1" applyFill="1" applyBorder="1" applyAlignment="1" applyProtection="1">
      <alignment horizontal="center"/>
    </xf>
    <xf numFmtId="0" fontId="0" fillId="7" borderId="17" xfId="0" applyNumberFormat="1" applyFont="1" applyFill="1" applyBorder="1" applyAlignment="1" applyProtection="1">
      <alignment horizontal="center"/>
    </xf>
    <xf numFmtId="0" fontId="0" fillId="0" borderId="20" xfId="0" applyNumberFormat="1" applyFont="1" applyBorder="1" applyAlignment="1" applyProtection="1">
      <alignment horizontal="center"/>
    </xf>
    <xf numFmtId="0" fontId="0" fillId="0" borderId="21" xfId="0" applyNumberFormat="1" applyFont="1" applyBorder="1" applyAlignment="1" applyProtection="1">
      <alignment horizontal="center"/>
    </xf>
    <xf numFmtId="0" fontId="0" fillId="0" borderId="22" xfId="0" applyNumberFormat="1" applyFont="1" applyBorder="1" applyAlignment="1" applyProtection="1">
      <alignment horizontal="center"/>
    </xf>
    <xf numFmtId="0" fontId="0" fillId="0" borderId="26" xfId="0" applyNumberFormat="1" applyFont="1" applyBorder="1" applyAlignment="1" applyProtection="1">
      <alignment horizontal="center"/>
    </xf>
    <xf numFmtId="0" fontId="0" fillId="0" borderId="12" xfId="0" applyNumberFormat="1" applyFont="1" applyBorder="1" applyAlignment="1" applyProtection="1">
      <alignment horizontal="center"/>
    </xf>
    <xf numFmtId="0" fontId="0" fillId="0" borderId="15" xfId="0" applyNumberFormat="1" applyFont="1" applyBorder="1" applyAlignment="1" applyProtection="1">
      <alignment horizontal="center"/>
    </xf>
    <xf numFmtId="0" fontId="0" fillId="10" borderId="0" xfId="0" applyNumberFormat="1" applyFont="1" applyFill="1" applyProtection="1"/>
    <xf numFmtId="1" fontId="0" fillId="7" borderId="15" xfId="0" quotePrefix="1" applyNumberFormat="1" applyFont="1" applyFill="1" applyBorder="1" applyAlignment="1" applyProtection="1">
      <alignment horizontal="center"/>
    </xf>
    <xf numFmtId="1" fontId="0" fillId="7" borderId="16" xfId="0" quotePrefix="1" applyNumberFormat="1" applyFont="1" applyFill="1" applyBorder="1" applyAlignment="1" applyProtection="1">
      <alignment horizontal="center"/>
    </xf>
    <xf numFmtId="1" fontId="0" fillId="7" borderId="19" xfId="0" quotePrefix="1" applyNumberFormat="1" applyFont="1" applyFill="1" applyBorder="1" applyAlignment="1" applyProtection="1">
      <alignment horizontal="center"/>
    </xf>
    <xf numFmtId="11" fontId="0" fillId="0" borderId="0" xfId="0" applyNumberFormat="1" applyFont="1" applyProtection="1"/>
    <xf numFmtId="0" fontId="0" fillId="0" borderId="0" xfId="0" quotePrefix="1" applyNumberFormat="1" applyFont="1" applyProtection="1"/>
    <xf numFmtId="0" fontId="2" fillId="2" borderId="12" xfId="0" applyNumberFormat="1" applyFont="1" applyFill="1" applyBorder="1" applyAlignment="1" applyProtection="1">
      <alignment horizontal="center" vertical="center"/>
    </xf>
    <xf numFmtId="0" fontId="6" fillId="0" borderId="0" xfId="0" applyNumberFormat="1" applyFont="1" applyAlignment="1" applyProtection="1">
      <alignment horizontal="left" vertical="center" indent="10"/>
    </xf>
    <xf numFmtId="0" fontId="3" fillId="0" borderId="0" xfId="0" applyNumberFormat="1" applyFont="1" applyAlignment="1" applyProtection="1">
      <alignment vertical="center"/>
    </xf>
    <xf numFmtId="0" fontId="5" fillId="0" borderId="0" xfId="0" applyNumberFormat="1" applyFont="1" applyAlignment="1" applyProtection="1">
      <alignment vertical="center"/>
    </xf>
    <xf numFmtId="0" fontId="3" fillId="5" borderId="0" xfId="0" applyNumberFormat="1" applyFont="1" applyFill="1" applyAlignment="1" applyProtection="1">
      <alignment vertical="center"/>
    </xf>
    <xf numFmtId="0" fontId="4" fillId="12" borderId="0" xfId="0" applyNumberFormat="1" applyFont="1" applyFill="1" applyProtection="1"/>
    <xf numFmtId="0" fontId="0" fillId="12" borderId="0" xfId="0" applyNumberFormat="1" applyFont="1" applyFill="1" applyProtection="1"/>
    <xf numFmtId="0" fontId="3" fillId="5" borderId="0" xfId="0" applyNumberFormat="1" applyFont="1" applyFill="1" applyProtection="1"/>
    <xf numFmtId="0" fontId="5" fillId="10" borderId="0" xfId="0" applyNumberFormat="1" applyFont="1" applyFill="1" applyAlignment="1" applyProtection="1">
      <alignment vertical="center"/>
    </xf>
    <xf numFmtId="0" fontId="5" fillId="10" borderId="0" xfId="0" applyNumberFormat="1" applyFont="1" applyFill="1" applyProtection="1"/>
    <xf numFmtId="0" fontId="8" fillId="13" borderId="0" xfId="1" applyFont="1" applyFill="1" applyAlignment="1">
      <alignment horizontal="right" indent="1"/>
    </xf>
    <xf numFmtId="0" fontId="9" fillId="10" borderId="0" xfId="1" applyFont="1" applyFill="1" applyAlignment="1">
      <alignment horizontal="left" indent="1"/>
    </xf>
    <xf numFmtId="0" fontId="8" fillId="13" borderId="0" xfId="1" applyFont="1" applyFill="1" applyAlignment="1">
      <alignment horizontal="left" indent="1"/>
    </xf>
    <xf numFmtId="165" fontId="9" fillId="10" borderId="30" xfId="1" applyNumberFormat="1" applyFont="1" applyFill="1" applyBorder="1" applyAlignment="1">
      <alignment horizontal="right" indent="1"/>
    </xf>
    <xf numFmtId="165" fontId="10" fillId="14" borderId="31" xfId="1" applyNumberFormat="1" applyFont="1" applyFill="1" applyBorder="1" applyAlignment="1">
      <alignment horizontal="left" indent="1"/>
    </xf>
    <xf numFmtId="165" fontId="9" fillId="10" borderId="32" xfId="1" applyNumberFormat="1" applyFont="1" applyFill="1" applyBorder="1" applyAlignment="1">
      <alignment horizontal="right" indent="1"/>
    </xf>
    <xf numFmtId="165" fontId="9" fillId="10" borderId="33" xfId="1" applyNumberFormat="1" applyFont="1" applyFill="1" applyBorder="1" applyAlignment="1">
      <alignment horizontal="right" indent="1"/>
    </xf>
    <xf numFmtId="165" fontId="10" fillId="14" borderId="34" xfId="1" applyNumberFormat="1" applyFont="1" applyFill="1" applyBorder="1" applyAlignment="1">
      <alignment horizontal="right" indent="1"/>
    </xf>
    <xf numFmtId="165" fontId="10" fillId="14" borderId="35" xfId="1" applyNumberFormat="1" applyFont="1" applyFill="1" applyBorder="1" applyAlignment="1">
      <alignment horizontal="right" indent="1"/>
    </xf>
    <xf numFmtId="165" fontId="9" fillId="10" borderId="0" xfId="1" applyNumberFormat="1" applyFont="1" applyFill="1" applyAlignment="1">
      <alignment horizontal="right" indent="1"/>
    </xf>
    <xf numFmtId="0" fontId="9" fillId="10" borderId="0" xfId="1" applyFont="1" applyFill="1" applyAlignment="1">
      <alignment horizontal="right" indent="1"/>
    </xf>
    <xf numFmtId="0" fontId="2" fillId="0" borderId="1" xfId="0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11" borderId="1" xfId="0" applyFill="1" applyBorder="1" applyAlignment="1">
      <alignment horizontal="center" vertical="center"/>
    </xf>
    <xf numFmtId="0" fontId="0" fillId="0" borderId="0" xfId="0" applyNumberFormat="1" applyFont="1" applyProtection="1"/>
    <xf numFmtId="0" fontId="0" fillId="0" borderId="0" xfId="0" applyNumberFormat="1" applyFont="1" applyProtection="1"/>
    <xf numFmtId="14" fontId="0" fillId="0" borderId="0" xfId="0" applyNumberFormat="1" applyFont="1" applyProtection="1"/>
    <xf numFmtId="0" fontId="0" fillId="5" borderId="0" xfId="0" applyNumberFormat="1" applyFont="1" applyFill="1" applyProtection="1"/>
    <xf numFmtId="14" fontId="0" fillId="0" borderId="0" xfId="0" applyNumberFormat="1" applyFont="1" applyAlignment="1" applyProtection="1">
      <alignment horizontal="center"/>
    </xf>
    <xf numFmtId="0" fontId="3" fillId="0" borderId="0" xfId="0" quotePrefix="1" applyNumberFormat="1" applyFont="1" applyProtection="1"/>
    <xf numFmtId="0" fontId="0" fillId="2" borderId="0" xfId="0" applyNumberFormat="1" applyFont="1" applyFill="1" applyProtection="1"/>
    <xf numFmtId="0" fontId="3" fillId="4" borderId="0" xfId="0" applyNumberFormat="1" applyFont="1" applyFill="1" applyAlignment="1" applyProtection="1">
      <alignment horizontal="center"/>
    </xf>
    <xf numFmtId="0" fontId="0" fillId="4" borderId="0" xfId="0" applyNumberFormat="1" applyFont="1" applyFill="1" applyAlignment="1" applyProtection="1">
      <alignment horizontal="center"/>
    </xf>
    <xf numFmtId="0" fontId="4" fillId="4" borderId="27" xfId="0" applyNumberFormat="1" applyFont="1" applyFill="1" applyBorder="1" applyAlignment="1" applyProtection="1">
      <alignment horizontal="center"/>
    </xf>
    <xf numFmtId="0" fontId="4" fillId="4" borderId="28" xfId="0" applyNumberFormat="1" applyFont="1" applyFill="1" applyBorder="1" applyAlignment="1" applyProtection="1">
      <alignment horizontal="center"/>
    </xf>
    <xf numFmtId="0" fontId="4" fillId="4" borderId="29" xfId="0" applyNumberFormat="1" applyFont="1" applyFill="1" applyBorder="1" applyAlignment="1" applyProtection="1">
      <alignment horizontal="center"/>
    </xf>
    <xf numFmtId="0" fontId="5" fillId="0" borderId="0" xfId="0" applyNumberFormat="1" applyFont="1" applyAlignment="1" applyProtection="1">
      <alignment horizontal="center" wrapText="1"/>
    </xf>
    <xf numFmtId="0" fontId="3" fillId="8" borderId="3" xfId="0" applyNumberFormat="1" applyFont="1" applyFill="1" applyBorder="1" applyAlignment="1" applyProtection="1">
      <alignment horizontal="center"/>
    </xf>
    <xf numFmtId="0" fontId="3" fillId="8" borderId="5" xfId="0" applyNumberFormat="1" applyFont="1" applyFill="1" applyBorder="1" applyAlignment="1" applyProtection="1">
      <alignment horizontal="center"/>
    </xf>
    <xf numFmtId="0" fontId="4" fillId="8" borderId="6" xfId="0" applyNumberFormat="1" applyFont="1" applyFill="1" applyBorder="1" applyAlignment="1" applyProtection="1">
      <alignment horizontal="center"/>
    </xf>
    <xf numFmtId="0" fontId="4" fillId="8" borderId="8" xfId="0" applyNumberFormat="1" applyFont="1" applyFill="1" applyBorder="1" applyAlignment="1" applyProtection="1">
      <alignment horizontal="center"/>
    </xf>
    <xf numFmtId="0" fontId="3" fillId="0" borderId="3" xfId="0" applyNumberFormat="1" applyFont="1" applyBorder="1" applyAlignment="1" applyProtection="1">
      <alignment horizontal="center"/>
    </xf>
    <xf numFmtId="0" fontId="0" fillId="0" borderId="4" xfId="0" applyNumberFormat="1" applyFont="1" applyBorder="1" applyAlignment="1" applyProtection="1">
      <alignment horizontal="center"/>
    </xf>
    <xf numFmtId="0" fontId="0" fillId="0" borderId="5" xfId="0" applyNumberFormat="1" applyFont="1" applyBorder="1" applyAlignment="1" applyProtection="1">
      <alignment horizontal="center"/>
    </xf>
    <xf numFmtId="0" fontId="3" fillId="0" borderId="23" xfId="0" applyNumberFormat="1" applyFont="1" applyBorder="1" applyAlignment="1" applyProtection="1">
      <alignment horizontal="center"/>
    </xf>
    <xf numFmtId="0" fontId="3" fillId="0" borderId="24" xfId="0" applyNumberFormat="1" applyFont="1" applyBorder="1" applyAlignment="1" applyProtection="1">
      <alignment horizontal="center"/>
    </xf>
    <xf numFmtId="0" fontId="3" fillId="0" borderId="25" xfId="0" applyNumberFormat="1" applyFont="1" applyBorder="1" applyAlignment="1" applyProtection="1">
      <alignment horizontal="center"/>
    </xf>
    <xf numFmtId="0" fontId="5" fillId="0" borderId="0" xfId="0" applyNumberFormat="1" applyFont="1" applyAlignment="1" applyProtection="1">
      <alignment horizontal="center"/>
    </xf>
    <xf numFmtId="0" fontId="4" fillId="5" borderId="6" xfId="0" applyNumberFormat="1" applyFont="1" applyFill="1" applyBorder="1" applyAlignment="1" applyProtection="1">
      <alignment horizontal="center"/>
    </xf>
    <xf numFmtId="0" fontId="4" fillId="5" borderId="7" xfId="0" applyNumberFormat="1" applyFont="1" applyFill="1" applyBorder="1" applyAlignment="1" applyProtection="1">
      <alignment horizontal="center"/>
    </xf>
    <xf numFmtId="0" fontId="4" fillId="5" borderId="8" xfId="0" applyNumberFormat="1" applyFont="1" applyFill="1" applyBorder="1" applyAlignment="1" applyProtection="1">
      <alignment horizontal="center"/>
    </xf>
    <xf numFmtId="0" fontId="3" fillId="5" borderId="3" xfId="0" applyNumberFormat="1" applyFont="1" applyFill="1" applyBorder="1" applyAlignment="1" applyProtection="1">
      <alignment horizontal="center"/>
    </xf>
    <xf numFmtId="0" fontId="3" fillId="5" borderId="4" xfId="0" applyNumberFormat="1" applyFont="1" applyFill="1" applyBorder="1" applyAlignment="1" applyProtection="1">
      <alignment horizontal="center"/>
    </xf>
    <xf numFmtId="0" fontId="3" fillId="5" borderId="5" xfId="0" applyNumberFormat="1" applyFont="1" applyFill="1" applyBorder="1" applyAlignment="1" applyProtection="1">
      <alignment horizontal="center"/>
    </xf>
  </cellXfs>
  <cellStyles count="2">
    <cellStyle name="Normal" xfId="0" builtinId="0"/>
    <cellStyle name="Normal 2" xfId="1" xr:uid="{9295BC45-BB0E-4790-AA38-E9CF2C813EFB}"/>
  </cellStyles>
  <dxfs count="7">
    <dxf>
      <border>
        <left style="thin">
          <color rgb="FF7030A0"/>
        </left>
        <right style="thin">
          <color rgb="FF7030A0"/>
        </right>
        <top style="thin">
          <color rgb="FF7030A0"/>
        </top>
        <bottom style="thin">
          <color rgb="FF7030A0"/>
        </bottom>
      </border>
    </dxf>
    <dxf>
      <fill>
        <gradientFill degree="90">
          <stop position="0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1">
            <color rgb="FFCC7364"/>
          </stop>
        </gradientFill>
      </fill>
    </dxf>
    <dxf>
      <fill>
        <gradientFill degree="90">
          <stop position="0">
            <color theme="0"/>
          </stop>
          <stop position="1">
            <color rgb="FFCC7364"/>
          </stop>
        </gradientFill>
      </fill>
    </dxf>
    <dxf>
      <fill>
        <patternFill>
          <bgColor theme="7" tint="0.59996337778862885"/>
        </patternFill>
      </fill>
    </dxf>
    <dxf>
      <fill>
        <gradientFill degree="90">
          <stop position="0">
            <color theme="0"/>
          </stop>
          <stop position="1">
            <color rgb="FFCC7364"/>
          </stop>
        </gradientFill>
      </fill>
    </dxf>
  </dxfs>
  <tableStyles count="0" defaultTableStyle="TableStyleMedium2" defaultPivotStyle="PivotStyleLight16"/>
  <colors>
    <mruColors>
      <color rgb="FFCC7364"/>
      <color rgb="FFFF7C80"/>
      <color rgb="FFFF9966"/>
      <color rgb="FFFF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4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112184</xdr:colOff>
      <xdr:row>0</xdr:row>
      <xdr:rowOff>118534</xdr:rowOff>
    </xdr:from>
    <xdr:to>
      <xdr:col>6</xdr:col>
      <xdr:colOff>988484</xdr:colOff>
      <xdr:row>2</xdr:row>
      <xdr:rowOff>4234</xdr:rowOff>
    </xdr:to>
    <xdr:sp macro="[0]!verifi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4504267" y="118534"/>
          <a:ext cx="876300" cy="2667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BE" sz="1100"/>
            <a:t>Lots finis</a:t>
          </a:r>
        </a:p>
      </xdr:txBody>
    </xdr:sp>
    <xdr:clientData/>
  </xdr:twoCellAnchor>
  <xdr:twoCellAnchor>
    <xdr:from>
      <xdr:col>7</xdr:col>
      <xdr:colOff>204260</xdr:colOff>
      <xdr:row>0</xdr:row>
      <xdr:rowOff>146050</xdr:rowOff>
    </xdr:from>
    <xdr:to>
      <xdr:col>8</xdr:col>
      <xdr:colOff>190501</xdr:colOff>
      <xdr:row>2</xdr:row>
      <xdr:rowOff>31750</xdr:rowOff>
    </xdr:to>
    <xdr:sp macro="[0]!Importplanning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5792260" y="146050"/>
          <a:ext cx="1330324" cy="2667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BE" sz="1100"/>
            <a:t>Import planning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12</xdr:col>
          <xdr:colOff>123824</xdr:colOff>
          <xdr:row>12</xdr:row>
          <xdr:rowOff>52916</xdr:rowOff>
        </xdr:from>
        <xdr:to>
          <xdr:col>19</xdr:col>
          <xdr:colOff>314324</xdr:colOff>
          <xdr:row>28</xdr:row>
          <xdr:rowOff>91016</xdr:rowOff>
        </xdr:to>
        <xdr:pic>
          <xdr:nvPicPr>
            <xdr:cNvPr id="6" name="Image 5">
              <a:extLst>
                <a:ext uri="{FF2B5EF4-FFF2-40B4-BE49-F238E27FC236}">
                  <a16:creationId xmlns:a16="http://schemas.microsoft.com/office/drawing/2014/main" id="{00000000-0008-0000-0000-000006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indicateurs!$F$4:$H$19" spid="_x0000_s1414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10379074" y="2518833"/>
              <a:ext cx="2942167" cy="308610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12</xdr:col>
          <xdr:colOff>113242</xdr:colOff>
          <xdr:row>2</xdr:row>
          <xdr:rowOff>158748</xdr:rowOff>
        </xdr:from>
        <xdr:to>
          <xdr:col>19</xdr:col>
          <xdr:colOff>418042</xdr:colOff>
          <xdr:row>12</xdr:row>
          <xdr:rowOff>10583</xdr:rowOff>
        </xdr:to>
        <xdr:pic>
          <xdr:nvPicPr>
            <xdr:cNvPr id="7" name="Image 6">
              <a:extLst>
                <a:ext uri="{FF2B5EF4-FFF2-40B4-BE49-F238E27FC236}">
                  <a16:creationId xmlns:a16="http://schemas.microsoft.com/office/drawing/2014/main" id="{00000000-0008-0000-0000-000007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indicateurs!$A$2:$D$11" spid="_x0000_s1415"/>
                </a:ext>
              </a:extLst>
            </xdr:cNvPicPr>
          </xdr:nvPicPr>
          <xdr:blipFill>
            <a:blip xmlns:r="http://schemas.openxmlformats.org/officeDocument/2006/relationships" r:embed="rId2"/>
            <a:srcRect/>
            <a:stretch>
              <a:fillRect/>
            </a:stretch>
          </xdr:blipFill>
          <xdr:spPr bwMode="auto">
            <a:xfrm>
              <a:off x="10368492" y="539748"/>
              <a:ext cx="3056467" cy="1936752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  <xdr:twoCellAnchor>
    <xdr:from>
      <xdr:col>3</xdr:col>
      <xdr:colOff>52915</xdr:colOff>
      <xdr:row>0</xdr:row>
      <xdr:rowOff>95252</xdr:rowOff>
    </xdr:from>
    <xdr:to>
      <xdr:col>5</xdr:col>
      <xdr:colOff>222248</xdr:colOff>
      <xdr:row>2</xdr:row>
      <xdr:rowOff>21168</xdr:rowOff>
    </xdr:to>
    <xdr:sp macro="[0]!simpli_onglet_charge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616C8451-C45E-4520-B6E1-7C64593BAE74}"/>
            </a:ext>
          </a:extLst>
        </xdr:cNvPr>
        <xdr:cNvSpPr/>
      </xdr:nvSpPr>
      <xdr:spPr>
        <a:xfrm>
          <a:off x="2010832" y="95252"/>
          <a:ext cx="1693333" cy="306916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BE" sz="1100"/>
            <a:t>simplification</a:t>
          </a:r>
          <a:r>
            <a:rPr lang="fr-BE" sz="1100" baseline="0"/>
            <a:t> charge</a:t>
          </a:r>
          <a:endParaRPr lang="fr-BE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AE209"/>
  <sheetViews>
    <sheetView zoomScale="90" zoomScaleNormal="90" workbookViewId="0">
      <selection activeCell="X21" sqref="X21"/>
    </sheetView>
  </sheetViews>
  <sheetFormatPr baseColWidth="10" defaultRowHeight="15"/>
  <cols>
    <col min="3" max="3" width="6.5703125" customWidth="1"/>
    <col min="6" max="6" width="13.7109375" customWidth="1"/>
    <col min="7" max="7" width="18" customWidth="1"/>
    <col min="8" max="8" width="20.140625" customWidth="1"/>
    <col min="9" max="9" width="15.7109375" customWidth="1"/>
    <col min="10" max="10" width="10.5703125" customWidth="1"/>
    <col min="11" max="11" width="11" customWidth="1"/>
    <col min="12" max="12" width="12.5703125" customWidth="1"/>
    <col min="13" max="13" width="5.7109375" customWidth="1"/>
    <col min="14" max="14" width="4.42578125" customWidth="1"/>
    <col min="16" max="16" width="2.5703125" customWidth="1"/>
    <col min="17" max="17" width="2.28515625" customWidth="1"/>
    <col min="18" max="18" width="3.42578125" customWidth="1"/>
  </cols>
  <sheetData>
    <row r="1" spans="1:28">
      <c r="A1" s="6">
        <v>44036</v>
      </c>
      <c r="V1" s="82"/>
      <c r="W1" s="82"/>
      <c r="X1" s="82"/>
      <c r="Y1" s="82"/>
      <c r="Z1" s="82"/>
      <c r="AA1" s="82"/>
      <c r="AB1" s="82"/>
    </row>
    <row r="2" spans="1:28">
      <c r="V2" s="82"/>
      <c r="W2" s="82"/>
      <c r="X2" s="82"/>
      <c r="Y2" s="82"/>
      <c r="Z2" s="82"/>
      <c r="AA2" s="82"/>
      <c r="AB2" s="82"/>
    </row>
    <row r="3" spans="1:28" ht="15.75" thickBot="1">
      <c r="J3" s="88" t="s">
        <v>15</v>
      </c>
      <c r="K3" s="89"/>
      <c r="L3" s="89"/>
      <c r="V3" s="82"/>
      <c r="W3" s="82"/>
      <c r="X3" s="82"/>
      <c r="Y3" s="82"/>
      <c r="Z3" s="82"/>
      <c r="AA3" s="82"/>
      <c r="AB3" s="82"/>
    </row>
    <row r="4" spans="1:28" ht="15.75" thickBot="1">
      <c r="A4" s="90" t="s">
        <v>18</v>
      </c>
      <c r="B4" s="91"/>
      <c r="C4" s="91"/>
      <c r="D4" s="91"/>
      <c r="E4" s="91"/>
      <c r="F4" s="92"/>
      <c r="G4" s="12"/>
      <c r="H4" s="12" t="s">
        <v>655</v>
      </c>
      <c r="I4" s="12"/>
      <c r="J4" s="88" t="s">
        <v>14</v>
      </c>
      <c r="K4" s="89"/>
      <c r="L4" s="4" t="s">
        <v>13</v>
      </c>
      <c r="V4" s="82"/>
      <c r="W4" s="82"/>
      <c r="X4" s="82"/>
      <c r="Y4" s="82"/>
      <c r="Z4" s="82"/>
      <c r="AA4" s="82"/>
      <c r="AB4" s="82"/>
    </row>
    <row r="5" spans="1:28" ht="27.75" customHeight="1">
      <c r="A5" s="52" t="s">
        <v>0</v>
      </c>
      <c r="B5" s="52" t="s">
        <v>1</v>
      </c>
      <c r="C5" s="52" t="s">
        <v>3</v>
      </c>
      <c r="D5" s="52" t="s">
        <v>4</v>
      </c>
      <c r="E5" s="52" t="s">
        <v>5</v>
      </c>
      <c r="F5" s="52" t="s">
        <v>2</v>
      </c>
      <c r="G5" s="23" t="s">
        <v>19</v>
      </c>
      <c r="H5" s="23" t="s">
        <v>654</v>
      </c>
      <c r="I5" s="3" t="s">
        <v>10</v>
      </c>
      <c r="J5" s="3" t="s">
        <v>115</v>
      </c>
      <c r="K5" s="3" t="s">
        <v>116</v>
      </c>
      <c r="L5" s="23" t="s">
        <v>9</v>
      </c>
      <c r="V5" s="82"/>
      <c r="W5" s="82"/>
      <c r="X5" s="82"/>
      <c r="Y5" s="82"/>
      <c r="Z5" s="82"/>
      <c r="AA5" s="82"/>
      <c r="AB5" s="82"/>
    </row>
    <row r="6" spans="1:28" ht="15" customHeight="1">
      <c r="A6" t="s">
        <v>613</v>
      </c>
      <c r="B6" t="s">
        <v>650</v>
      </c>
      <c r="C6" t="s">
        <v>203</v>
      </c>
      <c r="D6" t="s">
        <v>614</v>
      </c>
      <c r="E6" s="7">
        <v>44034.545057870368</v>
      </c>
      <c r="F6" s="7">
        <v>44057</v>
      </c>
      <c r="G6" s="83">
        <f>IFERROR(INDEX('lot réclamés'!$B$2:$B$199,MATCH(A6,'lot réclamés'!$A$2:$A$199,0)),"")</f>
        <v>44040</v>
      </c>
      <c r="H6" s="7">
        <f t="shared" ref="H6:H37" si="0">IF(ISBLANK(A6),"",IF(G6&lt;&gt;"",WORKDAY(G6,(L6/420)*-1,feries),
IF(LEFT(A6,2)="SC",WORKDAY(E6,1,feries),
IF(E6&gt;F6,WORKDAY(E6,5,feries),
IF(E6&lt;F6,WORKDAY(F6,(L6/420)*-1,feries))))))</f>
        <v>44035</v>
      </c>
      <c r="I6" s="2" t="s">
        <v>83</v>
      </c>
      <c r="J6" s="21" t="str">
        <f t="shared" ref="J6:J37" ca="1" si="1">IF(ISBLANK(A6),"",IF(F6&gt;=TODAY(),"-"&amp;DATEDIF(TODAY(),F6,"d"),"+"&amp;DATEDIF(F6,TODAY(),"d")))</f>
        <v>-20</v>
      </c>
      <c r="K6" s="21">
        <f t="shared" ref="K6:K37" ca="1" si="2">IF(ISBLANK(A6),"",DATEDIF(E6,TODAY(),"d"))</f>
        <v>3</v>
      </c>
      <c r="L6" s="22">
        <f>IF(ISBLANK(A6),"",INDEX('données plan-article-opérateurs'!$B$2:$B$318,MATCH(B6,'données plan-article-opérateurs'!$A$2:$A$318,0)))</f>
        <v>1200</v>
      </c>
      <c r="V6" s="86" t="s">
        <v>930</v>
      </c>
      <c r="W6" s="82"/>
      <c r="X6" s="82"/>
      <c r="Y6" s="82"/>
      <c r="Z6" s="82"/>
      <c r="AA6" s="82"/>
      <c r="AB6" s="82"/>
    </row>
    <row r="7" spans="1:28">
      <c r="A7" s="2" t="s">
        <v>610</v>
      </c>
      <c r="B7" t="s">
        <v>649</v>
      </c>
      <c r="C7" t="s">
        <v>203</v>
      </c>
      <c r="D7" t="s">
        <v>611</v>
      </c>
      <c r="E7" s="7">
        <v>44034.494120370371</v>
      </c>
      <c r="F7" s="7">
        <v>44055</v>
      </c>
      <c r="G7" s="83">
        <f>IFERROR(INDEX('lot réclamés'!$B$2:$B$199,MATCH(A7,'lot réclamés'!$A$2:$A$199,0)),"")</f>
        <v>44040</v>
      </c>
      <c r="H7" s="7">
        <f t="shared" si="0"/>
        <v>44035</v>
      </c>
      <c r="I7" s="2" t="s">
        <v>83</v>
      </c>
      <c r="J7" s="21" t="str">
        <f t="shared" ca="1" si="1"/>
        <v>-18</v>
      </c>
      <c r="K7" s="21">
        <f t="shared" ca="1" si="2"/>
        <v>3</v>
      </c>
      <c r="L7" s="22">
        <f>IF(ISBLANK(A7),"",INDEX('données plan-article-opérateurs'!$B$2:$B$318,MATCH(B7,'données plan-article-opérateurs'!$A$2:$A$318,0)))</f>
        <v>1200</v>
      </c>
      <c r="V7" s="2" t="str">
        <f>IF(C6="R","a faire","ok")</f>
        <v>a faire</v>
      </c>
      <c r="W7" s="82"/>
      <c r="X7" s="82"/>
      <c r="Y7" s="82"/>
      <c r="Z7" s="82"/>
      <c r="AA7" s="82"/>
      <c r="AB7" s="82"/>
    </row>
    <row r="8" spans="1:28">
      <c r="A8" t="s">
        <v>560</v>
      </c>
      <c r="B8" t="s">
        <v>583</v>
      </c>
      <c r="C8" t="s">
        <v>203</v>
      </c>
      <c r="D8" t="s">
        <v>561</v>
      </c>
      <c r="E8" s="7">
        <v>44027.397129629629</v>
      </c>
      <c r="F8" s="7">
        <v>44050</v>
      </c>
      <c r="G8" s="83" t="str">
        <f>IFERROR(INDEX('lot réclamés'!$B$2:$B$199,MATCH(A8,'lot réclamés'!$A$2:$A$199,0)),"")</f>
        <v/>
      </c>
      <c r="H8" s="7">
        <f t="shared" si="0"/>
        <v>44049</v>
      </c>
      <c r="I8" s="2"/>
      <c r="J8" s="21" t="str">
        <f t="shared" ca="1" si="1"/>
        <v>-13</v>
      </c>
      <c r="K8" s="21">
        <f t="shared" ca="1" si="2"/>
        <v>10</v>
      </c>
      <c r="L8" s="22">
        <f>IF(ISBLANK(A8),"",INDEX('données plan-article-opérateurs'!$B$2:$B$318,MATCH(B8,'données plan-article-opérateurs'!$A$2:$A$318,0)))</f>
        <v>360</v>
      </c>
      <c r="V8" s="82" t="b">
        <f>AND(H6&lt;$A$1,H6&lt;&gt;"")</f>
        <v>1</v>
      </c>
      <c r="W8" s="82"/>
      <c r="X8" s="82"/>
      <c r="Y8" s="82"/>
      <c r="Z8" s="82"/>
      <c r="AA8" s="82"/>
      <c r="AB8" s="82"/>
    </row>
    <row r="9" spans="1:28">
      <c r="A9" s="2" t="s">
        <v>630</v>
      </c>
      <c r="B9" s="50" t="s">
        <v>651</v>
      </c>
      <c r="C9" t="s">
        <v>220</v>
      </c>
      <c r="D9" s="50" t="s">
        <v>631</v>
      </c>
      <c r="E9" s="7">
        <v>44035.389236111114</v>
      </c>
      <c r="F9" s="7">
        <v>44035</v>
      </c>
      <c r="G9" s="83" t="str">
        <f>IFERROR(INDEX('lot réclamés'!$B$2:$B$199,MATCH(A9,'lot réclamés'!$A$2:$A$199,0)),"")</f>
        <v/>
      </c>
      <c r="H9" s="7">
        <f t="shared" si="0"/>
        <v>44042</v>
      </c>
      <c r="J9" s="21" t="str">
        <f t="shared" ca="1" si="1"/>
        <v>+2</v>
      </c>
      <c r="K9" s="21">
        <f t="shared" ca="1" si="2"/>
        <v>2</v>
      </c>
      <c r="L9" s="22">
        <f>IF(ISBLANK(A9),"",INDEX('données plan-article-opérateurs'!$B$2:$B$318,MATCH(B9,'données plan-article-opérateurs'!$A$2:$A$318,0)))</f>
        <v>30</v>
      </c>
      <c r="V9" s="82"/>
      <c r="W9" s="82"/>
      <c r="X9" s="82"/>
      <c r="Y9" s="82"/>
      <c r="Z9" s="82"/>
      <c r="AA9" s="82"/>
      <c r="AB9" s="82"/>
    </row>
    <row r="10" spans="1:28">
      <c r="A10" s="2" t="s">
        <v>625</v>
      </c>
      <c r="B10" t="s">
        <v>648</v>
      </c>
      <c r="C10" t="s">
        <v>203</v>
      </c>
      <c r="D10" t="s">
        <v>626</v>
      </c>
      <c r="E10" s="7">
        <v>44035.388124999998</v>
      </c>
      <c r="F10" s="7">
        <v>44043</v>
      </c>
      <c r="G10" s="83" t="str">
        <f>IFERROR(INDEX('lot réclamés'!$B$2:$B$199,MATCH(A10,'lot réclamés'!$A$2:$A$199,0)),"")</f>
        <v/>
      </c>
      <c r="H10" s="7">
        <f t="shared" si="0"/>
        <v>44043</v>
      </c>
      <c r="J10" s="21" t="str">
        <f t="shared" ca="1" si="1"/>
        <v>-6</v>
      </c>
      <c r="K10" s="21">
        <f t="shared" ca="1" si="2"/>
        <v>2</v>
      </c>
      <c r="L10" s="22">
        <f>IF(ISBLANK(A10),"",INDEX('données plan-article-opérateurs'!$B$2:$B$318,MATCH(B10,'données plan-article-opérateurs'!$A$2:$A$318,0)))</f>
        <v>0</v>
      </c>
      <c r="V10" s="82"/>
      <c r="W10" s="82"/>
      <c r="X10" s="82"/>
      <c r="Y10" s="82"/>
      <c r="Z10" s="82"/>
      <c r="AA10" s="82"/>
      <c r="AB10" s="82"/>
    </row>
    <row r="11" spans="1:28">
      <c r="A11" t="s">
        <v>253</v>
      </c>
      <c r="B11" t="s">
        <v>152</v>
      </c>
      <c r="C11" t="s">
        <v>220</v>
      </c>
      <c r="D11" t="s">
        <v>254</v>
      </c>
      <c r="E11" s="7">
        <v>44019.645324074103</v>
      </c>
      <c r="F11" s="7">
        <v>44008</v>
      </c>
      <c r="G11" s="83" t="str">
        <f>IFERROR(INDEX('lot réclamés'!$B$2:$B$199,MATCH(A11,'lot réclamés'!$A$2:$A$199,0)),"")</f>
        <v/>
      </c>
      <c r="H11" s="7">
        <f t="shared" si="0"/>
        <v>44027</v>
      </c>
      <c r="I11" t="s">
        <v>87</v>
      </c>
      <c r="J11" s="21" t="str">
        <f t="shared" ca="1" si="1"/>
        <v>+29</v>
      </c>
      <c r="K11" s="21">
        <f t="shared" ca="1" si="2"/>
        <v>18</v>
      </c>
      <c r="L11" s="22">
        <f>IF(ISBLANK(A11),"",INDEX('données plan-article-opérateurs'!$B$2:$B$318,MATCH(B11,'données plan-article-opérateurs'!$A$2:$A$318,0)))</f>
        <v>30</v>
      </c>
      <c r="V11" s="82"/>
      <c r="W11" s="82"/>
      <c r="X11" s="82"/>
      <c r="Y11" s="82"/>
      <c r="Z11" s="82"/>
      <c r="AA11" s="82"/>
      <c r="AB11" s="82"/>
    </row>
    <row r="12" spans="1:28">
      <c r="A12" t="s">
        <v>237</v>
      </c>
      <c r="B12" t="s">
        <v>160</v>
      </c>
      <c r="C12" t="s">
        <v>220</v>
      </c>
      <c r="D12" t="s">
        <v>238</v>
      </c>
      <c r="E12" s="7">
        <v>44020.498645833301</v>
      </c>
      <c r="F12" s="7">
        <v>43987</v>
      </c>
      <c r="G12" s="83" t="str">
        <f>IFERROR(INDEX('lot réclamés'!$B$2:$B$199,MATCH(A12,'lot réclamés'!$A$2:$A$199,0)),"")</f>
        <v/>
      </c>
      <c r="H12" s="7">
        <f t="shared" si="0"/>
        <v>44028</v>
      </c>
      <c r="J12" s="21" t="str">
        <f t="shared" ca="1" si="1"/>
        <v>+50</v>
      </c>
      <c r="K12" s="21">
        <f t="shared" ca="1" si="2"/>
        <v>17</v>
      </c>
      <c r="L12" s="22">
        <f>IF(ISBLANK(A12),"",INDEX('données plan-article-opérateurs'!$B$2:$B$318,MATCH(B12,'données plan-article-opérateurs'!$A$2:$A$318,0)))</f>
        <v>0</v>
      </c>
      <c r="V12" s="82"/>
      <c r="W12" s="82"/>
      <c r="X12" s="82"/>
      <c r="Y12" s="82"/>
      <c r="Z12" s="82"/>
      <c r="AB12" s="82"/>
    </row>
    <row r="13" spans="1:28">
      <c r="A13" t="s">
        <v>672</v>
      </c>
      <c r="B13" t="s">
        <v>691</v>
      </c>
      <c r="C13" t="s">
        <v>203</v>
      </c>
      <c r="D13" t="s">
        <v>673</v>
      </c>
      <c r="E13" s="7">
        <v>44036.36178240741</v>
      </c>
      <c r="F13" s="7">
        <v>44043</v>
      </c>
      <c r="G13" s="83" t="str">
        <f>IFERROR(INDEX('lot réclamés'!$B$2:$B$199,MATCH(A13,'lot réclamés'!$A$2:$A$199,0)),"")</f>
        <v/>
      </c>
      <c r="H13" s="7">
        <f t="shared" si="0"/>
        <v>44043</v>
      </c>
      <c r="I13" s="2"/>
      <c r="J13" s="21" t="str">
        <f t="shared" ca="1" si="1"/>
        <v>-6</v>
      </c>
      <c r="K13" s="21">
        <f t="shared" ca="1" si="2"/>
        <v>1</v>
      </c>
      <c r="L13" s="22">
        <f>IF(ISBLANK(A13),"",INDEX('données plan-article-opérateurs'!$B$2:$B$318,MATCH(B13,'données plan-article-opérateurs'!$A$2:$A$318,0)))</f>
        <v>0</v>
      </c>
      <c r="V13" s="82"/>
      <c r="W13" s="82"/>
      <c r="X13" s="82"/>
      <c r="Y13" s="82"/>
      <c r="Z13" s="82"/>
      <c r="AA13" s="82"/>
      <c r="AB13" s="82"/>
    </row>
    <row r="14" spans="1:28">
      <c r="A14" s="46" t="s">
        <v>604</v>
      </c>
      <c r="B14" t="s">
        <v>644</v>
      </c>
      <c r="C14" t="s">
        <v>275</v>
      </c>
      <c r="D14" t="s">
        <v>605</v>
      </c>
      <c r="E14" s="7">
        <v>44034.371550925927</v>
      </c>
      <c r="F14" s="7">
        <v>44043</v>
      </c>
      <c r="G14" s="83" t="str">
        <f>IFERROR(INDEX('lot réclamés'!$B$2:$B$199,MATCH(A14,'lot réclamés'!$A$2:$A$199,0)),"")</f>
        <v/>
      </c>
      <c r="H14" s="7">
        <f t="shared" si="0"/>
        <v>44043</v>
      </c>
      <c r="J14" s="21" t="str">
        <f t="shared" ca="1" si="1"/>
        <v>-6</v>
      </c>
      <c r="K14" s="21">
        <f t="shared" ca="1" si="2"/>
        <v>3</v>
      </c>
      <c r="L14" s="22">
        <f>IF(ISBLANK(A14),"",INDEX('données plan-article-opérateurs'!$B$2:$B$318,MATCH(B14,'données plan-article-opérateurs'!$A$2:$A$318,0)))</f>
        <v>0</v>
      </c>
      <c r="V14" s="82"/>
      <c r="W14" s="82"/>
      <c r="X14" s="82"/>
      <c r="Y14" s="82"/>
      <c r="Z14" s="82"/>
      <c r="AA14" s="82"/>
      <c r="AB14" s="82"/>
    </row>
    <row r="15" spans="1:28">
      <c r="A15" t="s">
        <v>566</v>
      </c>
      <c r="B15" t="s">
        <v>586</v>
      </c>
      <c r="C15" t="s">
        <v>220</v>
      </c>
      <c r="D15" t="s">
        <v>567</v>
      </c>
      <c r="E15" s="7">
        <v>44032.652569444443</v>
      </c>
      <c r="F15" s="7">
        <v>44029</v>
      </c>
      <c r="G15" s="83" t="str">
        <f>IFERROR(INDEX('lot réclamés'!$B$2:$B$199,MATCH(A15,'lot réclamés'!$A$2:$A$199,0)),"")</f>
        <v/>
      </c>
      <c r="H15" s="7">
        <f t="shared" si="0"/>
        <v>44039</v>
      </c>
      <c r="I15" t="s">
        <v>92</v>
      </c>
      <c r="J15" s="21" t="str">
        <f t="shared" ca="1" si="1"/>
        <v>+8</v>
      </c>
      <c r="K15" s="21">
        <f t="shared" ca="1" si="2"/>
        <v>5</v>
      </c>
      <c r="L15" s="22">
        <f>IF(ISBLANK(A15),"",INDEX('données plan-article-opérateurs'!$B$2:$B$318,MATCH(B15,'données plan-article-opérateurs'!$A$2:$A$318,0)))</f>
        <v>60</v>
      </c>
      <c r="V15" s="82"/>
      <c r="W15" s="82"/>
      <c r="X15" s="82"/>
      <c r="Y15" s="82"/>
      <c r="Z15" s="82"/>
      <c r="AA15" s="82"/>
      <c r="AB15" s="82"/>
    </row>
    <row r="16" spans="1:28">
      <c r="A16" t="s">
        <v>615</v>
      </c>
      <c r="B16" t="s">
        <v>652</v>
      </c>
      <c r="C16" t="s">
        <v>275</v>
      </c>
      <c r="D16" t="s">
        <v>616</v>
      </c>
      <c r="E16" s="7">
        <v>44034.612743055557</v>
      </c>
      <c r="F16" s="7">
        <v>44022</v>
      </c>
      <c r="G16" s="83" t="str">
        <f>IFERROR(INDEX('lot réclamés'!$B$2:$B$199,MATCH(A16,'lot réclamés'!$A$2:$A$199,0)),"")</f>
        <v/>
      </c>
      <c r="H16" s="7">
        <f t="shared" si="0"/>
        <v>44041</v>
      </c>
      <c r="J16" s="21" t="str">
        <f t="shared" ca="1" si="1"/>
        <v>+15</v>
      </c>
      <c r="K16" s="21">
        <f t="shared" ca="1" si="2"/>
        <v>3</v>
      </c>
      <c r="L16" s="22">
        <f>IF(ISBLANK(A16),"",INDEX('données plan-article-opérateurs'!$B$2:$B$318,MATCH(B16,'données plan-article-opérateurs'!$A$2:$A$318,0)))</f>
        <v>0</v>
      </c>
      <c r="V16" s="82"/>
      <c r="W16" s="82"/>
      <c r="X16" s="82"/>
      <c r="Y16" s="82"/>
      <c r="Z16" s="82"/>
      <c r="AA16" s="82"/>
      <c r="AB16" s="82"/>
    </row>
    <row r="17" spans="1:28">
      <c r="A17" t="s">
        <v>282</v>
      </c>
      <c r="B17" t="s">
        <v>53</v>
      </c>
      <c r="C17" t="s">
        <v>220</v>
      </c>
      <c r="D17" t="s">
        <v>283</v>
      </c>
      <c r="E17" s="7">
        <v>44015.574930555602</v>
      </c>
      <c r="F17" s="7">
        <v>44029</v>
      </c>
      <c r="G17" s="83" t="str">
        <f>IFERROR(INDEX('lot réclamés'!$B$2:$B$199,MATCH(A17,'lot réclamés'!$A$2:$A$199,0)),"")</f>
        <v/>
      </c>
      <c r="H17" s="7">
        <f t="shared" si="0"/>
        <v>44029</v>
      </c>
      <c r="J17" s="21" t="str">
        <f t="shared" ca="1" si="1"/>
        <v>+8</v>
      </c>
      <c r="K17" s="21">
        <f t="shared" ca="1" si="2"/>
        <v>22</v>
      </c>
      <c r="L17" s="22">
        <f>IF(ISBLANK(A17),"",INDEX('données plan-article-opérateurs'!$B$2:$B$318,MATCH(B17,'données plan-article-opérateurs'!$A$2:$A$318,0)))</f>
        <v>0</v>
      </c>
      <c r="V17" s="82"/>
      <c r="W17" s="82"/>
      <c r="X17" s="82"/>
      <c r="Y17" s="82"/>
      <c r="Z17" s="82"/>
      <c r="AA17" s="82"/>
      <c r="AB17" s="82"/>
    </row>
    <row r="18" spans="1:28">
      <c r="A18" t="s">
        <v>290</v>
      </c>
      <c r="B18" t="s">
        <v>132</v>
      </c>
      <c r="C18" t="s">
        <v>220</v>
      </c>
      <c r="D18" t="s">
        <v>291</v>
      </c>
      <c r="E18" s="7">
        <v>44001.444513888899</v>
      </c>
      <c r="F18" s="7">
        <v>44012</v>
      </c>
      <c r="G18" s="83" t="str">
        <f>IFERROR(INDEX('lot réclamés'!$B$2:$B$199,MATCH(A18,'lot réclamés'!$A$2:$A$199,0)),"")</f>
        <v/>
      </c>
      <c r="H18" s="7">
        <f t="shared" si="0"/>
        <v>44012</v>
      </c>
      <c r="J18" s="21" t="str">
        <f t="shared" ca="1" si="1"/>
        <v>+25</v>
      </c>
      <c r="K18" s="21">
        <f t="shared" ca="1" si="2"/>
        <v>36</v>
      </c>
      <c r="L18" s="22">
        <f>IF(ISBLANK(A18),"",INDEX('données plan-article-opérateurs'!$B$2:$B$318,MATCH(B18,'données plan-article-opérateurs'!$A$2:$A$318,0)))</f>
        <v>0</v>
      </c>
      <c r="V18" s="82"/>
      <c r="W18" s="82"/>
      <c r="X18" s="82"/>
      <c r="Y18" s="82"/>
      <c r="Z18" s="82"/>
      <c r="AA18" s="82"/>
      <c r="AB18" s="82"/>
    </row>
    <row r="19" spans="1:28">
      <c r="A19" t="s">
        <v>674</v>
      </c>
      <c r="B19" t="s">
        <v>692</v>
      </c>
      <c r="C19" t="s">
        <v>203</v>
      </c>
      <c r="D19" t="s">
        <v>675</v>
      </c>
      <c r="E19" s="7">
        <v>44036.361655092594</v>
      </c>
      <c r="F19" s="7">
        <v>44043</v>
      </c>
      <c r="G19" s="83" t="str">
        <f>IFERROR(INDEX('lot réclamés'!$B$2:$B$199,MATCH(A19,'lot réclamés'!$A$2:$A$199,0)),"")</f>
        <v/>
      </c>
      <c r="H19" s="7">
        <f t="shared" si="0"/>
        <v>44043</v>
      </c>
      <c r="J19" s="21" t="str">
        <f t="shared" ca="1" si="1"/>
        <v>-6</v>
      </c>
      <c r="K19" s="21">
        <f t="shared" ca="1" si="2"/>
        <v>1</v>
      </c>
      <c r="L19" s="22">
        <f>IF(ISBLANK(A19),"",INDEX('données plan-article-opérateurs'!$B$2:$B$318,MATCH(B19,'données plan-article-opérateurs'!$A$2:$A$318,0)))</f>
        <v>0</v>
      </c>
      <c r="U19" s="82"/>
      <c r="V19" s="82"/>
      <c r="W19" s="82"/>
      <c r="X19" s="82"/>
      <c r="Y19" s="82"/>
      <c r="Z19" s="82"/>
      <c r="AA19" s="82"/>
      <c r="AB19" s="82"/>
    </row>
    <row r="20" spans="1:28">
      <c r="A20" t="s">
        <v>656</v>
      </c>
      <c r="B20" t="s">
        <v>57</v>
      </c>
      <c r="C20" t="s">
        <v>275</v>
      </c>
      <c r="D20" t="s">
        <v>260</v>
      </c>
      <c r="E20" s="7">
        <v>44035.613796296297</v>
      </c>
      <c r="F20" s="7">
        <v>44041</v>
      </c>
      <c r="G20" s="83" t="str">
        <f>IFERROR(INDEX('lot réclamés'!$B$2:$B$199,MATCH(A20,'lot réclamés'!$A$2:$A$199,0)),"")</f>
        <v/>
      </c>
      <c r="H20" s="7">
        <f t="shared" si="0"/>
        <v>44039</v>
      </c>
      <c r="J20" s="21" t="str">
        <f t="shared" ca="1" si="1"/>
        <v>-4</v>
      </c>
      <c r="K20" s="21">
        <f t="shared" ca="1" si="2"/>
        <v>2</v>
      </c>
      <c r="L20" s="22">
        <f>IF(ISBLANK(A20),"",INDEX('données plan-article-opérateurs'!$B$2:$B$318,MATCH(B20,'données plan-article-opérateurs'!$A$2:$A$318,0)))</f>
        <v>600</v>
      </c>
      <c r="U20" s="82"/>
      <c r="V20" s="82"/>
      <c r="W20" s="82"/>
      <c r="X20" s="82"/>
      <c r="Y20" s="82"/>
      <c r="Z20" s="82"/>
      <c r="AA20" s="82"/>
      <c r="AB20" s="82"/>
    </row>
    <row r="21" spans="1:28">
      <c r="A21" t="s">
        <v>546</v>
      </c>
      <c r="B21" t="s">
        <v>554</v>
      </c>
      <c r="C21" t="s">
        <v>220</v>
      </c>
      <c r="D21" t="s">
        <v>547</v>
      </c>
      <c r="E21" s="7">
        <v>44032.664548611108</v>
      </c>
      <c r="F21" s="7">
        <v>44034</v>
      </c>
      <c r="G21" s="83">
        <f>IFERROR(INDEX('lot réclamés'!$B$2:$B$199,MATCH(A21,'lot réclamés'!$A$2:$A$199,0)),"")</f>
        <v>44034</v>
      </c>
      <c r="H21" s="7">
        <f t="shared" si="0"/>
        <v>44029</v>
      </c>
      <c r="J21" s="21" t="str">
        <f t="shared" ca="1" si="1"/>
        <v>+3</v>
      </c>
      <c r="K21" s="21">
        <f t="shared" ca="1" si="2"/>
        <v>5</v>
      </c>
      <c r="L21" s="22">
        <f>IF(ISBLANK(A21),"",INDEX('données plan-article-opérateurs'!$B$2:$B$318,MATCH(B21,'données plan-article-opérateurs'!$A$2:$A$318,0)))</f>
        <v>900</v>
      </c>
      <c r="U21" s="82"/>
      <c r="V21" s="82"/>
      <c r="W21" s="82"/>
      <c r="X21" s="82"/>
      <c r="Y21" s="82"/>
      <c r="Z21" s="82"/>
      <c r="AA21" s="82"/>
      <c r="AB21" s="82"/>
    </row>
    <row r="22" spans="1:28">
      <c r="A22" s="2" t="s">
        <v>680</v>
      </c>
      <c r="B22" t="s">
        <v>694</v>
      </c>
      <c r="C22" s="2" t="s">
        <v>203</v>
      </c>
      <c r="D22" t="s">
        <v>681</v>
      </c>
      <c r="E22" s="7">
        <v>44036.539398148147</v>
      </c>
      <c r="F22" s="7">
        <v>44043</v>
      </c>
      <c r="G22" s="83" t="str">
        <f>IFERROR(INDEX('lot réclamés'!$B$2:$B$199,MATCH(A22,'lot réclamés'!$A$2:$A$199,0)),"")</f>
        <v/>
      </c>
      <c r="H22" s="7">
        <f t="shared" si="0"/>
        <v>44043</v>
      </c>
      <c r="J22" s="21" t="str">
        <f t="shared" ca="1" si="1"/>
        <v>-6</v>
      </c>
      <c r="K22" s="21">
        <f t="shared" ca="1" si="2"/>
        <v>1</v>
      </c>
      <c r="L22" s="22">
        <f>IF(ISBLANK(A22),"",INDEX('données plan-article-opérateurs'!$B$2:$B$318,MATCH(B22,'données plan-article-opérateurs'!$A$2:$A$318,0)))</f>
        <v>0</v>
      </c>
      <c r="U22" s="82"/>
      <c r="V22" s="82"/>
      <c r="W22" s="82"/>
      <c r="X22" s="82"/>
      <c r="Y22" s="82"/>
      <c r="Z22" s="82"/>
      <c r="AA22" s="82"/>
      <c r="AB22" s="82"/>
    </row>
    <row r="23" spans="1:28">
      <c r="A23" s="2" t="s">
        <v>562</v>
      </c>
      <c r="B23" t="s">
        <v>584</v>
      </c>
      <c r="C23" s="2" t="s">
        <v>275</v>
      </c>
      <c r="D23" t="s">
        <v>563</v>
      </c>
      <c r="E23" s="7">
        <v>44033.351909722223</v>
      </c>
      <c r="F23" s="7">
        <v>44053</v>
      </c>
      <c r="G23" s="83" t="str">
        <f>IFERROR(INDEX('lot réclamés'!$B$2:$B$199,MATCH(A23,'lot réclamés'!$A$2:$A$199,0)),"")</f>
        <v/>
      </c>
      <c r="H23" s="7">
        <f t="shared" si="0"/>
        <v>44048</v>
      </c>
      <c r="I23" s="2" t="s">
        <v>83</v>
      </c>
      <c r="J23" s="21" t="str">
        <f t="shared" ca="1" si="1"/>
        <v>-16</v>
      </c>
      <c r="K23" s="21">
        <f t="shared" ca="1" si="2"/>
        <v>4</v>
      </c>
      <c r="L23" s="22">
        <f>IF(ISBLANK(A23),"",INDEX('données plan-article-opérateurs'!$B$2:$B$318,MATCH(B23,'données plan-article-opérateurs'!$A$2:$A$318,0)))</f>
        <v>1200</v>
      </c>
      <c r="U23" s="82"/>
      <c r="V23" s="82"/>
      <c r="W23" s="82"/>
      <c r="X23" s="82"/>
      <c r="Y23" s="82"/>
      <c r="Z23" s="82"/>
      <c r="AA23" s="82"/>
    </row>
    <row r="24" spans="1:28">
      <c r="A24" t="s">
        <v>572</v>
      </c>
      <c r="B24" t="s">
        <v>588</v>
      </c>
      <c r="C24" t="s">
        <v>275</v>
      </c>
      <c r="D24" t="s">
        <v>573</v>
      </c>
      <c r="E24" s="7">
        <v>44033.550393518519</v>
      </c>
      <c r="F24" s="7">
        <v>44015</v>
      </c>
      <c r="G24" s="83" t="str">
        <f>IFERROR(INDEX('lot réclamés'!$B$2:$B$199,MATCH(A24,'lot réclamés'!$A$2:$A$199,0)),"")</f>
        <v/>
      </c>
      <c r="H24" s="7">
        <f t="shared" si="0"/>
        <v>44040</v>
      </c>
      <c r="I24" t="s">
        <v>83</v>
      </c>
      <c r="J24" s="21" t="str">
        <f t="shared" ca="1" si="1"/>
        <v>+22</v>
      </c>
      <c r="K24" s="21">
        <f t="shared" ca="1" si="2"/>
        <v>4</v>
      </c>
      <c r="L24" s="22">
        <f>IF(ISBLANK(A24),"",INDEX('données plan-article-opérateurs'!$B$2:$B$318,MATCH(B24,'données plan-article-opérateurs'!$A$2:$A$318,0)))</f>
        <v>1200</v>
      </c>
      <c r="U24" s="82"/>
      <c r="V24" s="82"/>
      <c r="W24" s="82"/>
      <c r="X24" s="82"/>
      <c r="Y24" s="82"/>
      <c r="Z24" s="82"/>
      <c r="AA24" s="82"/>
    </row>
    <row r="25" spans="1:28">
      <c r="A25" s="2" t="s">
        <v>677</v>
      </c>
      <c r="B25" t="s">
        <v>693</v>
      </c>
      <c r="C25" t="s">
        <v>203</v>
      </c>
      <c r="D25" t="s">
        <v>679</v>
      </c>
      <c r="E25" s="7">
        <v>44036.490405092591</v>
      </c>
      <c r="F25" s="7">
        <v>44042</v>
      </c>
      <c r="G25" s="83" t="str">
        <f>IFERROR(INDEX('lot réclamés'!$B$2:$B$199,MATCH(A25,'lot réclamés'!$A$2:$A$199,0)),"")</f>
        <v/>
      </c>
      <c r="H25" s="7">
        <f t="shared" si="0"/>
        <v>44042</v>
      </c>
      <c r="I25" s="2"/>
      <c r="J25" s="21" t="str">
        <f t="shared" ca="1" si="1"/>
        <v>-5</v>
      </c>
      <c r="K25" s="21">
        <f t="shared" ca="1" si="2"/>
        <v>1</v>
      </c>
      <c r="L25" s="22">
        <f>IF(ISBLANK(A25),"",INDEX('données plan-article-opérateurs'!$B$2:$B$318,MATCH(B25,'données plan-article-opérateurs'!$A$2:$A$318,0)))</f>
        <v>0</v>
      </c>
      <c r="U25" s="82"/>
      <c r="V25" s="82"/>
      <c r="W25" s="82"/>
      <c r="X25" s="82"/>
      <c r="Y25" s="82"/>
      <c r="Z25" s="82"/>
      <c r="AA25" s="82"/>
    </row>
    <row r="26" spans="1:28">
      <c r="A26" t="s">
        <v>251</v>
      </c>
      <c r="B26" t="s">
        <v>51</v>
      </c>
      <c r="C26" t="s">
        <v>220</v>
      </c>
      <c r="D26" t="s">
        <v>252</v>
      </c>
      <c r="E26" s="7">
        <v>44013.545740740701</v>
      </c>
      <c r="F26" s="7">
        <v>44022</v>
      </c>
      <c r="G26" s="83" t="str">
        <f>IFERROR(INDEX('lot réclamés'!$B$2:$B$199,MATCH(A26,'lot réclamés'!$A$2:$A$199,0)),"")</f>
        <v/>
      </c>
      <c r="H26" s="7">
        <f t="shared" si="0"/>
        <v>44021</v>
      </c>
      <c r="I26" s="2" t="s">
        <v>86</v>
      </c>
      <c r="J26" s="21" t="str">
        <f t="shared" ca="1" si="1"/>
        <v>+15</v>
      </c>
      <c r="K26" s="21">
        <f t="shared" ca="1" si="2"/>
        <v>24</v>
      </c>
      <c r="L26" s="22">
        <f>IF(ISBLANK(A26),"",INDEX('données plan-article-opérateurs'!$B$2:$B$318,MATCH(B26,'données plan-article-opérateurs'!$A$2:$A$318,0)))</f>
        <v>240</v>
      </c>
      <c r="U26" s="82"/>
      <c r="V26" s="82"/>
      <c r="W26" s="82"/>
      <c r="X26" s="82"/>
      <c r="Y26" s="82"/>
      <c r="Z26" s="82"/>
      <c r="AA26" s="82"/>
    </row>
    <row r="27" spans="1:28">
      <c r="A27" s="2" t="s">
        <v>619</v>
      </c>
      <c r="B27" t="s">
        <v>640</v>
      </c>
      <c r="C27" s="2" t="s">
        <v>275</v>
      </c>
      <c r="D27" t="s">
        <v>620</v>
      </c>
      <c r="E27" s="7">
        <v>44035.416759259257</v>
      </c>
      <c r="F27" s="7">
        <v>44041</v>
      </c>
      <c r="G27" s="83" t="str">
        <f>IFERROR(INDEX('lot réclamés'!$B$2:$B$199,MATCH(A27,'lot réclamés'!$A$2:$A$199,0)),"")</f>
        <v/>
      </c>
      <c r="H27" s="7">
        <f t="shared" si="0"/>
        <v>44039</v>
      </c>
      <c r="I27" s="2" t="s">
        <v>86</v>
      </c>
      <c r="J27" s="21" t="str">
        <f t="shared" ca="1" si="1"/>
        <v>-4</v>
      </c>
      <c r="K27" s="21">
        <f t="shared" ca="1" si="2"/>
        <v>2</v>
      </c>
      <c r="L27" s="22">
        <f>IF(ISBLANK(A27),"",INDEX('données plan-article-opérateurs'!$B$2:$B$318,MATCH(B27,'données plan-article-opérateurs'!$A$2:$A$318,0)))</f>
        <v>600</v>
      </c>
      <c r="U27" s="82"/>
      <c r="V27" s="82"/>
      <c r="W27" s="82"/>
      <c r="X27" s="82"/>
      <c r="Y27" s="82"/>
      <c r="Z27" s="82"/>
      <c r="AA27" s="82"/>
    </row>
    <row r="28" spans="1:28">
      <c r="A28" t="s">
        <v>684</v>
      </c>
      <c r="B28" t="s">
        <v>696</v>
      </c>
      <c r="C28" t="s">
        <v>203</v>
      </c>
      <c r="D28" t="s">
        <v>685</v>
      </c>
      <c r="E28" s="7">
        <v>44036.458923611113</v>
      </c>
      <c r="F28" s="7">
        <v>44041</v>
      </c>
      <c r="G28" s="83" t="str">
        <f>IFERROR(INDEX('lot réclamés'!$B$2:$B$199,MATCH(A28,'lot réclamés'!$A$2:$A$199,0)),"")</f>
        <v/>
      </c>
      <c r="H28" s="7">
        <f t="shared" si="0"/>
        <v>44041</v>
      </c>
      <c r="J28" s="21" t="str">
        <f t="shared" ca="1" si="1"/>
        <v>-4</v>
      </c>
      <c r="K28" s="21">
        <f t="shared" ca="1" si="2"/>
        <v>1</v>
      </c>
      <c r="L28" s="22">
        <f>IF(ISBLANK(A28),"",INDEX('données plan-article-opérateurs'!$B$2:$B$318,MATCH(B28,'données plan-article-opérateurs'!$A$2:$A$318,0)))</f>
        <v>0</v>
      </c>
      <c r="U28" s="82"/>
      <c r="V28" s="82"/>
      <c r="W28" s="82"/>
      <c r="X28" s="82"/>
      <c r="Y28" s="82"/>
      <c r="Z28" s="82"/>
      <c r="AA28" s="82"/>
    </row>
    <row r="29" spans="1:28">
      <c r="A29" t="s">
        <v>621</v>
      </c>
      <c r="B29" t="s">
        <v>642</v>
      </c>
      <c r="C29" s="2" t="s">
        <v>203</v>
      </c>
      <c r="D29" t="s">
        <v>622</v>
      </c>
      <c r="E29" s="7">
        <v>44035.393194444441</v>
      </c>
      <c r="F29" s="7">
        <v>44040</v>
      </c>
      <c r="G29" s="83" t="str">
        <f>IFERROR(INDEX('lot réclamés'!$B$2:$B$199,MATCH(A29,'lot réclamés'!$A$2:$A$199,0)),"")</f>
        <v/>
      </c>
      <c r="H29" s="7">
        <f t="shared" si="0"/>
        <v>44039</v>
      </c>
      <c r="I29" s="2"/>
      <c r="J29" s="21" t="str">
        <f t="shared" ca="1" si="1"/>
        <v>-3</v>
      </c>
      <c r="K29" s="21">
        <f t="shared" ca="1" si="2"/>
        <v>2</v>
      </c>
      <c r="L29" s="22">
        <f>IF(ISBLANK(A29),"",INDEX('données plan-article-opérateurs'!$B$2:$B$318,MATCH(B29,'données plan-article-opérateurs'!$A$2:$A$318,0)))</f>
        <v>150</v>
      </c>
      <c r="U29" s="82"/>
      <c r="V29" s="82"/>
      <c r="W29" s="82"/>
      <c r="X29" s="82"/>
      <c r="Y29" s="82"/>
      <c r="Z29" s="82"/>
      <c r="AA29" s="82"/>
    </row>
    <row r="30" spans="1:28">
      <c r="A30" t="s">
        <v>558</v>
      </c>
      <c r="B30" t="s">
        <v>582</v>
      </c>
      <c r="C30" t="s">
        <v>220</v>
      </c>
      <c r="D30" t="s">
        <v>559</v>
      </c>
      <c r="E30" s="7">
        <v>44033.445671296293</v>
      </c>
      <c r="F30" s="7">
        <v>44043</v>
      </c>
      <c r="G30" s="83" t="str">
        <f>IFERROR(INDEX('lot réclamés'!$B$2:$B$199,MATCH(A30,'lot réclamés'!$A$2:$A$199,0)),"")</f>
        <v/>
      </c>
      <c r="H30" s="7">
        <f t="shared" si="0"/>
        <v>44042</v>
      </c>
      <c r="I30" t="s">
        <v>88</v>
      </c>
      <c r="J30" s="21" t="str">
        <f t="shared" ca="1" si="1"/>
        <v>-6</v>
      </c>
      <c r="K30" s="21">
        <f t="shared" ca="1" si="2"/>
        <v>4</v>
      </c>
      <c r="L30" s="22">
        <f>IF(ISBLANK(A30),"",INDEX('données plan-article-opérateurs'!$B$2:$B$318,MATCH(B30,'données plan-article-opérateurs'!$A$2:$A$318,0)))</f>
        <v>60</v>
      </c>
    </row>
    <row r="31" spans="1:28">
      <c r="A31" s="2" t="s">
        <v>600</v>
      </c>
      <c r="B31" t="s">
        <v>641</v>
      </c>
      <c r="C31" s="2" t="s">
        <v>203</v>
      </c>
      <c r="D31" t="s">
        <v>601</v>
      </c>
      <c r="E31" s="7">
        <v>44034.561944444446</v>
      </c>
      <c r="F31" s="7">
        <v>44040</v>
      </c>
      <c r="G31" s="83" t="str">
        <f>IFERROR(INDEX('lot réclamés'!$B$2:$B$199,MATCH(A31,'lot réclamés'!$A$2:$A$199,0)),"")</f>
        <v/>
      </c>
      <c r="H31" s="7">
        <f t="shared" si="0"/>
        <v>44039</v>
      </c>
      <c r="J31" s="21" t="str">
        <f t="shared" ca="1" si="1"/>
        <v>-3</v>
      </c>
      <c r="K31" s="21">
        <f t="shared" ca="1" si="2"/>
        <v>3</v>
      </c>
      <c r="L31" s="22">
        <f>IF(ISBLANK(A31),"",INDEX('données plan-article-opérateurs'!$B$2:$B$318,MATCH(B31,'données plan-article-opérateurs'!$A$2:$A$318,0)))</f>
        <v>40</v>
      </c>
    </row>
    <row r="32" spans="1:28">
      <c r="A32" t="s">
        <v>635</v>
      </c>
      <c r="B32" t="s">
        <v>47</v>
      </c>
      <c r="C32" s="2" t="s">
        <v>275</v>
      </c>
      <c r="D32" t="s">
        <v>636</v>
      </c>
      <c r="E32" s="7">
        <v>44035.392384259256</v>
      </c>
      <c r="F32" s="7">
        <v>44025</v>
      </c>
      <c r="G32" s="83" t="str">
        <f>IFERROR(INDEX('lot réclamés'!$B$2:$B$199,MATCH(A32,'lot réclamés'!$A$2:$A$199,0)),"")</f>
        <v/>
      </c>
      <c r="H32" s="7">
        <f t="shared" si="0"/>
        <v>44042</v>
      </c>
      <c r="I32" s="2" t="s">
        <v>91</v>
      </c>
      <c r="J32" s="21" t="str">
        <f t="shared" ca="1" si="1"/>
        <v>+12</v>
      </c>
      <c r="K32" s="21">
        <f t="shared" ca="1" si="2"/>
        <v>2</v>
      </c>
      <c r="L32" s="22">
        <f>IF(ISBLANK(A32),"",INDEX('données plan-article-opérateurs'!$B$2:$B$318,MATCH(B32,'données plan-article-opérateurs'!$A$2:$A$318,0)))</f>
        <v>150</v>
      </c>
    </row>
    <row r="33" spans="1:12">
      <c r="A33" s="2" t="s">
        <v>682</v>
      </c>
      <c r="B33" t="s">
        <v>695</v>
      </c>
      <c r="C33" t="s">
        <v>275</v>
      </c>
      <c r="D33" t="s">
        <v>683</v>
      </c>
      <c r="E33" s="7">
        <v>44036.45994212963</v>
      </c>
      <c r="F33" s="7">
        <v>44047</v>
      </c>
      <c r="G33" s="83" t="str">
        <f>IFERROR(INDEX('lot réclamés'!$B$2:$B$199,MATCH(A33,'lot réclamés'!$A$2:$A$199,0)),"")</f>
        <v/>
      </c>
      <c r="H33" s="7">
        <f t="shared" si="0"/>
        <v>44047</v>
      </c>
      <c r="I33" s="2"/>
      <c r="J33" s="21" t="str">
        <f t="shared" ca="1" si="1"/>
        <v>-10</v>
      </c>
      <c r="K33" s="21">
        <f t="shared" ca="1" si="2"/>
        <v>1</v>
      </c>
      <c r="L33" s="22">
        <f>IF(ISBLANK(A33),"",INDEX('données plan-article-opérateurs'!$B$2:$B$318,MATCH(B33,'données plan-article-opérateurs'!$A$2:$A$318,0)))</f>
        <v>0</v>
      </c>
    </row>
    <row r="34" spans="1:12">
      <c r="A34" s="2" t="s">
        <v>688</v>
      </c>
      <c r="B34" t="s">
        <v>698</v>
      </c>
      <c r="C34" s="2" t="s">
        <v>275</v>
      </c>
      <c r="D34" t="s">
        <v>690</v>
      </c>
      <c r="E34" s="7">
        <v>44036.361446759256</v>
      </c>
      <c r="F34" s="7">
        <v>44006</v>
      </c>
      <c r="G34" s="83" t="str">
        <f>IFERROR(INDEX('lot réclamés'!$B$2:$B$199,MATCH(A34,'lot réclamés'!$A$2:$A$199,0)),"")</f>
        <v/>
      </c>
      <c r="H34" s="7">
        <f t="shared" si="0"/>
        <v>44043</v>
      </c>
      <c r="I34" s="2" t="s">
        <v>95</v>
      </c>
      <c r="J34" s="21" t="str">
        <f t="shared" ca="1" si="1"/>
        <v>+31</v>
      </c>
      <c r="K34" s="21">
        <f t="shared" ca="1" si="2"/>
        <v>1</v>
      </c>
      <c r="L34" s="22">
        <f>IF(ISBLANK(A34),"",INDEX('données plan-article-opérateurs'!$B$2:$B$318,MATCH(B34,'données plan-article-opérateurs'!$A$2:$A$318,0)))</f>
        <v>0</v>
      </c>
    </row>
    <row r="35" spans="1:12">
      <c r="A35" t="s">
        <v>686</v>
      </c>
      <c r="B35" t="s">
        <v>697</v>
      </c>
      <c r="C35" t="s">
        <v>220</v>
      </c>
      <c r="D35" t="s">
        <v>687</v>
      </c>
      <c r="E35" s="7">
        <v>44036.361909722225</v>
      </c>
      <c r="F35" s="7">
        <v>44027</v>
      </c>
      <c r="G35" s="83" t="str">
        <f>IFERROR(INDEX('lot réclamés'!$B$2:$B$199,MATCH(A35,'lot réclamés'!$A$2:$A$199,0)),"")</f>
        <v/>
      </c>
      <c r="H35" s="7">
        <f t="shared" si="0"/>
        <v>44043</v>
      </c>
      <c r="J35" s="21" t="str">
        <f t="shared" ca="1" si="1"/>
        <v>+10</v>
      </c>
      <c r="K35" s="21">
        <f t="shared" ca="1" si="2"/>
        <v>1</v>
      </c>
      <c r="L35" s="22">
        <f>IF(ISBLANK(A35),"",INDEX('données plan-article-opérateurs'!$B$2:$B$318,MATCH(B35,'données plan-article-opérateurs'!$A$2:$A$318,0)))</f>
        <v>0</v>
      </c>
    </row>
    <row r="36" spans="1:12">
      <c r="A36" t="s">
        <v>348</v>
      </c>
      <c r="B36" t="s">
        <v>349</v>
      </c>
      <c r="C36" t="s">
        <v>203</v>
      </c>
      <c r="D36" t="s">
        <v>350</v>
      </c>
      <c r="E36" s="7">
        <v>44027.484803240739</v>
      </c>
      <c r="F36" s="7">
        <v>43882</v>
      </c>
      <c r="G36" s="83" t="str">
        <f>IFERROR(INDEX('lot réclamés'!$B$2:$B$199,MATCH(A36,'lot réclamés'!$A$2:$A$199,0)),"")</f>
        <v/>
      </c>
      <c r="H36" s="7">
        <f t="shared" si="0"/>
        <v>44034</v>
      </c>
      <c r="J36" s="21" t="str">
        <f t="shared" ca="1" si="1"/>
        <v>+155</v>
      </c>
      <c r="K36" s="21">
        <f t="shared" ca="1" si="2"/>
        <v>10</v>
      </c>
      <c r="L36" s="22">
        <f>IF(ISBLANK(A36),"",INDEX('données plan-article-opérateurs'!$B$2:$B$318,MATCH(B36,'données plan-article-opérateurs'!$A$2:$A$318,0)))</f>
        <v>200</v>
      </c>
    </row>
    <row r="37" spans="1:12">
      <c r="A37" s="11"/>
      <c r="E37" s="7"/>
      <c r="F37" s="7"/>
      <c r="G37" s="83" t="str">
        <f>IFERROR(INDEX('lot réclamés'!$B$2:$B$199,MATCH(A37,'lot réclamés'!$A$2:$A$199,0)),"")</f>
        <v/>
      </c>
      <c r="H37" s="7" t="str">
        <f t="shared" si="0"/>
        <v/>
      </c>
      <c r="J37" s="21" t="str">
        <f t="shared" ca="1" si="1"/>
        <v/>
      </c>
      <c r="K37" s="21" t="str">
        <f t="shared" ca="1" si="2"/>
        <v/>
      </c>
      <c r="L37" s="22" t="str">
        <f>IF(ISBLANK(A37),"",INDEX('données plan-article-opérateurs'!$B$2:$B$318,MATCH(B37,'données plan-article-opérateurs'!$A$2:$A$318,0)))</f>
        <v/>
      </c>
    </row>
    <row r="38" spans="1:12">
      <c r="A38" s="2"/>
      <c r="C38" s="2"/>
      <c r="E38" s="7"/>
      <c r="F38" s="7"/>
      <c r="G38" s="83" t="str">
        <f>IFERROR(INDEX('lot réclamés'!$B$2:$B$199,MATCH(A38,'lot réclamés'!$A$2:$A$199,0)),"")</f>
        <v/>
      </c>
      <c r="H38" s="7" t="str">
        <f t="shared" ref="H38:H69" si="3">IF(ISBLANK(A38),"",IF(G38&lt;&gt;"",WORKDAY(G38,(L38/420)*-1,feries),
IF(LEFT(A38,2)="SC",WORKDAY(E38,1,feries),
IF(E38&gt;F38,WORKDAY(E38,5,feries),
IF(E38&lt;F38,WORKDAY(F38,(L38/420)*-1,feries))))))</f>
        <v/>
      </c>
      <c r="J38" s="21" t="str">
        <f t="shared" ref="J38:J69" ca="1" si="4">IF(ISBLANK(A38),"",IF(F38&gt;=TODAY(),"-"&amp;DATEDIF(TODAY(),F38,"d"),"+"&amp;DATEDIF(F38,TODAY(),"d")))</f>
        <v/>
      </c>
      <c r="K38" s="21" t="str">
        <f t="shared" ref="K38:K69" ca="1" si="5">IF(ISBLANK(A38),"",DATEDIF(E38,TODAY(),"d"))</f>
        <v/>
      </c>
      <c r="L38" s="22" t="str">
        <f>IF(ISBLANK(A38),"",INDEX('données plan-article-opérateurs'!$B$2:$B$318,MATCH(B38,'données plan-article-opérateurs'!$A$2:$A$318,0)))</f>
        <v/>
      </c>
    </row>
    <row r="39" spans="1:12">
      <c r="E39" s="7"/>
      <c r="F39" s="7"/>
      <c r="G39" s="83" t="str">
        <f>IFERROR(INDEX('lot réclamés'!$B$2:$B$199,MATCH(A39,'lot réclamés'!$A$2:$A$199,0)),"")</f>
        <v/>
      </c>
      <c r="H39" s="7" t="str">
        <f t="shared" si="3"/>
        <v/>
      </c>
      <c r="J39" s="21" t="str">
        <f t="shared" ca="1" si="4"/>
        <v/>
      </c>
      <c r="K39" s="21" t="str">
        <f t="shared" ca="1" si="5"/>
        <v/>
      </c>
      <c r="L39" s="22" t="str">
        <f>IF(ISBLANK(A39),"",INDEX('données plan-article-opérateurs'!$B$2:$B$318,MATCH(B39,'données plan-article-opérateurs'!$A$2:$A$318,0)))</f>
        <v/>
      </c>
    </row>
    <row r="40" spans="1:12">
      <c r="A40" s="2"/>
      <c r="E40" s="7"/>
      <c r="F40" s="7"/>
      <c r="G40" s="83" t="str">
        <f>IFERROR(INDEX('lot réclamés'!$B$2:$B$199,MATCH(A40,'lot réclamés'!$A$2:$A$199,0)),"")</f>
        <v/>
      </c>
      <c r="H40" s="7" t="str">
        <f t="shared" si="3"/>
        <v/>
      </c>
      <c r="I40" s="2"/>
      <c r="J40" s="21" t="str">
        <f t="shared" ca="1" si="4"/>
        <v/>
      </c>
      <c r="K40" s="21" t="str">
        <f t="shared" ca="1" si="5"/>
        <v/>
      </c>
      <c r="L40" s="22" t="str">
        <f>IF(ISBLANK(A40),"",INDEX('données plan-article-opérateurs'!$B$2:$B$318,MATCH(B40,'données plan-article-opérateurs'!$A$2:$A$318,0)))</f>
        <v/>
      </c>
    </row>
    <row r="41" spans="1:12">
      <c r="A41" s="2"/>
      <c r="C41" s="2"/>
      <c r="E41" s="7"/>
      <c r="F41" s="7"/>
      <c r="G41" s="83" t="str">
        <f>IFERROR(INDEX('lot réclamés'!$B$2:$B$199,MATCH(A41,'lot réclamés'!$A$2:$A$199,0)),"")</f>
        <v/>
      </c>
      <c r="H41" s="7" t="str">
        <f t="shared" si="3"/>
        <v/>
      </c>
      <c r="J41" s="21" t="str">
        <f t="shared" ca="1" si="4"/>
        <v/>
      </c>
      <c r="K41" s="21" t="str">
        <f t="shared" ca="1" si="5"/>
        <v/>
      </c>
      <c r="L41" s="22" t="str">
        <f>IF(ISBLANK(A41),"",INDEX('données plan-article-opérateurs'!$B$2:$B$318,MATCH(B41,'données plan-article-opérateurs'!$A$2:$A$318,0)))</f>
        <v/>
      </c>
    </row>
    <row r="42" spans="1:12">
      <c r="A42" s="2"/>
      <c r="C42" s="2"/>
      <c r="E42" s="7"/>
      <c r="F42" s="7"/>
      <c r="G42" s="83" t="str">
        <f>IFERROR(INDEX('lot réclamés'!$B$2:$B$199,MATCH(A42,'lot réclamés'!$A$2:$A$199,0)),"")</f>
        <v/>
      </c>
      <c r="H42" s="7" t="str">
        <f t="shared" si="3"/>
        <v/>
      </c>
      <c r="J42" s="21" t="str">
        <f t="shared" ca="1" si="4"/>
        <v/>
      </c>
      <c r="K42" s="21" t="str">
        <f t="shared" ca="1" si="5"/>
        <v/>
      </c>
      <c r="L42" s="22" t="str">
        <f>IF(ISBLANK(A42),"",INDEX('données plan-article-opérateurs'!$B$2:$B$318,MATCH(B42,'données plan-article-opérateurs'!$A$2:$A$318,0)))</f>
        <v/>
      </c>
    </row>
    <row r="43" spans="1:12">
      <c r="E43" s="7"/>
      <c r="F43" s="7"/>
      <c r="G43" s="83" t="str">
        <f>IFERROR(INDEX('lot réclamés'!$B$2:$B$199,MATCH(A43,'lot réclamés'!$A$2:$A$199,0)),"")</f>
        <v/>
      </c>
      <c r="H43" s="7" t="str">
        <f t="shared" si="3"/>
        <v/>
      </c>
      <c r="J43" s="21" t="str">
        <f t="shared" ca="1" si="4"/>
        <v/>
      </c>
      <c r="K43" s="21" t="str">
        <f t="shared" ca="1" si="5"/>
        <v/>
      </c>
      <c r="L43" s="22" t="str">
        <f>IF(ISBLANK(A43),"",INDEX('données plan-article-opérateurs'!$B$2:$B$318,MATCH(B43,'données plan-article-opérateurs'!$A$2:$A$318,0)))</f>
        <v/>
      </c>
    </row>
    <row r="44" spans="1:12">
      <c r="E44" s="7"/>
      <c r="F44" s="7"/>
      <c r="G44" s="83" t="str">
        <f>IFERROR(INDEX('lot réclamés'!$B$2:$B$199,MATCH(A44,'lot réclamés'!$A$2:$A$199,0)),"")</f>
        <v/>
      </c>
      <c r="H44" s="7" t="str">
        <f t="shared" si="3"/>
        <v/>
      </c>
      <c r="J44" s="21" t="str">
        <f t="shared" ca="1" si="4"/>
        <v/>
      </c>
      <c r="K44" s="21" t="str">
        <f t="shared" ca="1" si="5"/>
        <v/>
      </c>
      <c r="L44" s="22" t="str">
        <f>IF(ISBLANK(A44),"",INDEX('données plan-article-opérateurs'!$B$2:$B$318,MATCH(B44,'données plan-article-opérateurs'!$A$2:$A$318,0)))</f>
        <v/>
      </c>
    </row>
    <row r="45" spans="1:12">
      <c r="E45" s="7"/>
      <c r="F45" s="7"/>
      <c r="G45" s="83" t="str">
        <f>IFERROR(INDEX('lot réclamés'!$B$2:$B$199,MATCH(A45,'lot réclamés'!$A$2:$A$199,0)),"")</f>
        <v/>
      </c>
      <c r="H45" s="7" t="str">
        <f t="shared" si="3"/>
        <v/>
      </c>
      <c r="J45" s="21" t="str">
        <f t="shared" ca="1" si="4"/>
        <v/>
      </c>
      <c r="K45" s="21" t="str">
        <f t="shared" ca="1" si="5"/>
        <v/>
      </c>
      <c r="L45" s="22" t="str">
        <f>IF(ISBLANK(A45),"",INDEX('données plan-article-opérateurs'!$B$2:$B$318,MATCH(B45,'données plan-article-opérateurs'!$A$2:$A$318,0)))</f>
        <v/>
      </c>
    </row>
    <row r="46" spans="1:12">
      <c r="E46" s="7"/>
      <c r="F46" s="7"/>
      <c r="G46" s="83" t="str">
        <f>IFERROR(INDEX('lot réclamés'!$B$2:$B$199,MATCH(A46,'lot réclamés'!$A$2:$A$199,0)),"")</f>
        <v/>
      </c>
      <c r="H46" s="7" t="str">
        <f t="shared" si="3"/>
        <v/>
      </c>
      <c r="J46" s="21" t="str">
        <f t="shared" ca="1" si="4"/>
        <v/>
      </c>
      <c r="K46" s="21" t="str">
        <f t="shared" ca="1" si="5"/>
        <v/>
      </c>
      <c r="L46" s="22" t="str">
        <f>IF(ISBLANK(A46),"",INDEX('données plan-article-opérateurs'!$B$2:$B$318,MATCH(B46,'données plan-article-opérateurs'!$A$2:$A$318,0)))</f>
        <v/>
      </c>
    </row>
    <row r="47" spans="1:12">
      <c r="E47" s="7"/>
      <c r="F47" s="7"/>
      <c r="G47" s="83" t="str">
        <f>IFERROR(INDEX('lot réclamés'!$B$2:$B$199,MATCH(A47,'lot réclamés'!$A$2:$A$199,0)),"")</f>
        <v/>
      </c>
      <c r="H47" s="7" t="str">
        <f t="shared" si="3"/>
        <v/>
      </c>
      <c r="I47" s="2"/>
      <c r="J47" s="21" t="str">
        <f t="shared" ca="1" si="4"/>
        <v/>
      </c>
      <c r="K47" s="21" t="str">
        <f t="shared" ca="1" si="5"/>
        <v/>
      </c>
      <c r="L47" s="22" t="str">
        <f>IF(ISBLANK(A47),"",INDEX('données plan-article-opérateurs'!$B$2:$B$318,MATCH(B47,'données plan-article-opérateurs'!$A$2:$A$318,0)))</f>
        <v/>
      </c>
    </row>
    <row r="48" spans="1:12">
      <c r="E48" s="7"/>
      <c r="F48" s="7"/>
      <c r="G48" s="83" t="str">
        <f>IFERROR(INDEX('lot réclamés'!$B$2:$B$199,MATCH(A48,'lot réclamés'!$A$2:$A$199,0)),"")</f>
        <v/>
      </c>
      <c r="H48" s="7" t="str">
        <f t="shared" si="3"/>
        <v/>
      </c>
      <c r="J48" s="21" t="str">
        <f t="shared" ca="1" si="4"/>
        <v/>
      </c>
      <c r="K48" s="21" t="str">
        <f t="shared" ca="1" si="5"/>
        <v/>
      </c>
      <c r="L48" s="22" t="str">
        <f>IF(ISBLANK(A48),"",INDEX('données plan-article-opérateurs'!$B$2:$B$318,MATCH(B48,'données plan-article-opérateurs'!$A$2:$A$318,0)))</f>
        <v/>
      </c>
    </row>
    <row r="49" spans="5:19">
      <c r="E49" s="7"/>
      <c r="F49" s="7"/>
      <c r="G49" s="83" t="str">
        <f>IFERROR(INDEX('lot réclamés'!$B$2:$B$199,MATCH(A49,'lot réclamés'!$A$2:$A$199,0)),"")</f>
        <v/>
      </c>
      <c r="H49" s="7" t="str">
        <f t="shared" si="3"/>
        <v/>
      </c>
      <c r="I49" s="2"/>
      <c r="J49" s="21" t="str">
        <f t="shared" ca="1" si="4"/>
        <v/>
      </c>
      <c r="K49" s="21" t="str">
        <f t="shared" ca="1" si="5"/>
        <v/>
      </c>
      <c r="L49" s="22" t="str">
        <f>IF(ISBLANK(A49),"",INDEX('données plan-article-opérateurs'!$B$2:$B$318,MATCH(B49,'données plan-article-opérateurs'!$A$2:$A$318,0)))</f>
        <v/>
      </c>
    </row>
    <row r="50" spans="5:19">
      <c r="E50" s="7"/>
      <c r="F50" s="7"/>
      <c r="G50" s="83" t="str">
        <f>IFERROR(INDEX('lot réclamés'!$B$2:$B$199,MATCH(A50,'lot réclamés'!$A$2:$A$199,0)),"")</f>
        <v/>
      </c>
      <c r="H50" s="7" t="str">
        <f t="shared" si="3"/>
        <v/>
      </c>
      <c r="J50" s="21" t="str">
        <f t="shared" ca="1" si="4"/>
        <v/>
      </c>
      <c r="K50" s="21" t="str">
        <f t="shared" ca="1" si="5"/>
        <v/>
      </c>
      <c r="L50" s="22" t="str">
        <f>IF(ISBLANK(A50),"",INDEX('données plan-article-opérateurs'!$B$2:$B$318,MATCH(B50,'données plan-article-opérateurs'!$A$2:$A$318,0)))</f>
        <v/>
      </c>
    </row>
    <row r="51" spans="5:19">
      <c r="E51" s="7"/>
      <c r="F51" s="7"/>
      <c r="G51" s="83" t="str">
        <f>IFERROR(INDEX('lot réclamés'!$B$2:$B$199,MATCH(A51,'lot réclamés'!$A$2:$A$199,0)),"")</f>
        <v/>
      </c>
      <c r="H51" s="7" t="str">
        <f t="shared" si="3"/>
        <v/>
      </c>
      <c r="J51" s="21" t="str">
        <f t="shared" ca="1" si="4"/>
        <v/>
      </c>
      <c r="K51" s="21" t="str">
        <f t="shared" ca="1" si="5"/>
        <v/>
      </c>
      <c r="L51" s="22" t="str">
        <f>IF(ISBLANK(A51),"",INDEX('données plan-article-opérateurs'!$B$2:$B$318,MATCH(B51,'données plan-article-opérateurs'!$A$2:$A$318,0)))</f>
        <v/>
      </c>
    </row>
    <row r="52" spans="5:19">
      <c r="E52" s="7"/>
      <c r="F52" s="7"/>
      <c r="G52" s="83" t="str">
        <f>IFERROR(INDEX('lot réclamés'!$B$2:$B$199,MATCH(A52,'lot réclamés'!$A$2:$A$199,0)),"")</f>
        <v/>
      </c>
      <c r="H52" s="7" t="str">
        <f t="shared" si="3"/>
        <v/>
      </c>
      <c r="J52" s="21" t="str">
        <f t="shared" ca="1" si="4"/>
        <v/>
      </c>
      <c r="K52" s="21" t="str">
        <f t="shared" ca="1" si="5"/>
        <v/>
      </c>
      <c r="L52" s="22" t="str">
        <f>IF(ISBLANK(A52),"",INDEX('données plan-article-opérateurs'!$B$2:$B$318,MATCH(B52,'données plan-article-opérateurs'!$A$2:$A$318,0)))</f>
        <v/>
      </c>
    </row>
    <row r="53" spans="5:19">
      <c r="E53" s="7"/>
      <c r="F53" s="7"/>
      <c r="G53" s="83" t="str">
        <f>IFERROR(INDEX('lot réclamés'!$B$2:$B$199,MATCH(A53,'lot réclamés'!$A$2:$A$199,0)),"")</f>
        <v/>
      </c>
      <c r="H53" s="7" t="str">
        <f t="shared" si="3"/>
        <v/>
      </c>
      <c r="J53" s="21" t="str">
        <f t="shared" ca="1" si="4"/>
        <v/>
      </c>
      <c r="K53" s="21" t="str">
        <f t="shared" ca="1" si="5"/>
        <v/>
      </c>
      <c r="L53" s="22" t="str">
        <f>IF(ISBLANK(A53),"",INDEX('données plan-article-opérateurs'!$B$2:$B$318,MATCH(B53,'données plan-article-opérateurs'!$A$2:$A$318,0)))</f>
        <v/>
      </c>
    </row>
    <row r="54" spans="5:19">
      <c r="E54" s="7"/>
      <c r="F54" s="7"/>
      <c r="G54" s="83" t="str">
        <f>IFERROR(INDEX('lot réclamés'!$B$2:$B$199,MATCH(A54,'lot réclamés'!$A$2:$A$199,0)),"")</f>
        <v/>
      </c>
      <c r="H54" s="7" t="str">
        <f t="shared" si="3"/>
        <v/>
      </c>
      <c r="J54" s="21" t="str">
        <f t="shared" ca="1" si="4"/>
        <v/>
      </c>
      <c r="K54" s="21" t="str">
        <f t="shared" ca="1" si="5"/>
        <v/>
      </c>
      <c r="L54" s="22" t="str">
        <f>IF(ISBLANK(A54),"",INDEX('données plan-article-opérateurs'!$B$2:$B$318,MATCH(B54,'données plan-article-opérateurs'!$A$2:$A$318,0)))</f>
        <v/>
      </c>
    </row>
    <row r="55" spans="5:19">
      <c r="E55" s="7"/>
      <c r="F55" s="7"/>
      <c r="G55" s="83" t="str">
        <f>IFERROR(INDEX('lot réclamés'!$B$2:$B$199,MATCH(A55,'lot réclamés'!$A$2:$A$199,0)),"")</f>
        <v/>
      </c>
      <c r="H55" s="7" t="str">
        <f t="shared" si="3"/>
        <v/>
      </c>
      <c r="J55" s="21" t="str">
        <f t="shared" ca="1" si="4"/>
        <v/>
      </c>
      <c r="K55" s="21" t="str">
        <f t="shared" ca="1" si="5"/>
        <v/>
      </c>
      <c r="L55" s="22" t="str">
        <f>IF(ISBLANK(A55),"",INDEX('données plan-article-opérateurs'!$B$2:$B$318,MATCH(B55,'données plan-article-opérateurs'!$A$2:$A$318,0)))</f>
        <v/>
      </c>
    </row>
    <row r="56" spans="5:19">
      <c r="E56" s="7"/>
      <c r="F56" s="7"/>
      <c r="G56" s="83" t="str">
        <f>IFERROR(INDEX('lot réclamés'!$B$2:$B$199,MATCH(A56,'lot réclamés'!$A$2:$A$199,0)),"")</f>
        <v/>
      </c>
      <c r="H56" s="7" t="str">
        <f t="shared" si="3"/>
        <v/>
      </c>
      <c r="J56" s="21" t="str">
        <f t="shared" ca="1" si="4"/>
        <v/>
      </c>
      <c r="K56" s="21" t="str">
        <f t="shared" ca="1" si="5"/>
        <v/>
      </c>
      <c r="L56" s="22" t="str">
        <f>IF(ISBLANK(A56),"",INDEX('données plan-article-opérateurs'!$B$2:$B$318,MATCH(B56,'données plan-article-opérateurs'!$A$2:$A$318,0)))</f>
        <v/>
      </c>
    </row>
    <row r="57" spans="5:19">
      <c r="E57" s="7"/>
      <c r="F57" s="7"/>
      <c r="G57" s="83" t="str">
        <f>IFERROR(INDEX('lot réclamés'!$B$2:$B$199,MATCH(A57,'lot réclamés'!$A$2:$A$199,0)),"")</f>
        <v/>
      </c>
      <c r="H57" s="7" t="str">
        <f t="shared" si="3"/>
        <v/>
      </c>
      <c r="I57" s="2"/>
      <c r="J57" s="21" t="str">
        <f t="shared" ca="1" si="4"/>
        <v/>
      </c>
      <c r="K57" s="21" t="str">
        <f t="shared" ca="1" si="5"/>
        <v/>
      </c>
      <c r="L57" s="22" t="str">
        <f>IF(ISBLANK(A57),"",INDEX('données plan-article-opérateurs'!$B$2:$B$318,MATCH(B57,'données plan-article-opérateurs'!$A$2:$A$318,0)))</f>
        <v/>
      </c>
    </row>
    <row r="58" spans="5:19">
      <c r="E58" s="7"/>
      <c r="F58" s="7"/>
      <c r="G58" s="83" t="str">
        <f>IFERROR(INDEX('lot réclamés'!$B$2:$B$199,MATCH(A58,'lot réclamés'!$A$2:$A$199,0)),"")</f>
        <v/>
      </c>
      <c r="H58" s="7" t="str">
        <f t="shared" si="3"/>
        <v/>
      </c>
      <c r="J58" s="21" t="str">
        <f t="shared" ca="1" si="4"/>
        <v/>
      </c>
      <c r="K58" s="21" t="str">
        <f t="shared" ca="1" si="5"/>
        <v/>
      </c>
      <c r="L58" s="22" t="str">
        <f>IF(ISBLANK(A58),"",INDEX('données plan-article-opérateurs'!$B$2:$B$318,MATCH(B58,'données plan-article-opérateurs'!$A$2:$A$318,0)))</f>
        <v/>
      </c>
    </row>
    <row r="59" spans="5:19">
      <c r="E59" s="7"/>
      <c r="F59" s="7"/>
      <c r="G59" s="83" t="str">
        <f>IFERROR(INDEX('lot réclamés'!$B$2:$B$199,MATCH(A59,'lot réclamés'!$A$2:$A$199,0)),"")</f>
        <v/>
      </c>
      <c r="H59" s="7" t="str">
        <f t="shared" si="3"/>
        <v/>
      </c>
      <c r="J59" s="21" t="str">
        <f t="shared" ca="1" si="4"/>
        <v/>
      </c>
      <c r="K59" s="21" t="str">
        <f t="shared" ca="1" si="5"/>
        <v/>
      </c>
      <c r="L59" s="22" t="str">
        <f>IF(ISBLANK(A59),"",INDEX('données plan-article-opérateurs'!$B$2:$B$318,MATCH(B59,'données plan-article-opérateurs'!$A$2:$A$318,0)))</f>
        <v/>
      </c>
    </row>
    <row r="60" spans="5:19">
      <c r="E60" s="7"/>
      <c r="F60" s="7"/>
      <c r="G60" s="83" t="str">
        <f>IFERROR(INDEX('lot réclamés'!$B$2:$B$199,MATCH(A60,'lot réclamés'!$A$2:$A$199,0)),"")</f>
        <v/>
      </c>
      <c r="H60" s="7" t="str">
        <f t="shared" si="3"/>
        <v/>
      </c>
      <c r="J60" s="21" t="str">
        <f t="shared" ca="1" si="4"/>
        <v/>
      </c>
      <c r="K60" s="21" t="str">
        <f t="shared" ca="1" si="5"/>
        <v/>
      </c>
      <c r="L60" s="22" t="str">
        <f>IF(ISBLANK(A60),"",INDEX('données plan-article-opérateurs'!$B$2:$B$318,MATCH(B60,'données plan-article-opérateurs'!$A$2:$A$318,0)))</f>
        <v/>
      </c>
      <c r="S60" s="2"/>
    </row>
    <row r="61" spans="5:19">
      <c r="E61" s="7"/>
      <c r="F61" s="7"/>
      <c r="G61" s="83" t="str">
        <f>IFERROR(INDEX('lot réclamés'!$B$2:$B$199,MATCH(A61,'lot réclamés'!$A$2:$A$199,0)),"")</f>
        <v/>
      </c>
      <c r="H61" s="7" t="str">
        <f t="shared" si="3"/>
        <v/>
      </c>
      <c r="J61" s="21" t="str">
        <f t="shared" ca="1" si="4"/>
        <v/>
      </c>
      <c r="K61" s="21" t="str">
        <f t="shared" ca="1" si="5"/>
        <v/>
      </c>
      <c r="L61" s="22" t="str">
        <f>IF(ISBLANK(A61),"",INDEX('données plan-article-opérateurs'!$B$2:$B$318,MATCH(B61,'données plan-article-opérateurs'!$A$2:$A$318,0)))</f>
        <v/>
      </c>
    </row>
    <row r="62" spans="5:19">
      <c r="E62" s="7"/>
      <c r="F62" s="7"/>
      <c r="G62" s="83" t="str">
        <f>IFERROR(INDEX('lot réclamés'!$B$2:$B$199,MATCH(A62,'lot réclamés'!$A$2:$A$199,0)),"")</f>
        <v/>
      </c>
      <c r="H62" s="7" t="str">
        <f t="shared" si="3"/>
        <v/>
      </c>
      <c r="J62" s="21" t="str">
        <f t="shared" ca="1" si="4"/>
        <v/>
      </c>
      <c r="K62" s="21" t="str">
        <f t="shared" ca="1" si="5"/>
        <v/>
      </c>
      <c r="L62" s="22" t="str">
        <f>IF(ISBLANK(A62),"",INDEX('données plan-article-opérateurs'!$B$2:$B$318,MATCH(B62,'données plan-article-opérateurs'!$A$2:$A$318,0)))</f>
        <v/>
      </c>
    </row>
    <row r="63" spans="5:19">
      <c r="E63" s="7"/>
      <c r="F63" s="7"/>
      <c r="G63" s="83" t="str">
        <f>IFERROR(INDEX('lot réclamés'!$B$2:$B$199,MATCH(A63,'lot réclamés'!$A$2:$A$199,0)),"")</f>
        <v/>
      </c>
      <c r="H63" s="7" t="str">
        <f t="shared" si="3"/>
        <v/>
      </c>
      <c r="J63" s="21" t="str">
        <f t="shared" ca="1" si="4"/>
        <v/>
      </c>
      <c r="K63" s="21" t="str">
        <f t="shared" ca="1" si="5"/>
        <v/>
      </c>
      <c r="L63" s="22" t="str">
        <f>IF(ISBLANK(A63),"",INDEX('données plan-article-opérateurs'!$B$2:$B$318,MATCH(B63,'données plan-article-opérateurs'!$A$2:$A$318,0)))</f>
        <v/>
      </c>
    </row>
    <row r="64" spans="5:19">
      <c r="E64" s="7"/>
      <c r="F64" s="7"/>
      <c r="G64" s="83" t="str">
        <f>IFERROR(INDEX('lot réclamés'!$B$2:$B$199,MATCH(A64,'lot réclamés'!$A$2:$A$199,0)),"")</f>
        <v/>
      </c>
      <c r="H64" s="7" t="str">
        <f t="shared" si="3"/>
        <v/>
      </c>
      <c r="J64" s="21" t="str">
        <f t="shared" ca="1" si="4"/>
        <v/>
      </c>
      <c r="K64" s="21" t="str">
        <f t="shared" ca="1" si="5"/>
        <v/>
      </c>
      <c r="L64" s="22" t="str">
        <f>IF(ISBLANK(A64),"",INDEX('données plan-article-opérateurs'!$B$2:$B$318,MATCH(B64,'données plan-article-opérateurs'!$A$2:$A$318,0)))</f>
        <v/>
      </c>
    </row>
    <row r="65" spans="5:12">
      <c r="E65" s="7"/>
      <c r="F65" s="7"/>
      <c r="G65" s="83" t="str">
        <f>IFERROR(INDEX('lot réclamés'!$B$2:$B$199,MATCH(A65,'lot réclamés'!$A$2:$A$199,0)),"")</f>
        <v/>
      </c>
      <c r="H65" s="7" t="str">
        <f t="shared" si="3"/>
        <v/>
      </c>
      <c r="J65" s="21" t="str">
        <f t="shared" ca="1" si="4"/>
        <v/>
      </c>
      <c r="K65" s="21" t="str">
        <f t="shared" ca="1" si="5"/>
        <v/>
      </c>
      <c r="L65" s="22" t="str">
        <f>IF(ISBLANK(A65),"",INDEX('données plan-article-opérateurs'!$B$2:$B$318,MATCH(B65,'données plan-article-opérateurs'!$A$2:$A$318,0)))</f>
        <v/>
      </c>
    </row>
    <row r="66" spans="5:12">
      <c r="E66" s="7"/>
      <c r="F66" s="7"/>
      <c r="G66" s="83" t="str">
        <f>IFERROR(INDEX('lot réclamés'!$B$2:$B$199,MATCH(A66,'lot réclamés'!$A$2:$A$199,0)),"")</f>
        <v/>
      </c>
      <c r="H66" s="7" t="str">
        <f t="shared" si="3"/>
        <v/>
      </c>
      <c r="J66" s="21" t="str">
        <f t="shared" ca="1" si="4"/>
        <v/>
      </c>
      <c r="K66" s="21" t="str">
        <f t="shared" ca="1" si="5"/>
        <v/>
      </c>
      <c r="L66" s="22" t="str">
        <f>IF(ISBLANK(A66),"",INDEX('données plan-article-opérateurs'!$B$2:$B$318,MATCH(B66,'données plan-article-opérateurs'!$A$2:$A$318,0)))</f>
        <v/>
      </c>
    </row>
    <row r="67" spans="5:12">
      <c r="E67" s="7"/>
      <c r="F67" s="7"/>
      <c r="G67" s="83" t="str">
        <f>IFERROR(INDEX('lot réclamés'!$B$2:$B$199,MATCH(A67,'lot réclamés'!$A$2:$A$199,0)),"")</f>
        <v/>
      </c>
      <c r="H67" s="7" t="str">
        <f t="shared" si="3"/>
        <v/>
      </c>
      <c r="J67" s="21" t="str">
        <f t="shared" ca="1" si="4"/>
        <v/>
      </c>
      <c r="K67" s="21" t="str">
        <f t="shared" ca="1" si="5"/>
        <v/>
      </c>
      <c r="L67" s="22" t="str">
        <f>IF(ISBLANK(A67),"",INDEX('données plan-article-opérateurs'!$B$2:$B$318,MATCH(B67,'données plan-article-opérateurs'!$A$2:$A$318,0)))</f>
        <v/>
      </c>
    </row>
    <row r="68" spans="5:12">
      <c r="E68" s="7"/>
      <c r="F68" s="7"/>
      <c r="G68" s="83" t="str">
        <f>IFERROR(INDEX('lot réclamés'!$B$2:$B$199,MATCH(A68,'lot réclamés'!$A$2:$A$199,0)),"")</f>
        <v/>
      </c>
      <c r="H68" s="7" t="str">
        <f t="shared" si="3"/>
        <v/>
      </c>
      <c r="J68" s="21" t="str">
        <f t="shared" ca="1" si="4"/>
        <v/>
      </c>
      <c r="K68" s="21" t="str">
        <f t="shared" ca="1" si="5"/>
        <v/>
      </c>
      <c r="L68" s="22" t="str">
        <f>IF(ISBLANK(A68),"",INDEX('données plan-article-opérateurs'!$B$2:$B$318,MATCH(B68,'données plan-article-opérateurs'!$A$2:$A$318,0)))</f>
        <v/>
      </c>
    </row>
    <row r="69" spans="5:12">
      <c r="E69" s="7"/>
      <c r="F69" s="7"/>
      <c r="G69" s="83" t="str">
        <f>IFERROR(INDEX('lot réclamés'!$B$2:$B$199,MATCH(A69,'lot réclamés'!$A$2:$A$199,0)),"")</f>
        <v/>
      </c>
      <c r="H69" s="7" t="str">
        <f t="shared" si="3"/>
        <v/>
      </c>
      <c r="J69" s="21" t="str">
        <f t="shared" ca="1" si="4"/>
        <v/>
      </c>
      <c r="K69" s="21" t="str">
        <f t="shared" ca="1" si="5"/>
        <v/>
      </c>
      <c r="L69" s="22" t="str">
        <f>IF(ISBLANK(A69),"",INDEX('données plan-article-opérateurs'!$B$2:$B$318,MATCH(B69,'données plan-article-opérateurs'!$A$2:$A$318,0)))</f>
        <v/>
      </c>
    </row>
    <row r="70" spans="5:12">
      <c r="E70" s="7"/>
      <c r="F70" s="7"/>
      <c r="G70" s="83" t="str">
        <f>IFERROR(INDEX('lot réclamés'!$B$2:$B$199,MATCH(A70,'lot réclamés'!$A$2:$A$199,0)),"")</f>
        <v/>
      </c>
      <c r="H70" s="7" t="str">
        <f t="shared" ref="H70:H101" si="6">IF(ISBLANK(A70),"",IF(G70&lt;&gt;"",WORKDAY(G70,(L70/420)*-1,feries),
IF(LEFT(A70,2)="SC",WORKDAY(E70,1,feries),
IF(E70&gt;F70,WORKDAY(E70,5,feries),
IF(E70&lt;F70,WORKDAY(F70,(L70/420)*-1,feries))))))</f>
        <v/>
      </c>
      <c r="J70" s="21" t="str">
        <f t="shared" ref="J70:J101" ca="1" si="7">IF(ISBLANK(A70),"",IF(F70&gt;=TODAY(),"-"&amp;DATEDIF(TODAY(),F70,"d"),"+"&amp;DATEDIF(F70,TODAY(),"d")))</f>
        <v/>
      </c>
      <c r="K70" s="21" t="str">
        <f t="shared" ref="K70:K101" ca="1" si="8">IF(ISBLANK(A70),"",DATEDIF(E70,TODAY(),"d"))</f>
        <v/>
      </c>
      <c r="L70" s="22" t="str">
        <f>IF(ISBLANK(A70),"",INDEX('données plan-article-opérateurs'!$B$2:$B$318,MATCH(B70,'données plan-article-opérateurs'!$A$2:$A$318,0)))</f>
        <v/>
      </c>
    </row>
    <row r="71" spans="5:12">
      <c r="E71" s="7"/>
      <c r="F71" s="7"/>
      <c r="G71" s="83" t="str">
        <f>IFERROR(INDEX('lot réclamés'!$B$2:$B$199,MATCH(A71,'lot réclamés'!$A$2:$A$199,0)),"")</f>
        <v/>
      </c>
      <c r="H71" s="7" t="str">
        <f t="shared" si="6"/>
        <v/>
      </c>
      <c r="J71" s="21" t="str">
        <f t="shared" ca="1" si="7"/>
        <v/>
      </c>
      <c r="K71" s="21" t="str">
        <f t="shared" ca="1" si="8"/>
        <v/>
      </c>
      <c r="L71" s="22" t="str">
        <f>IF(ISBLANK(A71),"",INDEX('données plan-article-opérateurs'!$B$2:$B$318,MATCH(B71,'données plan-article-opérateurs'!$A$2:$A$318,0)))</f>
        <v/>
      </c>
    </row>
    <row r="72" spans="5:12">
      <c r="E72" s="7"/>
      <c r="F72" s="7"/>
      <c r="G72" s="83" t="str">
        <f>IFERROR(INDEX('lot réclamés'!$B$2:$B$199,MATCH(A72,'lot réclamés'!$A$2:$A$199,0)),"")</f>
        <v/>
      </c>
      <c r="H72" s="7" t="str">
        <f t="shared" si="6"/>
        <v/>
      </c>
      <c r="J72" s="21" t="str">
        <f t="shared" ca="1" si="7"/>
        <v/>
      </c>
      <c r="K72" s="21" t="str">
        <f t="shared" ca="1" si="8"/>
        <v/>
      </c>
      <c r="L72" s="22" t="str">
        <f>IF(ISBLANK(A72),"",INDEX('données plan-article-opérateurs'!$B$2:$B$318,MATCH(B72,'données plan-article-opérateurs'!$A$2:$A$318,0)))</f>
        <v/>
      </c>
    </row>
    <row r="73" spans="5:12">
      <c r="E73" s="7"/>
      <c r="F73" s="7"/>
      <c r="G73" s="83" t="str">
        <f>IFERROR(INDEX('lot réclamés'!$B$2:$B$199,MATCH(A73,'lot réclamés'!$A$2:$A$199,0)),"")</f>
        <v/>
      </c>
      <c r="H73" s="7" t="str">
        <f t="shared" si="6"/>
        <v/>
      </c>
      <c r="J73" s="21" t="str">
        <f t="shared" ca="1" si="7"/>
        <v/>
      </c>
      <c r="K73" s="21" t="str">
        <f t="shared" ca="1" si="8"/>
        <v/>
      </c>
      <c r="L73" s="22" t="str">
        <f>IF(ISBLANK(A73),"",INDEX('données plan-article-opérateurs'!$B$2:$B$318,MATCH(B73,'données plan-article-opérateurs'!$A$2:$A$318,0)))</f>
        <v/>
      </c>
    </row>
    <row r="74" spans="5:12">
      <c r="E74" s="7"/>
      <c r="F74" s="7"/>
      <c r="G74" s="83" t="str">
        <f>IFERROR(INDEX('lot réclamés'!$B$2:$B$199,MATCH(A74,'lot réclamés'!$A$2:$A$199,0)),"")</f>
        <v/>
      </c>
      <c r="H74" s="7" t="str">
        <f t="shared" si="6"/>
        <v/>
      </c>
      <c r="J74" s="21" t="str">
        <f t="shared" ca="1" si="7"/>
        <v/>
      </c>
      <c r="K74" s="21" t="str">
        <f t="shared" ca="1" si="8"/>
        <v/>
      </c>
      <c r="L74" s="22" t="str">
        <f>IF(ISBLANK(A74),"",INDEX('données plan-article-opérateurs'!$B$2:$B$318,MATCH(B74,'données plan-article-opérateurs'!$A$2:$A$318,0)))</f>
        <v/>
      </c>
    </row>
    <row r="75" spans="5:12">
      <c r="E75" s="7"/>
      <c r="F75" s="7"/>
      <c r="G75" s="83" t="str">
        <f>IFERROR(INDEX('lot réclamés'!$B$2:$B$199,MATCH(A75,'lot réclamés'!$A$2:$A$199,0)),"")</f>
        <v/>
      </c>
      <c r="H75" s="7" t="str">
        <f t="shared" si="6"/>
        <v/>
      </c>
      <c r="J75" s="21" t="str">
        <f t="shared" ca="1" si="7"/>
        <v/>
      </c>
      <c r="K75" s="21" t="str">
        <f t="shared" ca="1" si="8"/>
        <v/>
      </c>
      <c r="L75" s="22" t="str">
        <f>IF(ISBLANK(A75),"",INDEX('données plan-article-opérateurs'!$B$2:$B$318,MATCH(B75,'données plan-article-opérateurs'!$A$2:$A$318,0)))</f>
        <v/>
      </c>
    </row>
    <row r="76" spans="5:12">
      <c r="E76" s="7"/>
      <c r="F76" s="7"/>
      <c r="G76" s="83" t="str">
        <f>IFERROR(INDEX('lot réclamés'!$B$2:$B$199,MATCH(A76,'lot réclamés'!$A$2:$A$199,0)),"")</f>
        <v/>
      </c>
      <c r="H76" s="7" t="str">
        <f t="shared" si="6"/>
        <v/>
      </c>
      <c r="J76" s="21" t="str">
        <f t="shared" ca="1" si="7"/>
        <v/>
      </c>
      <c r="K76" s="21" t="str">
        <f t="shared" ca="1" si="8"/>
        <v/>
      </c>
      <c r="L76" s="22" t="str">
        <f>IF(ISBLANK(A76),"",INDEX('données plan-article-opérateurs'!$B$2:$B$318,MATCH(B76,'données plan-article-opérateurs'!$A$2:$A$318,0)))</f>
        <v/>
      </c>
    </row>
    <row r="77" spans="5:12">
      <c r="E77" s="7"/>
      <c r="F77" s="7"/>
      <c r="G77" s="83" t="str">
        <f>IFERROR(INDEX('lot réclamés'!$B$2:$B$199,MATCH(A77,'lot réclamés'!$A$2:$A$199,0)),"")</f>
        <v/>
      </c>
      <c r="H77" s="7" t="str">
        <f t="shared" si="6"/>
        <v/>
      </c>
      <c r="J77" s="21" t="str">
        <f t="shared" ca="1" si="7"/>
        <v/>
      </c>
      <c r="K77" s="21" t="str">
        <f t="shared" ca="1" si="8"/>
        <v/>
      </c>
      <c r="L77" s="22" t="str">
        <f>IF(ISBLANK(A77),"",INDEX('données plan-article-opérateurs'!$B$2:$B$318,MATCH(B77,'données plan-article-opérateurs'!$A$2:$A$318,0)))</f>
        <v/>
      </c>
    </row>
    <row r="78" spans="5:12">
      <c r="E78" s="7"/>
      <c r="F78" s="7"/>
      <c r="G78" s="83" t="str">
        <f>IFERROR(INDEX('lot réclamés'!$B$2:$B$199,MATCH(A78,'lot réclamés'!$A$2:$A$199,0)),"")</f>
        <v/>
      </c>
      <c r="H78" s="7" t="str">
        <f t="shared" si="6"/>
        <v/>
      </c>
      <c r="J78" s="21" t="str">
        <f t="shared" ca="1" si="7"/>
        <v/>
      </c>
      <c r="K78" s="21" t="str">
        <f t="shared" ca="1" si="8"/>
        <v/>
      </c>
      <c r="L78" s="22" t="str">
        <f>IF(ISBLANK(A78),"",INDEX('données plan-article-opérateurs'!$B$2:$B$318,MATCH(B78,'données plan-article-opérateurs'!$A$2:$A$318,0)))</f>
        <v/>
      </c>
    </row>
    <row r="79" spans="5:12">
      <c r="E79" s="7"/>
      <c r="F79" s="7"/>
      <c r="G79" s="83" t="str">
        <f>IFERROR(INDEX('lot réclamés'!$B$2:$B$199,MATCH(A79,'lot réclamés'!$A$2:$A$199,0)),"")</f>
        <v/>
      </c>
      <c r="H79" s="7" t="str">
        <f t="shared" si="6"/>
        <v/>
      </c>
      <c r="J79" s="21" t="str">
        <f t="shared" ca="1" si="7"/>
        <v/>
      </c>
      <c r="K79" s="21" t="str">
        <f t="shared" ca="1" si="8"/>
        <v/>
      </c>
      <c r="L79" s="22" t="str">
        <f>IF(ISBLANK(A79),"",INDEX('données plan-article-opérateurs'!$B$2:$B$318,MATCH(B79,'données plan-article-opérateurs'!$A$2:$A$318,0)))</f>
        <v/>
      </c>
    </row>
    <row r="80" spans="5:12">
      <c r="E80" s="7"/>
      <c r="F80" s="7"/>
      <c r="G80" s="83" t="str">
        <f>IFERROR(INDEX('lot réclamés'!$B$2:$B$199,MATCH(A80,'lot réclamés'!$A$2:$A$199,0)),"")</f>
        <v/>
      </c>
      <c r="H80" s="7" t="str">
        <f t="shared" si="6"/>
        <v/>
      </c>
      <c r="J80" s="21" t="str">
        <f t="shared" ca="1" si="7"/>
        <v/>
      </c>
      <c r="K80" s="21" t="str">
        <f t="shared" ca="1" si="8"/>
        <v/>
      </c>
      <c r="L80" s="22" t="str">
        <f>IF(ISBLANK(A80),"",INDEX('données plan-article-opérateurs'!$B$2:$B$318,MATCH(B80,'données plan-article-opérateurs'!$A$2:$A$318,0)))</f>
        <v/>
      </c>
    </row>
    <row r="81" spans="5:12">
      <c r="E81" s="7"/>
      <c r="F81" s="7"/>
      <c r="G81" s="83" t="str">
        <f>IFERROR(INDEX('lot réclamés'!$B$2:$B$199,MATCH(A81,'lot réclamés'!$A$2:$A$199,0)),"")</f>
        <v/>
      </c>
      <c r="H81" s="7" t="str">
        <f t="shared" si="6"/>
        <v/>
      </c>
      <c r="J81" s="21" t="str">
        <f t="shared" ca="1" si="7"/>
        <v/>
      </c>
      <c r="K81" s="21" t="str">
        <f t="shared" ca="1" si="8"/>
        <v/>
      </c>
      <c r="L81" s="22" t="str">
        <f>IF(ISBLANK(A81),"",INDEX('données plan-article-opérateurs'!$B$2:$B$318,MATCH(B81,'données plan-article-opérateurs'!$A$2:$A$318,0)))</f>
        <v/>
      </c>
    </row>
    <row r="82" spans="5:12">
      <c r="E82" s="7"/>
      <c r="F82" s="7"/>
      <c r="G82" s="83" t="str">
        <f>IFERROR(INDEX('lot réclamés'!$B$2:$B$199,MATCH(A82,'lot réclamés'!$A$2:$A$199,0)),"")</f>
        <v/>
      </c>
      <c r="H82" s="7" t="str">
        <f t="shared" si="6"/>
        <v/>
      </c>
      <c r="J82" s="21" t="str">
        <f t="shared" ca="1" si="7"/>
        <v/>
      </c>
      <c r="K82" s="21" t="str">
        <f t="shared" ca="1" si="8"/>
        <v/>
      </c>
      <c r="L82" s="22" t="str">
        <f>IF(ISBLANK(A82),"",INDEX('données plan-article-opérateurs'!$B$2:$B$318,MATCH(B82,'données plan-article-opérateurs'!$A$2:$A$318,0)))</f>
        <v/>
      </c>
    </row>
    <row r="83" spans="5:12">
      <c r="E83" s="7"/>
      <c r="F83" s="7"/>
      <c r="G83" s="83" t="str">
        <f>IFERROR(INDEX('lot réclamés'!$B$2:$B$199,MATCH(A83,'lot réclamés'!$A$2:$A$199,0)),"")</f>
        <v/>
      </c>
      <c r="H83" s="7" t="str">
        <f t="shared" si="6"/>
        <v/>
      </c>
      <c r="J83" s="21" t="str">
        <f t="shared" ca="1" si="7"/>
        <v/>
      </c>
      <c r="K83" s="21" t="str">
        <f t="shared" ca="1" si="8"/>
        <v/>
      </c>
      <c r="L83" s="22" t="str">
        <f>IF(ISBLANK(A83),"",INDEX('données plan-article-opérateurs'!$B$2:$B$318,MATCH(B83,'données plan-article-opérateurs'!$A$2:$A$318,0)))</f>
        <v/>
      </c>
    </row>
    <row r="84" spans="5:12">
      <c r="E84" s="7"/>
      <c r="F84" s="7"/>
      <c r="G84" s="83" t="str">
        <f>IFERROR(INDEX('lot réclamés'!$B$2:$B$199,MATCH(A84,'lot réclamés'!$A$2:$A$199,0)),"")</f>
        <v/>
      </c>
      <c r="H84" s="7" t="str">
        <f t="shared" si="6"/>
        <v/>
      </c>
      <c r="J84" s="21" t="str">
        <f t="shared" ca="1" si="7"/>
        <v/>
      </c>
      <c r="K84" s="21" t="str">
        <f t="shared" ca="1" si="8"/>
        <v/>
      </c>
      <c r="L84" s="22" t="str">
        <f>IF(ISBLANK(A84),"",INDEX('données plan-article-opérateurs'!$B$2:$B$318,MATCH(B84,'données plan-article-opérateurs'!$A$2:$A$318,0)))</f>
        <v/>
      </c>
    </row>
    <row r="85" spans="5:12">
      <c r="E85" s="7"/>
      <c r="F85" s="7"/>
      <c r="G85" s="83" t="str">
        <f>IFERROR(INDEX('lot réclamés'!$B$2:$B$199,MATCH(A85,'lot réclamés'!$A$2:$A$199,0)),"")</f>
        <v/>
      </c>
      <c r="H85" s="7" t="str">
        <f t="shared" si="6"/>
        <v/>
      </c>
      <c r="J85" s="21" t="str">
        <f t="shared" ca="1" si="7"/>
        <v/>
      </c>
      <c r="K85" s="21" t="str">
        <f t="shared" ca="1" si="8"/>
        <v/>
      </c>
      <c r="L85" s="22" t="str">
        <f>IF(ISBLANK(A85),"",INDEX('données plan-article-opérateurs'!$B$2:$B$318,MATCH(B85,'données plan-article-opérateurs'!$A$2:$A$318,0)))</f>
        <v/>
      </c>
    </row>
    <row r="86" spans="5:12">
      <c r="E86" s="7"/>
      <c r="F86" s="7"/>
      <c r="G86" s="83" t="str">
        <f>IFERROR(INDEX('lot réclamés'!$B$2:$B$199,MATCH(A86,'lot réclamés'!$A$2:$A$199,0)),"")</f>
        <v/>
      </c>
      <c r="H86" s="7" t="str">
        <f t="shared" si="6"/>
        <v/>
      </c>
      <c r="J86" s="21" t="str">
        <f t="shared" ca="1" si="7"/>
        <v/>
      </c>
      <c r="K86" s="21" t="str">
        <f t="shared" ca="1" si="8"/>
        <v/>
      </c>
      <c r="L86" s="22" t="str">
        <f>IF(ISBLANK(A86),"",INDEX('données plan-article-opérateurs'!$B$2:$B$318,MATCH(B86,'données plan-article-opérateurs'!$A$2:$A$318,0)))</f>
        <v/>
      </c>
    </row>
    <row r="87" spans="5:12">
      <c r="E87" s="7"/>
      <c r="F87" s="7"/>
      <c r="G87" s="83" t="str">
        <f>IFERROR(INDEX('lot réclamés'!$B$2:$B$199,MATCH(A87,'lot réclamés'!$A$2:$A$199,0)),"")</f>
        <v/>
      </c>
      <c r="H87" s="7" t="str">
        <f t="shared" si="6"/>
        <v/>
      </c>
      <c r="J87" s="21" t="str">
        <f t="shared" ca="1" si="7"/>
        <v/>
      </c>
      <c r="K87" s="21" t="str">
        <f t="shared" ca="1" si="8"/>
        <v/>
      </c>
      <c r="L87" s="22" t="str">
        <f>IF(ISBLANK(A87),"",INDEX('données plan-article-opérateurs'!$B$2:$B$318,MATCH(B87,'données plan-article-opérateurs'!$A$2:$A$318,0)))</f>
        <v/>
      </c>
    </row>
    <row r="88" spans="5:12">
      <c r="E88" s="7"/>
      <c r="F88" s="7"/>
      <c r="G88" s="83" t="str">
        <f>IFERROR(INDEX('lot réclamés'!$B$2:$B$199,MATCH(A88,'lot réclamés'!$A$2:$A$199,0)),"")</f>
        <v/>
      </c>
      <c r="H88" s="7" t="str">
        <f t="shared" si="6"/>
        <v/>
      </c>
      <c r="J88" s="21" t="str">
        <f t="shared" ca="1" si="7"/>
        <v/>
      </c>
      <c r="K88" s="21" t="str">
        <f t="shared" ca="1" si="8"/>
        <v/>
      </c>
      <c r="L88" s="22" t="str">
        <f>IF(ISBLANK(A88),"",INDEX('données plan-article-opérateurs'!$B$2:$B$318,MATCH(B88,'données plan-article-opérateurs'!$A$2:$A$318,0)))</f>
        <v/>
      </c>
    </row>
    <row r="89" spans="5:12">
      <c r="E89" s="7"/>
      <c r="F89" s="7"/>
      <c r="G89" s="83" t="str">
        <f>IFERROR(INDEX('lot réclamés'!$B$2:$B$199,MATCH(A89,'lot réclamés'!$A$2:$A$199,0)),"")</f>
        <v/>
      </c>
      <c r="H89" s="7" t="str">
        <f t="shared" si="6"/>
        <v/>
      </c>
      <c r="J89" s="21" t="str">
        <f t="shared" ca="1" si="7"/>
        <v/>
      </c>
      <c r="K89" s="21" t="str">
        <f t="shared" ca="1" si="8"/>
        <v/>
      </c>
      <c r="L89" s="22" t="str">
        <f>IF(ISBLANK(A89),"",INDEX('données plan-article-opérateurs'!$B$2:$B$318,MATCH(B89,'données plan-article-opérateurs'!$A$2:$A$318,0)))</f>
        <v/>
      </c>
    </row>
    <row r="90" spans="5:12">
      <c r="E90" s="7"/>
      <c r="F90" s="7"/>
      <c r="G90" s="83" t="str">
        <f>IFERROR(INDEX('lot réclamés'!$B$2:$B$199,MATCH(A90,'lot réclamés'!$A$2:$A$199,0)),"")</f>
        <v/>
      </c>
      <c r="H90" s="7" t="str">
        <f t="shared" si="6"/>
        <v/>
      </c>
      <c r="J90" s="21" t="str">
        <f t="shared" ca="1" si="7"/>
        <v/>
      </c>
      <c r="K90" s="21" t="str">
        <f t="shared" ca="1" si="8"/>
        <v/>
      </c>
      <c r="L90" s="22" t="str">
        <f>IF(ISBLANK(A90),"",INDEX('données plan-article-opérateurs'!$B$2:$B$318,MATCH(B90,'données plan-article-opérateurs'!$A$2:$A$318,0)))</f>
        <v/>
      </c>
    </row>
    <row r="91" spans="5:12">
      <c r="E91" s="7"/>
      <c r="F91" s="7"/>
      <c r="G91" s="83" t="str">
        <f>IFERROR(INDEX('lot réclamés'!$B$2:$B$199,MATCH(A91,'lot réclamés'!$A$2:$A$199,0)),"")</f>
        <v/>
      </c>
      <c r="H91" s="7" t="str">
        <f t="shared" si="6"/>
        <v/>
      </c>
      <c r="J91" s="21" t="str">
        <f t="shared" ca="1" si="7"/>
        <v/>
      </c>
      <c r="K91" s="21" t="str">
        <f t="shared" ca="1" si="8"/>
        <v/>
      </c>
      <c r="L91" s="22" t="str">
        <f>IF(ISBLANK(A91),"",INDEX('données plan-article-opérateurs'!$B$2:$B$318,MATCH(B91,'données plan-article-opérateurs'!$A$2:$A$318,0)))</f>
        <v/>
      </c>
    </row>
    <row r="92" spans="5:12">
      <c r="E92" s="7"/>
      <c r="F92" s="7"/>
      <c r="G92" s="83" t="str">
        <f>IFERROR(INDEX('lot réclamés'!$B$2:$B$199,MATCH(A92,'lot réclamés'!$A$2:$A$199,0)),"")</f>
        <v/>
      </c>
      <c r="H92" s="7" t="str">
        <f t="shared" si="6"/>
        <v/>
      </c>
      <c r="J92" s="21" t="str">
        <f t="shared" ca="1" si="7"/>
        <v/>
      </c>
      <c r="K92" s="21" t="str">
        <f t="shared" ca="1" si="8"/>
        <v/>
      </c>
      <c r="L92" s="22" t="str">
        <f>IF(ISBLANK(A92),"",INDEX('données plan-article-opérateurs'!$B$2:$B$318,MATCH(B92,'données plan-article-opérateurs'!$A$2:$A$318,0)))</f>
        <v/>
      </c>
    </row>
    <row r="93" spans="5:12">
      <c r="E93" s="7"/>
      <c r="F93" s="7"/>
      <c r="G93" s="83" t="str">
        <f>IFERROR(INDEX('lot réclamés'!$B$2:$B$199,MATCH(A93,'lot réclamés'!$A$2:$A$199,0)),"")</f>
        <v/>
      </c>
      <c r="H93" s="7" t="str">
        <f t="shared" si="6"/>
        <v/>
      </c>
      <c r="J93" s="21" t="str">
        <f t="shared" ca="1" si="7"/>
        <v/>
      </c>
      <c r="K93" s="21" t="str">
        <f t="shared" ca="1" si="8"/>
        <v/>
      </c>
      <c r="L93" s="22" t="str">
        <f>IF(ISBLANK(A93),"",INDEX('données plan-article-opérateurs'!$B$2:$B$318,MATCH(B93,'données plan-article-opérateurs'!$A$2:$A$318,0)))</f>
        <v/>
      </c>
    </row>
    <row r="94" spans="5:12">
      <c r="E94" s="7"/>
      <c r="F94" s="7"/>
      <c r="G94" s="83" t="str">
        <f>IFERROR(INDEX('lot réclamés'!$B$2:$B$199,MATCH(A94,'lot réclamés'!$A$2:$A$199,0)),"")</f>
        <v/>
      </c>
      <c r="H94" s="7" t="str">
        <f t="shared" si="6"/>
        <v/>
      </c>
      <c r="J94" s="21" t="str">
        <f t="shared" ca="1" si="7"/>
        <v/>
      </c>
      <c r="K94" s="21" t="str">
        <f t="shared" ca="1" si="8"/>
        <v/>
      </c>
      <c r="L94" s="22" t="str">
        <f>IF(ISBLANK(A94),"",INDEX('données plan-article-opérateurs'!$B$2:$B$318,MATCH(B94,'données plan-article-opérateurs'!$A$2:$A$318,0)))</f>
        <v/>
      </c>
    </row>
    <row r="95" spans="5:12">
      <c r="E95" s="7"/>
      <c r="F95" s="7"/>
      <c r="G95" s="83" t="str">
        <f>IFERROR(INDEX('lot réclamés'!$B$2:$B$199,MATCH(A95,'lot réclamés'!$A$2:$A$199,0)),"")</f>
        <v/>
      </c>
      <c r="H95" s="7" t="str">
        <f t="shared" si="6"/>
        <v/>
      </c>
      <c r="J95" s="21" t="str">
        <f t="shared" ca="1" si="7"/>
        <v/>
      </c>
      <c r="K95" s="21" t="str">
        <f t="shared" ca="1" si="8"/>
        <v/>
      </c>
      <c r="L95" s="22" t="str">
        <f>IF(ISBLANK(A95),"",INDEX('données plan-article-opérateurs'!$B$2:$B$318,MATCH(B95,'données plan-article-opérateurs'!$A$2:$A$318,0)))</f>
        <v/>
      </c>
    </row>
    <row r="96" spans="5:12">
      <c r="E96" s="7"/>
      <c r="F96" s="7"/>
      <c r="G96" s="83" t="str">
        <f>IFERROR(INDEX('lot réclamés'!$B$2:$B$199,MATCH(A96,'lot réclamés'!$A$2:$A$199,0)),"")</f>
        <v/>
      </c>
      <c r="H96" s="7" t="str">
        <f t="shared" si="6"/>
        <v/>
      </c>
      <c r="J96" s="21" t="str">
        <f t="shared" ca="1" si="7"/>
        <v/>
      </c>
      <c r="K96" s="21" t="str">
        <f t="shared" ca="1" si="8"/>
        <v/>
      </c>
      <c r="L96" s="22" t="str">
        <f>IF(ISBLANK(A96),"",INDEX('données plan-article-opérateurs'!$B$2:$B$318,MATCH(B96,'données plan-article-opérateurs'!$A$2:$A$318,0)))</f>
        <v/>
      </c>
    </row>
    <row r="97" spans="5:12">
      <c r="E97" s="7"/>
      <c r="F97" s="7"/>
      <c r="G97" s="83" t="str">
        <f>IFERROR(INDEX('lot réclamés'!$B$2:$B$199,MATCH(A97,'lot réclamés'!$A$2:$A$199,0)),"")</f>
        <v/>
      </c>
      <c r="H97" s="7" t="str">
        <f t="shared" si="6"/>
        <v/>
      </c>
      <c r="J97" s="21" t="str">
        <f t="shared" ca="1" si="7"/>
        <v/>
      </c>
      <c r="K97" s="21" t="str">
        <f t="shared" ca="1" si="8"/>
        <v/>
      </c>
      <c r="L97" s="22" t="str">
        <f>IF(ISBLANK(A97),"",INDEX('données plan-article-opérateurs'!$B$2:$B$318,MATCH(B97,'données plan-article-opérateurs'!$A$2:$A$318,0)))</f>
        <v/>
      </c>
    </row>
    <row r="98" spans="5:12">
      <c r="E98" s="7"/>
      <c r="F98" s="7"/>
      <c r="G98" s="83" t="str">
        <f>IFERROR(INDEX('lot réclamés'!$B$2:$B$199,MATCH(A98,'lot réclamés'!$A$2:$A$199,0)),"")</f>
        <v/>
      </c>
      <c r="H98" s="7" t="str">
        <f t="shared" si="6"/>
        <v/>
      </c>
      <c r="J98" s="21" t="str">
        <f t="shared" ca="1" si="7"/>
        <v/>
      </c>
      <c r="K98" s="21" t="str">
        <f t="shared" ca="1" si="8"/>
        <v/>
      </c>
      <c r="L98" s="22" t="str">
        <f>IF(ISBLANK(A98),"",INDEX('données plan-article-opérateurs'!$B$2:$B$318,MATCH(B98,'données plan-article-opérateurs'!$A$2:$A$318,0)))</f>
        <v/>
      </c>
    </row>
    <row r="99" spans="5:12">
      <c r="E99" s="7"/>
      <c r="F99" s="7"/>
      <c r="G99" s="83" t="str">
        <f>IFERROR(INDEX('lot réclamés'!$B$2:$B$199,MATCH(A99,'lot réclamés'!$A$2:$A$199,0)),"")</f>
        <v/>
      </c>
      <c r="H99" s="7" t="str">
        <f t="shared" si="6"/>
        <v/>
      </c>
      <c r="J99" s="21" t="str">
        <f t="shared" ca="1" si="7"/>
        <v/>
      </c>
      <c r="K99" s="21" t="str">
        <f t="shared" ca="1" si="8"/>
        <v/>
      </c>
      <c r="L99" s="22" t="str">
        <f>IF(ISBLANK(A99),"",INDEX('données plan-article-opérateurs'!$B$2:$B$318,MATCH(B99,'données plan-article-opérateurs'!$A$2:$A$318,0)))</f>
        <v/>
      </c>
    </row>
    <row r="100" spans="5:12">
      <c r="E100" s="7"/>
      <c r="F100" s="7"/>
      <c r="G100" s="83" t="str">
        <f>IFERROR(INDEX('lot réclamés'!$B$2:$B$199,MATCH(A100,'lot réclamés'!$A$2:$A$199,0)),"")</f>
        <v/>
      </c>
      <c r="H100" s="7" t="str">
        <f t="shared" si="6"/>
        <v/>
      </c>
      <c r="J100" s="21" t="str">
        <f t="shared" ca="1" si="7"/>
        <v/>
      </c>
      <c r="K100" s="21" t="str">
        <f t="shared" ca="1" si="8"/>
        <v/>
      </c>
      <c r="L100" s="22" t="str">
        <f>IF(ISBLANK(A100),"",INDEX('données plan-article-opérateurs'!$B$2:$B$318,MATCH(B100,'données plan-article-opérateurs'!$A$2:$A$318,0)))</f>
        <v/>
      </c>
    </row>
    <row r="101" spans="5:12">
      <c r="E101" s="7"/>
      <c r="F101" s="7"/>
      <c r="G101" s="83" t="str">
        <f>IFERROR(INDEX('lot réclamés'!$B$2:$B$199,MATCH(A101,'lot réclamés'!$A$2:$A$199,0)),"")</f>
        <v/>
      </c>
      <c r="H101" s="7" t="str">
        <f t="shared" si="6"/>
        <v/>
      </c>
      <c r="J101" s="21" t="str">
        <f t="shared" ca="1" si="7"/>
        <v/>
      </c>
      <c r="K101" s="21" t="str">
        <f t="shared" ca="1" si="8"/>
        <v/>
      </c>
      <c r="L101" s="22" t="str">
        <f>IF(ISBLANK(A101),"",INDEX('données plan-article-opérateurs'!$B$2:$B$318,MATCH(B101,'données plan-article-opérateurs'!$A$2:$A$318,0)))</f>
        <v/>
      </c>
    </row>
    <row r="102" spans="5:12">
      <c r="E102" s="7"/>
      <c r="F102" s="7"/>
      <c r="G102" s="83" t="str">
        <f>IFERROR(INDEX('lot réclamés'!$B$2:$B$199,MATCH(A102,'lot réclamés'!$A$2:$A$199,0)),"")</f>
        <v/>
      </c>
      <c r="H102" s="7" t="str">
        <f t="shared" ref="H102:H133" si="9">IF(ISBLANK(A102),"",IF(G102&lt;&gt;"",WORKDAY(G102,(L102/420)*-1,feries),
IF(LEFT(A102,2)="SC",WORKDAY(E102,1,feries),
IF(E102&gt;F102,WORKDAY(E102,5,feries),
IF(E102&lt;F102,WORKDAY(F102,(L102/420)*-1,feries))))))</f>
        <v/>
      </c>
      <c r="J102" s="21" t="str">
        <f t="shared" ref="J102:J133" ca="1" si="10">IF(ISBLANK(A102),"",IF(F102&gt;=TODAY(),"-"&amp;DATEDIF(TODAY(),F102,"d"),"+"&amp;DATEDIF(F102,TODAY(),"d")))</f>
        <v/>
      </c>
      <c r="K102" s="21" t="str">
        <f t="shared" ref="K102:K133" ca="1" si="11">IF(ISBLANK(A102),"",DATEDIF(E102,TODAY(),"d"))</f>
        <v/>
      </c>
      <c r="L102" s="22" t="str">
        <f>IF(ISBLANK(A102),"",INDEX('données plan-article-opérateurs'!$B$2:$B$318,MATCH(B102,'données plan-article-opérateurs'!$A$2:$A$318,0)))</f>
        <v/>
      </c>
    </row>
    <row r="103" spans="5:12">
      <c r="E103" s="7"/>
      <c r="F103" s="7"/>
      <c r="G103" s="83" t="str">
        <f>IFERROR(INDEX('lot réclamés'!$B$2:$B$199,MATCH(A103,'lot réclamés'!$A$2:$A$199,0)),"")</f>
        <v/>
      </c>
      <c r="H103" s="7" t="str">
        <f t="shared" si="9"/>
        <v/>
      </c>
      <c r="J103" s="21" t="str">
        <f t="shared" ca="1" si="10"/>
        <v/>
      </c>
      <c r="K103" s="21" t="str">
        <f t="shared" ca="1" si="11"/>
        <v/>
      </c>
      <c r="L103" s="22" t="str">
        <f>IF(ISBLANK(A103),"",INDEX('données plan-article-opérateurs'!$B$2:$B$318,MATCH(B103,'données plan-article-opérateurs'!$A$2:$A$318,0)))</f>
        <v/>
      </c>
    </row>
    <row r="104" spans="5:12">
      <c r="E104" s="7"/>
      <c r="F104" s="7"/>
      <c r="G104" s="83" t="str">
        <f>IFERROR(INDEX('lot réclamés'!$B$2:$B$199,MATCH(A104,'lot réclamés'!$A$2:$A$199,0)),"")</f>
        <v/>
      </c>
      <c r="H104" s="7" t="str">
        <f t="shared" si="9"/>
        <v/>
      </c>
      <c r="J104" s="21" t="str">
        <f t="shared" ca="1" si="10"/>
        <v/>
      </c>
      <c r="K104" s="21" t="str">
        <f t="shared" ca="1" si="11"/>
        <v/>
      </c>
      <c r="L104" s="22" t="str">
        <f>IF(ISBLANK(A104),"",INDEX('données plan-article-opérateurs'!$B$2:$B$318,MATCH(B104,'données plan-article-opérateurs'!$A$2:$A$318,0)))</f>
        <v/>
      </c>
    </row>
    <row r="105" spans="5:12">
      <c r="E105" s="7"/>
      <c r="F105" s="7"/>
      <c r="G105" s="83" t="str">
        <f>IFERROR(INDEX('lot réclamés'!$B$2:$B$199,MATCH(A105,'lot réclamés'!$A$2:$A$199,0)),"")</f>
        <v/>
      </c>
      <c r="H105" s="7" t="str">
        <f t="shared" si="9"/>
        <v/>
      </c>
      <c r="J105" s="21" t="str">
        <f t="shared" ca="1" si="10"/>
        <v/>
      </c>
      <c r="K105" s="21" t="str">
        <f t="shared" ca="1" si="11"/>
        <v/>
      </c>
      <c r="L105" s="22" t="str">
        <f>IF(ISBLANK(A105),"",INDEX('données plan-article-opérateurs'!$B$2:$B$318,MATCH(B105,'données plan-article-opérateurs'!$A$2:$A$318,0)))</f>
        <v/>
      </c>
    </row>
    <row r="106" spans="5:12">
      <c r="E106" s="7"/>
      <c r="F106" s="7"/>
      <c r="G106" s="83" t="str">
        <f>IFERROR(INDEX('lot réclamés'!$B$2:$B$199,MATCH(A106,'lot réclamés'!$A$2:$A$199,0)),"")</f>
        <v/>
      </c>
      <c r="H106" s="7" t="str">
        <f t="shared" si="9"/>
        <v/>
      </c>
      <c r="J106" s="21" t="str">
        <f t="shared" ca="1" si="10"/>
        <v/>
      </c>
      <c r="K106" s="21" t="str">
        <f t="shared" ca="1" si="11"/>
        <v/>
      </c>
      <c r="L106" s="22" t="str">
        <f>IF(ISBLANK(A106),"",INDEX('données plan-article-opérateurs'!$B$2:$B$318,MATCH(B106,'données plan-article-opérateurs'!$A$2:$A$318,0)))</f>
        <v/>
      </c>
    </row>
    <row r="107" spans="5:12">
      <c r="E107" s="7"/>
      <c r="F107" s="7"/>
      <c r="G107" s="83" t="str">
        <f>IFERROR(INDEX('lot réclamés'!$B$2:$B$199,MATCH(A107,'lot réclamés'!$A$2:$A$199,0)),"")</f>
        <v/>
      </c>
      <c r="H107" s="7" t="str">
        <f t="shared" si="9"/>
        <v/>
      </c>
      <c r="J107" s="21" t="str">
        <f t="shared" ca="1" si="10"/>
        <v/>
      </c>
      <c r="K107" s="21" t="str">
        <f t="shared" ca="1" si="11"/>
        <v/>
      </c>
      <c r="L107" s="22" t="str">
        <f>IF(ISBLANK(A107),"",INDEX('données plan-article-opérateurs'!$B$2:$B$318,MATCH(B107,'données plan-article-opérateurs'!$A$2:$A$318,0)))</f>
        <v/>
      </c>
    </row>
    <row r="108" spans="5:12">
      <c r="E108" s="7"/>
      <c r="F108" s="7"/>
      <c r="G108" s="83" t="str">
        <f>IFERROR(INDEX('lot réclamés'!$B$2:$B$199,MATCH(A108,'lot réclamés'!$A$2:$A$199,0)),"")</f>
        <v/>
      </c>
      <c r="H108" s="7" t="str">
        <f t="shared" si="9"/>
        <v/>
      </c>
      <c r="J108" s="21" t="str">
        <f t="shared" ca="1" si="10"/>
        <v/>
      </c>
      <c r="K108" s="21" t="str">
        <f t="shared" ca="1" si="11"/>
        <v/>
      </c>
      <c r="L108" s="22" t="str">
        <f>IF(ISBLANK(A108),"",INDEX('données plan-article-opérateurs'!$B$2:$B$318,MATCH(B108,'données plan-article-opérateurs'!$A$2:$A$318,0)))</f>
        <v/>
      </c>
    </row>
    <row r="109" spans="5:12">
      <c r="E109" s="7"/>
      <c r="F109" s="7"/>
      <c r="G109" s="83" t="str">
        <f>IFERROR(INDEX('lot réclamés'!$B$2:$B$199,MATCH(A109,'lot réclamés'!$A$2:$A$199,0)),"")</f>
        <v/>
      </c>
      <c r="H109" s="7" t="str">
        <f t="shared" si="9"/>
        <v/>
      </c>
      <c r="J109" s="21" t="str">
        <f t="shared" ca="1" si="10"/>
        <v/>
      </c>
      <c r="K109" s="21" t="str">
        <f t="shared" ca="1" si="11"/>
        <v/>
      </c>
      <c r="L109" s="22" t="str">
        <f>IF(ISBLANK(A109),"",INDEX('données plan-article-opérateurs'!$B$2:$B$318,MATCH(B109,'données plan-article-opérateurs'!$A$2:$A$318,0)))</f>
        <v/>
      </c>
    </row>
    <row r="110" spans="5:12">
      <c r="E110" s="7"/>
      <c r="F110" s="7"/>
      <c r="G110" s="83" t="str">
        <f>IFERROR(INDEX('lot réclamés'!$B$2:$B$199,MATCH(A110,'lot réclamés'!$A$2:$A$199,0)),"")</f>
        <v/>
      </c>
      <c r="H110" s="7" t="str">
        <f t="shared" si="9"/>
        <v/>
      </c>
      <c r="J110" s="21" t="str">
        <f t="shared" ca="1" si="10"/>
        <v/>
      </c>
      <c r="K110" s="21" t="str">
        <f t="shared" ca="1" si="11"/>
        <v/>
      </c>
      <c r="L110" s="22" t="str">
        <f>IF(ISBLANK(A110),"",INDEX('données plan-article-opérateurs'!$B$2:$B$318,MATCH(B110,'données plan-article-opérateurs'!$A$2:$A$318,0)))</f>
        <v/>
      </c>
    </row>
    <row r="111" spans="5:12">
      <c r="E111" s="7"/>
      <c r="F111" s="7"/>
      <c r="G111" s="83" t="str">
        <f>IFERROR(INDEX('lot réclamés'!$B$2:$B$199,MATCH(A111,'lot réclamés'!$A$2:$A$199,0)),"")</f>
        <v/>
      </c>
      <c r="H111" s="7" t="str">
        <f t="shared" si="9"/>
        <v/>
      </c>
      <c r="J111" s="21" t="str">
        <f t="shared" ca="1" si="10"/>
        <v/>
      </c>
      <c r="K111" s="21" t="str">
        <f t="shared" ca="1" si="11"/>
        <v/>
      </c>
      <c r="L111" s="22" t="str">
        <f>IF(ISBLANK(A111),"",INDEX('données plan-article-opérateurs'!$B$2:$B$318,MATCH(B111,'données plan-article-opérateurs'!$A$2:$A$318,0)))</f>
        <v/>
      </c>
    </row>
    <row r="112" spans="5:12">
      <c r="E112" s="7"/>
      <c r="F112" s="7"/>
      <c r="G112" s="83" t="str">
        <f>IFERROR(INDEX('lot réclamés'!$B$2:$B$199,MATCH(A112,'lot réclamés'!$A$2:$A$199,0)),"")</f>
        <v/>
      </c>
      <c r="H112" s="7" t="str">
        <f t="shared" si="9"/>
        <v/>
      </c>
      <c r="J112" s="21" t="str">
        <f t="shared" ca="1" si="10"/>
        <v/>
      </c>
      <c r="K112" s="21" t="str">
        <f t="shared" ca="1" si="11"/>
        <v/>
      </c>
      <c r="L112" s="22" t="str">
        <f>IF(ISBLANK(A112),"",INDEX('données plan-article-opérateurs'!$B$2:$B$318,MATCH(B112,'données plan-article-opérateurs'!$A$2:$A$318,0)))</f>
        <v/>
      </c>
    </row>
    <row r="113" spans="5:12">
      <c r="E113" s="7"/>
      <c r="F113" s="7"/>
      <c r="G113" s="83" t="str">
        <f>IFERROR(INDEX('lot réclamés'!$B$2:$B$199,MATCH(A113,'lot réclamés'!$A$2:$A$199,0)),"")</f>
        <v/>
      </c>
      <c r="H113" s="7" t="str">
        <f t="shared" si="9"/>
        <v/>
      </c>
      <c r="J113" s="21" t="str">
        <f t="shared" ca="1" si="10"/>
        <v/>
      </c>
      <c r="K113" s="21" t="str">
        <f t="shared" ca="1" si="11"/>
        <v/>
      </c>
      <c r="L113" s="22" t="str">
        <f>IF(ISBLANK(A113),"",INDEX('données plan-article-opérateurs'!$B$2:$B$318,MATCH(B113,'données plan-article-opérateurs'!$A$2:$A$318,0)))</f>
        <v/>
      </c>
    </row>
    <row r="114" spans="5:12">
      <c r="E114" s="7"/>
      <c r="F114" s="7"/>
      <c r="G114" s="83" t="str">
        <f>IFERROR(INDEX('lot réclamés'!$B$2:$B$199,MATCH(A114,'lot réclamés'!$A$2:$A$199,0)),"")</f>
        <v/>
      </c>
      <c r="H114" s="7" t="str">
        <f t="shared" si="9"/>
        <v/>
      </c>
      <c r="J114" s="21" t="str">
        <f t="shared" ca="1" si="10"/>
        <v/>
      </c>
      <c r="K114" s="21" t="str">
        <f t="shared" ca="1" si="11"/>
        <v/>
      </c>
      <c r="L114" s="22" t="str">
        <f>IF(ISBLANK(A114),"",INDEX('données plan-article-opérateurs'!$B$2:$B$318,MATCH(B114,'données plan-article-opérateurs'!$A$2:$A$318,0)))</f>
        <v/>
      </c>
    </row>
    <row r="115" spans="5:12">
      <c r="E115" s="7"/>
      <c r="F115" s="7"/>
      <c r="G115" s="83" t="str">
        <f>IFERROR(INDEX('lot réclamés'!$B$2:$B$199,MATCH(A115,'lot réclamés'!$A$2:$A$199,0)),"")</f>
        <v/>
      </c>
      <c r="H115" s="7" t="str">
        <f t="shared" si="9"/>
        <v/>
      </c>
      <c r="J115" s="21" t="str">
        <f t="shared" ca="1" si="10"/>
        <v/>
      </c>
      <c r="K115" s="21" t="str">
        <f t="shared" ca="1" si="11"/>
        <v/>
      </c>
      <c r="L115" s="22" t="str">
        <f>IF(ISBLANK(A115),"",INDEX('données plan-article-opérateurs'!$B$2:$B$318,MATCH(B115,'données plan-article-opérateurs'!$A$2:$A$318,0)))</f>
        <v/>
      </c>
    </row>
    <row r="116" spans="5:12">
      <c r="E116" s="7"/>
      <c r="F116" s="7"/>
      <c r="G116" s="83" t="str">
        <f>IFERROR(INDEX('lot réclamés'!$B$2:$B$199,MATCH(A116,'lot réclamés'!$A$2:$A$199,0)),"")</f>
        <v/>
      </c>
      <c r="H116" s="7" t="str">
        <f t="shared" si="9"/>
        <v/>
      </c>
      <c r="J116" s="21" t="str">
        <f t="shared" ca="1" si="10"/>
        <v/>
      </c>
      <c r="K116" s="21" t="str">
        <f t="shared" ca="1" si="11"/>
        <v/>
      </c>
      <c r="L116" s="22" t="str">
        <f>IF(ISBLANK(A116),"",INDEX('données plan-article-opérateurs'!$B$2:$B$318,MATCH(B116,'données plan-article-opérateurs'!$A$2:$A$318,0)))</f>
        <v/>
      </c>
    </row>
    <row r="117" spans="5:12">
      <c r="E117" s="7"/>
      <c r="F117" s="7"/>
      <c r="G117" s="83" t="str">
        <f>IFERROR(INDEX('lot réclamés'!$B$2:$B$199,MATCH(A117,'lot réclamés'!$A$2:$A$199,0)),"")</f>
        <v/>
      </c>
      <c r="H117" s="7" t="str">
        <f t="shared" si="9"/>
        <v/>
      </c>
      <c r="J117" s="21" t="str">
        <f t="shared" ca="1" si="10"/>
        <v/>
      </c>
      <c r="K117" s="21" t="str">
        <f t="shared" ca="1" si="11"/>
        <v/>
      </c>
      <c r="L117" s="22" t="str">
        <f>IF(ISBLANK(A117),"",INDEX('données plan-article-opérateurs'!$B$2:$B$318,MATCH(B117,'données plan-article-opérateurs'!$A$2:$A$318,0)))</f>
        <v/>
      </c>
    </row>
    <row r="118" spans="5:12">
      <c r="E118" s="7"/>
      <c r="F118" s="7"/>
      <c r="G118" s="83" t="str">
        <f>IFERROR(INDEX('lot réclamés'!$B$2:$B$199,MATCH(A118,'lot réclamés'!$A$2:$A$199,0)),"")</f>
        <v/>
      </c>
      <c r="H118" s="7" t="str">
        <f t="shared" si="9"/>
        <v/>
      </c>
      <c r="J118" s="21" t="str">
        <f t="shared" ca="1" si="10"/>
        <v/>
      </c>
      <c r="K118" s="21" t="str">
        <f t="shared" ca="1" si="11"/>
        <v/>
      </c>
      <c r="L118" s="22" t="str">
        <f>IF(ISBLANK(A118),"",INDEX('données plan-article-opérateurs'!$B$2:$B$318,MATCH(B118,'données plan-article-opérateurs'!$A$2:$A$318,0)))</f>
        <v/>
      </c>
    </row>
    <row r="119" spans="5:12">
      <c r="E119" s="7"/>
      <c r="F119" s="7"/>
      <c r="G119" s="83" t="str">
        <f>IFERROR(INDEX('lot réclamés'!$B$2:$B$199,MATCH(A119,'lot réclamés'!$A$2:$A$199,0)),"")</f>
        <v/>
      </c>
      <c r="H119" s="7" t="str">
        <f t="shared" si="9"/>
        <v/>
      </c>
      <c r="J119" s="21" t="str">
        <f t="shared" ca="1" si="10"/>
        <v/>
      </c>
      <c r="K119" s="21" t="str">
        <f t="shared" ca="1" si="11"/>
        <v/>
      </c>
      <c r="L119" s="22" t="str">
        <f>IF(ISBLANK(A119),"",INDEX('données plan-article-opérateurs'!$B$2:$B$318,MATCH(B119,'données plan-article-opérateurs'!$A$2:$A$318,0)))</f>
        <v/>
      </c>
    </row>
    <row r="120" spans="5:12">
      <c r="E120" s="7"/>
      <c r="F120" s="7"/>
      <c r="G120" s="83" t="str">
        <f>IFERROR(INDEX('lot réclamés'!$B$2:$B$199,MATCH(A120,'lot réclamés'!$A$2:$A$199,0)),"")</f>
        <v/>
      </c>
      <c r="H120" s="7" t="str">
        <f t="shared" si="9"/>
        <v/>
      </c>
      <c r="J120" s="21" t="str">
        <f t="shared" ca="1" si="10"/>
        <v/>
      </c>
      <c r="K120" s="21" t="str">
        <f t="shared" ca="1" si="11"/>
        <v/>
      </c>
      <c r="L120" s="22" t="str">
        <f>IF(ISBLANK(A120),"",INDEX('données plan-article-opérateurs'!$B$2:$B$318,MATCH(B120,'données plan-article-opérateurs'!$A$2:$A$318,0)))</f>
        <v/>
      </c>
    </row>
    <row r="121" spans="5:12">
      <c r="E121" s="7"/>
      <c r="F121" s="7"/>
      <c r="G121" s="83" t="str">
        <f>IFERROR(INDEX('lot réclamés'!$B$2:$B$199,MATCH(A121,'lot réclamés'!$A$2:$A$199,0)),"")</f>
        <v/>
      </c>
      <c r="H121" s="7" t="str">
        <f t="shared" si="9"/>
        <v/>
      </c>
      <c r="J121" s="21" t="str">
        <f t="shared" ca="1" si="10"/>
        <v/>
      </c>
      <c r="K121" s="21" t="str">
        <f t="shared" ca="1" si="11"/>
        <v/>
      </c>
      <c r="L121" s="22" t="str">
        <f>IF(ISBLANK(A121),"",INDEX('données plan-article-opérateurs'!$B$2:$B$318,MATCH(B121,'données plan-article-opérateurs'!$A$2:$A$318,0)))</f>
        <v/>
      </c>
    </row>
    <row r="122" spans="5:12">
      <c r="E122" s="7"/>
      <c r="F122" s="7"/>
      <c r="G122" s="83" t="str">
        <f>IFERROR(INDEX('lot réclamés'!$B$2:$B$199,MATCH(A122,'lot réclamés'!$A$2:$A$199,0)),"")</f>
        <v/>
      </c>
      <c r="H122" s="7" t="str">
        <f t="shared" si="9"/>
        <v/>
      </c>
      <c r="J122" s="21" t="str">
        <f t="shared" ca="1" si="10"/>
        <v/>
      </c>
      <c r="K122" s="21" t="str">
        <f t="shared" ca="1" si="11"/>
        <v/>
      </c>
      <c r="L122" s="22" t="str">
        <f>IF(ISBLANK(A122),"",INDEX('données plan-article-opérateurs'!$B$2:$B$318,MATCH(B122,'données plan-article-opérateurs'!$A$2:$A$318,0)))</f>
        <v/>
      </c>
    </row>
    <row r="123" spans="5:12">
      <c r="E123" s="7"/>
      <c r="F123" s="7"/>
      <c r="G123" s="83" t="str">
        <f>IFERROR(INDEX('lot réclamés'!$B$2:$B$199,MATCH(A123,'lot réclamés'!$A$2:$A$199,0)),"")</f>
        <v/>
      </c>
      <c r="H123" s="7" t="str">
        <f t="shared" si="9"/>
        <v/>
      </c>
      <c r="J123" s="21" t="str">
        <f t="shared" ca="1" si="10"/>
        <v/>
      </c>
      <c r="K123" s="21" t="str">
        <f t="shared" ca="1" si="11"/>
        <v/>
      </c>
      <c r="L123" s="22" t="str">
        <f>IF(ISBLANK(A123),"",INDEX('données plan-article-opérateurs'!$B$2:$B$318,MATCH(B123,'données plan-article-opérateurs'!$A$2:$A$318,0)))</f>
        <v/>
      </c>
    </row>
    <row r="124" spans="5:12">
      <c r="E124" s="7"/>
      <c r="F124" s="7"/>
      <c r="G124" s="83" t="str">
        <f>IFERROR(INDEX('lot réclamés'!$B$2:$B$199,MATCH(A124,'lot réclamés'!$A$2:$A$199,0)),"")</f>
        <v/>
      </c>
      <c r="H124" s="7" t="str">
        <f t="shared" si="9"/>
        <v/>
      </c>
      <c r="J124" s="21" t="str">
        <f t="shared" ca="1" si="10"/>
        <v/>
      </c>
      <c r="K124" s="21" t="str">
        <f t="shared" ca="1" si="11"/>
        <v/>
      </c>
      <c r="L124" s="22" t="str">
        <f>IF(ISBLANK(A124),"",INDEX('données plan-article-opérateurs'!$B$2:$B$318,MATCH(B124,'données plan-article-opérateurs'!$A$2:$A$318,0)))</f>
        <v/>
      </c>
    </row>
    <row r="125" spans="5:12">
      <c r="E125" s="7"/>
      <c r="F125" s="7"/>
      <c r="G125" s="83" t="str">
        <f>IFERROR(INDEX('lot réclamés'!$B$2:$B$199,MATCH(A125,'lot réclamés'!$A$2:$A$199,0)),"")</f>
        <v/>
      </c>
      <c r="H125" s="7" t="str">
        <f t="shared" si="9"/>
        <v/>
      </c>
      <c r="J125" s="21" t="str">
        <f t="shared" ca="1" si="10"/>
        <v/>
      </c>
      <c r="K125" s="21" t="str">
        <f t="shared" ca="1" si="11"/>
        <v/>
      </c>
      <c r="L125" s="22" t="str">
        <f>IF(ISBLANK(A125),"",INDEX('données plan-article-opérateurs'!$B$2:$B$318,MATCH(B125,'données plan-article-opérateurs'!$A$2:$A$318,0)))</f>
        <v/>
      </c>
    </row>
    <row r="126" spans="5:12">
      <c r="E126" s="7"/>
      <c r="F126" s="7"/>
      <c r="G126" s="83" t="str">
        <f>IFERROR(INDEX('lot réclamés'!$B$2:$B$199,MATCH(A126,'lot réclamés'!$A$2:$A$199,0)),"")</f>
        <v/>
      </c>
      <c r="H126" s="7" t="str">
        <f t="shared" si="9"/>
        <v/>
      </c>
      <c r="J126" s="21" t="str">
        <f t="shared" ca="1" si="10"/>
        <v/>
      </c>
      <c r="K126" s="21" t="str">
        <f t="shared" ca="1" si="11"/>
        <v/>
      </c>
      <c r="L126" s="22" t="str">
        <f>IF(ISBLANK(A126),"",INDEX('données plan-article-opérateurs'!$B$2:$B$318,MATCH(B126,'données plan-article-opérateurs'!$A$2:$A$318,0)))</f>
        <v/>
      </c>
    </row>
    <row r="127" spans="5:12">
      <c r="E127" s="7"/>
      <c r="F127" s="7"/>
      <c r="G127" s="83" t="str">
        <f>IFERROR(INDEX('lot réclamés'!$B$2:$B$199,MATCH(A127,'lot réclamés'!$A$2:$A$199,0)),"")</f>
        <v/>
      </c>
      <c r="H127" s="7" t="str">
        <f t="shared" si="9"/>
        <v/>
      </c>
      <c r="J127" s="21" t="str">
        <f t="shared" ca="1" si="10"/>
        <v/>
      </c>
      <c r="K127" s="21" t="str">
        <f t="shared" ca="1" si="11"/>
        <v/>
      </c>
      <c r="L127" s="22" t="str">
        <f>IF(ISBLANK(A127),"",INDEX('données plan-article-opérateurs'!$B$2:$B$318,MATCH(B127,'données plan-article-opérateurs'!$A$2:$A$318,0)))</f>
        <v/>
      </c>
    </row>
    <row r="128" spans="5:12">
      <c r="E128" s="7"/>
      <c r="F128" s="7"/>
      <c r="G128" s="83" t="str">
        <f>IFERROR(INDEX('lot réclamés'!$B$2:$B$199,MATCH(A128,'lot réclamés'!$A$2:$A$199,0)),"")</f>
        <v/>
      </c>
      <c r="H128" s="7" t="str">
        <f t="shared" si="9"/>
        <v/>
      </c>
      <c r="J128" s="21" t="str">
        <f t="shared" ca="1" si="10"/>
        <v/>
      </c>
      <c r="K128" s="21" t="str">
        <f t="shared" ca="1" si="11"/>
        <v/>
      </c>
      <c r="L128" s="22" t="str">
        <f>IF(ISBLANK(A128),"",INDEX('données plan-article-opérateurs'!$B$2:$B$318,MATCH(B128,'données plan-article-opérateurs'!$A$2:$A$318,0)))</f>
        <v/>
      </c>
    </row>
    <row r="129" spans="5:12">
      <c r="E129" s="7"/>
      <c r="F129" s="7"/>
      <c r="G129" s="83" t="str">
        <f>IFERROR(INDEX('lot réclamés'!$B$2:$B$199,MATCH(A129,'lot réclamés'!$A$2:$A$199,0)),"")</f>
        <v/>
      </c>
      <c r="H129" s="7" t="str">
        <f t="shared" si="9"/>
        <v/>
      </c>
      <c r="J129" s="21" t="str">
        <f t="shared" ca="1" si="10"/>
        <v/>
      </c>
      <c r="K129" s="21" t="str">
        <f t="shared" ca="1" si="11"/>
        <v/>
      </c>
      <c r="L129" s="22" t="str">
        <f>IF(ISBLANK(A129),"",INDEX('données plan-article-opérateurs'!$B$2:$B$318,MATCH(B129,'données plan-article-opérateurs'!$A$2:$A$318,0)))</f>
        <v/>
      </c>
    </row>
    <row r="130" spans="5:12">
      <c r="E130" s="7"/>
      <c r="F130" s="7"/>
      <c r="G130" s="83" t="str">
        <f>IFERROR(INDEX('lot réclamés'!$B$2:$B$199,MATCH(A130,'lot réclamés'!$A$2:$A$199,0)),"")</f>
        <v/>
      </c>
      <c r="H130" s="7" t="str">
        <f t="shared" si="9"/>
        <v/>
      </c>
      <c r="J130" s="21" t="str">
        <f t="shared" ca="1" si="10"/>
        <v/>
      </c>
      <c r="K130" s="21" t="str">
        <f t="shared" ca="1" si="11"/>
        <v/>
      </c>
      <c r="L130" s="22" t="str">
        <f>IF(ISBLANK(A130),"",INDEX('données plan-article-opérateurs'!$B$2:$B$318,MATCH(B130,'données plan-article-opérateurs'!$A$2:$A$318,0)))</f>
        <v/>
      </c>
    </row>
    <row r="131" spans="5:12">
      <c r="E131" s="7"/>
      <c r="F131" s="7"/>
      <c r="G131" s="83" t="str">
        <f>IFERROR(INDEX('lot réclamés'!$B$2:$B$199,MATCH(A131,'lot réclamés'!$A$2:$A$199,0)),"")</f>
        <v/>
      </c>
      <c r="H131" s="7" t="str">
        <f t="shared" si="9"/>
        <v/>
      </c>
      <c r="J131" s="21" t="str">
        <f t="shared" ca="1" si="10"/>
        <v/>
      </c>
      <c r="K131" s="21" t="str">
        <f t="shared" ca="1" si="11"/>
        <v/>
      </c>
      <c r="L131" s="22" t="str">
        <f>IF(ISBLANK(A131),"",INDEX('données plan-article-opérateurs'!$B$2:$B$318,MATCH(B131,'données plan-article-opérateurs'!$A$2:$A$318,0)))</f>
        <v/>
      </c>
    </row>
    <row r="132" spans="5:12">
      <c r="E132" s="7"/>
      <c r="F132" s="7"/>
      <c r="G132" s="83" t="str">
        <f>IFERROR(INDEX('lot réclamés'!$B$2:$B$199,MATCH(A132,'lot réclamés'!$A$2:$A$199,0)),"")</f>
        <v/>
      </c>
      <c r="H132" s="7" t="str">
        <f t="shared" si="9"/>
        <v/>
      </c>
      <c r="J132" s="21" t="str">
        <f t="shared" ca="1" si="10"/>
        <v/>
      </c>
      <c r="K132" s="21" t="str">
        <f t="shared" ca="1" si="11"/>
        <v/>
      </c>
      <c r="L132" s="22" t="str">
        <f>IF(ISBLANK(A132),"",INDEX('données plan-article-opérateurs'!$B$2:$B$318,MATCH(B132,'données plan-article-opérateurs'!$A$2:$A$318,0)))</f>
        <v/>
      </c>
    </row>
    <row r="133" spans="5:12">
      <c r="E133" s="7"/>
      <c r="F133" s="7"/>
      <c r="G133" s="83" t="str">
        <f>IFERROR(INDEX('lot réclamés'!$B$2:$B$199,MATCH(A133,'lot réclamés'!$A$2:$A$199,0)),"")</f>
        <v/>
      </c>
      <c r="H133" s="7" t="str">
        <f t="shared" si="9"/>
        <v/>
      </c>
      <c r="J133" s="21" t="str">
        <f t="shared" ca="1" si="10"/>
        <v/>
      </c>
      <c r="K133" s="21" t="str">
        <f t="shared" ca="1" si="11"/>
        <v/>
      </c>
      <c r="L133" s="22" t="str">
        <f>IF(ISBLANK(A133),"",INDEX('données plan-article-opérateurs'!$B$2:$B$318,MATCH(B133,'données plan-article-opérateurs'!$A$2:$A$318,0)))</f>
        <v/>
      </c>
    </row>
    <row r="134" spans="5:12">
      <c r="E134" s="7"/>
      <c r="F134" s="7"/>
      <c r="G134" s="83" t="str">
        <f>IFERROR(INDEX('lot réclamés'!$B$2:$B$199,MATCH(A134,'lot réclamés'!$A$2:$A$199,0)),"")</f>
        <v/>
      </c>
      <c r="H134" s="7" t="str">
        <f t="shared" ref="H134:H165" si="12">IF(ISBLANK(A134),"",IF(G134&lt;&gt;"",WORKDAY(G134,(L134/420)*-1,feries),
IF(LEFT(A134,2)="SC",WORKDAY(E134,1,feries),
IF(E134&gt;F134,WORKDAY(E134,5,feries),
IF(E134&lt;F134,WORKDAY(F134,(L134/420)*-1,feries))))))</f>
        <v/>
      </c>
      <c r="J134" s="21" t="str">
        <f t="shared" ref="J134:J165" ca="1" si="13">IF(ISBLANK(A134),"",IF(F134&gt;=TODAY(),"-"&amp;DATEDIF(TODAY(),F134,"d"),"+"&amp;DATEDIF(F134,TODAY(),"d")))</f>
        <v/>
      </c>
      <c r="K134" s="21" t="str">
        <f t="shared" ref="K134:K165" ca="1" si="14">IF(ISBLANK(A134),"",DATEDIF(E134,TODAY(),"d"))</f>
        <v/>
      </c>
      <c r="L134" s="22" t="str">
        <f>IF(ISBLANK(A134),"",INDEX('données plan-article-opérateurs'!$B$2:$B$318,MATCH(B134,'données plan-article-opérateurs'!$A$2:$A$318,0)))</f>
        <v/>
      </c>
    </row>
    <row r="135" spans="5:12">
      <c r="E135" s="7"/>
      <c r="F135" s="7"/>
      <c r="G135" s="83" t="str">
        <f>IFERROR(INDEX('lot réclamés'!$B$2:$B$199,MATCH(A135,'lot réclamés'!$A$2:$A$199,0)),"")</f>
        <v/>
      </c>
      <c r="H135" s="7" t="str">
        <f t="shared" si="12"/>
        <v/>
      </c>
      <c r="J135" s="21" t="str">
        <f t="shared" ca="1" si="13"/>
        <v/>
      </c>
      <c r="K135" s="21" t="str">
        <f t="shared" ca="1" si="14"/>
        <v/>
      </c>
      <c r="L135" s="22" t="str">
        <f>IF(ISBLANK(A135),"",INDEX('données plan-article-opérateurs'!$B$2:$B$318,MATCH(B135,'données plan-article-opérateurs'!$A$2:$A$318,0)))</f>
        <v/>
      </c>
    </row>
    <row r="136" spans="5:12">
      <c r="E136" s="7"/>
      <c r="F136" s="7"/>
      <c r="G136" s="83" t="str">
        <f>IFERROR(INDEX('lot réclamés'!$B$2:$B$199,MATCH(A136,'lot réclamés'!$A$2:$A$199,0)),"")</f>
        <v/>
      </c>
      <c r="H136" s="7" t="str">
        <f t="shared" si="12"/>
        <v/>
      </c>
      <c r="J136" s="21" t="str">
        <f t="shared" ca="1" si="13"/>
        <v/>
      </c>
      <c r="K136" s="21" t="str">
        <f t="shared" ca="1" si="14"/>
        <v/>
      </c>
      <c r="L136" s="22" t="str">
        <f>IF(ISBLANK(A136),"",INDEX('données plan-article-opérateurs'!$B$2:$B$318,MATCH(B136,'données plan-article-opérateurs'!$A$2:$A$318,0)))</f>
        <v/>
      </c>
    </row>
    <row r="137" spans="5:12">
      <c r="E137" s="7"/>
      <c r="F137" s="7"/>
      <c r="G137" s="83" t="str">
        <f>IFERROR(INDEX('lot réclamés'!$B$2:$B$199,MATCH(A137,'lot réclamés'!$A$2:$A$199,0)),"")</f>
        <v/>
      </c>
      <c r="H137" s="7" t="str">
        <f t="shared" si="12"/>
        <v/>
      </c>
      <c r="J137" s="21" t="str">
        <f t="shared" ca="1" si="13"/>
        <v/>
      </c>
      <c r="K137" s="21" t="str">
        <f t="shared" ca="1" si="14"/>
        <v/>
      </c>
      <c r="L137" s="22" t="str">
        <f>IF(ISBLANK(A137),"",INDEX('données plan-article-opérateurs'!$B$2:$B$318,MATCH(B137,'données plan-article-opérateurs'!$A$2:$A$318,0)))</f>
        <v/>
      </c>
    </row>
    <row r="138" spans="5:12">
      <c r="E138" s="7"/>
      <c r="F138" s="7"/>
      <c r="G138" s="83" t="str">
        <f>IFERROR(INDEX('lot réclamés'!$B$2:$B$199,MATCH(A138,'lot réclamés'!$A$2:$A$199,0)),"")</f>
        <v/>
      </c>
      <c r="H138" s="7" t="str">
        <f t="shared" si="12"/>
        <v/>
      </c>
      <c r="J138" s="21" t="str">
        <f t="shared" ca="1" si="13"/>
        <v/>
      </c>
      <c r="K138" s="21" t="str">
        <f t="shared" ca="1" si="14"/>
        <v/>
      </c>
      <c r="L138" s="22" t="str">
        <f>IF(ISBLANK(A138),"",INDEX('données plan-article-opérateurs'!$B$2:$B$318,MATCH(B138,'données plan-article-opérateurs'!$A$2:$A$318,0)))</f>
        <v/>
      </c>
    </row>
    <row r="139" spans="5:12">
      <c r="E139" s="7"/>
      <c r="F139" s="7"/>
      <c r="G139" s="83" t="str">
        <f>IFERROR(INDEX('lot réclamés'!$B$2:$B$199,MATCH(A139,'lot réclamés'!$A$2:$A$199,0)),"")</f>
        <v/>
      </c>
      <c r="H139" s="7" t="str">
        <f t="shared" si="12"/>
        <v/>
      </c>
      <c r="J139" s="21" t="str">
        <f t="shared" ca="1" si="13"/>
        <v/>
      </c>
      <c r="K139" s="21" t="str">
        <f t="shared" ca="1" si="14"/>
        <v/>
      </c>
      <c r="L139" s="22" t="str">
        <f>IF(ISBLANK(A139),"",INDEX('données plan-article-opérateurs'!$B$2:$B$318,MATCH(B139,'données plan-article-opérateurs'!$A$2:$A$318,0)))</f>
        <v/>
      </c>
    </row>
    <row r="140" spans="5:12">
      <c r="E140" s="7"/>
      <c r="F140" s="7"/>
      <c r="G140" s="83" t="str">
        <f>IFERROR(INDEX('lot réclamés'!$B$2:$B$199,MATCH(A140,'lot réclamés'!$A$2:$A$199,0)),"")</f>
        <v/>
      </c>
      <c r="H140" s="7" t="str">
        <f t="shared" si="12"/>
        <v/>
      </c>
      <c r="J140" s="21" t="str">
        <f t="shared" ca="1" si="13"/>
        <v/>
      </c>
      <c r="K140" s="21" t="str">
        <f t="shared" ca="1" si="14"/>
        <v/>
      </c>
      <c r="L140" s="22" t="str">
        <f>IF(ISBLANK(A140),"",INDEX('données plan-article-opérateurs'!$B$2:$B$318,MATCH(B140,'données plan-article-opérateurs'!$A$2:$A$318,0)))</f>
        <v/>
      </c>
    </row>
    <row r="141" spans="5:12">
      <c r="E141" s="7"/>
      <c r="F141" s="7"/>
      <c r="G141" s="83" t="str">
        <f>IFERROR(INDEX('lot réclamés'!$B$2:$B$199,MATCH(A141,'lot réclamés'!$A$2:$A$199,0)),"")</f>
        <v/>
      </c>
      <c r="H141" s="7" t="str">
        <f t="shared" si="12"/>
        <v/>
      </c>
      <c r="J141" s="21" t="str">
        <f t="shared" ca="1" si="13"/>
        <v/>
      </c>
      <c r="K141" s="21" t="str">
        <f t="shared" ca="1" si="14"/>
        <v/>
      </c>
      <c r="L141" s="22" t="str">
        <f>IF(ISBLANK(A141),"",INDEX('données plan-article-opérateurs'!$B$2:$B$318,MATCH(B141,'données plan-article-opérateurs'!$A$2:$A$318,0)))</f>
        <v/>
      </c>
    </row>
    <row r="142" spans="5:12">
      <c r="E142" s="7"/>
      <c r="F142" s="7"/>
      <c r="G142" s="83" t="str">
        <f>IFERROR(INDEX('lot réclamés'!$B$2:$B$199,MATCH(A142,'lot réclamés'!$A$2:$A$199,0)),"")</f>
        <v/>
      </c>
      <c r="H142" s="7" t="str">
        <f t="shared" si="12"/>
        <v/>
      </c>
      <c r="J142" s="21" t="str">
        <f t="shared" ca="1" si="13"/>
        <v/>
      </c>
      <c r="K142" s="21" t="str">
        <f t="shared" ca="1" si="14"/>
        <v/>
      </c>
      <c r="L142" s="22" t="str">
        <f>IF(ISBLANK(A142),"",INDEX('données plan-article-opérateurs'!$B$2:$B$318,MATCH(B142,'données plan-article-opérateurs'!$A$2:$A$318,0)))</f>
        <v/>
      </c>
    </row>
    <row r="143" spans="5:12">
      <c r="E143" s="7"/>
      <c r="F143" s="7"/>
      <c r="G143" s="83" t="str">
        <f>IFERROR(INDEX('lot réclamés'!$B$2:$B$199,MATCH(A143,'lot réclamés'!$A$2:$A$199,0)),"")</f>
        <v/>
      </c>
      <c r="H143" s="7" t="str">
        <f t="shared" si="12"/>
        <v/>
      </c>
      <c r="J143" s="21" t="str">
        <f t="shared" ca="1" si="13"/>
        <v/>
      </c>
      <c r="K143" s="21" t="str">
        <f t="shared" ca="1" si="14"/>
        <v/>
      </c>
      <c r="L143" s="22" t="str">
        <f>IF(ISBLANK(A143),"",INDEX('données plan-article-opérateurs'!$B$2:$B$318,MATCH(B143,'données plan-article-opérateurs'!$A$2:$A$318,0)))</f>
        <v/>
      </c>
    </row>
    <row r="144" spans="5:12">
      <c r="E144" s="7"/>
      <c r="F144" s="7"/>
      <c r="G144" s="83" t="str">
        <f>IFERROR(INDEX('lot réclamés'!$B$2:$B$199,MATCH(A144,'lot réclamés'!$A$2:$A$199,0)),"")</f>
        <v/>
      </c>
      <c r="H144" s="7" t="str">
        <f t="shared" si="12"/>
        <v/>
      </c>
      <c r="J144" s="21" t="str">
        <f t="shared" ca="1" si="13"/>
        <v/>
      </c>
      <c r="K144" s="21" t="str">
        <f t="shared" ca="1" si="14"/>
        <v/>
      </c>
      <c r="L144" s="22" t="str">
        <f>IF(ISBLANK(A144),"",INDEX('données plan-article-opérateurs'!$B$2:$B$318,MATCH(B144,'données plan-article-opérateurs'!$A$2:$A$318,0)))</f>
        <v/>
      </c>
    </row>
    <row r="145" spans="5:12">
      <c r="E145" s="7"/>
      <c r="F145" s="7"/>
      <c r="G145" s="83" t="str">
        <f>IFERROR(INDEX('lot réclamés'!$B$2:$B$199,MATCH(A145,'lot réclamés'!$A$2:$A$199,0)),"")</f>
        <v/>
      </c>
      <c r="H145" s="7" t="str">
        <f t="shared" si="12"/>
        <v/>
      </c>
      <c r="J145" s="21" t="str">
        <f t="shared" ca="1" si="13"/>
        <v/>
      </c>
      <c r="K145" s="21" t="str">
        <f t="shared" ca="1" si="14"/>
        <v/>
      </c>
      <c r="L145" s="22" t="str">
        <f>IF(ISBLANK(A145),"",INDEX('données plan-article-opérateurs'!$B$2:$B$318,MATCH(B145,'données plan-article-opérateurs'!$A$2:$A$318,0)))</f>
        <v/>
      </c>
    </row>
    <row r="146" spans="5:12">
      <c r="E146" s="7"/>
      <c r="F146" s="7"/>
      <c r="G146" s="83" t="str">
        <f>IFERROR(INDEX('lot réclamés'!$B$2:$B$199,MATCH(A146,'lot réclamés'!$A$2:$A$199,0)),"")</f>
        <v/>
      </c>
      <c r="H146" s="7" t="str">
        <f t="shared" si="12"/>
        <v/>
      </c>
      <c r="J146" s="21" t="str">
        <f t="shared" ca="1" si="13"/>
        <v/>
      </c>
      <c r="K146" s="21" t="str">
        <f t="shared" ca="1" si="14"/>
        <v/>
      </c>
      <c r="L146" s="22" t="str">
        <f>IF(ISBLANK(A146),"",INDEX('données plan-article-opérateurs'!$B$2:$B$318,MATCH(B146,'données plan-article-opérateurs'!$A$2:$A$318,0)))</f>
        <v/>
      </c>
    </row>
    <row r="147" spans="5:12">
      <c r="E147" s="7"/>
      <c r="F147" s="7"/>
      <c r="G147" s="83" t="str">
        <f>IFERROR(INDEX('lot réclamés'!$B$2:$B$199,MATCH(A147,'lot réclamés'!$A$2:$A$199,0)),"")</f>
        <v/>
      </c>
      <c r="H147" s="7" t="str">
        <f t="shared" si="12"/>
        <v/>
      </c>
      <c r="J147" s="21" t="str">
        <f t="shared" ca="1" si="13"/>
        <v/>
      </c>
      <c r="K147" s="21" t="str">
        <f t="shared" ca="1" si="14"/>
        <v/>
      </c>
      <c r="L147" s="22" t="str">
        <f>IF(ISBLANK(A147),"",INDEX('données plan-article-opérateurs'!$B$2:$B$318,MATCH(B147,'données plan-article-opérateurs'!$A$2:$A$318,0)))</f>
        <v/>
      </c>
    </row>
    <row r="148" spans="5:12">
      <c r="E148" s="7"/>
      <c r="F148" s="7"/>
      <c r="G148" s="83" t="str">
        <f>IFERROR(INDEX('lot réclamés'!$B$2:$B$199,MATCH(A148,'lot réclamés'!$A$2:$A$199,0)),"")</f>
        <v/>
      </c>
      <c r="H148" s="7" t="str">
        <f t="shared" si="12"/>
        <v/>
      </c>
      <c r="J148" s="21" t="str">
        <f t="shared" ca="1" si="13"/>
        <v/>
      </c>
      <c r="K148" s="21" t="str">
        <f t="shared" ca="1" si="14"/>
        <v/>
      </c>
      <c r="L148" s="22" t="str">
        <f>IF(ISBLANK(A148),"",INDEX('données plan-article-opérateurs'!$B$2:$B$318,MATCH(B148,'données plan-article-opérateurs'!$A$2:$A$318,0)))</f>
        <v/>
      </c>
    </row>
    <row r="149" spans="5:12">
      <c r="E149" s="7"/>
      <c r="F149" s="7"/>
      <c r="G149" s="83" t="str">
        <f>IFERROR(INDEX('lot réclamés'!$B$2:$B$199,MATCH(A149,'lot réclamés'!$A$2:$A$199,0)),"")</f>
        <v/>
      </c>
      <c r="H149" s="7" t="str">
        <f t="shared" si="12"/>
        <v/>
      </c>
      <c r="J149" s="21" t="str">
        <f t="shared" ca="1" si="13"/>
        <v/>
      </c>
      <c r="K149" s="21" t="str">
        <f t="shared" ca="1" si="14"/>
        <v/>
      </c>
      <c r="L149" s="22" t="str">
        <f>IF(ISBLANK(A149),"",INDEX('données plan-article-opérateurs'!$B$2:$B$318,MATCH(B149,'données plan-article-opérateurs'!$A$2:$A$318,0)))</f>
        <v/>
      </c>
    </row>
    <row r="150" spans="5:12">
      <c r="E150" s="7"/>
      <c r="F150" s="7"/>
      <c r="G150" s="83" t="str">
        <f>IFERROR(INDEX('lot réclamés'!$B$2:$B$199,MATCH(A150,'lot réclamés'!$A$2:$A$199,0)),"")</f>
        <v/>
      </c>
      <c r="H150" s="7" t="str">
        <f t="shared" si="12"/>
        <v/>
      </c>
      <c r="J150" s="21" t="str">
        <f t="shared" ca="1" si="13"/>
        <v/>
      </c>
      <c r="K150" s="21" t="str">
        <f t="shared" ca="1" si="14"/>
        <v/>
      </c>
      <c r="L150" s="22" t="str">
        <f>IF(ISBLANK(A150),"",INDEX('données plan-article-opérateurs'!$B$2:$B$318,MATCH(B150,'données plan-article-opérateurs'!$A$2:$A$318,0)))</f>
        <v/>
      </c>
    </row>
    <row r="151" spans="5:12">
      <c r="E151" s="7"/>
      <c r="F151" s="7"/>
      <c r="G151" s="83" t="str">
        <f>IFERROR(INDEX('lot réclamés'!$B$2:$B$199,MATCH(A151,'lot réclamés'!$A$2:$A$199,0)),"")</f>
        <v/>
      </c>
      <c r="H151" s="7" t="str">
        <f t="shared" si="12"/>
        <v/>
      </c>
      <c r="J151" s="21" t="str">
        <f t="shared" ca="1" si="13"/>
        <v/>
      </c>
      <c r="K151" s="21" t="str">
        <f t="shared" ca="1" si="14"/>
        <v/>
      </c>
      <c r="L151" s="22" t="str">
        <f>IF(ISBLANK(A151),"",INDEX('données plan-article-opérateurs'!$B$2:$B$318,MATCH(B151,'données plan-article-opérateurs'!$A$2:$A$318,0)))</f>
        <v/>
      </c>
    </row>
    <row r="152" spans="5:12">
      <c r="E152" s="7"/>
      <c r="F152" s="7"/>
      <c r="G152" s="83" t="str">
        <f>IFERROR(INDEX('lot réclamés'!$B$2:$B$199,MATCH(A152,'lot réclamés'!$A$2:$A$199,0)),"")</f>
        <v/>
      </c>
      <c r="H152" s="7" t="str">
        <f t="shared" si="12"/>
        <v/>
      </c>
      <c r="J152" s="21" t="str">
        <f t="shared" ca="1" si="13"/>
        <v/>
      </c>
      <c r="K152" s="21" t="str">
        <f t="shared" ca="1" si="14"/>
        <v/>
      </c>
      <c r="L152" s="22" t="str">
        <f>IF(ISBLANK(A152),"",INDEX('données plan-article-opérateurs'!$B$2:$B$318,MATCH(B152,'données plan-article-opérateurs'!$A$2:$A$318,0)))</f>
        <v/>
      </c>
    </row>
    <row r="153" spans="5:12">
      <c r="E153" s="7"/>
      <c r="F153" s="7"/>
      <c r="G153" s="83" t="str">
        <f>IFERROR(INDEX('lot réclamés'!$B$2:$B$199,MATCH(A153,'lot réclamés'!$A$2:$A$199,0)),"")</f>
        <v/>
      </c>
      <c r="H153" s="7" t="str">
        <f t="shared" si="12"/>
        <v/>
      </c>
      <c r="J153" s="21" t="str">
        <f t="shared" ca="1" si="13"/>
        <v/>
      </c>
      <c r="K153" s="21" t="str">
        <f t="shared" ca="1" si="14"/>
        <v/>
      </c>
      <c r="L153" s="22" t="str">
        <f>IF(ISBLANK(A153),"",INDEX('données plan-article-opérateurs'!$B$2:$B$318,MATCH(B153,'données plan-article-opérateurs'!$A$2:$A$318,0)))</f>
        <v/>
      </c>
    </row>
    <row r="154" spans="5:12">
      <c r="E154" s="7"/>
      <c r="F154" s="7"/>
      <c r="G154" s="83" t="str">
        <f>IFERROR(INDEX('lot réclamés'!$B$2:$B$199,MATCH(A154,'lot réclamés'!$A$2:$A$199,0)),"")</f>
        <v/>
      </c>
      <c r="H154" s="7" t="str">
        <f t="shared" si="12"/>
        <v/>
      </c>
      <c r="J154" s="21" t="str">
        <f t="shared" ca="1" si="13"/>
        <v/>
      </c>
      <c r="K154" s="21" t="str">
        <f t="shared" ca="1" si="14"/>
        <v/>
      </c>
      <c r="L154" s="22" t="str">
        <f>IF(ISBLANK(A154),"",INDEX('données plan-article-opérateurs'!$B$2:$B$318,MATCH(B154,'données plan-article-opérateurs'!$A$2:$A$318,0)))</f>
        <v/>
      </c>
    </row>
    <row r="155" spans="5:12">
      <c r="E155" s="7"/>
      <c r="F155" s="7"/>
      <c r="G155" s="83" t="str">
        <f>IFERROR(INDEX('lot réclamés'!$B$2:$B$199,MATCH(A155,'lot réclamés'!$A$2:$A$199,0)),"")</f>
        <v/>
      </c>
      <c r="H155" s="7" t="str">
        <f t="shared" si="12"/>
        <v/>
      </c>
      <c r="J155" s="21" t="str">
        <f t="shared" ca="1" si="13"/>
        <v/>
      </c>
      <c r="K155" s="21" t="str">
        <f t="shared" ca="1" si="14"/>
        <v/>
      </c>
      <c r="L155" s="22" t="str">
        <f>IF(ISBLANK(A155),"",INDEX('données plan-article-opérateurs'!$B$2:$B$318,MATCH(B155,'données plan-article-opérateurs'!$A$2:$A$318,0)))</f>
        <v/>
      </c>
    </row>
    <row r="156" spans="5:12">
      <c r="E156" s="7"/>
      <c r="F156" s="7"/>
      <c r="G156" s="83" t="str">
        <f>IFERROR(INDEX('lot réclamés'!$B$2:$B$199,MATCH(A156,'lot réclamés'!$A$2:$A$199,0)),"")</f>
        <v/>
      </c>
      <c r="H156" s="7" t="str">
        <f t="shared" si="12"/>
        <v/>
      </c>
      <c r="J156" s="21" t="str">
        <f t="shared" ca="1" si="13"/>
        <v/>
      </c>
      <c r="K156" s="21" t="str">
        <f t="shared" ca="1" si="14"/>
        <v/>
      </c>
      <c r="L156" s="22" t="str">
        <f>IF(ISBLANK(A156),"",INDEX('données plan-article-opérateurs'!$B$2:$B$318,MATCH(B156,'données plan-article-opérateurs'!$A$2:$A$318,0)))</f>
        <v/>
      </c>
    </row>
    <row r="157" spans="5:12">
      <c r="E157" s="7"/>
      <c r="F157" s="7"/>
      <c r="G157" s="83" t="str">
        <f>IFERROR(INDEX('lot réclamés'!$B$2:$B$199,MATCH(A157,'lot réclamés'!$A$2:$A$199,0)),"")</f>
        <v/>
      </c>
      <c r="H157" s="7" t="str">
        <f t="shared" si="12"/>
        <v/>
      </c>
      <c r="J157" s="21" t="str">
        <f t="shared" ca="1" si="13"/>
        <v/>
      </c>
      <c r="K157" s="21" t="str">
        <f t="shared" ca="1" si="14"/>
        <v/>
      </c>
      <c r="L157" s="22" t="str">
        <f>IF(ISBLANK(A157),"",INDEX('données plan-article-opérateurs'!$B$2:$B$318,MATCH(B157,'données plan-article-opérateurs'!$A$2:$A$318,0)))</f>
        <v/>
      </c>
    </row>
    <row r="158" spans="5:12">
      <c r="E158" s="7"/>
      <c r="F158" s="7"/>
      <c r="G158" s="83" t="str">
        <f>IFERROR(INDEX('lot réclamés'!$B$2:$B$199,MATCH(A158,'lot réclamés'!$A$2:$A$199,0)),"")</f>
        <v/>
      </c>
      <c r="H158" s="7" t="str">
        <f t="shared" si="12"/>
        <v/>
      </c>
      <c r="J158" s="21" t="str">
        <f t="shared" ca="1" si="13"/>
        <v/>
      </c>
      <c r="K158" s="21" t="str">
        <f t="shared" ca="1" si="14"/>
        <v/>
      </c>
      <c r="L158" s="22" t="str">
        <f>IF(ISBLANK(A158),"",INDEX('données plan-article-opérateurs'!$B$2:$B$318,MATCH(B158,'données plan-article-opérateurs'!$A$2:$A$318,0)))</f>
        <v/>
      </c>
    </row>
    <row r="159" spans="5:12">
      <c r="E159" s="7"/>
      <c r="F159" s="7"/>
      <c r="G159" s="83" t="str">
        <f>IFERROR(INDEX('lot réclamés'!$B$2:$B$199,MATCH(A159,'lot réclamés'!$A$2:$A$199,0)),"")</f>
        <v/>
      </c>
      <c r="H159" s="7" t="str">
        <f t="shared" si="12"/>
        <v/>
      </c>
      <c r="J159" s="21" t="str">
        <f t="shared" ca="1" si="13"/>
        <v/>
      </c>
      <c r="K159" s="21" t="str">
        <f t="shared" ca="1" si="14"/>
        <v/>
      </c>
      <c r="L159" s="22" t="str">
        <f>IF(ISBLANK(A159),"",INDEX('données plan-article-opérateurs'!$B$2:$B$318,MATCH(B159,'données plan-article-opérateurs'!$A$2:$A$318,0)))</f>
        <v/>
      </c>
    </row>
    <row r="160" spans="5:12">
      <c r="E160" s="7"/>
      <c r="F160" s="7"/>
      <c r="G160" s="83" t="str">
        <f>IFERROR(INDEX('lot réclamés'!$B$2:$B$199,MATCH(A160,'lot réclamés'!$A$2:$A$199,0)),"")</f>
        <v/>
      </c>
      <c r="H160" s="7" t="str">
        <f t="shared" si="12"/>
        <v/>
      </c>
      <c r="J160" s="21" t="str">
        <f t="shared" ca="1" si="13"/>
        <v/>
      </c>
      <c r="K160" s="21" t="str">
        <f t="shared" ca="1" si="14"/>
        <v/>
      </c>
      <c r="L160" s="22" t="str">
        <f>IF(ISBLANK(A160),"",INDEX('données plan-article-opérateurs'!$B$2:$B$318,MATCH(B160,'données plan-article-opérateurs'!$A$2:$A$318,0)))</f>
        <v/>
      </c>
    </row>
    <row r="161" spans="5:12">
      <c r="E161" s="7"/>
      <c r="F161" s="7"/>
      <c r="G161" s="83" t="str">
        <f>IFERROR(INDEX('lot réclamés'!$B$2:$B$199,MATCH(A161,'lot réclamés'!$A$2:$A$199,0)),"")</f>
        <v/>
      </c>
      <c r="H161" s="7" t="str">
        <f t="shared" si="12"/>
        <v/>
      </c>
      <c r="J161" s="21" t="str">
        <f t="shared" ca="1" si="13"/>
        <v/>
      </c>
      <c r="K161" s="21" t="str">
        <f t="shared" ca="1" si="14"/>
        <v/>
      </c>
      <c r="L161" s="22" t="str">
        <f>IF(ISBLANK(A161),"",INDEX('données plan-article-opérateurs'!$B$2:$B$318,MATCH(B161,'données plan-article-opérateurs'!$A$2:$A$318,0)))</f>
        <v/>
      </c>
    </row>
    <row r="162" spans="5:12">
      <c r="E162" s="7"/>
      <c r="F162" s="7"/>
      <c r="G162" s="83" t="str">
        <f>IFERROR(INDEX('lot réclamés'!$B$2:$B$199,MATCH(A162,'lot réclamés'!$A$2:$A$199,0)),"")</f>
        <v/>
      </c>
      <c r="H162" s="7" t="str">
        <f t="shared" si="12"/>
        <v/>
      </c>
      <c r="J162" s="21" t="str">
        <f t="shared" ca="1" si="13"/>
        <v/>
      </c>
      <c r="K162" s="21" t="str">
        <f t="shared" ca="1" si="14"/>
        <v/>
      </c>
      <c r="L162" s="22" t="str">
        <f>IF(ISBLANK(A162),"",INDEX('données plan-article-opérateurs'!$B$2:$B$318,MATCH(B162,'données plan-article-opérateurs'!$A$2:$A$318,0)))</f>
        <v/>
      </c>
    </row>
    <row r="163" spans="5:12">
      <c r="E163" s="7"/>
      <c r="F163" s="7"/>
      <c r="G163" s="83" t="str">
        <f>IFERROR(INDEX('lot réclamés'!$B$2:$B$199,MATCH(A163,'lot réclamés'!$A$2:$A$199,0)),"")</f>
        <v/>
      </c>
      <c r="H163" s="7" t="str">
        <f t="shared" si="12"/>
        <v/>
      </c>
      <c r="J163" s="21" t="str">
        <f t="shared" ca="1" si="13"/>
        <v/>
      </c>
      <c r="K163" s="21" t="str">
        <f t="shared" ca="1" si="14"/>
        <v/>
      </c>
      <c r="L163" s="22" t="str">
        <f>IF(ISBLANK(A163),"",INDEX('données plan-article-opérateurs'!$B$2:$B$318,MATCH(B163,'données plan-article-opérateurs'!$A$2:$A$318,0)))</f>
        <v/>
      </c>
    </row>
    <row r="164" spans="5:12">
      <c r="E164" s="7"/>
      <c r="F164" s="7"/>
      <c r="G164" s="83" t="str">
        <f>IFERROR(INDEX('lot réclamés'!$B$2:$B$199,MATCH(A164,'lot réclamés'!$A$2:$A$199,0)),"")</f>
        <v/>
      </c>
      <c r="H164" s="7" t="str">
        <f t="shared" si="12"/>
        <v/>
      </c>
      <c r="J164" s="21" t="str">
        <f t="shared" ca="1" si="13"/>
        <v/>
      </c>
      <c r="K164" s="21" t="str">
        <f t="shared" ca="1" si="14"/>
        <v/>
      </c>
      <c r="L164" s="22" t="str">
        <f>IF(ISBLANK(A164),"",INDEX('données plan-article-opérateurs'!$B$2:$B$318,MATCH(B164,'données plan-article-opérateurs'!$A$2:$A$318,0)))</f>
        <v/>
      </c>
    </row>
    <row r="165" spans="5:12">
      <c r="E165" s="7"/>
      <c r="F165" s="7"/>
      <c r="G165" s="83" t="str">
        <f>IFERROR(INDEX('lot réclamés'!$B$2:$B$199,MATCH(A165,'lot réclamés'!$A$2:$A$199,0)),"")</f>
        <v/>
      </c>
      <c r="H165" s="7" t="str">
        <f t="shared" si="12"/>
        <v/>
      </c>
      <c r="J165" s="21" t="str">
        <f t="shared" ca="1" si="13"/>
        <v/>
      </c>
      <c r="K165" s="21" t="str">
        <f t="shared" ca="1" si="14"/>
        <v/>
      </c>
      <c r="L165" s="22" t="str">
        <f>IF(ISBLANK(A165),"",INDEX('données plan-article-opérateurs'!$B$2:$B$318,MATCH(B165,'données plan-article-opérateurs'!$A$2:$A$318,0)))</f>
        <v/>
      </c>
    </row>
    <row r="166" spans="5:12">
      <c r="E166" s="7"/>
      <c r="F166" s="7"/>
      <c r="G166" s="83" t="str">
        <f>IFERROR(INDEX('lot réclamés'!$B$2:$B$199,MATCH(A166,'lot réclamés'!$A$2:$A$199,0)),"")</f>
        <v/>
      </c>
      <c r="H166" s="7" t="str">
        <f t="shared" ref="H166:H197" si="15">IF(ISBLANK(A166),"",IF(G166&lt;&gt;"",WORKDAY(G166,(L166/420)*-1,feries),
IF(LEFT(A166,2)="SC",WORKDAY(E166,1,feries),
IF(E166&gt;F166,WORKDAY(E166,5,feries),
IF(E166&lt;F166,WORKDAY(F166,(L166/420)*-1,feries))))))</f>
        <v/>
      </c>
      <c r="J166" s="21" t="str">
        <f t="shared" ref="J166:J201" ca="1" si="16">IF(ISBLANK(A166),"",IF(F166&gt;=TODAY(),"-"&amp;DATEDIF(TODAY(),F166,"d"),"+"&amp;DATEDIF(F166,TODAY(),"d")))</f>
        <v/>
      </c>
      <c r="K166" s="21" t="str">
        <f t="shared" ref="K166:K201" ca="1" si="17">IF(ISBLANK(A166),"",DATEDIF(E166,TODAY(),"d"))</f>
        <v/>
      </c>
      <c r="L166" s="22" t="str">
        <f>IF(ISBLANK(A166),"",INDEX('données plan-article-opérateurs'!$B$2:$B$318,MATCH(B166,'données plan-article-opérateurs'!$A$2:$A$318,0)))</f>
        <v/>
      </c>
    </row>
    <row r="167" spans="5:12">
      <c r="E167" s="7"/>
      <c r="F167" s="7"/>
      <c r="G167" s="83" t="str">
        <f>IFERROR(INDEX('lot réclamés'!$B$2:$B$199,MATCH(A167,'lot réclamés'!$A$2:$A$199,0)),"")</f>
        <v/>
      </c>
      <c r="H167" s="7" t="str">
        <f t="shared" si="15"/>
        <v/>
      </c>
      <c r="J167" s="21" t="str">
        <f t="shared" ca="1" si="16"/>
        <v/>
      </c>
      <c r="K167" s="21" t="str">
        <f t="shared" ca="1" si="17"/>
        <v/>
      </c>
      <c r="L167" s="22" t="str">
        <f>IF(ISBLANK(A167),"",INDEX('données plan-article-opérateurs'!$B$2:$B$318,MATCH(B167,'données plan-article-opérateurs'!$A$2:$A$318,0)))</f>
        <v/>
      </c>
    </row>
    <row r="168" spans="5:12">
      <c r="E168" s="7"/>
      <c r="F168" s="7"/>
      <c r="G168" s="83" t="str">
        <f>IFERROR(INDEX('lot réclamés'!$B$2:$B$199,MATCH(A168,'lot réclamés'!$A$2:$A$199,0)),"")</f>
        <v/>
      </c>
      <c r="H168" s="7" t="str">
        <f t="shared" si="15"/>
        <v/>
      </c>
      <c r="J168" s="21" t="str">
        <f t="shared" ca="1" si="16"/>
        <v/>
      </c>
      <c r="K168" s="21" t="str">
        <f t="shared" ca="1" si="17"/>
        <v/>
      </c>
      <c r="L168" s="22" t="str">
        <f>IF(ISBLANK(A168),"",INDEX('données plan-article-opérateurs'!$B$2:$B$318,MATCH(B168,'données plan-article-opérateurs'!$A$2:$A$318,0)))</f>
        <v/>
      </c>
    </row>
    <row r="169" spans="5:12">
      <c r="E169" s="7"/>
      <c r="F169" s="7"/>
      <c r="G169" s="83" t="str">
        <f>IFERROR(INDEX('lot réclamés'!$B$2:$B$199,MATCH(A169,'lot réclamés'!$A$2:$A$199,0)),"")</f>
        <v/>
      </c>
      <c r="H169" s="7" t="str">
        <f t="shared" si="15"/>
        <v/>
      </c>
      <c r="J169" s="21" t="str">
        <f t="shared" ca="1" si="16"/>
        <v/>
      </c>
      <c r="K169" s="21" t="str">
        <f t="shared" ca="1" si="17"/>
        <v/>
      </c>
      <c r="L169" s="22" t="str">
        <f>IF(ISBLANK(A169),"",INDEX('données plan-article-opérateurs'!$B$2:$B$318,MATCH(B169,'données plan-article-opérateurs'!$A$2:$A$318,0)))</f>
        <v/>
      </c>
    </row>
    <row r="170" spans="5:12">
      <c r="E170" s="7"/>
      <c r="F170" s="7"/>
      <c r="G170" s="83" t="str">
        <f>IFERROR(INDEX('lot réclamés'!$B$2:$B$199,MATCH(A170,'lot réclamés'!$A$2:$A$199,0)),"")</f>
        <v/>
      </c>
      <c r="H170" s="7" t="str">
        <f t="shared" si="15"/>
        <v/>
      </c>
      <c r="J170" s="21" t="str">
        <f t="shared" ca="1" si="16"/>
        <v/>
      </c>
      <c r="K170" s="21" t="str">
        <f t="shared" ca="1" si="17"/>
        <v/>
      </c>
      <c r="L170" s="22" t="str">
        <f>IF(ISBLANK(A170),"",INDEX('données plan-article-opérateurs'!$B$2:$B$318,MATCH(B170,'données plan-article-opérateurs'!$A$2:$A$318,0)))</f>
        <v/>
      </c>
    </row>
    <row r="171" spans="5:12">
      <c r="E171" s="7"/>
      <c r="F171" s="7"/>
      <c r="G171" s="83" t="str">
        <f>IFERROR(INDEX('lot réclamés'!$B$2:$B$199,MATCH(A171,'lot réclamés'!$A$2:$A$199,0)),"")</f>
        <v/>
      </c>
      <c r="H171" s="7" t="str">
        <f t="shared" si="15"/>
        <v/>
      </c>
      <c r="J171" s="21" t="str">
        <f t="shared" ca="1" si="16"/>
        <v/>
      </c>
      <c r="K171" s="21" t="str">
        <f t="shared" ca="1" si="17"/>
        <v/>
      </c>
      <c r="L171" s="22" t="str">
        <f>IF(ISBLANK(A171),"",INDEX('données plan-article-opérateurs'!$B$2:$B$318,MATCH(B171,'données plan-article-opérateurs'!$A$2:$A$318,0)))</f>
        <v/>
      </c>
    </row>
    <row r="172" spans="5:12">
      <c r="E172" s="7"/>
      <c r="F172" s="7"/>
      <c r="G172" s="83" t="str">
        <f>IFERROR(INDEX('lot réclamés'!$B$2:$B$199,MATCH(A172,'lot réclamés'!$A$2:$A$199,0)),"")</f>
        <v/>
      </c>
      <c r="H172" s="7" t="str">
        <f t="shared" si="15"/>
        <v/>
      </c>
      <c r="J172" s="21" t="str">
        <f t="shared" ca="1" si="16"/>
        <v/>
      </c>
      <c r="K172" s="21" t="str">
        <f t="shared" ca="1" si="17"/>
        <v/>
      </c>
      <c r="L172" s="22" t="str">
        <f>IF(ISBLANK(A172),"",INDEX('données plan-article-opérateurs'!$B$2:$B$318,MATCH(B172,'données plan-article-opérateurs'!$A$2:$A$318,0)))</f>
        <v/>
      </c>
    </row>
    <row r="173" spans="5:12">
      <c r="E173" s="7"/>
      <c r="F173" s="7"/>
      <c r="G173" s="83" t="str">
        <f>IFERROR(INDEX('lot réclamés'!$B$2:$B$199,MATCH(A173,'lot réclamés'!$A$2:$A$199,0)),"")</f>
        <v/>
      </c>
      <c r="H173" s="7" t="str">
        <f t="shared" si="15"/>
        <v/>
      </c>
      <c r="J173" s="21" t="str">
        <f t="shared" ca="1" si="16"/>
        <v/>
      </c>
      <c r="K173" s="21" t="str">
        <f t="shared" ca="1" si="17"/>
        <v/>
      </c>
      <c r="L173" s="22" t="str">
        <f>IF(ISBLANK(A173),"",INDEX('données plan-article-opérateurs'!$B$2:$B$318,MATCH(B173,'données plan-article-opérateurs'!$A$2:$A$318,0)))</f>
        <v/>
      </c>
    </row>
    <row r="174" spans="5:12">
      <c r="E174" s="7"/>
      <c r="F174" s="7"/>
      <c r="G174" s="83" t="str">
        <f>IFERROR(INDEX('lot réclamés'!$B$2:$B$199,MATCH(A174,'lot réclamés'!$A$2:$A$199,0)),"")</f>
        <v/>
      </c>
      <c r="H174" s="7" t="str">
        <f t="shared" si="15"/>
        <v/>
      </c>
      <c r="J174" s="21" t="str">
        <f t="shared" ca="1" si="16"/>
        <v/>
      </c>
      <c r="K174" s="21" t="str">
        <f t="shared" ca="1" si="17"/>
        <v/>
      </c>
      <c r="L174" s="22" t="str">
        <f>IF(ISBLANK(A174),"",INDEX('données plan-article-opérateurs'!$B$2:$B$318,MATCH(B174,'données plan-article-opérateurs'!$A$2:$A$318,0)))</f>
        <v/>
      </c>
    </row>
    <row r="175" spans="5:12">
      <c r="E175" s="7"/>
      <c r="F175" s="7"/>
      <c r="G175" s="83" t="str">
        <f>IFERROR(INDEX('lot réclamés'!$B$2:$B$199,MATCH(A175,'lot réclamés'!$A$2:$A$199,0)),"")</f>
        <v/>
      </c>
      <c r="H175" s="7" t="str">
        <f t="shared" si="15"/>
        <v/>
      </c>
      <c r="J175" s="21" t="str">
        <f t="shared" ca="1" si="16"/>
        <v/>
      </c>
      <c r="K175" s="21" t="str">
        <f t="shared" ca="1" si="17"/>
        <v/>
      </c>
      <c r="L175" s="22" t="str">
        <f>IF(ISBLANK(A175),"",INDEX('données plan-article-opérateurs'!$B$2:$B$318,MATCH(B175,'données plan-article-opérateurs'!$A$2:$A$318,0)))</f>
        <v/>
      </c>
    </row>
    <row r="176" spans="5:12">
      <c r="E176" s="7"/>
      <c r="F176" s="7"/>
      <c r="G176" s="83" t="str">
        <f>IFERROR(INDEX('lot réclamés'!$B$2:$B$199,MATCH(A176,'lot réclamés'!$A$2:$A$199,0)),"")</f>
        <v/>
      </c>
      <c r="H176" s="7" t="str">
        <f t="shared" si="15"/>
        <v/>
      </c>
      <c r="J176" s="21" t="str">
        <f t="shared" ca="1" si="16"/>
        <v/>
      </c>
      <c r="K176" s="21" t="str">
        <f t="shared" ca="1" si="17"/>
        <v/>
      </c>
      <c r="L176" s="22" t="str">
        <f>IF(ISBLANK(A176),"",INDEX('données plan-article-opérateurs'!$B$2:$B$318,MATCH(B176,'données plan-article-opérateurs'!$A$2:$A$318,0)))</f>
        <v/>
      </c>
    </row>
    <row r="177" spans="5:12">
      <c r="E177" s="7"/>
      <c r="F177" s="7"/>
      <c r="G177" s="83" t="str">
        <f>IFERROR(INDEX('lot réclamés'!$B$2:$B$199,MATCH(A177,'lot réclamés'!$A$2:$A$199,0)),"")</f>
        <v/>
      </c>
      <c r="H177" s="7" t="str">
        <f t="shared" si="15"/>
        <v/>
      </c>
      <c r="J177" s="21" t="str">
        <f t="shared" ca="1" si="16"/>
        <v/>
      </c>
      <c r="K177" s="21" t="str">
        <f t="shared" ca="1" si="17"/>
        <v/>
      </c>
      <c r="L177" s="22" t="str">
        <f>IF(ISBLANK(A177),"",INDEX('données plan-article-opérateurs'!$B$2:$B$318,MATCH(B177,'données plan-article-opérateurs'!$A$2:$A$318,0)))</f>
        <v/>
      </c>
    </row>
    <row r="178" spans="5:12">
      <c r="E178" s="7"/>
      <c r="F178" s="7"/>
      <c r="G178" s="83" t="str">
        <f>IFERROR(INDEX('lot réclamés'!$B$2:$B$199,MATCH(A178,'lot réclamés'!$A$2:$A$199,0)),"")</f>
        <v/>
      </c>
      <c r="H178" s="7" t="str">
        <f t="shared" si="15"/>
        <v/>
      </c>
      <c r="J178" s="21" t="str">
        <f t="shared" ca="1" si="16"/>
        <v/>
      </c>
      <c r="K178" s="21" t="str">
        <f t="shared" ca="1" si="17"/>
        <v/>
      </c>
      <c r="L178" s="22" t="str">
        <f>IF(ISBLANK(A178),"",INDEX('données plan-article-opérateurs'!$B$2:$B$318,MATCH(B178,'données plan-article-opérateurs'!$A$2:$A$318,0)))</f>
        <v/>
      </c>
    </row>
    <row r="179" spans="5:12">
      <c r="E179" s="7"/>
      <c r="F179" s="7"/>
      <c r="G179" s="83" t="str">
        <f>IFERROR(INDEX('lot réclamés'!$B$2:$B$199,MATCH(A179,'lot réclamés'!$A$2:$A$199,0)),"")</f>
        <v/>
      </c>
      <c r="H179" s="7" t="str">
        <f t="shared" si="15"/>
        <v/>
      </c>
      <c r="J179" s="21" t="str">
        <f t="shared" ca="1" si="16"/>
        <v/>
      </c>
      <c r="K179" s="21" t="str">
        <f t="shared" ca="1" si="17"/>
        <v/>
      </c>
      <c r="L179" s="22" t="str">
        <f>IF(ISBLANK(A179),"",INDEX('données plan-article-opérateurs'!$B$2:$B$318,MATCH(B179,'données plan-article-opérateurs'!$A$2:$A$318,0)))</f>
        <v/>
      </c>
    </row>
    <row r="180" spans="5:12">
      <c r="E180" s="7"/>
      <c r="F180" s="7"/>
      <c r="G180" s="83" t="str">
        <f>IFERROR(INDEX('lot réclamés'!$B$2:$B$199,MATCH(A180,'lot réclamés'!$A$2:$A$199,0)),"")</f>
        <v/>
      </c>
      <c r="H180" s="7" t="str">
        <f t="shared" si="15"/>
        <v/>
      </c>
      <c r="J180" s="21" t="str">
        <f t="shared" ca="1" si="16"/>
        <v/>
      </c>
      <c r="K180" s="21" t="str">
        <f t="shared" ca="1" si="17"/>
        <v/>
      </c>
      <c r="L180" s="22" t="str">
        <f>IF(ISBLANK(A180),"",INDEX('données plan-article-opérateurs'!$B$2:$B$318,MATCH(B180,'données plan-article-opérateurs'!$A$2:$A$318,0)))</f>
        <v/>
      </c>
    </row>
    <row r="181" spans="5:12">
      <c r="E181" s="7"/>
      <c r="F181" s="7"/>
      <c r="G181" s="83" t="str">
        <f>IFERROR(INDEX('lot réclamés'!$B$2:$B$199,MATCH(A181,'lot réclamés'!$A$2:$A$199,0)),"")</f>
        <v/>
      </c>
      <c r="H181" s="7" t="str">
        <f t="shared" si="15"/>
        <v/>
      </c>
      <c r="J181" s="21" t="str">
        <f t="shared" ca="1" si="16"/>
        <v/>
      </c>
      <c r="K181" s="21" t="str">
        <f t="shared" ca="1" si="17"/>
        <v/>
      </c>
      <c r="L181" s="22" t="str">
        <f>IF(ISBLANK(A181),"",INDEX('données plan-article-opérateurs'!$B$2:$B$318,MATCH(B181,'données plan-article-opérateurs'!$A$2:$A$318,0)))</f>
        <v/>
      </c>
    </row>
    <row r="182" spans="5:12">
      <c r="E182" s="7"/>
      <c r="F182" s="7"/>
      <c r="G182" s="83" t="str">
        <f>IFERROR(INDEX('lot réclamés'!$B$2:$B$199,MATCH(A182,'lot réclamés'!$A$2:$A$199,0)),"")</f>
        <v/>
      </c>
      <c r="H182" s="7" t="str">
        <f t="shared" si="15"/>
        <v/>
      </c>
      <c r="J182" s="21" t="str">
        <f t="shared" ca="1" si="16"/>
        <v/>
      </c>
      <c r="K182" s="21" t="str">
        <f t="shared" ca="1" si="17"/>
        <v/>
      </c>
      <c r="L182" s="22" t="str">
        <f>IF(ISBLANK(A182),"",INDEX('données plan-article-opérateurs'!$B$2:$B$318,MATCH(B182,'données plan-article-opérateurs'!$A$2:$A$318,0)))</f>
        <v/>
      </c>
    </row>
    <row r="183" spans="5:12">
      <c r="E183" s="7"/>
      <c r="F183" s="7"/>
      <c r="G183" s="83" t="str">
        <f>IFERROR(INDEX('lot réclamés'!$B$2:$B$199,MATCH(A183,'lot réclamés'!$A$2:$A$199,0)),"")</f>
        <v/>
      </c>
      <c r="H183" s="7" t="str">
        <f t="shared" si="15"/>
        <v/>
      </c>
      <c r="J183" s="21" t="str">
        <f t="shared" ca="1" si="16"/>
        <v/>
      </c>
      <c r="K183" s="21" t="str">
        <f t="shared" ca="1" si="17"/>
        <v/>
      </c>
      <c r="L183" s="22" t="str">
        <f>IF(ISBLANK(A183),"",INDEX('données plan-article-opérateurs'!$B$2:$B$318,MATCH(B183,'données plan-article-opérateurs'!$A$2:$A$318,0)))</f>
        <v/>
      </c>
    </row>
    <row r="184" spans="5:12">
      <c r="E184" s="7"/>
      <c r="F184" s="7"/>
      <c r="G184" s="83" t="str">
        <f>IFERROR(INDEX('lot réclamés'!$B$2:$B$199,MATCH(A184,'lot réclamés'!$A$2:$A$199,0)),"")</f>
        <v/>
      </c>
      <c r="H184" s="7" t="str">
        <f t="shared" si="15"/>
        <v/>
      </c>
      <c r="J184" s="21" t="str">
        <f t="shared" ca="1" si="16"/>
        <v/>
      </c>
      <c r="K184" s="21" t="str">
        <f t="shared" ca="1" si="17"/>
        <v/>
      </c>
      <c r="L184" s="22" t="str">
        <f>IF(ISBLANK(A184),"",INDEX('données plan-article-opérateurs'!$B$2:$B$318,MATCH(B184,'données plan-article-opérateurs'!$A$2:$A$318,0)))</f>
        <v/>
      </c>
    </row>
    <row r="185" spans="5:12">
      <c r="E185" s="7"/>
      <c r="F185" s="7"/>
      <c r="G185" s="83" t="str">
        <f>IFERROR(INDEX('lot réclamés'!$B$2:$B$199,MATCH(A185,'lot réclamés'!$A$2:$A$199,0)),"")</f>
        <v/>
      </c>
      <c r="H185" s="7" t="str">
        <f t="shared" si="15"/>
        <v/>
      </c>
      <c r="J185" s="21" t="str">
        <f t="shared" ca="1" si="16"/>
        <v/>
      </c>
      <c r="K185" s="21" t="str">
        <f t="shared" ca="1" si="17"/>
        <v/>
      </c>
      <c r="L185" s="22" t="str">
        <f>IF(ISBLANK(A185),"",INDEX('données plan-article-opérateurs'!$B$2:$B$318,MATCH(B185,'données plan-article-opérateurs'!$A$2:$A$318,0)))</f>
        <v/>
      </c>
    </row>
    <row r="186" spans="5:12">
      <c r="E186" s="7"/>
      <c r="F186" s="7"/>
      <c r="G186" s="83" t="str">
        <f>IFERROR(INDEX('lot réclamés'!$B$2:$B$199,MATCH(A186,'lot réclamés'!$A$2:$A$199,0)),"")</f>
        <v/>
      </c>
      <c r="H186" s="7" t="str">
        <f t="shared" si="15"/>
        <v/>
      </c>
      <c r="J186" s="21" t="str">
        <f t="shared" ca="1" si="16"/>
        <v/>
      </c>
      <c r="K186" s="21" t="str">
        <f t="shared" ca="1" si="17"/>
        <v/>
      </c>
      <c r="L186" s="22" t="str">
        <f>IF(ISBLANK(A186),"",INDEX('données plan-article-opérateurs'!$B$2:$B$318,MATCH(B186,'données plan-article-opérateurs'!$A$2:$A$318,0)))</f>
        <v/>
      </c>
    </row>
    <row r="187" spans="5:12">
      <c r="E187" s="7"/>
      <c r="F187" s="7"/>
      <c r="G187" s="83" t="str">
        <f>IFERROR(INDEX('lot réclamés'!$B$2:$B$199,MATCH(A187,'lot réclamés'!$A$2:$A$199,0)),"")</f>
        <v/>
      </c>
      <c r="H187" s="7" t="str">
        <f t="shared" si="15"/>
        <v/>
      </c>
      <c r="J187" s="21" t="str">
        <f t="shared" ca="1" si="16"/>
        <v/>
      </c>
      <c r="K187" s="21" t="str">
        <f t="shared" ca="1" si="17"/>
        <v/>
      </c>
      <c r="L187" s="22" t="str">
        <f>IF(ISBLANK(A187),"",INDEX('données plan-article-opérateurs'!$B$2:$B$318,MATCH(B187,'données plan-article-opérateurs'!$A$2:$A$318,0)))</f>
        <v/>
      </c>
    </row>
    <row r="188" spans="5:12">
      <c r="E188" s="7"/>
      <c r="F188" s="7"/>
      <c r="G188" s="83" t="str">
        <f>IFERROR(INDEX('lot réclamés'!$B$2:$B$199,MATCH(A188,'lot réclamés'!$A$2:$A$199,0)),"")</f>
        <v/>
      </c>
      <c r="H188" s="7" t="str">
        <f t="shared" si="15"/>
        <v/>
      </c>
      <c r="J188" s="21" t="str">
        <f t="shared" ca="1" si="16"/>
        <v/>
      </c>
      <c r="K188" s="21" t="str">
        <f t="shared" ca="1" si="17"/>
        <v/>
      </c>
      <c r="L188" s="22" t="str">
        <f>IF(ISBLANK(A188),"",INDEX('données plan-article-opérateurs'!$B$2:$B$318,MATCH(B188,'données plan-article-opérateurs'!$A$2:$A$318,0)))</f>
        <v/>
      </c>
    </row>
    <row r="189" spans="5:12">
      <c r="E189" s="7"/>
      <c r="F189" s="7"/>
      <c r="G189" s="83" t="str">
        <f>IFERROR(INDEX('lot réclamés'!$B$2:$B$199,MATCH(A189,'lot réclamés'!$A$2:$A$199,0)),"")</f>
        <v/>
      </c>
      <c r="H189" s="7" t="str">
        <f t="shared" si="15"/>
        <v/>
      </c>
      <c r="J189" s="21" t="str">
        <f t="shared" ca="1" si="16"/>
        <v/>
      </c>
      <c r="K189" s="21" t="str">
        <f t="shared" ca="1" si="17"/>
        <v/>
      </c>
      <c r="L189" s="22" t="str">
        <f>IF(ISBLANK(A189),"",INDEX('données plan-article-opérateurs'!$B$2:$B$318,MATCH(B189,'données plan-article-opérateurs'!$A$2:$A$318,0)))</f>
        <v/>
      </c>
    </row>
    <row r="190" spans="5:12">
      <c r="E190" s="7"/>
      <c r="F190" s="7"/>
      <c r="G190" s="83" t="str">
        <f>IFERROR(INDEX('lot réclamés'!$B$2:$B$199,MATCH(A190,'lot réclamés'!$A$2:$A$199,0)),"")</f>
        <v/>
      </c>
      <c r="H190" s="7" t="str">
        <f t="shared" si="15"/>
        <v/>
      </c>
      <c r="J190" s="21" t="str">
        <f t="shared" ca="1" si="16"/>
        <v/>
      </c>
      <c r="K190" s="21" t="str">
        <f t="shared" ca="1" si="17"/>
        <v/>
      </c>
      <c r="L190" s="22" t="str">
        <f>IF(ISBLANK(A190),"",INDEX('données plan-article-opérateurs'!$B$2:$B$318,MATCH(B190,'données plan-article-opérateurs'!$A$2:$A$318,0)))</f>
        <v/>
      </c>
    </row>
    <row r="191" spans="5:12">
      <c r="E191" s="7"/>
      <c r="F191" s="7"/>
      <c r="G191" s="83" t="str">
        <f>IFERROR(INDEX('lot réclamés'!$B$2:$B$199,MATCH(A191,'lot réclamés'!$A$2:$A$199,0)),"")</f>
        <v/>
      </c>
      <c r="H191" s="7" t="str">
        <f t="shared" si="15"/>
        <v/>
      </c>
      <c r="J191" s="21" t="str">
        <f t="shared" ca="1" si="16"/>
        <v/>
      </c>
      <c r="K191" s="21" t="str">
        <f t="shared" ca="1" si="17"/>
        <v/>
      </c>
      <c r="L191" s="22" t="str">
        <f>IF(ISBLANK(A191),"",INDEX('données plan-article-opérateurs'!$B$2:$B$318,MATCH(B191,'données plan-article-opérateurs'!$A$2:$A$318,0)))</f>
        <v/>
      </c>
    </row>
    <row r="192" spans="5:12">
      <c r="E192" s="7"/>
      <c r="F192" s="7"/>
      <c r="G192" s="83" t="str">
        <f>IFERROR(INDEX('lot réclamés'!$B$2:$B$199,MATCH(A192,'lot réclamés'!$A$2:$A$199,0)),"")</f>
        <v/>
      </c>
      <c r="H192" s="7" t="str">
        <f t="shared" si="15"/>
        <v/>
      </c>
      <c r="J192" s="21" t="str">
        <f t="shared" ca="1" si="16"/>
        <v/>
      </c>
      <c r="K192" s="21" t="str">
        <f t="shared" ca="1" si="17"/>
        <v/>
      </c>
      <c r="L192" s="22" t="str">
        <f>IF(ISBLANK(A192),"",INDEX('données plan-article-opérateurs'!$B$2:$B$318,MATCH(B192,'données plan-article-opérateurs'!$A$2:$A$318,0)))</f>
        <v/>
      </c>
    </row>
    <row r="193" spans="1:31">
      <c r="E193" s="7"/>
      <c r="F193" s="7"/>
      <c r="G193" s="83" t="str">
        <f>IFERROR(INDEX('lot réclamés'!$B$2:$B$199,MATCH(A193,'lot réclamés'!$A$2:$A$199,0)),"")</f>
        <v/>
      </c>
      <c r="H193" s="7" t="str">
        <f t="shared" si="15"/>
        <v/>
      </c>
      <c r="J193" s="21" t="str">
        <f t="shared" ca="1" si="16"/>
        <v/>
      </c>
      <c r="K193" s="21" t="str">
        <f t="shared" ca="1" si="17"/>
        <v/>
      </c>
      <c r="L193" s="22" t="str">
        <f>IF(ISBLANK(A193),"",INDEX('données plan-article-opérateurs'!$B$2:$B$318,MATCH(B193,'données plan-article-opérateurs'!$A$2:$A$318,0)))</f>
        <v/>
      </c>
    </row>
    <row r="194" spans="1:31">
      <c r="E194" s="7"/>
      <c r="F194" s="7"/>
      <c r="G194" s="83" t="str">
        <f>IFERROR(INDEX('lot réclamés'!$B$2:$B$199,MATCH(A194,'lot réclamés'!$A$2:$A$199,0)),"")</f>
        <v/>
      </c>
      <c r="H194" s="7" t="str">
        <f t="shared" si="15"/>
        <v/>
      </c>
      <c r="J194" s="21" t="str">
        <f t="shared" ca="1" si="16"/>
        <v/>
      </c>
      <c r="K194" s="21" t="str">
        <f t="shared" ca="1" si="17"/>
        <v/>
      </c>
      <c r="L194" s="22" t="str">
        <f>IF(ISBLANK(A194),"",INDEX('données plan-article-opérateurs'!$B$2:$B$318,MATCH(B194,'données plan-article-opérateurs'!$A$2:$A$318,0)))</f>
        <v/>
      </c>
    </row>
    <row r="195" spans="1:31">
      <c r="E195" s="7"/>
      <c r="F195" s="7"/>
      <c r="G195" s="83" t="str">
        <f>IFERROR(INDEX('lot réclamés'!$B$2:$B$199,MATCH(A195,'lot réclamés'!$A$2:$A$199,0)),"")</f>
        <v/>
      </c>
      <c r="H195" s="7" t="str">
        <f t="shared" si="15"/>
        <v/>
      </c>
      <c r="J195" s="21" t="str">
        <f t="shared" ca="1" si="16"/>
        <v/>
      </c>
      <c r="K195" s="21" t="str">
        <f t="shared" ca="1" si="17"/>
        <v/>
      </c>
      <c r="L195" s="22" t="str">
        <f>IF(ISBLANK(A195),"",INDEX('données plan-article-opérateurs'!$B$2:$B$318,MATCH(B195,'données plan-article-opérateurs'!$A$2:$A$318,0)))</f>
        <v/>
      </c>
    </row>
    <row r="196" spans="1:31">
      <c r="A196" s="13"/>
      <c r="E196" s="7"/>
      <c r="F196" s="7"/>
      <c r="G196" s="83" t="str">
        <f>IFERROR(INDEX('lot réclamés'!$B$2:$B$199,MATCH(A196,'lot réclamés'!$A$2:$A$199,0)),"")</f>
        <v/>
      </c>
      <c r="H196" s="7" t="str">
        <f t="shared" si="15"/>
        <v/>
      </c>
      <c r="J196" s="21" t="str">
        <f t="shared" ca="1" si="16"/>
        <v/>
      </c>
      <c r="K196" s="21" t="str">
        <f t="shared" ca="1" si="17"/>
        <v/>
      </c>
      <c r="L196" s="22" t="str">
        <f>IF(ISBLANK(A196),"",INDEX('données plan-article-opérateurs'!$B$2:$B$318,MATCH(B196,'données plan-article-opérateurs'!$A$2:$A$318,0)))</f>
        <v/>
      </c>
    </row>
    <row r="197" spans="1:31">
      <c r="E197" s="7"/>
      <c r="F197" s="7"/>
      <c r="G197" s="83" t="str">
        <f>IFERROR(INDEX('lot réclamés'!$B$2:$B$199,MATCH(A197,'lot réclamés'!$A$2:$A$199,0)),"")</f>
        <v/>
      </c>
      <c r="H197" s="7" t="str">
        <f t="shared" si="15"/>
        <v/>
      </c>
      <c r="J197" s="21" t="str">
        <f t="shared" ca="1" si="16"/>
        <v/>
      </c>
      <c r="K197" s="21" t="str">
        <f t="shared" ca="1" si="17"/>
        <v/>
      </c>
      <c r="L197" s="22" t="str">
        <f>IF(ISBLANK(A197),"",INDEX('données plan-article-opérateurs'!$B$2:$B$318,MATCH(B197,'données plan-article-opérateurs'!$A$2:$A$318,0)))</f>
        <v/>
      </c>
    </row>
    <row r="198" spans="1:31">
      <c r="G198" s="83" t="str">
        <f>IFERROR(INDEX('lot réclamés'!$B$2:$B$199,MATCH(A198,'lot réclamés'!$A$2:$A$199,0)),"")</f>
        <v/>
      </c>
      <c r="H198" s="7" t="str">
        <f t="shared" ref="H198:H201" si="18">IF(ISBLANK(A198),"",IF(G198&lt;&gt;"",WORKDAY(G198,(L198/420)*-1,feries),
IF(LEFT(A198,2)="SC",WORKDAY(E198,1,feries),
IF(E198&gt;F198,WORKDAY(E198,5,feries),
IF(E198&lt;F198,WORKDAY(F198,(L198/420)*-1,feries))))))</f>
        <v/>
      </c>
      <c r="J198" s="21" t="str">
        <f t="shared" ca="1" si="16"/>
        <v/>
      </c>
      <c r="K198" s="21" t="str">
        <f t="shared" ca="1" si="17"/>
        <v/>
      </c>
      <c r="L198" s="22" t="str">
        <f>IF(ISBLANK(A198),"",INDEX('données plan-article-opérateurs'!$B$2:$B$318,MATCH(B198,'données plan-article-opérateurs'!$A$2:$A$318,0)))</f>
        <v/>
      </c>
    </row>
    <row r="199" spans="1:31">
      <c r="G199" s="83" t="str">
        <f>IFERROR(INDEX('lot réclamés'!$B$2:$B$199,MATCH(A199,'lot réclamés'!$A$2:$A$199,0)),"")</f>
        <v/>
      </c>
      <c r="H199" s="7" t="str">
        <f t="shared" si="18"/>
        <v/>
      </c>
      <c r="J199" s="21" t="str">
        <f t="shared" ca="1" si="16"/>
        <v/>
      </c>
      <c r="K199" s="21" t="str">
        <f t="shared" ca="1" si="17"/>
        <v/>
      </c>
      <c r="L199" s="22" t="str">
        <f>IF(ISBLANK(A199),"",INDEX('données plan-article-opérateurs'!$B$2:$B$318,MATCH(B199,'données plan-article-opérateurs'!$A$2:$A$318,0)))</f>
        <v/>
      </c>
    </row>
    <row r="200" spans="1:31">
      <c r="G200" s="83" t="str">
        <f>IFERROR(INDEX('lot réclamés'!$B$2:$B$199,MATCH(A200,'lot réclamés'!$A$2:$A$199,0)),"")</f>
        <v/>
      </c>
      <c r="H200" s="7" t="str">
        <f t="shared" si="18"/>
        <v/>
      </c>
      <c r="J200" s="21" t="str">
        <f t="shared" ca="1" si="16"/>
        <v/>
      </c>
      <c r="K200" s="21" t="str">
        <f t="shared" ca="1" si="17"/>
        <v/>
      </c>
      <c r="L200" s="22" t="str">
        <f>IF(ISBLANK(A200),"",INDEX('données plan-article-opérateurs'!$B$2:$B$318,MATCH(B200,'données plan-article-opérateurs'!$A$2:$A$318,0)))</f>
        <v/>
      </c>
    </row>
    <row r="201" spans="1:31">
      <c r="G201" s="83" t="str">
        <f>IFERROR(INDEX('lot réclamés'!$B$2:$B$199,MATCH(A201,'lot réclamés'!$A$2:$A$199,0)),"")</f>
        <v/>
      </c>
      <c r="H201" s="7" t="str">
        <f t="shared" si="18"/>
        <v/>
      </c>
      <c r="I201" s="5"/>
      <c r="J201" s="8" t="str">
        <f t="shared" ca="1" si="16"/>
        <v/>
      </c>
      <c r="K201" s="8" t="str">
        <f t="shared" ca="1" si="17"/>
        <v/>
      </c>
      <c r="L201" s="9" t="str">
        <f>IF(ISBLANK(A201),"",INDEX('données plan-article-opérateurs'!$B$2:B314,MATCH(B201,'données plan-article-opérateurs'!$A$2:A314,0)))</f>
        <v/>
      </c>
    </row>
    <row r="202" spans="1:31" s="10" customFormat="1">
      <c r="A202"/>
      <c r="S202"/>
      <c r="T202"/>
      <c r="U202"/>
      <c r="V202"/>
      <c r="W202"/>
      <c r="X202"/>
      <c r="Y202"/>
      <c r="Z202"/>
      <c r="AA202"/>
      <c r="AB202"/>
      <c r="AC202"/>
      <c r="AD202"/>
      <c r="AE202"/>
    </row>
    <row r="206" spans="1:31">
      <c r="AE206" s="10"/>
    </row>
    <row r="208" spans="1:31">
      <c r="T208" s="10"/>
      <c r="U208" s="10"/>
      <c r="V208" s="10"/>
      <c r="W208" s="10"/>
      <c r="X208" s="10"/>
      <c r="Y208" s="10"/>
      <c r="Z208" s="10"/>
      <c r="AA208" s="10"/>
      <c r="AB208" s="10"/>
      <c r="AC208" s="10"/>
      <c r="AD208" s="10"/>
    </row>
    <row r="209" spans="19:19">
      <c r="S209" s="10"/>
    </row>
  </sheetData>
  <autoFilter ref="A5:L201" xr:uid="{00000000-0009-0000-0000-000000000000}"/>
  <sortState xmlns:xlrd2="http://schemas.microsoft.com/office/spreadsheetml/2017/richdata2" ref="A6:L36">
    <sortCondition ref="J6:J36"/>
  </sortState>
  <mergeCells count="3">
    <mergeCell ref="J3:L3"/>
    <mergeCell ref="A4:F4"/>
    <mergeCell ref="J4:K4"/>
  </mergeCells>
  <conditionalFormatting sqref="F6:F200">
    <cfRule type="expression" dxfId="6" priority="5">
      <formula>AND(F6&lt;$A$1,F6&lt;&gt;"")</formula>
    </cfRule>
  </conditionalFormatting>
  <conditionalFormatting sqref="E6:E200">
    <cfRule type="expression" dxfId="5" priority="4">
      <formula>AND(E6&gt;F6,E6&lt;&gt;"")</formula>
    </cfRule>
  </conditionalFormatting>
  <conditionalFormatting sqref="G6">
    <cfRule type="expression" dxfId="4" priority="3">
      <formula>AND(G6&lt;$A$1,G6&lt;&gt;"")</formula>
    </cfRule>
  </conditionalFormatting>
  <conditionalFormatting sqref="G7:G201">
    <cfRule type="expression" dxfId="3" priority="2">
      <formula>AND(G7&lt;$A$1,G7&lt;&gt;"")</formula>
    </cfRule>
  </conditionalFormatting>
  <conditionalFormatting sqref="H6:H200">
    <cfRule type="expression" dxfId="2" priority="1">
      <formula>AND(H6&lt;$A$1,H6&lt;&gt;"")</formula>
    </cfRule>
  </conditionalFormatting>
  <printOptions headings="1" gridLines="1"/>
  <pageMargins left="0.70866141732283472" right="0.70866141732283472" top="0.74803149606299213" bottom="0.74803149606299213" header="0.31496062992125984" footer="0.31496062992125984"/>
  <pageSetup paperSize="9" scale="15" orientation="landscape" r:id="rId1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0000000}">
          <x14:formula1>
            <xm:f>'données plan-article-opérateurs'!$D$2:$D$15</xm:f>
          </x14:formula1>
          <xm:sqref>I31:I201 I7:I29</xm:sqref>
        </x14:dataValidation>
        <x14:dataValidation type="list" allowBlank="1" showInputMessage="1" showErrorMessage="1" xr:uid="{00000000-0002-0000-0000-000001000000}">
          <x14:formula1>
            <xm:f>'données plan-article-opérateurs'!$D$2:$D$16</xm:f>
          </x14:formula1>
          <xm:sqref>I30 I6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E8C92D-426C-47A2-BF3A-1154ED9340B0}">
  <sheetPr codeName="Feuil8"/>
  <dimension ref="A1:G51"/>
  <sheetViews>
    <sheetView tabSelected="1" workbookViewId="0">
      <selection activeCell="G2" sqref="G2"/>
    </sheetView>
  </sheetViews>
  <sheetFormatPr baseColWidth="10" defaultRowHeight="15"/>
  <cols>
    <col min="2" max="2" width="19.28515625" customWidth="1"/>
  </cols>
  <sheetData>
    <row r="1" spans="1:7">
      <c r="A1" t="s">
        <v>925</v>
      </c>
      <c r="B1" t="s">
        <v>926</v>
      </c>
      <c r="C1" t="s">
        <v>927</v>
      </c>
      <c r="D1" t="s">
        <v>929</v>
      </c>
    </row>
    <row r="2" spans="1:7">
      <c r="A2" s="82" t="s">
        <v>613</v>
      </c>
      <c r="B2" s="85">
        <v>44040</v>
      </c>
      <c r="D2" s="84" t="str">
        <f>IF(COUNTIF('lot finis'!A:A,A2)&gt;1,"Terminé","A faire")</f>
        <v>A faire</v>
      </c>
      <c r="F2" s="51"/>
      <c r="G2" s="84" t="s">
        <v>931</v>
      </c>
    </row>
    <row r="3" spans="1:7">
      <c r="A3" s="2" t="s">
        <v>284</v>
      </c>
      <c r="B3" s="83"/>
      <c r="D3" s="82"/>
    </row>
    <row r="4" spans="1:7">
      <c r="A4" s="2" t="s">
        <v>610</v>
      </c>
      <c r="B4" s="83">
        <v>44040</v>
      </c>
      <c r="D4" s="82"/>
    </row>
    <row r="5" spans="1:7">
      <c r="A5" s="2" t="s">
        <v>546</v>
      </c>
      <c r="B5" s="83">
        <v>44034</v>
      </c>
      <c r="D5" s="82"/>
    </row>
    <row r="6" spans="1:7">
      <c r="D6" s="82"/>
    </row>
    <row r="7" spans="1:7">
      <c r="D7" s="82" t="str">
        <f>IF(ISBLANK(A7),"",(IF(A7=#REF!,"fini","à faire")))</f>
        <v/>
      </c>
    </row>
    <row r="8" spans="1:7">
      <c r="D8" s="82" t="str">
        <f>IF(ISBLANK(A8),"",(IF(A8=#REF!,"fini","à faire")))</f>
        <v/>
      </c>
    </row>
    <row r="9" spans="1:7">
      <c r="D9" s="82" t="str">
        <f>IF(ISBLANK(A9),"",(IF(A9=#REF!,"fini","à faire")))</f>
        <v/>
      </c>
    </row>
    <row r="10" spans="1:7">
      <c r="D10" s="82" t="str">
        <f>IF(ISBLANK(A10),"",(IF(A10=#REF!,"fini","à faire")))</f>
        <v/>
      </c>
    </row>
    <row r="11" spans="1:7">
      <c r="D11" s="82" t="str">
        <f>IF(ISBLANK(A11),"",(IF(A11=#REF!,"fini","à faire")))</f>
        <v/>
      </c>
    </row>
    <row r="12" spans="1:7">
      <c r="D12" s="82" t="str">
        <f>IF(ISBLANK(A12),"",(IF(A12=#REF!,"fini","à faire")))</f>
        <v/>
      </c>
    </row>
    <row r="13" spans="1:7">
      <c r="D13" s="82" t="str">
        <f>IF(ISBLANK(A13),"",(IF(A13=#REF!,"fini","à faire")))</f>
        <v/>
      </c>
    </row>
    <row r="14" spans="1:7">
      <c r="D14" s="82" t="str">
        <f>IF(ISBLANK(A14),"",(IF(A14=#REF!,"fini","à faire")))</f>
        <v/>
      </c>
    </row>
    <row r="15" spans="1:7">
      <c r="D15" s="82" t="str">
        <f>IF(ISBLANK(A15),"",(IF(A15=#REF!,"fini","à faire")))</f>
        <v/>
      </c>
    </row>
    <row r="16" spans="1:7">
      <c r="D16" s="82" t="str">
        <f>IF(ISBLANK(A16),"",(IF(A16=#REF!,"fini","à faire")))</f>
        <v/>
      </c>
    </row>
    <row r="17" spans="4:4">
      <c r="D17" s="82" t="str">
        <f>IF(ISBLANK(A17),"",(IF(A17=#REF!,"fini","à faire")))</f>
        <v/>
      </c>
    </row>
    <row r="18" spans="4:4">
      <c r="D18" s="82" t="str">
        <f>IF(ISBLANK(A18),"",(IF(A18=#REF!,"fini","à faire")))</f>
        <v/>
      </c>
    </row>
    <row r="19" spans="4:4">
      <c r="D19" s="82" t="str">
        <f>IF(ISBLANK(A19),"",(IF(A19=#REF!,"fini","à faire")))</f>
        <v/>
      </c>
    </row>
    <row r="20" spans="4:4">
      <c r="D20" s="82" t="str">
        <f>IF(ISBLANK(A20),"",(IF(A20=#REF!,"fini","à faire")))</f>
        <v/>
      </c>
    </row>
    <row r="21" spans="4:4">
      <c r="D21" s="82" t="str">
        <f>IF(ISBLANK(A21),"",(IF(A21=#REF!,"fini","à faire")))</f>
        <v/>
      </c>
    </row>
    <row r="22" spans="4:4">
      <c r="D22" s="82" t="str">
        <f>IF(ISBLANK(A22),"",(IF(A22=#REF!,"fini","à faire")))</f>
        <v/>
      </c>
    </row>
    <row r="23" spans="4:4">
      <c r="D23" s="82" t="str">
        <f>IF(ISBLANK(A23),"",(IF(A23=#REF!,"fini","à faire")))</f>
        <v/>
      </c>
    </row>
    <row r="24" spans="4:4">
      <c r="D24" s="82" t="str">
        <f>IF(ISBLANK(A24),"",(IF(A24=#REF!,"fini","à faire")))</f>
        <v/>
      </c>
    </row>
    <row r="25" spans="4:4">
      <c r="D25" s="82" t="str">
        <f>IF(ISBLANK(A25),"",(IF(A25=#REF!,"fini","à faire")))</f>
        <v/>
      </c>
    </row>
    <row r="26" spans="4:4">
      <c r="D26" s="82" t="str">
        <f>IF(ISBLANK(A26),"",(IF(A26=#REF!,"fini","à faire")))</f>
        <v/>
      </c>
    </row>
    <row r="27" spans="4:4">
      <c r="D27" s="82" t="str">
        <f>IF(ISBLANK(A27),"",(IF(A27=#REF!,"fini","à faire")))</f>
        <v/>
      </c>
    </row>
    <row r="28" spans="4:4">
      <c r="D28" s="82" t="str">
        <f>IF(ISBLANK(A28),"",(IF(A28=#REF!,"fini","à faire")))</f>
        <v/>
      </c>
    </row>
    <row r="29" spans="4:4">
      <c r="D29" s="82" t="str">
        <f>IF(ISBLANK(A29),"",(IF(A29=#REF!,"fini","à faire")))</f>
        <v/>
      </c>
    </row>
    <row r="30" spans="4:4">
      <c r="D30" s="82" t="str">
        <f>IF(ISBLANK(A30),"",(IF(A30=#REF!,"fini","à faire")))</f>
        <v/>
      </c>
    </row>
    <row r="31" spans="4:4">
      <c r="D31" s="82" t="str">
        <f>IF(ISBLANK(A31),"",(IF(A31=#REF!,"fini","à faire")))</f>
        <v/>
      </c>
    </row>
    <row r="32" spans="4:4">
      <c r="D32" s="82" t="str">
        <f>IF(ISBLANK(A32),"",(IF(A32=#REF!,"fini","à faire")))</f>
        <v/>
      </c>
    </row>
    <row r="33" spans="4:4">
      <c r="D33" s="82" t="str">
        <f>IF(ISBLANK(A33),"",(IF(A33=#REF!,"fini","à faire")))</f>
        <v/>
      </c>
    </row>
    <row r="34" spans="4:4">
      <c r="D34" s="82" t="str">
        <f>IF(ISBLANK(A34),"",(IF(A34=#REF!,"fini","à faire")))</f>
        <v/>
      </c>
    </row>
    <row r="35" spans="4:4">
      <c r="D35" s="82" t="str">
        <f>IF(ISBLANK(A35),"",(IF(A35=#REF!,"fini","à faire")))</f>
        <v/>
      </c>
    </row>
    <row r="36" spans="4:4">
      <c r="D36" s="82" t="str">
        <f>IF(ISBLANK(A36),"",(IF(A36=#REF!,"fini","à faire")))</f>
        <v/>
      </c>
    </row>
    <row r="37" spans="4:4">
      <c r="D37" s="82" t="str">
        <f>IF(ISBLANK(A37),"",(IF(A37=#REF!,"fini","à faire")))</f>
        <v/>
      </c>
    </row>
    <row r="38" spans="4:4">
      <c r="D38" s="82" t="str">
        <f>IF(ISBLANK(A38),"",(IF(A38=#REF!,"fini","à faire")))</f>
        <v/>
      </c>
    </row>
    <row r="39" spans="4:4">
      <c r="D39" s="82" t="str">
        <f>IF(ISBLANK(A39),"",(IF(A39=#REF!,"fini","à faire")))</f>
        <v/>
      </c>
    </row>
    <row r="40" spans="4:4">
      <c r="D40" s="82" t="str">
        <f>IF(ISBLANK(A40),"",(IF(A40=#REF!,"fini","à faire")))</f>
        <v/>
      </c>
    </row>
    <row r="41" spans="4:4">
      <c r="D41" s="82" t="str">
        <f>IF(ISBLANK(A41),"",(IF(A41=#REF!,"fini","à faire")))</f>
        <v/>
      </c>
    </row>
    <row r="42" spans="4:4">
      <c r="D42" s="82" t="str">
        <f>IF(ISBLANK(A42),"",(IF(A42=#REF!,"fini","à faire")))</f>
        <v/>
      </c>
    </row>
    <row r="43" spans="4:4">
      <c r="D43" s="82" t="str">
        <f>IF(ISBLANK(A43),"",(IF(A43=#REF!,"fini","à faire")))</f>
        <v/>
      </c>
    </row>
    <row r="44" spans="4:4">
      <c r="D44" s="82" t="str">
        <f>IF(ISBLANK(A44),"",(IF(A44=#REF!,"fini","à faire")))</f>
        <v/>
      </c>
    </row>
    <row r="45" spans="4:4">
      <c r="D45" s="82" t="str">
        <f>IF(ISBLANK(A45),"",(IF(A45=#REF!,"fini","à faire")))</f>
        <v/>
      </c>
    </row>
    <row r="46" spans="4:4">
      <c r="D46" s="82" t="str">
        <f>IF(ISBLANK(A46),"",(IF(A46=#REF!,"fini","à faire")))</f>
        <v/>
      </c>
    </row>
    <row r="47" spans="4:4">
      <c r="D47" s="82" t="str">
        <f>IF(ISBLANK(A47),"",(IF(A47=#REF!,"fini","à faire")))</f>
        <v/>
      </c>
    </row>
    <row r="48" spans="4:4">
      <c r="D48" s="82" t="str">
        <f>IF(ISBLANK(A48),"",(IF(A48=#REF!,"fini","à faire")))</f>
        <v/>
      </c>
    </row>
    <row r="49" spans="4:4">
      <c r="D49" s="82" t="str">
        <f>IF(ISBLANK(A49),"",(IF(A49=#REF!,"fini","à faire")))</f>
        <v/>
      </c>
    </row>
    <row r="50" spans="4:4">
      <c r="D50" s="82" t="str">
        <f>IF(ISBLANK(A50),"",(IF(A50=#REF!,"fini","à faire")))</f>
        <v/>
      </c>
    </row>
    <row r="51" spans="4:4" s="84" customFormat="1"/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O156"/>
  <sheetViews>
    <sheetView topLeftCell="A133" workbookViewId="0">
      <selection activeCell="A156" sqref="A156"/>
    </sheetView>
  </sheetViews>
  <sheetFormatPr baseColWidth="10" defaultRowHeight="15"/>
  <cols>
    <col min="5" max="5" width="11.42578125" style="7"/>
    <col min="6" max="6" width="16.140625" style="7" customWidth="1"/>
    <col min="7" max="8" width="11.42578125" style="7"/>
  </cols>
  <sheetData>
    <row r="1" spans="1:15" ht="45">
      <c r="A1" s="1" t="s">
        <v>0</v>
      </c>
      <c r="B1" s="1" t="s">
        <v>1</v>
      </c>
      <c r="C1" s="1" t="s">
        <v>3</v>
      </c>
      <c r="D1" s="1" t="s">
        <v>4</v>
      </c>
      <c r="E1" s="14" t="s">
        <v>5</v>
      </c>
      <c r="F1" s="14" t="s">
        <v>2</v>
      </c>
      <c r="G1" s="15" t="s">
        <v>19</v>
      </c>
      <c r="H1" s="23" t="s">
        <v>654</v>
      </c>
      <c r="I1" s="3" t="s">
        <v>10</v>
      </c>
      <c r="J1" s="3" t="s">
        <v>11</v>
      </c>
      <c r="K1" s="3" t="s">
        <v>12</v>
      </c>
      <c r="L1" s="3" t="s">
        <v>9</v>
      </c>
      <c r="O1" s="2" t="s">
        <v>16</v>
      </c>
    </row>
    <row r="2" spans="1:15">
      <c r="A2" t="s">
        <v>339</v>
      </c>
      <c r="B2" t="s">
        <v>67</v>
      </c>
      <c r="C2" t="s">
        <v>340</v>
      </c>
      <c r="D2" t="s">
        <v>341</v>
      </c>
      <c r="E2" s="83">
        <v>44020.316643518519</v>
      </c>
      <c r="F2" s="7">
        <v>43938</v>
      </c>
      <c r="J2" t="s">
        <v>391</v>
      </c>
      <c r="K2">
        <v>8</v>
      </c>
      <c r="L2">
        <v>0</v>
      </c>
    </row>
    <row r="3" spans="1:15">
      <c r="A3" t="s">
        <v>235</v>
      </c>
      <c r="B3" t="s">
        <v>299</v>
      </c>
      <c r="C3" t="s">
        <v>203</v>
      </c>
      <c r="D3" t="s">
        <v>236</v>
      </c>
      <c r="E3" s="83">
        <v>44022.652604166702</v>
      </c>
      <c r="F3" s="7">
        <v>44027</v>
      </c>
      <c r="J3" t="s">
        <v>357</v>
      </c>
      <c r="K3">
        <v>5</v>
      </c>
      <c r="L3">
        <v>0</v>
      </c>
    </row>
    <row r="4" spans="1:15">
      <c r="A4" t="s">
        <v>277</v>
      </c>
      <c r="B4" t="s">
        <v>155</v>
      </c>
      <c r="C4" t="s">
        <v>203</v>
      </c>
      <c r="D4" t="s">
        <v>267</v>
      </c>
      <c r="E4" s="83">
        <v>44020.430682870399</v>
      </c>
      <c r="F4" s="7">
        <v>44026</v>
      </c>
      <c r="I4" t="s">
        <v>84</v>
      </c>
      <c r="J4" t="s">
        <v>394</v>
      </c>
      <c r="K4">
        <v>9</v>
      </c>
      <c r="L4">
        <v>0</v>
      </c>
    </row>
    <row r="5" spans="1:15">
      <c r="A5" t="s">
        <v>247</v>
      </c>
      <c r="B5" t="s">
        <v>27</v>
      </c>
      <c r="C5" t="s">
        <v>220</v>
      </c>
      <c r="D5" t="s">
        <v>248</v>
      </c>
      <c r="E5" s="83">
        <v>44007.669594907398</v>
      </c>
      <c r="F5" s="7">
        <v>44013</v>
      </c>
      <c r="J5" t="s">
        <v>361</v>
      </c>
      <c r="K5">
        <v>20</v>
      </c>
      <c r="L5">
        <v>0</v>
      </c>
    </row>
    <row r="6" spans="1:15">
      <c r="A6" t="s">
        <v>215</v>
      </c>
      <c r="B6" t="s">
        <v>68</v>
      </c>
      <c r="C6" t="s">
        <v>203</v>
      </c>
      <c r="D6" t="s">
        <v>216</v>
      </c>
      <c r="E6" s="83">
        <v>44025.525625000002</v>
      </c>
      <c r="F6" s="7">
        <v>44034</v>
      </c>
      <c r="J6" t="s">
        <v>355</v>
      </c>
      <c r="K6">
        <v>2</v>
      </c>
      <c r="L6">
        <v>180</v>
      </c>
    </row>
    <row r="7" spans="1:15">
      <c r="A7" t="s">
        <v>412</v>
      </c>
      <c r="B7" t="s">
        <v>444</v>
      </c>
      <c r="C7" t="s">
        <v>203</v>
      </c>
      <c r="D7" t="s">
        <v>413</v>
      </c>
      <c r="E7" s="83">
        <v>44028.39739583333</v>
      </c>
      <c r="F7" s="7">
        <v>44043</v>
      </c>
      <c r="J7" t="s">
        <v>354</v>
      </c>
      <c r="K7">
        <v>1</v>
      </c>
      <c r="L7">
        <v>0</v>
      </c>
    </row>
    <row r="8" spans="1:15">
      <c r="A8" t="s">
        <v>337</v>
      </c>
      <c r="B8" t="s">
        <v>379</v>
      </c>
      <c r="C8" t="s">
        <v>203</v>
      </c>
      <c r="D8" t="s">
        <v>338</v>
      </c>
      <c r="E8" s="83">
        <v>44014.642777777779</v>
      </c>
      <c r="F8" s="7">
        <v>43965</v>
      </c>
      <c r="J8" t="s">
        <v>392</v>
      </c>
      <c r="K8">
        <v>14</v>
      </c>
      <c r="L8">
        <v>0</v>
      </c>
    </row>
    <row r="9" spans="1:15">
      <c r="A9" t="s">
        <v>205</v>
      </c>
      <c r="B9" t="s">
        <v>175</v>
      </c>
      <c r="C9" t="s">
        <v>203</v>
      </c>
      <c r="D9" t="s">
        <v>206</v>
      </c>
      <c r="E9" s="83">
        <v>44021.526145833297</v>
      </c>
      <c r="F9" s="7">
        <v>44034</v>
      </c>
      <c r="I9" t="s">
        <v>87</v>
      </c>
      <c r="J9" t="s">
        <v>398</v>
      </c>
      <c r="K9">
        <v>7</v>
      </c>
      <c r="L9">
        <v>0</v>
      </c>
    </row>
    <row r="10" spans="1:15">
      <c r="A10" t="s">
        <v>222</v>
      </c>
      <c r="B10" t="s">
        <v>71</v>
      </c>
      <c r="C10" t="s">
        <v>220</v>
      </c>
      <c r="D10" t="s">
        <v>223</v>
      </c>
      <c r="E10" s="83">
        <v>44014.288761574098</v>
      </c>
      <c r="F10" s="7">
        <v>44034</v>
      </c>
      <c r="J10" t="s">
        <v>398</v>
      </c>
      <c r="K10">
        <v>14</v>
      </c>
      <c r="L10">
        <v>0</v>
      </c>
    </row>
    <row r="11" spans="1:15">
      <c r="A11" t="s">
        <v>414</v>
      </c>
      <c r="B11" t="s">
        <v>445</v>
      </c>
      <c r="C11" t="s">
        <v>203</v>
      </c>
      <c r="D11" t="s">
        <v>415</v>
      </c>
      <c r="E11" s="83">
        <v>44028.393564814818</v>
      </c>
      <c r="F11" s="7">
        <v>44047</v>
      </c>
      <c r="J11" t="s">
        <v>469</v>
      </c>
      <c r="K11">
        <v>1</v>
      </c>
      <c r="L11">
        <v>0</v>
      </c>
    </row>
    <row r="12" spans="1:15">
      <c r="A12" t="s">
        <v>423</v>
      </c>
      <c r="B12" t="s">
        <v>448</v>
      </c>
      <c r="C12" t="s">
        <v>203</v>
      </c>
      <c r="D12" t="s">
        <v>424</v>
      </c>
      <c r="E12" s="83">
        <v>44028.396724537037</v>
      </c>
      <c r="F12" s="7">
        <v>44040</v>
      </c>
      <c r="J12" t="s">
        <v>433</v>
      </c>
      <c r="K12">
        <v>1</v>
      </c>
      <c r="L12">
        <v>0</v>
      </c>
    </row>
    <row r="13" spans="1:15">
      <c r="A13" t="s">
        <v>331</v>
      </c>
      <c r="B13" t="s">
        <v>376</v>
      </c>
      <c r="C13" t="s">
        <v>203</v>
      </c>
      <c r="D13" t="s">
        <v>332</v>
      </c>
      <c r="E13" s="83">
        <v>44027.396898148145</v>
      </c>
      <c r="F13" s="7">
        <v>44036</v>
      </c>
      <c r="J13" t="s">
        <v>355</v>
      </c>
      <c r="K13">
        <v>2</v>
      </c>
      <c r="L13">
        <v>0</v>
      </c>
    </row>
    <row r="14" spans="1:15">
      <c r="A14" t="s">
        <v>207</v>
      </c>
      <c r="B14" t="s">
        <v>159</v>
      </c>
      <c r="C14" t="s">
        <v>203</v>
      </c>
      <c r="D14" t="s">
        <v>208</v>
      </c>
      <c r="E14" s="83">
        <v>44020.393113425896</v>
      </c>
      <c r="F14" s="7">
        <v>44029</v>
      </c>
      <c r="I14" t="s">
        <v>87</v>
      </c>
      <c r="J14" t="s">
        <v>396</v>
      </c>
      <c r="K14">
        <v>8</v>
      </c>
      <c r="L14">
        <v>0</v>
      </c>
    </row>
    <row r="15" spans="1:15">
      <c r="A15" t="s">
        <v>273</v>
      </c>
      <c r="B15" t="s">
        <v>159</v>
      </c>
      <c r="C15" t="s">
        <v>220</v>
      </c>
      <c r="D15" t="s">
        <v>208</v>
      </c>
      <c r="E15" s="83">
        <v>44020.403020833299</v>
      </c>
      <c r="F15" s="7">
        <v>44029</v>
      </c>
      <c r="J15" t="s">
        <v>396</v>
      </c>
      <c r="K15">
        <v>8</v>
      </c>
      <c r="L15">
        <v>0</v>
      </c>
    </row>
    <row r="16" spans="1:15">
      <c r="A16" t="s">
        <v>344</v>
      </c>
      <c r="B16" t="s">
        <v>6</v>
      </c>
      <c r="C16" t="s">
        <v>203</v>
      </c>
      <c r="D16" t="s">
        <v>345</v>
      </c>
      <c r="E16" s="83">
        <v>44027.397013888891</v>
      </c>
      <c r="F16" s="7">
        <v>44001</v>
      </c>
      <c r="I16" t="s">
        <v>92</v>
      </c>
      <c r="J16" t="s">
        <v>437</v>
      </c>
      <c r="K16">
        <v>1</v>
      </c>
      <c r="L16">
        <v>960</v>
      </c>
    </row>
    <row r="17" spans="1:12">
      <c r="A17" t="s">
        <v>286</v>
      </c>
      <c r="B17" t="s">
        <v>6</v>
      </c>
      <c r="C17" t="s">
        <v>203</v>
      </c>
      <c r="D17" t="s">
        <v>287</v>
      </c>
      <c r="E17" s="83">
        <v>44025.328229166698</v>
      </c>
      <c r="F17" s="7">
        <v>44004</v>
      </c>
      <c r="J17" t="s">
        <v>363</v>
      </c>
      <c r="K17">
        <v>2</v>
      </c>
      <c r="L17">
        <v>960</v>
      </c>
    </row>
    <row r="18" spans="1:12">
      <c r="A18" t="s">
        <v>243</v>
      </c>
      <c r="B18" t="s">
        <v>6</v>
      </c>
      <c r="C18" t="s">
        <v>203</v>
      </c>
      <c r="D18" t="s">
        <v>244</v>
      </c>
      <c r="E18" s="83">
        <v>44025.490810185198</v>
      </c>
      <c r="F18" s="7">
        <v>44000</v>
      </c>
      <c r="J18" t="s">
        <v>397</v>
      </c>
      <c r="K18">
        <v>3</v>
      </c>
      <c r="L18">
        <v>960</v>
      </c>
    </row>
    <row r="19" spans="1:12">
      <c r="A19" t="s">
        <v>385</v>
      </c>
      <c r="B19" t="s">
        <v>386</v>
      </c>
      <c r="C19" t="s">
        <v>220</v>
      </c>
      <c r="D19" t="s">
        <v>387</v>
      </c>
      <c r="E19" s="83">
        <v>44025.775625000002</v>
      </c>
      <c r="F19" s="7">
        <v>44034</v>
      </c>
      <c r="J19" t="s">
        <v>398</v>
      </c>
      <c r="K19">
        <v>3</v>
      </c>
      <c r="L19">
        <v>0</v>
      </c>
    </row>
    <row r="20" spans="1:12">
      <c r="A20" t="s">
        <v>389</v>
      </c>
      <c r="B20" t="s">
        <v>401</v>
      </c>
      <c r="C20" t="s">
        <v>203</v>
      </c>
      <c r="D20" t="s">
        <v>390</v>
      </c>
      <c r="E20" s="83">
        <v>44027.620312500003</v>
      </c>
      <c r="F20" s="7">
        <v>44008</v>
      </c>
      <c r="J20" t="s">
        <v>436</v>
      </c>
      <c r="K20">
        <v>2</v>
      </c>
      <c r="L20">
        <v>0</v>
      </c>
    </row>
    <row r="21" spans="1:12">
      <c r="A21" t="s">
        <v>274</v>
      </c>
      <c r="B21" t="s">
        <v>300</v>
      </c>
      <c r="C21" t="s">
        <v>275</v>
      </c>
      <c r="D21" t="s">
        <v>276</v>
      </c>
      <c r="E21" s="83">
        <v>44025.524976851899</v>
      </c>
      <c r="F21" s="7">
        <v>44029</v>
      </c>
      <c r="J21" t="s">
        <v>356</v>
      </c>
      <c r="K21">
        <v>2</v>
      </c>
      <c r="L21">
        <v>0</v>
      </c>
    </row>
    <row r="22" spans="1:12">
      <c r="A22" t="s">
        <v>318</v>
      </c>
      <c r="B22" t="s">
        <v>120</v>
      </c>
      <c r="C22" t="s">
        <v>203</v>
      </c>
      <c r="D22" t="s">
        <v>120</v>
      </c>
      <c r="E22" s="83">
        <v>44027.539814814816</v>
      </c>
      <c r="F22" s="7">
        <v>44032</v>
      </c>
      <c r="J22" t="s">
        <v>393</v>
      </c>
      <c r="K22">
        <v>1</v>
      </c>
      <c r="L22">
        <v>0</v>
      </c>
    </row>
    <row r="23" spans="1:12">
      <c r="A23" t="s">
        <v>321</v>
      </c>
      <c r="B23" t="s">
        <v>372</v>
      </c>
      <c r="C23" t="s">
        <v>275</v>
      </c>
      <c r="D23" t="s">
        <v>322</v>
      </c>
      <c r="E23" s="83">
        <v>44027.372708333336</v>
      </c>
      <c r="F23" s="7">
        <v>44032</v>
      </c>
      <c r="J23" t="s">
        <v>393</v>
      </c>
      <c r="K23">
        <v>1</v>
      </c>
      <c r="L23">
        <v>0</v>
      </c>
    </row>
    <row r="24" spans="1:12">
      <c r="A24" t="s">
        <v>342</v>
      </c>
      <c r="B24" t="s">
        <v>343</v>
      </c>
      <c r="C24" t="s">
        <v>203</v>
      </c>
      <c r="D24" t="s">
        <v>343</v>
      </c>
      <c r="E24" s="83">
        <v>44027.388425925928</v>
      </c>
      <c r="F24" s="7">
        <v>44029</v>
      </c>
      <c r="J24" t="s">
        <v>396</v>
      </c>
      <c r="K24">
        <v>1</v>
      </c>
      <c r="L24">
        <v>0</v>
      </c>
    </row>
    <row r="25" spans="1:12">
      <c r="A25" t="s">
        <v>325</v>
      </c>
      <c r="B25" t="s">
        <v>374</v>
      </c>
      <c r="C25" t="s">
        <v>203</v>
      </c>
      <c r="D25" t="s">
        <v>326</v>
      </c>
      <c r="E25" s="83">
        <v>44027.379710648151</v>
      </c>
      <c r="F25" s="7">
        <v>44033</v>
      </c>
      <c r="J25" t="s">
        <v>438</v>
      </c>
      <c r="K25">
        <v>1</v>
      </c>
      <c r="L25">
        <v>0</v>
      </c>
    </row>
    <row r="26" spans="1:12">
      <c r="A26" t="s">
        <v>327</v>
      </c>
      <c r="B26" t="s">
        <v>375</v>
      </c>
      <c r="C26" t="s">
        <v>203</v>
      </c>
      <c r="D26" t="s">
        <v>328</v>
      </c>
      <c r="E26" s="83">
        <v>44027.540844907409</v>
      </c>
      <c r="F26" s="7">
        <v>44034</v>
      </c>
      <c r="J26" t="s">
        <v>398</v>
      </c>
      <c r="K26">
        <v>1</v>
      </c>
      <c r="L26">
        <v>0</v>
      </c>
    </row>
    <row r="27" spans="1:12">
      <c r="A27" t="s">
        <v>329</v>
      </c>
      <c r="B27" t="s">
        <v>330</v>
      </c>
      <c r="C27" t="s">
        <v>203</v>
      </c>
      <c r="D27" t="s">
        <v>330</v>
      </c>
      <c r="E27" s="83">
        <v>44027.48170138889</v>
      </c>
      <c r="F27" s="7">
        <v>44032</v>
      </c>
      <c r="J27" t="s">
        <v>393</v>
      </c>
      <c r="K27">
        <v>1</v>
      </c>
      <c r="L27">
        <v>0</v>
      </c>
    </row>
    <row r="28" spans="1:12">
      <c r="A28" t="s">
        <v>245</v>
      </c>
      <c r="B28" t="s">
        <v>147</v>
      </c>
      <c r="C28" t="s">
        <v>203</v>
      </c>
      <c r="D28" t="s">
        <v>246</v>
      </c>
      <c r="E28" s="7">
        <v>44018.697986111103</v>
      </c>
      <c r="F28" s="7">
        <v>44029</v>
      </c>
      <c r="J28" t="s">
        <v>396</v>
      </c>
      <c r="K28">
        <v>10</v>
      </c>
      <c r="L28">
        <v>0</v>
      </c>
    </row>
    <row r="29" spans="1:12">
      <c r="A29" t="s">
        <v>249</v>
      </c>
      <c r="B29" t="s">
        <v>33</v>
      </c>
      <c r="C29" t="s">
        <v>203</v>
      </c>
      <c r="D29" t="s">
        <v>250</v>
      </c>
      <c r="E29" s="7">
        <v>44022.500162037002</v>
      </c>
      <c r="F29" s="7">
        <v>44029</v>
      </c>
      <c r="J29" t="s">
        <v>356</v>
      </c>
      <c r="K29">
        <v>5</v>
      </c>
      <c r="L29">
        <v>480</v>
      </c>
    </row>
    <row r="30" spans="1:12">
      <c r="A30" t="s">
        <v>255</v>
      </c>
      <c r="B30" t="s">
        <v>162</v>
      </c>
      <c r="C30" t="s">
        <v>203</v>
      </c>
      <c r="D30" t="s">
        <v>256</v>
      </c>
      <c r="E30" s="7">
        <v>44021.380972222199</v>
      </c>
      <c r="F30" s="7">
        <v>44001</v>
      </c>
      <c r="I30" t="s">
        <v>95</v>
      </c>
      <c r="J30" t="s">
        <v>437</v>
      </c>
      <c r="K30">
        <v>7</v>
      </c>
      <c r="L30">
        <v>0</v>
      </c>
    </row>
    <row r="31" spans="1:12">
      <c r="A31" t="s">
        <v>241</v>
      </c>
      <c r="B31" t="s">
        <v>163</v>
      </c>
      <c r="C31" t="s">
        <v>203</v>
      </c>
      <c r="D31" t="s">
        <v>242</v>
      </c>
      <c r="E31" s="7">
        <v>44021.280902777798</v>
      </c>
      <c r="F31" s="7">
        <v>44007</v>
      </c>
      <c r="I31" t="s">
        <v>95</v>
      </c>
      <c r="J31" t="s">
        <v>436</v>
      </c>
      <c r="K31">
        <v>7</v>
      </c>
      <c r="L31">
        <v>0</v>
      </c>
    </row>
    <row r="32" spans="1:12">
      <c r="A32" t="s">
        <v>418</v>
      </c>
      <c r="B32" t="s">
        <v>447</v>
      </c>
      <c r="C32" t="s">
        <v>203</v>
      </c>
      <c r="D32" t="s">
        <v>419</v>
      </c>
      <c r="E32" s="7">
        <v>44028.393958333334</v>
      </c>
      <c r="F32" s="7">
        <v>44036</v>
      </c>
      <c r="J32" t="s">
        <v>355</v>
      </c>
      <c r="K32">
        <v>1</v>
      </c>
      <c r="L32">
        <v>0</v>
      </c>
    </row>
    <row r="33" spans="1:12">
      <c r="A33" t="s">
        <v>239</v>
      </c>
      <c r="B33" t="s">
        <v>183</v>
      </c>
      <c r="C33" t="s">
        <v>203</v>
      </c>
      <c r="D33" t="s">
        <v>240</v>
      </c>
      <c r="E33" s="7">
        <v>44022.2907291667</v>
      </c>
      <c r="F33" s="7">
        <v>44027</v>
      </c>
      <c r="J33" t="s">
        <v>357</v>
      </c>
      <c r="K33">
        <v>5</v>
      </c>
      <c r="L33">
        <v>0</v>
      </c>
    </row>
    <row r="34" spans="1:12">
      <c r="A34" t="s">
        <v>239</v>
      </c>
      <c r="B34" t="s">
        <v>183</v>
      </c>
      <c r="C34" t="s">
        <v>383</v>
      </c>
      <c r="D34" t="s">
        <v>240</v>
      </c>
      <c r="E34" s="7">
        <v>44022.290729166663</v>
      </c>
      <c r="F34" s="7">
        <v>44027</v>
      </c>
      <c r="J34" t="s">
        <v>435</v>
      </c>
      <c r="K34">
        <v>6</v>
      </c>
      <c r="L34">
        <v>0</v>
      </c>
    </row>
    <row r="35" spans="1:12">
      <c r="A35" t="s">
        <v>268</v>
      </c>
      <c r="B35" t="s">
        <v>56</v>
      </c>
      <c r="C35" t="s">
        <v>203</v>
      </c>
      <c r="D35" t="s">
        <v>269</v>
      </c>
      <c r="E35" s="7">
        <v>44022.485821759299</v>
      </c>
      <c r="F35" s="7">
        <v>44027</v>
      </c>
      <c r="J35" t="s">
        <v>435</v>
      </c>
      <c r="K35">
        <v>6</v>
      </c>
      <c r="L35">
        <v>480</v>
      </c>
    </row>
    <row r="36" spans="1:12">
      <c r="A36" t="s">
        <v>261</v>
      </c>
      <c r="B36" t="s">
        <v>61</v>
      </c>
      <c r="C36" t="s">
        <v>203</v>
      </c>
      <c r="D36" t="s">
        <v>262</v>
      </c>
      <c r="E36" s="7">
        <v>44015.372800925899</v>
      </c>
      <c r="F36" s="7">
        <v>44029</v>
      </c>
      <c r="J36" t="s">
        <v>396</v>
      </c>
      <c r="K36">
        <v>13</v>
      </c>
      <c r="L36">
        <v>0</v>
      </c>
    </row>
    <row r="37" spans="1:12">
      <c r="A37" t="s">
        <v>408</v>
      </c>
      <c r="B37" t="s">
        <v>442</v>
      </c>
      <c r="C37" t="s">
        <v>203</v>
      </c>
      <c r="D37" t="s">
        <v>409</v>
      </c>
      <c r="E37" s="7">
        <v>44028.397048611114</v>
      </c>
      <c r="F37" s="7">
        <v>44036</v>
      </c>
      <c r="J37" t="s">
        <v>355</v>
      </c>
      <c r="K37">
        <v>1</v>
      </c>
      <c r="L37">
        <v>0</v>
      </c>
    </row>
    <row r="38" spans="1:12">
      <c r="A38" t="s">
        <v>224</v>
      </c>
      <c r="B38" t="s">
        <v>180</v>
      </c>
      <c r="C38" t="s">
        <v>203</v>
      </c>
      <c r="D38" t="s">
        <v>225</v>
      </c>
      <c r="E38" s="7">
        <v>44025.525486111103</v>
      </c>
      <c r="F38" s="7">
        <v>44041</v>
      </c>
      <c r="J38" t="s">
        <v>354</v>
      </c>
      <c r="K38">
        <v>2</v>
      </c>
      <c r="L38">
        <v>0</v>
      </c>
    </row>
    <row r="39" spans="1:12">
      <c r="A39" t="s">
        <v>416</v>
      </c>
      <c r="B39" t="s">
        <v>446</v>
      </c>
      <c r="C39" t="s">
        <v>203</v>
      </c>
      <c r="D39" t="s">
        <v>417</v>
      </c>
      <c r="E39" s="7">
        <v>44028.393761574072</v>
      </c>
      <c r="F39" s="7">
        <v>44043</v>
      </c>
      <c r="J39" t="s">
        <v>354</v>
      </c>
      <c r="K39">
        <v>1</v>
      </c>
      <c r="L39">
        <v>0</v>
      </c>
    </row>
    <row r="40" spans="1:12">
      <c r="A40" t="s">
        <v>323</v>
      </c>
      <c r="B40" t="s">
        <v>373</v>
      </c>
      <c r="C40" t="s">
        <v>203</v>
      </c>
      <c r="D40" t="s">
        <v>324</v>
      </c>
      <c r="E40" s="7">
        <v>44027.396574074075</v>
      </c>
      <c r="F40" s="7">
        <v>44036</v>
      </c>
      <c r="J40" t="s">
        <v>355</v>
      </c>
      <c r="K40">
        <v>2</v>
      </c>
      <c r="L40">
        <v>0</v>
      </c>
    </row>
    <row r="41" spans="1:12">
      <c r="A41" t="s">
        <v>421</v>
      </c>
      <c r="B41" t="s">
        <v>422</v>
      </c>
      <c r="C41" t="s">
        <v>203</v>
      </c>
      <c r="D41" t="s">
        <v>422</v>
      </c>
      <c r="E41" s="7">
        <v>44028.396932870368</v>
      </c>
      <c r="F41" s="7">
        <v>44034</v>
      </c>
      <c r="J41" t="s">
        <v>438</v>
      </c>
      <c r="K41">
        <v>1</v>
      </c>
      <c r="L41">
        <v>0</v>
      </c>
    </row>
    <row r="42" spans="1:12">
      <c r="A42" t="s">
        <v>335</v>
      </c>
      <c r="B42" t="s">
        <v>378</v>
      </c>
      <c r="C42" t="s">
        <v>203</v>
      </c>
      <c r="D42" t="s">
        <v>336</v>
      </c>
      <c r="E42" s="7">
        <v>44027.589097222219</v>
      </c>
      <c r="F42" s="7">
        <v>44025</v>
      </c>
      <c r="J42" t="s">
        <v>394</v>
      </c>
      <c r="K42">
        <v>1</v>
      </c>
      <c r="L42">
        <v>0</v>
      </c>
    </row>
    <row r="43" spans="1:12">
      <c r="A43" t="s">
        <v>388</v>
      </c>
      <c r="B43" t="s">
        <v>400</v>
      </c>
      <c r="C43" t="s">
        <v>203</v>
      </c>
      <c r="D43" t="s">
        <v>336</v>
      </c>
      <c r="E43" s="7">
        <v>44027.588541666664</v>
      </c>
      <c r="F43" s="7">
        <v>44029</v>
      </c>
      <c r="J43" t="s">
        <v>396</v>
      </c>
      <c r="K43">
        <v>1</v>
      </c>
      <c r="L43">
        <v>0</v>
      </c>
    </row>
    <row r="44" spans="1:12">
      <c r="A44" t="s">
        <v>384</v>
      </c>
      <c r="B44" t="s">
        <v>399</v>
      </c>
      <c r="C44" t="s">
        <v>203</v>
      </c>
      <c r="D44" t="s">
        <v>336</v>
      </c>
      <c r="E44" s="7">
        <v>44027.657280092593</v>
      </c>
      <c r="F44" s="7">
        <v>44032</v>
      </c>
      <c r="J44" t="s">
        <v>393</v>
      </c>
      <c r="K44">
        <v>1</v>
      </c>
      <c r="L44">
        <v>0</v>
      </c>
    </row>
    <row r="45" spans="1:12">
      <c r="A45" t="s">
        <v>288</v>
      </c>
      <c r="B45" t="s">
        <v>165</v>
      </c>
      <c r="C45" t="s">
        <v>220</v>
      </c>
      <c r="D45" t="s">
        <v>289</v>
      </c>
      <c r="E45" s="7">
        <v>44021.280555555597</v>
      </c>
      <c r="F45" s="7">
        <v>44015</v>
      </c>
      <c r="J45" t="s">
        <v>395</v>
      </c>
      <c r="K45">
        <v>7</v>
      </c>
      <c r="L45">
        <v>0</v>
      </c>
    </row>
    <row r="46" spans="1:12">
      <c r="A46" t="s">
        <v>333</v>
      </c>
      <c r="B46" t="s">
        <v>377</v>
      </c>
      <c r="C46" t="s">
        <v>203</v>
      </c>
      <c r="D46" t="s">
        <v>334</v>
      </c>
      <c r="E46" s="7">
        <v>44027.557534722226</v>
      </c>
      <c r="F46" s="7">
        <v>44021</v>
      </c>
      <c r="I46" t="s">
        <v>90</v>
      </c>
      <c r="J46" t="s">
        <v>434</v>
      </c>
      <c r="K46">
        <v>1</v>
      </c>
      <c r="L46">
        <v>0</v>
      </c>
    </row>
    <row r="47" spans="1:12">
      <c r="A47" t="s">
        <v>351</v>
      </c>
      <c r="B47" t="s">
        <v>381</v>
      </c>
      <c r="C47" t="s">
        <v>203</v>
      </c>
      <c r="D47" t="s">
        <v>352</v>
      </c>
      <c r="E47" s="7">
        <v>44027.585625</v>
      </c>
      <c r="F47" s="7">
        <v>44022</v>
      </c>
      <c r="I47" t="s">
        <v>90</v>
      </c>
      <c r="J47" t="s">
        <v>359</v>
      </c>
      <c r="K47">
        <v>1</v>
      </c>
      <c r="L47">
        <v>0</v>
      </c>
    </row>
    <row r="48" spans="1:12">
      <c r="A48" t="s">
        <v>201</v>
      </c>
      <c r="B48" t="s">
        <v>166</v>
      </c>
      <c r="C48" t="s">
        <v>203</v>
      </c>
      <c r="D48" t="s">
        <v>204</v>
      </c>
      <c r="E48" s="7">
        <v>44021.306608796302</v>
      </c>
      <c r="F48" s="7">
        <v>44025</v>
      </c>
      <c r="J48" t="s">
        <v>394</v>
      </c>
      <c r="K48">
        <v>7</v>
      </c>
      <c r="L48">
        <v>0</v>
      </c>
    </row>
    <row r="49" spans="1:12">
      <c r="A49" t="s">
        <v>319</v>
      </c>
      <c r="B49" t="s">
        <v>320</v>
      </c>
      <c r="C49" t="s">
        <v>203</v>
      </c>
      <c r="D49" t="s">
        <v>320</v>
      </c>
      <c r="E49" s="7">
        <v>44027.557638888888</v>
      </c>
      <c r="F49" s="7">
        <v>44032</v>
      </c>
      <c r="J49" t="s">
        <v>393</v>
      </c>
      <c r="K49">
        <v>1</v>
      </c>
      <c r="L49">
        <v>0</v>
      </c>
    </row>
    <row r="50" spans="1:12">
      <c r="A50" t="s">
        <v>410</v>
      </c>
      <c r="B50" t="s">
        <v>443</v>
      </c>
      <c r="C50" t="s">
        <v>203</v>
      </c>
      <c r="D50" t="s">
        <v>411</v>
      </c>
      <c r="E50" s="7">
        <v>44028.393657407411</v>
      </c>
      <c r="F50" s="7">
        <v>44043</v>
      </c>
      <c r="J50" t="s">
        <v>354</v>
      </c>
      <c r="K50">
        <v>1</v>
      </c>
      <c r="L50">
        <v>0</v>
      </c>
    </row>
    <row r="51" spans="1:12">
      <c r="A51" t="s">
        <v>308</v>
      </c>
      <c r="B51" t="s">
        <v>367</v>
      </c>
      <c r="C51" t="s">
        <v>203</v>
      </c>
      <c r="D51" t="s">
        <v>309</v>
      </c>
      <c r="E51" s="7">
        <v>44027.455775462964</v>
      </c>
      <c r="F51" s="7">
        <v>44033</v>
      </c>
      <c r="I51" t="s">
        <v>91</v>
      </c>
      <c r="J51" t="s">
        <v>393</v>
      </c>
      <c r="K51">
        <v>2</v>
      </c>
      <c r="L51">
        <v>0</v>
      </c>
    </row>
    <row r="52" spans="1:12">
      <c r="A52" t="s">
        <v>280</v>
      </c>
      <c r="B52" t="s">
        <v>168</v>
      </c>
      <c r="C52" t="s">
        <v>203</v>
      </c>
      <c r="D52" t="s">
        <v>281</v>
      </c>
      <c r="E52" s="7">
        <v>44020.485057870399</v>
      </c>
      <c r="F52" s="7">
        <v>44019</v>
      </c>
      <c r="J52" t="s">
        <v>360</v>
      </c>
      <c r="K52">
        <v>7</v>
      </c>
      <c r="L52">
        <v>0</v>
      </c>
    </row>
    <row r="53" spans="1:12">
      <c r="A53" t="s">
        <v>230</v>
      </c>
      <c r="B53" t="s">
        <v>298</v>
      </c>
      <c r="C53" t="s">
        <v>203</v>
      </c>
      <c r="D53" t="s">
        <v>231</v>
      </c>
      <c r="E53" s="7">
        <v>44025.484317129602</v>
      </c>
      <c r="F53" s="7">
        <v>44041</v>
      </c>
      <c r="J53" t="s">
        <v>354</v>
      </c>
      <c r="K53">
        <v>2</v>
      </c>
      <c r="L53">
        <v>0</v>
      </c>
    </row>
    <row r="54" spans="1:12">
      <c r="A54" t="s">
        <v>226</v>
      </c>
      <c r="B54" t="s">
        <v>170</v>
      </c>
      <c r="C54" t="s">
        <v>203</v>
      </c>
      <c r="D54" t="s">
        <v>227</v>
      </c>
      <c r="E54" s="7">
        <v>44021.280474537001</v>
      </c>
      <c r="F54" s="7">
        <v>44039</v>
      </c>
      <c r="J54" t="s">
        <v>433</v>
      </c>
      <c r="K54">
        <v>7</v>
      </c>
      <c r="L54">
        <v>0</v>
      </c>
    </row>
    <row r="55" spans="1:12">
      <c r="A55" t="s">
        <v>301</v>
      </c>
      <c r="B55" t="s">
        <v>364</v>
      </c>
      <c r="C55" t="s">
        <v>203</v>
      </c>
      <c r="D55" t="s">
        <v>302</v>
      </c>
      <c r="E55" s="7">
        <v>44027.55740740741</v>
      </c>
      <c r="F55" s="7">
        <v>44029</v>
      </c>
      <c r="J55" t="s">
        <v>396</v>
      </c>
      <c r="K55">
        <v>1</v>
      </c>
      <c r="L55">
        <v>0</v>
      </c>
    </row>
    <row r="56" spans="1:12">
      <c r="A56" t="s">
        <v>346</v>
      </c>
      <c r="B56" t="s">
        <v>380</v>
      </c>
      <c r="C56" t="s">
        <v>203</v>
      </c>
      <c r="D56" t="s">
        <v>347</v>
      </c>
      <c r="E56" s="7">
        <v>44027.477152777778</v>
      </c>
      <c r="F56" s="7">
        <v>44025</v>
      </c>
      <c r="I56" t="s">
        <v>88</v>
      </c>
      <c r="J56" t="s">
        <v>394</v>
      </c>
      <c r="K56">
        <v>1</v>
      </c>
      <c r="L56">
        <v>0</v>
      </c>
    </row>
    <row r="57" spans="1:12">
      <c r="A57" t="s">
        <v>272</v>
      </c>
      <c r="B57" t="s">
        <v>57</v>
      </c>
      <c r="C57" t="s">
        <v>203</v>
      </c>
      <c r="D57" t="s">
        <v>260</v>
      </c>
      <c r="E57" s="7">
        <v>44014.5717939815</v>
      </c>
      <c r="F57" s="7">
        <v>44008</v>
      </c>
      <c r="J57" t="s">
        <v>362</v>
      </c>
      <c r="K57">
        <v>13</v>
      </c>
      <c r="L57">
        <v>0</v>
      </c>
    </row>
    <row r="58" spans="1:12">
      <c r="A58" t="s">
        <v>263</v>
      </c>
      <c r="B58" t="s">
        <v>57</v>
      </c>
      <c r="C58" t="s">
        <v>203</v>
      </c>
      <c r="D58" t="s">
        <v>260</v>
      </c>
      <c r="E58" s="7">
        <v>44020.458333333299</v>
      </c>
      <c r="F58" s="7">
        <v>44027</v>
      </c>
      <c r="J58" t="s">
        <v>467</v>
      </c>
      <c r="K58">
        <v>9</v>
      </c>
      <c r="L58">
        <v>0</v>
      </c>
    </row>
    <row r="59" spans="1:12">
      <c r="A59" t="s">
        <v>292</v>
      </c>
      <c r="B59" t="s">
        <v>173</v>
      </c>
      <c r="C59" t="s">
        <v>203</v>
      </c>
      <c r="D59" t="s">
        <v>293</v>
      </c>
      <c r="E59" s="7">
        <v>44021.379826388897</v>
      </c>
      <c r="F59" s="7">
        <v>44022</v>
      </c>
      <c r="J59" t="s">
        <v>358</v>
      </c>
      <c r="K59">
        <v>6</v>
      </c>
      <c r="L59">
        <v>0</v>
      </c>
    </row>
    <row r="60" spans="1:12">
      <c r="A60" t="s">
        <v>209</v>
      </c>
      <c r="B60" t="s">
        <v>294</v>
      </c>
      <c r="C60" t="s">
        <v>203</v>
      </c>
      <c r="D60" t="s">
        <v>210</v>
      </c>
      <c r="E60" s="7">
        <v>44025.654108796298</v>
      </c>
      <c r="F60" s="7">
        <v>44032</v>
      </c>
      <c r="I60" t="s">
        <v>91</v>
      </c>
      <c r="J60" t="s">
        <v>468</v>
      </c>
      <c r="K60">
        <v>4</v>
      </c>
      <c r="L60">
        <v>0</v>
      </c>
    </row>
    <row r="61" spans="1:12">
      <c r="A61" t="s">
        <v>228</v>
      </c>
      <c r="B61" t="s">
        <v>297</v>
      </c>
      <c r="C61" t="s">
        <v>203</v>
      </c>
      <c r="D61" t="s">
        <v>229</v>
      </c>
      <c r="E61" s="7">
        <v>44025.471319444398</v>
      </c>
      <c r="F61" s="7">
        <v>44047</v>
      </c>
      <c r="J61" t="s">
        <v>353</v>
      </c>
      <c r="K61">
        <v>2</v>
      </c>
      <c r="L61">
        <v>0</v>
      </c>
    </row>
    <row r="62" spans="1:12">
      <c r="A62" t="s">
        <v>284</v>
      </c>
      <c r="B62" t="s">
        <v>49</v>
      </c>
      <c r="C62" t="s">
        <v>275</v>
      </c>
      <c r="D62" t="s">
        <v>285</v>
      </c>
      <c r="E62" s="7">
        <v>44013.539236111101</v>
      </c>
      <c r="F62" s="7">
        <v>44021</v>
      </c>
      <c r="J62" t="s">
        <v>359</v>
      </c>
      <c r="K62">
        <v>14</v>
      </c>
      <c r="L62">
        <v>0</v>
      </c>
    </row>
    <row r="63" spans="1:12">
      <c r="A63" t="s">
        <v>217</v>
      </c>
      <c r="B63" t="s">
        <v>296</v>
      </c>
      <c r="C63" t="s">
        <v>203</v>
      </c>
      <c r="D63" t="s">
        <v>218</v>
      </c>
      <c r="E63" s="7">
        <v>44022.499016203699</v>
      </c>
      <c r="F63" s="7">
        <v>44032</v>
      </c>
      <c r="I63" t="s">
        <v>90</v>
      </c>
      <c r="J63" t="s">
        <v>468</v>
      </c>
      <c r="K63">
        <v>7</v>
      </c>
      <c r="L63">
        <v>0</v>
      </c>
    </row>
    <row r="64" spans="1:12">
      <c r="A64" t="s">
        <v>304</v>
      </c>
      <c r="B64" t="s">
        <v>365</v>
      </c>
      <c r="C64" t="s">
        <v>203</v>
      </c>
      <c r="D64" t="s">
        <v>305</v>
      </c>
      <c r="E64" s="7">
        <v>44027.364942129629</v>
      </c>
      <c r="F64" s="7">
        <v>44032</v>
      </c>
      <c r="J64" t="s">
        <v>357</v>
      </c>
      <c r="K64">
        <v>5</v>
      </c>
      <c r="L64">
        <v>0</v>
      </c>
    </row>
    <row r="65" spans="1:12">
      <c r="A65" t="s">
        <v>402</v>
      </c>
      <c r="B65" t="s">
        <v>439</v>
      </c>
      <c r="C65" t="s">
        <v>203</v>
      </c>
      <c r="D65" t="s">
        <v>403</v>
      </c>
      <c r="E65" s="7">
        <v>44028.340960648151</v>
      </c>
      <c r="F65" s="7">
        <v>44004</v>
      </c>
      <c r="J65" t="s">
        <v>397</v>
      </c>
      <c r="K65">
        <v>4</v>
      </c>
      <c r="L65">
        <v>0</v>
      </c>
    </row>
    <row r="66" spans="1:12">
      <c r="A66" t="s">
        <v>420</v>
      </c>
      <c r="B66" t="s">
        <v>118</v>
      </c>
      <c r="C66" t="s">
        <v>203</v>
      </c>
      <c r="D66" t="s">
        <v>118</v>
      </c>
      <c r="E66" s="7">
        <v>44028.396620370368</v>
      </c>
      <c r="F66" s="7">
        <v>44034</v>
      </c>
      <c r="J66" t="s">
        <v>356</v>
      </c>
      <c r="K66">
        <v>4</v>
      </c>
      <c r="L66">
        <v>0</v>
      </c>
    </row>
    <row r="67" spans="1:12">
      <c r="A67" t="s">
        <v>427</v>
      </c>
      <c r="B67" t="s">
        <v>450</v>
      </c>
      <c r="C67" t="s">
        <v>203</v>
      </c>
      <c r="D67" t="s">
        <v>428</v>
      </c>
      <c r="E67" s="7">
        <v>44028.396840277775</v>
      </c>
      <c r="F67" s="7">
        <v>44029</v>
      </c>
      <c r="J67" t="s">
        <v>394</v>
      </c>
      <c r="K67">
        <v>4</v>
      </c>
      <c r="L67">
        <v>0</v>
      </c>
    </row>
    <row r="68" spans="1:12">
      <c r="A68" t="s">
        <v>404</v>
      </c>
      <c r="B68" t="s">
        <v>440</v>
      </c>
      <c r="C68" t="s">
        <v>203</v>
      </c>
      <c r="D68" t="s">
        <v>405</v>
      </c>
      <c r="E68" s="7">
        <v>44028.395995370367</v>
      </c>
      <c r="F68" s="7">
        <v>44032</v>
      </c>
      <c r="J68" t="s">
        <v>357</v>
      </c>
      <c r="K68">
        <v>4</v>
      </c>
      <c r="L68">
        <v>0</v>
      </c>
    </row>
    <row r="69" spans="1:12">
      <c r="A69" t="s">
        <v>429</v>
      </c>
      <c r="B69" t="s">
        <v>451</v>
      </c>
      <c r="C69" t="s">
        <v>203</v>
      </c>
      <c r="D69" t="s">
        <v>430</v>
      </c>
      <c r="E69" s="7">
        <v>44028.396377314813</v>
      </c>
      <c r="F69" s="7">
        <v>44027</v>
      </c>
      <c r="J69" t="s">
        <v>358</v>
      </c>
      <c r="K69">
        <v>4</v>
      </c>
      <c r="L69">
        <v>0</v>
      </c>
    </row>
    <row r="70" spans="1:12">
      <c r="A70" t="s">
        <v>312</v>
      </c>
      <c r="B70" t="s">
        <v>369</v>
      </c>
      <c r="C70" t="s">
        <v>203</v>
      </c>
      <c r="D70" t="s">
        <v>313</v>
      </c>
      <c r="E70" s="7">
        <v>44027.455555555556</v>
      </c>
      <c r="F70" s="7">
        <v>44034</v>
      </c>
      <c r="J70" t="s">
        <v>356</v>
      </c>
      <c r="K70">
        <v>5</v>
      </c>
      <c r="L70">
        <v>0</v>
      </c>
    </row>
    <row r="71" spans="1:12">
      <c r="A71" t="s">
        <v>316</v>
      </c>
      <c r="B71" t="s">
        <v>371</v>
      </c>
      <c r="C71" t="s">
        <v>203</v>
      </c>
      <c r="D71" t="s">
        <v>317</v>
      </c>
      <c r="E71" s="7">
        <v>44027.397638888891</v>
      </c>
      <c r="F71" s="7">
        <v>44033</v>
      </c>
      <c r="J71" t="s">
        <v>396</v>
      </c>
      <c r="K71">
        <v>5</v>
      </c>
      <c r="L71">
        <v>0</v>
      </c>
    </row>
    <row r="72" spans="1:12">
      <c r="A72" t="s">
        <v>306</v>
      </c>
      <c r="B72" t="s">
        <v>366</v>
      </c>
      <c r="C72" t="s">
        <v>203</v>
      </c>
      <c r="D72" t="s">
        <v>307</v>
      </c>
      <c r="E72" s="7">
        <v>44027.574780092589</v>
      </c>
      <c r="F72" s="7">
        <v>44033</v>
      </c>
      <c r="I72" t="s">
        <v>88</v>
      </c>
      <c r="J72" t="s">
        <v>396</v>
      </c>
      <c r="K72">
        <v>5</v>
      </c>
      <c r="L72">
        <v>0</v>
      </c>
    </row>
    <row r="73" spans="1:12">
      <c r="A73" t="s">
        <v>310</v>
      </c>
      <c r="B73" t="s">
        <v>368</v>
      </c>
      <c r="C73" t="s">
        <v>203</v>
      </c>
      <c r="D73" t="s">
        <v>311</v>
      </c>
      <c r="E73" s="7">
        <v>44027.397280092591</v>
      </c>
      <c r="F73" s="7">
        <v>44033</v>
      </c>
      <c r="J73" t="s">
        <v>396</v>
      </c>
      <c r="K73">
        <v>5</v>
      </c>
      <c r="L73">
        <v>0</v>
      </c>
    </row>
    <row r="74" spans="1:12">
      <c r="A74" t="s">
        <v>453</v>
      </c>
      <c r="B74" t="s">
        <v>470</v>
      </c>
      <c r="C74" t="s">
        <v>203</v>
      </c>
      <c r="D74" t="s">
        <v>454</v>
      </c>
      <c r="E74" s="7">
        <v>44028.651608796295</v>
      </c>
      <c r="F74" s="7">
        <v>44034</v>
      </c>
      <c r="J74" t="s">
        <v>356</v>
      </c>
      <c r="K74">
        <v>4</v>
      </c>
      <c r="L74">
        <v>0</v>
      </c>
    </row>
    <row r="75" spans="1:12">
      <c r="A75" t="s">
        <v>219</v>
      </c>
      <c r="B75" t="s">
        <v>66</v>
      </c>
      <c r="C75" t="s">
        <v>220</v>
      </c>
      <c r="D75" t="s">
        <v>221</v>
      </c>
      <c r="E75" s="7">
        <v>44021.281898148103</v>
      </c>
      <c r="F75" s="7">
        <v>44034</v>
      </c>
      <c r="J75" t="s">
        <v>356</v>
      </c>
      <c r="K75">
        <v>11</v>
      </c>
      <c r="L75">
        <v>0</v>
      </c>
    </row>
    <row r="76" spans="1:12">
      <c r="A76" t="s">
        <v>339</v>
      </c>
      <c r="B76" t="s">
        <v>67</v>
      </c>
      <c r="C76" t="s">
        <v>340</v>
      </c>
      <c r="D76" t="s">
        <v>341</v>
      </c>
      <c r="E76" s="7">
        <v>44020.316643518519</v>
      </c>
      <c r="F76" s="7">
        <v>43938</v>
      </c>
      <c r="J76" t="s">
        <v>492</v>
      </c>
      <c r="K76">
        <v>12</v>
      </c>
      <c r="L76">
        <v>0</v>
      </c>
    </row>
    <row r="77" spans="1:12">
      <c r="A77" t="s">
        <v>459</v>
      </c>
      <c r="B77" t="s">
        <v>67</v>
      </c>
      <c r="C77" t="s">
        <v>460</v>
      </c>
      <c r="D77" t="s">
        <v>341</v>
      </c>
      <c r="E77" s="7">
        <v>43868.58252314815</v>
      </c>
      <c r="F77" s="7">
        <v>43896</v>
      </c>
      <c r="J77" t="s">
        <v>493</v>
      </c>
      <c r="K77">
        <v>164</v>
      </c>
      <c r="L77">
        <v>0</v>
      </c>
    </row>
    <row r="78" spans="1:12">
      <c r="A78" t="s">
        <v>416</v>
      </c>
      <c r="B78" t="s">
        <v>446</v>
      </c>
      <c r="C78" t="s">
        <v>203</v>
      </c>
      <c r="D78" t="s">
        <v>417</v>
      </c>
      <c r="E78" s="7">
        <v>44028.393761574072</v>
      </c>
      <c r="F78" s="7">
        <v>44043</v>
      </c>
      <c r="J78" t="s">
        <v>433</v>
      </c>
      <c r="K78">
        <v>4</v>
      </c>
      <c r="L78">
        <v>0</v>
      </c>
    </row>
    <row r="79" spans="1:12">
      <c r="A79" t="s">
        <v>478</v>
      </c>
      <c r="B79" t="s">
        <v>138</v>
      </c>
      <c r="C79" t="s">
        <v>275</v>
      </c>
      <c r="D79" t="s">
        <v>479</v>
      </c>
      <c r="E79" s="7">
        <v>44029.396863425929</v>
      </c>
      <c r="F79" s="7">
        <v>44040</v>
      </c>
      <c r="J79" t="s">
        <v>524</v>
      </c>
      <c r="K79">
        <v>3</v>
      </c>
      <c r="L79">
        <v>240</v>
      </c>
    </row>
    <row r="80" spans="1:12">
      <c r="A80" t="s">
        <v>414</v>
      </c>
      <c r="B80" t="s">
        <v>445</v>
      </c>
      <c r="C80" t="s">
        <v>275</v>
      </c>
      <c r="D80" t="s">
        <v>415</v>
      </c>
      <c r="E80" s="7">
        <v>44028.393564814818</v>
      </c>
      <c r="F80" s="7">
        <v>44047</v>
      </c>
      <c r="J80" t="s">
        <v>525</v>
      </c>
      <c r="K80">
        <v>4</v>
      </c>
      <c r="L80">
        <v>0</v>
      </c>
    </row>
    <row r="81" spans="1:12">
      <c r="A81" t="s">
        <v>473</v>
      </c>
      <c r="B81" t="s">
        <v>494</v>
      </c>
      <c r="C81" t="s">
        <v>220</v>
      </c>
      <c r="D81" t="s">
        <v>475</v>
      </c>
      <c r="E81" s="7">
        <v>44029.364710648151</v>
      </c>
      <c r="F81" s="7">
        <v>44042</v>
      </c>
      <c r="J81" t="s">
        <v>526</v>
      </c>
      <c r="K81">
        <v>3</v>
      </c>
      <c r="L81" t="e">
        <v>#N/A</v>
      </c>
    </row>
    <row r="82" spans="1:12">
      <c r="A82" t="s">
        <v>278</v>
      </c>
      <c r="B82" t="s">
        <v>78</v>
      </c>
      <c r="C82" t="s">
        <v>220</v>
      </c>
      <c r="D82" t="s">
        <v>279</v>
      </c>
      <c r="E82" s="7">
        <v>44013.484953703701</v>
      </c>
      <c r="F82" s="7">
        <v>44015</v>
      </c>
      <c r="J82" t="s">
        <v>527</v>
      </c>
      <c r="K82">
        <v>19</v>
      </c>
      <c r="L82">
        <v>480</v>
      </c>
    </row>
    <row r="83" spans="1:12">
      <c r="A83" t="s">
        <v>522</v>
      </c>
      <c r="B83" t="s">
        <v>534</v>
      </c>
      <c r="C83" t="s">
        <v>203</v>
      </c>
      <c r="D83" t="s">
        <v>523</v>
      </c>
      <c r="E83" s="7">
        <v>44032.377326388887</v>
      </c>
      <c r="F83" s="7">
        <v>44036</v>
      </c>
      <c r="J83" t="s">
        <v>468</v>
      </c>
      <c r="K83">
        <v>1</v>
      </c>
      <c r="L83">
        <v>0</v>
      </c>
    </row>
    <row r="84" spans="1:12">
      <c r="A84" t="s">
        <v>518</v>
      </c>
      <c r="B84" t="s">
        <v>519</v>
      </c>
      <c r="C84" t="s">
        <v>203</v>
      </c>
      <c r="D84" t="s">
        <v>519</v>
      </c>
      <c r="E84" s="7">
        <v>44032.459467592591</v>
      </c>
      <c r="F84" s="7">
        <v>44033</v>
      </c>
      <c r="J84" t="s">
        <v>357</v>
      </c>
      <c r="K84">
        <v>1</v>
      </c>
      <c r="L84">
        <v>0</v>
      </c>
    </row>
    <row r="85" spans="1:12">
      <c r="A85" t="s">
        <v>517</v>
      </c>
      <c r="B85" t="s">
        <v>57</v>
      </c>
      <c r="C85" t="s">
        <v>203</v>
      </c>
      <c r="D85" t="s">
        <v>336</v>
      </c>
      <c r="E85" s="7">
        <v>44032.486655092594</v>
      </c>
      <c r="F85" s="7">
        <v>44027</v>
      </c>
      <c r="J85" t="s">
        <v>359</v>
      </c>
      <c r="K85">
        <v>1</v>
      </c>
      <c r="L85">
        <v>0</v>
      </c>
    </row>
    <row r="86" spans="1:12">
      <c r="A86" t="s">
        <v>511</v>
      </c>
      <c r="B86" t="s">
        <v>532</v>
      </c>
      <c r="C86" t="s">
        <v>203</v>
      </c>
      <c r="D86" t="s">
        <v>512</v>
      </c>
      <c r="E86" s="7">
        <v>44032.374606481484</v>
      </c>
      <c r="F86" s="7">
        <v>44036</v>
      </c>
      <c r="J86" t="s">
        <v>468</v>
      </c>
      <c r="K86">
        <v>1</v>
      </c>
      <c r="L86">
        <v>0</v>
      </c>
    </row>
    <row r="87" spans="1:12">
      <c r="A87" t="s">
        <v>510</v>
      </c>
      <c r="B87" t="s">
        <v>299</v>
      </c>
      <c r="C87" t="s">
        <v>203</v>
      </c>
      <c r="D87" t="s">
        <v>236</v>
      </c>
      <c r="E87" s="7">
        <v>44032.373611111114</v>
      </c>
      <c r="F87" s="7">
        <v>44039</v>
      </c>
      <c r="J87" t="s">
        <v>398</v>
      </c>
      <c r="K87">
        <v>1</v>
      </c>
      <c r="L87">
        <v>0</v>
      </c>
    </row>
    <row r="88" spans="1:12">
      <c r="A88" t="s">
        <v>501</v>
      </c>
      <c r="B88" t="s">
        <v>528</v>
      </c>
      <c r="C88" t="s">
        <v>203</v>
      </c>
      <c r="D88" t="s">
        <v>502</v>
      </c>
      <c r="E88" s="7">
        <v>44032.373495370368</v>
      </c>
      <c r="F88" s="7">
        <v>44039</v>
      </c>
      <c r="J88" t="s">
        <v>398</v>
      </c>
      <c r="K88">
        <v>1</v>
      </c>
      <c r="L88">
        <v>0</v>
      </c>
    </row>
    <row r="89" spans="1:12">
      <c r="A89" t="s">
        <v>490</v>
      </c>
      <c r="B89" t="s">
        <v>491</v>
      </c>
      <c r="C89" t="s">
        <v>203</v>
      </c>
      <c r="D89" t="s">
        <v>491</v>
      </c>
      <c r="E89" s="7">
        <v>44029.420127314814</v>
      </c>
      <c r="F89" s="7">
        <v>44034</v>
      </c>
      <c r="J89" t="s">
        <v>396</v>
      </c>
      <c r="K89">
        <v>4</v>
      </c>
      <c r="L89">
        <v>0</v>
      </c>
    </row>
    <row r="90" spans="1:12">
      <c r="A90" t="s">
        <v>213</v>
      </c>
      <c r="B90" t="s">
        <v>295</v>
      </c>
      <c r="C90" t="s">
        <v>203</v>
      </c>
      <c r="D90" t="s">
        <v>214</v>
      </c>
      <c r="E90" s="7">
        <v>44022.496157407397</v>
      </c>
      <c r="F90" s="7">
        <v>44034</v>
      </c>
      <c r="J90" t="s">
        <v>396</v>
      </c>
      <c r="K90">
        <v>11</v>
      </c>
      <c r="L90">
        <v>0</v>
      </c>
    </row>
    <row r="91" spans="1:12">
      <c r="A91" t="s">
        <v>431</v>
      </c>
      <c r="B91" t="s">
        <v>452</v>
      </c>
      <c r="C91" t="s">
        <v>275</v>
      </c>
      <c r="D91" t="s">
        <v>432</v>
      </c>
      <c r="E91" s="7">
        <v>43987.383032407408</v>
      </c>
      <c r="F91" s="7">
        <v>43987</v>
      </c>
      <c r="I91" t="s">
        <v>95</v>
      </c>
      <c r="J91" t="s">
        <v>549</v>
      </c>
      <c r="K91">
        <v>46</v>
      </c>
      <c r="L91">
        <v>0</v>
      </c>
    </row>
    <row r="92" spans="1:12">
      <c r="A92" t="s">
        <v>462</v>
      </c>
      <c r="B92" t="s">
        <v>21</v>
      </c>
      <c r="C92" t="s">
        <v>203</v>
      </c>
      <c r="D92" t="s">
        <v>336</v>
      </c>
      <c r="E92" s="7">
        <v>44028.52851851852</v>
      </c>
      <c r="F92" s="7">
        <v>44032</v>
      </c>
      <c r="J92" t="s">
        <v>435</v>
      </c>
      <c r="K92">
        <v>5</v>
      </c>
      <c r="L92">
        <v>960</v>
      </c>
    </row>
    <row r="93" spans="1:12">
      <c r="A93" t="s">
        <v>461</v>
      </c>
      <c r="B93" t="s">
        <v>21</v>
      </c>
      <c r="C93" t="s">
        <v>203</v>
      </c>
      <c r="D93" t="s">
        <v>336</v>
      </c>
      <c r="E93" s="7">
        <v>44028.528414351851</v>
      </c>
      <c r="F93" s="7">
        <v>44032</v>
      </c>
      <c r="J93" t="s">
        <v>435</v>
      </c>
      <c r="K93">
        <v>5</v>
      </c>
      <c r="L93">
        <v>960</v>
      </c>
    </row>
    <row r="94" spans="1:12">
      <c r="A94" t="s">
        <v>464</v>
      </c>
      <c r="B94" t="s">
        <v>21</v>
      </c>
      <c r="C94" t="s">
        <v>203</v>
      </c>
      <c r="D94" t="s">
        <v>336</v>
      </c>
      <c r="E94" s="7">
        <v>44028.528298611112</v>
      </c>
      <c r="F94" s="7">
        <v>44032</v>
      </c>
      <c r="J94" t="s">
        <v>435</v>
      </c>
      <c r="K94">
        <v>5</v>
      </c>
      <c r="L94">
        <v>960</v>
      </c>
    </row>
    <row r="95" spans="1:12">
      <c r="A95" t="s">
        <v>465</v>
      </c>
      <c r="B95" t="s">
        <v>21</v>
      </c>
      <c r="C95" t="s">
        <v>203</v>
      </c>
      <c r="D95" t="s">
        <v>336</v>
      </c>
      <c r="E95" s="7">
        <v>44028.52815972222</v>
      </c>
      <c r="F95" s="7">
        <v>44032</v>
      </c>
      <c r="J95" t="s">
        <v>435</v>
      </c>
      <c r="K95">
        <v>5</v>
      </c>
      <c r="L95">
        <v>960</v>
      </c>
    </row>
    <row r="96" spans="1:12">
      <c r="A96" t="s">
        <v>466</v>
      </c>
      <c r="B96" t="s">
        <v>21</v>
      </c>
      <c r="C96" t="s">
        <v>203</v>
      </c>
      <c r="D96" t="s">
        <v>336</v>
      </c>
      <c r="E96" s="7">
        <v>44028.528043981481</v>
      </c>
      <c r="F96" s="7">
        <v>44032</v>
      </c>
      <c r="J96" t="s">
        <v>435</v>
      </c>
      <c r="K96">
        <v>5</v>
      </c>
      <c r="L96">
        <v>960</v>
      </c>
    </row>
    <row r="97" spans="1:12">
      <c r="A97" t="s">
        <v>463</v>
      </c>
      <c r="B97" t="s">
        <v>21</v>
      </c>
      <c r="C97" t="s">
        <v>203</v>
      </c>
      <c r="D97" t="s">
        <v>336</v>
      </c>
      <c r="E97" s="7">
        <v>44028.527905092589</v>
      </c>
      <c r="F97" s="7">
        <v>44032</v>
      </c>
      <c r="J97" t="s">
        <v>435</v>
      </c>
      <c r="K97">
        <v>5</v>
      </c>
      <c r="L97">
        <v>960</v>
      </c>
    </row>
    <row r="98" spans="1:12">
      <c r="A98" t="s">
        <v>537</v>
      </c>
      <c r="B98" t="s">
        <v>551</v>
      </c>
      <c r="C98" t="s">
        <v>203</v>
      </c>
      <c r="D98" t="s">
        <v>538</v>
      </c>
      <c r="E98" s="7">
        <v>44032.6640162037</v>
      </c>
      <c r="F98" s="7">
        <v>44039</v>
      </c>
      <c r="J98" t="s">
        <v>438</v>
      </c>
      <c r="K98">
        <v>2</v>
      </c>
      <c r="L98">
        <v>0</v>
      </c>
    </row>
    <row r="99" spans="1:12">
      <c r="A99" t="s">
        <v>541</v>
      </c>
      <c r="B99" t="s">
        <v>542</v>
      </c>
      <c r="C99" t="s">
        <v>203</v>
      </c>
      <c r="D99" t="s">
        <v>543</v>
      </c>
      <c r="E99" s="7">
        <v>44033.234675925924</v>
      </c>
      <c r="F99" s="7">
        <v>44036</v>
      </c>
      <c r="J99" t="s">
        <v>356</v>
      </c>
      <c r="K99">
        <v>1</v>
      </c>
      <c r="L99">
        <v>0</v>
      </c>
    </row>
    <row r="100" spans="1:12">
      <c r="A100" t="s">
        <v>539</v>
      </c>
      <c r="B100" t="s">
        <v>552</v>
      </c>
      <c r="C100" t="s">
        <v>203</v>
      </c>
      <c r="D100" t="s">
        <v>540</v>
      </c>
      <c r="E100" s="7">
        <v>44032.653124999997</v>
      </c>
      <c r="F100" s="7">
        <v>44042</v>
      </c>
      <c r="J100" t="s">
        <v>524</v>
      </c>
      <c r="K100">
        <v>2</v>
      </c>
      <c r="L100">
        <v>0</v>
      </c>
    </row>
    <row r="101" spans="1:12">
      <c r="A101" t="s">
        <v>537</v>
      </c>
      <c r="B101" t="s">
        <v>551</v>
      </c>
      <c r="C101" t="s">
        <v>203</v>
      </c>
      <c r="D101" t="s">
        <v>538</v>
      </c>
      <c r="E101" s="7">
        <v>44032.6640162037</v>
      </c>
      <c r="F101" s="7">
        <v>44039</v>
      </c>
      <c r="J101" t="s">
        <v>438</v>
      </c>
      <c r="K101">
        <v>2</v>
      </c>
      <c r="L101">
        <v>0</v>
      </c>
    </row>
    <row r="102" spans="1:12">
      <c r="A102" t="s">
        <v>455</v>
      </c>
      <c r="B102" t="s">
        <v>471</v>
      </c>
      <c r="C102" t="s">
        <v>203</v>
      </c>
      <c r="D102" t="s">
        <v>456</v>
      </c>
      <c r="E102" s="7">
        <v>44028.63040509259</v>
      </c>
      <c r="F102" s="7">
        <v>44034</v>
      </c>
      <c r="J102" t="s">
        <v>357</v>
      </c>
      <c r="K102">
        <v>6</v>
      </c>
      <c r="L102">
        <v>0</v>
      </c>
    </row>
    <row r="103" spans="1:12">
      <c r="A103" t="s">
        <v>303</v>
      </c>
      <c r="B103" t="s">
        <v>57</v>
      </c>
      <c r="C103" t="s">
        <v>203</v>
      </c>
      <c r="D103" t="s">
        <v>260</v>
      </c>
      <c r="E103" s="7">
        <v>44027.397743055553</v>
      </c>
      <c r="F103" s="7">
        <v>44029</v>
      </c>
      <c r="I103" t="s">
        <v>88</v>
      </c>
      <c r="J103" t="s">
        <v>358</v>
      </c>
      <c r="K103">
        <v>7</v>
      </c>
      <c r="L103">
        <v>240</v>
      </c>
    </row>
    <row r="104" spans="1:12">
      <c r="A104" t="s">
        <v>507</v>
      </c>
      <c r="B104" t="s">
        <v>531</v>
      </c>
      <c r="C104" t="s">
        <v>203</v>
      </c>
      <c r="D104" t="s">
        <v>508</v>
      </c>
      <c r="E104" s="7">
        <v>44032.391793981478</v>
      </c>
      <c r="F104" s="7">
        <v>44040</v>
      </c>
      <c r="J104" t="s">
        <v>398</v>
      </c>
      <c r="K104">
        <v>2</v>
      </c>
      <c r="L104">
        <v>0</v>
      </c>
    </row>
    <row r="105" spans="1:12">
      <c r="A105" t="s">
        <v>516</v>
      </c>
      <c r="B105" t="s">
        <v>367</v>
      </c>
      <c r="C105" t="s">
        <v>203</v>
      </c>
      <c r="D105" t="s">
        <v>309</v>
      </c>
      <c r="E105" s="7">
        <v>44032.374282407407</v>
      </c>
      <c r="F105" s="7">
        <v>44029</v>
      </c>
      <c r="J105" t="s">
        <v>358</v>
      </c>
      <c r="K105">
        <v>2</v>
      </c>
      <c r="L105">
        <v>180</v>
      </c>
    </row>
    <row r="106" spans="1:12">
      <c r="A106" t="s">
        <v>264</v>
      </c>
      <c r="B106" t="s">
        <v>184</v>
      </c>
      <c r="C106" t="s">
        <v>220</v>
      </c>
      <c r="D106" t="s">
        <v>265</v>
      </c>
      <c r="E106" s="7">
        <v>44021.545636574097</v>
      </c>
      <c r="F106" s="7">
        <v>44019</v>
      </c>
      <c r="J106" t="s">
        <v>576</v>
      </c>
      <c r="K106">
        <v>13</v>
      </c>
      <c r="L106">
        <v>120</v>
      </c>
    </row>
    <row r="107" spans="1:12">
      <c r="A107" t="s">
        <v>520</v>
      </c>
      <c r="B107" t="s">
        <v>533</v>
      </c>
      <c r="C107" t="s">
        <v>203</v>
      </c>
      <c r="D107" t="s">
        <v>521</v>
      </c>
      <c r="E107" s="7">
        <v>44032.434675925928</v>
      </c>
      <c r="F107" s="7">
        <v>44029</v>
      </c>
      <c r="J107" t="s">
        <v>358</v>
      </c>
      <c r="K107">
        <v>2</v>
      </c>
      <c r="L107">
        <v>0</v>
      </c>
    </row>
    <row r="108" spans="1:12">
      <c r="A108" t="s">
        <v>486</v>
      </c>
      <c r="B108" t="s">
        <v>499</v>
      </c>
      <c r="C108" t="s">
        <v>203</v>
      </c>
      <c r="D108" t="s">
        <v>487</v>
      </c>
      <c r="E108" s="7">
        <v>44029.457175925927</v>
      </c>
      <c r="F108" s="7">
        <v>44028</v>
      </c>
      <c r="I108" t="s">
        <v>86</v>
      </c>
      <c r="J108" t="s">
        <v>359</v>
      </c>
      <c r="K108">
        <v>5</v>
      </c>
      <c r="L108">
        <v>0</v>
      </c>
    </row>
    <row r="109" spans="1:12">
      <c r="A109" t="s">
        <v>457</v>
      </c>
      <c r="B109" t="s">
        <v>472</v>
      </c>
      <c r="C109" t="s">
        <v>220</v>
      </c>
      <c r="D109" t="s">
        <v>458</v>
      </c>
      <c r="E109" s="7">
        <v>44028.666944444441</v>
      </c>
      <c r="F109" s="7">
        <v>44027</v>
      </c>
      <c r="J109" t="s">
        <v>434</v>
      </c>
      <c r="K109">
        <v>6</v>
      </c>
      <c r="L109">
        <v>0</v>
      </c>
    </row>
    <row r="110" spans="1:12">
      <c r="A110" t="s">
        <v>488</v>
      </c>
      <c r="B110" t="s">
        <v>500</v>
      </c>
      <c r="C110" t="s">
        <v>203</v>
      </c>
      <c r="D110" t="s">
        <v>336</v>
      </c>
      <c r="E110" s="7">
        <v>44029.547048611108</v>
      </c>
      <c r="F110" s="7">
        <v>44033</v>
      </c>
      <c r="J110" t="s">
        <v>435</v>
      </c>
      <c r="K110">
        <v>5</v>
      </c>
      <c r="L110">
        <v>20</v>
      </c>
    </row>
    <row r="111" spans="1:12">
      <c r="A111" t="s">
        <v>513</v>
      </c>
      <c r="B111" t="s">
        <v>182</v>
      </c>
      <c r="C111" t="s">
        <v>203</v>
      </c>
      <c r="D111" t="s">
        <v>182</v>
      </c>
      <c r="E111" s="7">
        <v>44032.374490740738</v>
      </c>
      <c r="F111" s="7">
        <v>44041</v>
      </c>
      <c r="J111" t="s">
        <v>355</v>
      </c>
      <c r="K111">
        <v>2</v>
      </c>
      <c r="L111">
        <v>0</v>
      </c>
    </row>
    <row r="112" spans="1:12">
      <c r="A112" t="s">
        <v>505</v>
      </c>
      <c r="B112" t="s">
        <v>530</v>
      </c>
      <c r="C112" t="s">
        <v>203</v>
      </c>
      <c r="D112" t="s">
        <v>506</v>
      </c>
      <c r="E112" s="7">
        <v>44032.342615740738</v>
      </c>
      <c r="F112" s="7">
        <v>44039</v>
      </c>
      <c r="J112" t="s">
        <v>438</v>
      </c>
      <c r="K112">
        <v>2</v>
      </c>
      <c r="L112">
        <v>30</v>
      </c>
    </row>
    <row r="113" spans="1:12">
      <c r="A113" t="s">
        <v>270</v>
      </c>
      <c r="B113" t="s">
        <v>106</v>
      </c>
      <c r="C113" t="s">
        <v>220</v>
      </c>
      <c r="D113" t="s">
        <v>271</v>
      </c>
      <c r="E113" s="7">
        <v>44005.434571759302</v>
      </c>
      <c r="F113" s="7">
        <v>44001</v>
      </c>
      <c r="I113" t="s">
        <v>87</v>
      </c>
      <c r="J113" t="s">
        <v>577</v>
      </c>
      <c r="K113">
        <v>29</v>
      </c>
      <c r="L113">
        <v>960</v>
      </c>
    </row>
    <row r="114" spans="1:12">
      <c r="A114" t="s">
        <v>515</v>
      </c>
      <c r="B114" t="s">
        <v>6</v>
      </c>
      <c r="C114" t="s">
        <v>203</v>
      </c>
      <c r="D114" t="s">
        <v>182</v>
      </c>
      <c r="E114" s="7">
        <v>44032.374074074076</v>
      </c>
      <c r="F114" s="7">
        <v>43978</v>
      </c>
      <c r="J114" t="s">
        <v>578</v>
      </c>
      <c r="K114">
        <v>2</v>
      </c>
      <c r="L114">
        <v>30</v>
      </c>
    </row>
    <row r="115" spans="1:12">
      <c r="A115" t="s">
        <v>484</v>
      </c>
      <c r="B115" t="s">
        <v>498</v>
      </c>
      <c r="C115" t="s">
        <v>555</v>
      </c>
      <c r="D115" t="s">
        <v>485</v>
      </c>
      <c r="E115" s="7">
        <v>44029.573969907404</v>
      </c>
      <c r="F115" s="7">
        <v>43959</v>
      </c>
      <c r="J115" t="s">
        <v>579</v>
      </c>
      <c r="K115">
        <v>5</v>
      </c>
      <c r="L115">
        <v>0</v>
      </c>
    </row>
    <row r="116" spans="1:12">
      <c r="A116" t="s">
        <v>509</v>
      </c>
      <c r="B116" t="s">
        <v>368</v>
      </c>
      <c r="C116" t="s">
        <v>203</v>
      </c>
      <c r="D116" t="s">
        <v>311</v>
      </c>
      <c r="E116" s="7">
        <v>44032.373969907407</v>
      </c>
      <c r="F116" s="7">
        <v>44042</v>
      </c>
      <c r="J116" t="s">
        <v>524</v>
      </c>
      <c r="K116">
        <v>2</v>
      </c>
      <c r="L116">
        <v>30</v>
      </c>
    </row>
    <row r="117" spans="1:12">
      <c r="A117" t="s">
        <v>266</v>
      </c>
      <c r="B117" t="s">
        <v>155</v>
      </c>
      <c r="C117" t="s">
        <v>555</v>
      </c>
      <c r="D117" t="s">
        <v>267</v>
      </c>
      <c r="E117" s="7">
        <v>44022.519895833299</v>
      </c>
      <c r="F117" s="7">
        <v>44008</v>
      </c>
      <c r="I117" t="s">
        <v>92</v>
      </c>
      <c r="J117" t="s">
        <v>580</v>
      </c>
      <c r="K117">
        <v>12</v>
      </c>
      <c r="L117">
        <v>90</v>
      </c>
    </row>
    <row r="118" spans="1:12">
      <c r="A118" t="s">
        <v>482</v>
      </c>
      <c r="B118" t="s">
        <v>497</v>
      </c>
      <c r="C118" t="s">
        <v>203</v>
      </c>
      <c r="D118" t="s">
        <v>483</v>
      </c>
      <c r="E118" s="7">
        <v>44029.363738425927</v>
      </c>
      <c r="F118" s="7">
        <v>44006</v>
      </c>
      <c r="J118" t="s">
        <v>397</v>
      </c>
      <c r="K118">
        <v>5</v>
      </c>
      <c r="L118">
        <v>90</v>
      </c>
    </row>
    <row r="119" spans="1:12">
      <c r="A119" t="s">
        <v>312</v>
      </c>
      <c r="B119" t="s">
        <v>369</v>
      </c>
      <c r="C119" t="s">
        <v>340</v>
      </c>
      <c r="D119" t="s">
        <v>313</v>
      </c>
      <c r="E119" s="7">
        <v>44027.455555555556</v>
      </c>
      <c r="F119" s="7">
        <v>44034</v>
      </c>
      <c r="J119" t="s">
        <v>435</v>
      </c>
      <c r="K119">
        <v>8</v>
      </c>
      <c r="L119">
        <v>0</v>
      </c>
    </row>
    <row r="120" spans="1:12">
      <c r="A120" t="s">
        <v>568</v>
      </c>
      <c r="B120" t="s">
        <v>569</v>
      </c>
      <c r="C120" t="s">
        <v>275</v>
      </c>
      <c r="D120" t="s">
        <v>569</v>
      </c>
      <c r="E120" s="7">
        <v>44033.634467592594</v>
      </c>
      <c r="F120" s="7">
        <v>44035</v>
      </c>
      <c r="J120" t="s">
        <v>357</v>
      </c>
      <c r="K120">
        <v>2</v>
      </c>
      <c r="L120">
        <v>0</v>
      </c>
    </row>
    <row r="121" spans="1:12">
      <c r="A121" t="s">
        <v>339</v>
      </c>
      <c r="B121" t="s">
        <v>67</v>
      </c>
      <c r="C121" t="s">
        <v>340</v>
      </c>
      <c r="D121" t="s">
        <v>341</v>
      </c>
      <c r="E121" s="7">
        <v>44020.316643518519</v>
      </c>
      <c r="F121" s="7">
        <v>43938</v>
      </c>
      <c r="J121" t="s">
        <v>617</v>
      </c>
      <c r="K121">
        <v>15</v>
      </c>
      <c r="L121">
        <v>340</v>
      </c>
    </row>
    <row r="122" spans="1:12">
      <c r="A122" t="s">
        <v>564</v>
      </c>
      <c r="B122" t="s">
        <v>585</v>
      </c>
      <c r="C122" t="s">
        <v>220</v>
      </c>
      <c r="D122" t="s">
        <v>565</v>
      </c>
      <c r="E122" s="7">
        <v>44032.374178240738</v>
      </c>
      <c r="F122" s="7">
        <v>44047</v>
      </c>
      <c r="J122" t="s">
        <v>618</v>
      </c>
      <c r="K122">
        <v>3</v>
      </c>
      <c r="L122">
        <v>0</v>
      </c>
    </row>
    <row r="123" spans="1:12">
      <c r="A123" t="s">
        <v>558</v>
      </c>
      <c r="B123" t="s">
        <v>582</v>
      </c>
      <c r="C123" t="s">
        <v>275</v>
      </c>
      <c r="D123" t="s">
        <v>559</v>
      </c>
      <c r="E123" s="7">
        <v>44033.445671296293</v>
      </c>
      <c r="F123" s="7">
        <v>44043</v>
      </c>
      <c r="J123" t="s">
        <v>524</v>
      </c>
      <c r="K123">
        <v>2</v>
      </c>
      <c r="L123">
        <v>0</v>
      </c>
    </row>
    <row r="124" spans="1:12">
      <c r="A124" t="s">
        <v>544</v>
      </c>
      <c r="B124" t="s">
        <v>553</v>
      </c>
      <c r="C124" t="s">
        <v>275</v>
      </c>
      <c r="D124" t="s">
        <v>545</v>
      </c>
      <c r="E124" s="7">
        <v>44032.599432870367</v>
      </c>
      <c r="F124" s="7">
        <v>44027</v>
      </c>
      <c r="I124" t="s">
        <v>92</v>
      </c>
      <c r="J124" t="s">
        <v>360</v>
      </c>
      <c r="K124">
        <v>3</v>
      </c>
      <c r="L124">
        <v>0</v>
      </c>
    </row>
    <row r="125" spans="1:12">
      <c r="A125" t="s">
        <v>314</v>
      </c>
      <c r="B125" t="s">
        <v>370</v>
      </c>
      <c r="C125" t="s">
        <v>203</v>
      </c>
      <c r="D125" t="s">
        <v>315</v>
      </c>
      <c r="E125" s="7">
        <v>44027.396793981483</v>
      </c>
      <c r="F125" s="7">
        <v>44036</v>
      </c>
      <c r="J125" t="s">
        <v>396</v>
      </c>
      <c r="K125">
        <v>8</v>
      </c>
      <c r="L125">
        <v>10</v>
      </c>
    </row>
    <row r="126" spans="1:12">
      <c r="A126" t="s">
        <v>211</v>
      </c>
      <c r="B126" t="s">
        <v>178</v>
      </c>
      <c r="C126" t="s">
        <v>275</v>
      </c>
      <c r="D126" t="s">
        <v>212</v>
      </c>
      <c r="E126" s="7">
        <v>44021.526608796303</v>
      </c>
      <c r="F126" s="7">
        <v>44033</v>
      </c>
      <c r="I126" t="s">
        <v>84</v>
      </c>
      <c r="J126" t="s">
        <v>467</v>
      </c>
      <c r="K126">
        <v>14</v>
      </c>
      <c r="L126">
        <v>60</v>
      </c>
    </row>
    <row r="127" spans="1:12">
      <c r="A127" t="s">
        <v>476</v>
      </c>
      <c r="B127" t="s">
        <v>495</v>
      </c>
      <c r="C127" t="s">
        <v>275</v>
      </c>
      <c r="D127" t="s">
        <v>477</v>
      </c>
      <c r="E127" s="7">
        <v>44029.490671296298</v>
      </c>
      <c r="F127" s="7">
        <v>44042</v>
      </c>
      <c r="I127" t="s">
        <v>95</v>
      </c>
      <c r="J127" t="s">
        <v>355</v>
      </c>
      <c r="K127">
        <v>6</v>
      </c>
      <c r="L127">
        <v>30</v>
      </c>
    </row>
    <row r="128" spans="1:12">
      <c r="A128" t="s">
        <v>257</v>
      </c>
      <c r="B128" t="s">
        <v>60</v>
      </c>
      <c r="C128" t="s">
        <v>220</v>
      </c>
      <c r="D128" t="s">
        <v>258</v>
      </c>
      <c r="E128" s="7">
        <v>44015.664745370399</v>
      </c>
      <c r="F128" s="7">
        <v>44028</v>
      </c>
      <c r="J128" t="s">
        <v>434</v>
      </c>
      <c r="K128">
        <v>20</v>
      </c>
      <c r="L128">
        <v>50</v>
      </c>
    </row>
    <row r="129" spans="1:12">
      <c r="A129" t="s">
        <v>425</v>
      </c>
      <c r="B129" t="s">
        <v>449</v>
      </c>
      <c r="C129" t="s">
        <v>275</v>
      </c>
      <c r="D129" t="s">
        <v>426</v>
      </c>
      <c r="E129" s="7">
        <v>44028.396111111113</v>
      </c>
      <c r="F129" s="7">
        <v>44021</v>
      </c>
      <c r="J129" t="s">
        <v>361</v>
      </c>
      <c r="K129">
        <v>7</v>
      </c>
      <c r="L129">
        <v>10</v>
      </c>
    </row>
    <row r="130" spans="1:12">
      <c r="A130" t="s">
        <v>548</v>
      </c>
      <c r="B130" t="s">
        <v>155</v>
      </c>
      <c r="C130" t="s">
        <v>275</v>
      </c>
      <c r="D130" t="s">
        <v>267</v>
      </c>
      <c r="E130" s="7">
        <v>44032.580324074072</v>
      </c>
      <c r="F130" s="7">
        <v>44033</v>
      </c>
      <c r="I130" t="s">
        <v>92</v>
      </c>
      <c r="J130" t="s">
        <v>467</v>
      </c>
      <c r="K130">
        <v>3</v>
      </c>
      <c r="L130">
        <v>90</v>
      </c>
    </row>
    <row r="131" spans="1:12">
      <c r="A131" t="s">
        <v>489</v>
      </c>
      <c r="B131" t="s">
        <v>497</v>
      </c>
      <c r="C131" t="s">
        <v>275</v>
      </c>
      <c r="D131" t="s">
        <v>483</v>
      </c>
      <c r="E131" s="7">
        <v>44029.395300925928</v>
      </c>
      <c r="F131" s="7">
        <v>44021</v>
      </c>
      <c r="I131" t="s">
        <v>92</v>
      </c>
      <c r="J131" t="s">
        <v>361</v>
      </c>
      <c r="K131">
        <v>6</v>
      </c>
      <c r="L131">
        <v>5</v>
      </c>
    </row>
    <row r="132" spans="1:12">
      <c r="A132" t="s">
        <v>259</v>
      </c>
      <c r="B132" t="s">
        <v>57</v>
      </c>
      <c r="C132" t="s">
        <v>220</v>
      </c>
      <c r="D132" t="s">
        <v>260</v>
      </c>
      <c r="E132" s="7">
        <v>44012.462233796301</v>
      </c>
      <c r="F132" s="7">
        <v>44027</v>
      </c>
      <c r="I132" t="s">
        <v>92</v>
      </c>
      <c r="J132" t="s">
        <v>360</v>
      </c>
      <c r="K132">
        <v>23</v>
      </c>
      <c r="L132">
        <v>600</v>
      </c>
    </row>
    <row r="133" spans="1:12">
      <c r="A133" t="s">
        <v>406</v>
      </c>
      <c r="B133" t="s">
        <v>441</v>
      </c>
      <c r="C133" t="s">
        <v>220</v>
      </c>
      <c r="D133" t="s">
        <v>407</v>
      </c>
      <c r="E133" s="7">
        <v>44028.367418981485</v>
      </c>
      <c r="F133" s="7">
        <v>44034</v>
      </c>
      <c r="J133" t="s">
        <v>435</v>
      </c>
      <c r="K133">
        <v>7</v>
      </c>
      <c r="L133">
        <v>0</v>
      </c>
    </row>
    <row r="134" spans="1:12">
      <c r="A134" t="s">
        <v>480</v>
      </c>
      <c r="B134" t="s">
        <v>496</v>
      </c>
      <c r="C134" t="s">
        <v>555</v>
      </c>
      <c r="D134" t="s">
        <v>481</v>
      </c>
      <c r="E134" s="7">
        <v>44029.364305555559</v>
      </c>
      <c r="F134" s="7">
        <v>43882</v>
      </c>
      <c r="I134" t="s">
        <v>87</v>
      </c>
      <c r="J134" t="s">
        <v>639</v>
      </c>
      <c r="K134">
        <v>6</v>
      </c>
      <c r="L134">
        <v>540</v>
      </c>
    </row>
    <row r="135" spans="1:12">
      <c r="A135" t="s">
        <v>570</v>
      </c>
      <c r="B135" t="s">
        <v>587</v>
      </c>
      <c r="C135" t="s">
        <v>203</v>
      </c>
      <c r="D135" t="s">
        <v>571</v>
      </c>
      <c r="E135" s="7">
        <v>44033.479097222225</v>
      </c>
      <c r="F135" s="7">
        <v>43952</v>
      </c>
      <c r="J135" t="s">
        <v>664</v>
      </c>
      <c r="K135">
        <v>3</v>
      </c>
    </row>
    <row r="136" spans="1:12">
      <c r="A136" t="s">
        <v>574</v>
      </c>
      <c r="B136" t="s">
        <v>589</v>
      </c>
      <c r="C136" t="s">
        <v>203</v>
      </c>
      <c r="D136" t="s">
        <v>575</v>
      </c>
      <c r="E136" s="7">
        <v>44033.614664351851</v>
      </c>
      <c r="F136" s="7">
        <v>44034</v>
      </c>
      <c r="J136" t="s">
        <v>467</v>
      </c>
      <c r="K136">
        <v>3</v>
      </c>
    </row>
    <row r="137" spans="1:12">
      <c r="A137" t="s">
        <v>637</v>
      </c>
      <c r="B137" t="s">
        <v>638</v>
      </c>
      <c r="C137" t="s">
        <v>203</v>
      </c>
      <c r="D137" t="s">
        <v>638</v>
      </c>
      <c r="E137" s="7">
        <v>44035.389016203706</v>
      </c>
      <c r="F137" s="7">
        <v>44035</v>
      </c>
      <c r="J137" t="s">
        <v>435</v>
      </c>
      <c r="K137">
        <v>1</v>
      </c>
    </row>
    <row r="138" spans="1:12">
      <c r="A138" t="s">
        <v>629</v>
      </c>
      <c r="B138" t="s">
        <v>585</v>
      </c>
      <c r="C138" t="s">
        <v>203</v>
      </c>
      <c r="D138" t="s">
        <v>565</v>
      </c>
      <c r="E138" s="7">
        <v>44035.388611111113</v>
      </c>
      <c r="F138" s="7">
        <v>44035</v>
      </c>
      <c r="J138" t="s">
        <v>435</v>
      </c>
      <c r="K138">
        <v>1</v>
      </c>
    </row>
    <row r="139" spans="1:12">
      <c r="A139" t="s">
        <v>612</v>
      </c>
      <c r="B139" t="s">
        <v>298</v>
      </c>
      <c r="C139" t="s">
        <v>275</v>
      </c>
      <c r="D139" t="s">
        <v>231</v>
      </c>
      <c r="E139" s="7">
        <v>44034.583414351851</v>
      </c>
      <c r="F139" s="7">
        <v>44046</v>
      </c>
      <c r="J139" t="s">
        <v>526</v>
      </c>
      <c r="K139">
        <v>2</v>
      </c>
    </row>
    <row r="140" spans="1:12">
      <c r="A140" t="s">
        <v>623</v>
      </c>
      <c r="B140" t="s">
        <v>646</v>
      </c>
      <c r="C140" t="s">
        <v>275</v>
      </c>
      <c r="D140" t="s">
        <v>624</v>
      </c>
      <c r="E140" s="7">
        <v>44035.38962962963</v>
      </c>
      <c r="F140" s="7">
        <v>44039</v>
      </c>
      <c r="I140" t="s">
        <v>92</v>
      </c>
      <c r="J140" t="s">
        <v>468</v>
      </c>
      <c r="K140">
        <v>1</v>
      </c>
    </row>
    <row r="141" spans="1:12">
      <c r="A141" t="s">
        <v>627</v>
      </c>
      <c r="B141" t="s">
        <v>628</v>
      </c>
      <c r="C141" t="s">
        <v>203</v>
      </c>
      <c r="D141" t="s">
        <v>628</v>
      </c>
      <c r="E141" s="7">
        <v>44035.388807870368</v>
      </c>
      <c r="F141" s="7">
        <v>44040</v>
      </c>
      <c r="J141" t="s">
        <v>393</v>
      </c>
      <c r="K141">
        <v>1</v>
      </c>
    </row>
    <row r="142" spans="1:12">
      <c r="A142" t="s">
        <v>602</v>
      </c>
      <c r="B142" t="s">
        <v>643</v>
      </c>
      <c r="C142" t="s">
        <v>275</v>
      </c>
      <c r="D142" t="s">
        <v>603</v>
      </c>
      <c r="E142" s="7">
        <v>44034.372037037036</v>
      </c>
      <c r="F142" s="7">
        <v>44041</v>
      </c>
      <c r="J142" t="s">
        <v>438</v>
      </c>
      <c r="K142">
        <v>2</v>
      </c>
    </row>
    <row r="143" spans="1:12">
      <c r="A143" t="s">
        <v>606</v>
      </c>
      <c r="B143" t="s">
        <v>645</v>
      </c>
      <c r="C143" t="s">
        <v>203</v>
      </c>
      <c r="D143" t="s">
        <v>607</v>
      </c>
      <c r="E143" s="7">
        <v>44034.562083333331</v>
      </c>
      <c r="F143" s="7">
        <v>44041</v>
      </c>
      <c r="J143" t="s">
        <v>438</v>
      </c>
      <c r="K143">
        <v>2</v>
      </c>
    </row>
    <row r="144" spans="1:12">
      <c r="A144" t="s">
        <v>556</v>
      </c>
      <c r="B144" t="s">
        <v>581</v>
      </c>
      <c r="C144" t="s">
        <v>275</v>
      </c>
      <c r="D144" t="s">
        <v>557</v>
      </c>
      <c r="E144" s="7">
        <v>44033.604791666665</v>
      </c>
      <c r="F144" s="7">
        <v>44039</v>
      </c>
      <c r="I144" t="s">
        <v>90</v>
      </c>
      <c r="J144" t="s">
        <v>468</v>
      </c>
      <c r="K144">
        <v>3</v>
      </c>
    </row>
    <row r="145" spans="1:13">
      <c r="A145" t="s">
        <v>232</v>
      </c>
      <c r="B145" t="s">
        <v>131</v>
      </c>
      <c r="C145" t="s">
        <v>220</v>
      </c>
      <c r="D145" t="s">
        <v>233</v>
      </c>
      <c r="E145" s="7">
        <v>44012.342025462996</v>
      </c>
      <c r="F145" s="7">
        <v>44020</v>
      </c>
      <c r="J145" t="s">
        <v>665</v>
      </c>
      <c r="K145">
        <v>24</v>
      </c>
    </row>
    <row r="146" spans="1:13">
      <c r="A146" t="s">
        <v>608</v>
      </c>
      <c r="B146" t="s">
        <v>647</v>
      </c>
      <c r="C146" t="s">
        <v>203</v>
      </c>
      <c r="D146" t="s">
        <v>609</v>
      </c>
      <c r="E146" s="7">
        <v>44034.488379629627</v>
      </c>
      <c r="F146" s="7">
        <v>44043</v>
      </c>
      <c r="J146" t="s">
        <v>355</v>
      </c>
      <c r="K146">
        <v>2</v>
      </c>
    </row>
    <row r="147" spans="1:13">
      <c r="A147" t="s">
        <v>659</v>
      </c>
      <c r="B147" t="s">
        <v>667</v>
      </c>
      <c r="C147" t="s">
        <v>275</v>
      </c>
      <c r="D147" t="s">
        <v>660</v>
      </c>
      <c r="E147" s="7">
        <v>44035.662291666667</v>
      </c>
      <c r="F147" s="7">
        <v>44029</v>
      </c>
      <c r="I147" t="s">
        <v>90</v>
      </c>
      <c r="J147" t="s">
        <v>434</v>
      </c>
      <c r="K147">
        <v>1</v>
      </c>
    </row>
    <row r="148" spans="1:13">
      <c r="A148" t="s">
        <v>503</v>
      </c>
      <c r="B148" t="s">
        <v>529</v>
      </c>
      <c r="C148" t="s">
        <v>203</v>
      </c>
      <c r="D148" t="s">
        <v>504</v>
      </c>
      <c r="E148" s="7">
        <v>44032.373379629629</v>
      </c>
      <c r="F148" s="7">
        <v>44036</v>
      </c>
      <c r="J148" t="s">
        <v>357</v>
      </c>
      <c r="K148">
        <v>4</v>
      </c>
    </row>
    <row r="149" spans="1:13">
      <c r="A149" t="s">
        <v>663</v>
      </c>
      <c r="B149" t="s">
        <v>670</v>
      </c>
      <c r="C149" t="s">
        <v>203</v>
      </c>
      <c r="D149" t="s">
        <v>336</v>
      </c>
      <c r="E149" s="7">
        <v>44035.646365740744</v>
      </c>
      <c r="F149" s="7">
        <v>44039</v>
      </c>
      <c r="J149" t="s">
        <v>468</v>
      </c>
      <c r="K149">
        <v>1</v>
      </c>
    </row>
    <row r="150" spans="1:13">
      <c r="A150" t="s">
        <v>662</v>
      </c>
      <c r="B150" t="s">
        <v>669</v>
      </c>
      <c r="C150" t="s">
        <v>203</v>
      </c>
      <c r="D150" t="s">
        <v>336</v>
      </c>
      <c r="E150" s="7">
        <v>44035.646261574075</v>
      </c>
      <c r="F150" s="7">
        <v>44039</v>
      </c>
      <c r="J150" t="s">
        <v>468</v>
      </c>
      <c r="K150">
        <v>1</v>
      </c>
    </row>
    <row r="151" spans="1:13">
      <c r="A151" t="s">
        <v>661</v>
      </c>
      <c r="B151" t="s">
        <v>668</v>
      </c>
      <c r="C151" t="s">
        <v>203</v>
      </c>
      <c r="D151" t="s">
        <v>336</v>
      </c>
      <c r="E151" s="7">
        <v>44035.646145833336</v>
      </c>
      <c r="F151" s="7">
        <v>44039</v>
      </c>
      <c r="J151" t="s">
        <v>468</v>
      </c>
      <c r="K151">
        <v>1</v>
      </c>
    </row>
    <row r="152" spans="1:13">
      <c r="A152" t="s">
        <v>632</v>
      </c>
      <c r="B152" t="s">
        <v>653</v>
      </c>
      <c r="C152" t="s">
        <v>203</v>
      </c>
      <c r="D152" t="s">
        <v>633</v>
      </c>
      <c r="E152" s="7">
        <v>44035.389456018522</v>
      </c>
      <c r="F152" s="7">
        <v>44039</v>
      </c>
      <c r="J152" t="s">
        <v>468</v>
      </c>
      <c r="K152">
        <v>1</v>
      </c>
    </row>
    <row r="153" spans="1:13">
      <c r="A153" t="s">
        <v>634</v>
      </c>
      <c r="B153" t="s">
        <v>368</v>
      </c>
      <c r="C153" t="s">
        <v>203</v>
      </c>
      <c r="D153" t="s">
        <v>311</v>
      </c>
      <c r="E153" s="7">
        <v>44035.389340277776</v>
      </c>
      <c r="F153" s="7">
        <v>44039</v>
      </c>
      <c r="J153" t="s">
        <v>468</v>
      </c>
      <c r="K153">
        <v>1</v>
      </c>
    </row>
    <row r="154" spans="1:13">
      <c r="A154" t="s">
        <v>535</v>
      </c>
      <c r="B154" t="s">
        <v>550</v>
      </c>
      <c r="C154" t="s">
        <v>220</v>
      </c>
      <c r="D154" t="s">
        <v>536</v>
      </c>
      <c r="E154" s="7">
        <v>44032.652997685182</v>
      </c>
      <c r="F154" s="7">
        <v>44041</v>
      </c>
      <c r="I154" t="s">
        <v>87</v>
      </c>
      <c r="J154" t="s">
        <v>438</v>
      </c>
      <c r="K154">
        <v>4</v>
      </c>
    </row>
    <row r="155" spans="1:13">
      <c r="A155" t="s">
        <v>657</v>
      </c>
      <c r="B155" t="s">
        <v>666</v>
      </c>
      <c r="C155" t="s">
        <v>203</v>
      </c>
      <c r="D155" t="s">
        <v>658</v>
      </c>
      <c r="E155" s="7">
        <v>44035.668182870373</v>
      </c>
      <c r="F155" s="7">
        <v>44046</v>
      </c>
      <c r="J155" t="s">
        <v>526</v>
      </c>
      <c r="K155">
        <v>1</v>
      </c>
    </row>
    <row r="156" spans="1:13">
      <c r="A156" t="s">
        <v>613</v>
      </c>
      <c r="M156" t="s">
        <v>928</v>
      </c>
    </row>
  </sheetData>
  <autoFilter ref="A1:L1" xr:uid="{00000000-0009-0000-0000-000002000000}"/>
  <sortState xmlns:xlrd2="http://schemas.microsoft.com/office/spreadsheetml/2017/richdata2" ref="A2:K63">
    <sortCondition ref="A2:A63"/>
  </sortState>
  <conditionalFormatting sqref="E2:E300">
    <cfRule type="expression" dxfId="1" priority="2">
      <formula>AND(E2&gt;F2,E2&lt;&gt;"")</formula>
    </cfRule>
  </conditionalFormatting>
  <pageMargins left="0.7" right="0.7" top="0.75" bottom="0.75" header="0.3" footer="0.3"/>
  <pageSetup paperSize="9" orientation="portrait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D268"/>
  <sheetViews>
    <sheetView workbookViewId="0">
      <selection activeCell="D2" sqref="D2:D16"/>
    </sheetView>
  </sheetViews>
  <sheetFormatPr baseColWidth="10" defaultRowHeight="15"/>
  <cols>
    <col min="1" max="1" width="13.5703125" customWidth="1"/>
    <col min="2" max="2" width="17.5703125" customWidth="1"/>
    <col min="3" max="3" width="3.28515625" customWidth="1"/>
  </cols>
  <sheetData>
    <row r="1" spans="1:4">
      <c r="D1" s="87" t="s">
        <v>17</v>
      </c>
    </row>
    <row r="2" spans="1:4">
      <c r="A2" s="87" t="s">
        <v>8</v>
      </c>
      <c r="B2" s="87" t="s">
        <v>9</v>
      </c>
      <c r="D2" t="s">
        <v>82</v>
      </c>
    </row>
    <row r="3" spans="1:4">
      <c r="A3" t="s">
        <v>381</v>
      </c>
      <c r="B3">
        <v>30</v>
      </c>
      <c r="D3" t="s">
        <v>83</v>
      </c>
    </row>
    <row r="4" spans="1:4">
      <c r="A4" t="s">
        <v>377</v>
      </c>
      <c r="B4">
        <v>15</v>
      </c>
      <c r="D4" t="s">
        <v>84</v>
      </c>
    </row>
    <row r="5" spans="1:4">
      <c r="A5" t="s">
        <v>320</v>
      </c>
      <c r="B5">
        <v>30</v>
      </c>
      <c r="D5" t="s">
        <v>85</v>
      </c>
    </row>
    <row r="6" spans="1:4">
      <c r="A6" t="s">
        <v>569</v>
      </c>
      <c r="B6">
        <v>60</v>
      </c>
      <c r="D6" t="s">
        <v>86</v>
      </c>
    </row>
    <row r="7" spans="1:4">
      <c r="A7" t="s">
        <v>500</v>
      </c>
      <c r="B7">
        <v>150</v>
      </c>
      <c r="D7" t="s">
        <v>87</v>
      </c>
    </row>
    <row r="8" spans="1:4">
      <c r="A8" t="s">
        <v>144</v>
      </c>
      <c r="B8">
        <v>120</v>
      </c>
      <c r="D8" t="s">
        <v>88</v>
      </c>
    </row>
    <row r="9" spans="1:4">
      <c r="A9" t="s">
        <v>119</v>
      </c>
      <c r="B9">
        <v>30</v>
      </c>
      <c r="D9" t="s">
        <v>89</v>
      </c>
    </row>
    <row r="10" spans="1:4">
      <c r="A10" t="s">
        <v>141</v>
      </c>
      <c r="B10">
        <v>30</v>
      </c>
      <c r="D10" t="s">
        <v>90</v>
      </c>
    </row>
    <row r="11" spans="1:4">
      <c r="A11" t="s">
        <v>120</v>
      </c>
      <c r="B11">
        <v>30</v>
      </c>
      <c r="D11" t="s">
        <v>91</v>
      </c>
    </row>
    <row r="12" spans="1:4">
      <c r="A12" t="s">
        <v>164</v>
      </c>
      <c r="B12">
        <v>60</v>
      </c>
      <c r="D12" t="s">
        <v>92</v>
      </c>
    </row>
    <row r="13" spans="1:4">
      <c r="A13" t="s">
        <v>123</v>
      </c>
      <c r="B13">
        <v>90</v>
      </c>
      <c r="D13" t="s">
        <v>93</v>
      </c>
    </row>
    <row r="14" spans="1:4">
      <c r="A14" t="s">
        <v>532</v>
      </c>
      <c r="B14">
        <v>180</v>
      </c>
      <c r="D14" t="s">
        <v>94</v>
      </c>
    </row>
    <row r="15" spans="1:4">
      <c r="A15" t="s">
        <v>118</v>
      </c>
      <c r="B15">
        <v>60</v>
      </c>
      <c r="D15" t="s">
        <v>95</v>
      </c>
    </row>
    <row r="16" spans="1:4">
      <c r="A16" t="s">
        <v>127</v>
      </c>
      <c r="B16">
        <v>90</v>
      </c>
      <c r="D16" s="2" t="s">
        <v>699</v>
      </c>
    </row>
    <row r="17" spans="1:2">
      <c r="A17" t="s">
        <v>125</v>
      </c>
      <c r="B17">
        <v>60</v>
      </c>
    </row>
    <row r="18" spans="1:2">
      <c r="A18" t="s">
        <v>583</v>
      </c>
      <c r="B18">
        <v>360</v>
      </c>
    </row>
    <row r="19" spans="1:2">
      <c r="A19" t="s">
        <v>74</v>
      </c>
      <c r="B19">
        <v>360</v>
      </c>
    </row>
    <row r="20" spans="1:2">
      <c r="A20" t="s">
        <v>47</v>
      </c>
      <c r="B20">
        <v>150</v>
      </c>
    </row>
    <row r="21" spans="1:2">
      <c r="A21" t="s">
        <v>22</v>
      </c>
      <c r="B21">
        <v>300</v>
      </c>
    </row>
    <row r="22" spans="1:2">
      <c r="A22" t="s">
        <v>62</v>
      </c>
      <c r="B22">
        <v>180</v>
      </c>
    </row>
    <row r="23" spans="1:2">
      <c r="A23" t="s">
        <v>51</v>
      </c>
      <c r="B23">
        <v>240</v>
      </c>
    </row>
    <row r="24" spans="1:2">
      <c r="A24" t="s">
        <v>112</v>
      </c>
      <c r="B24">
        <v>60</v>
      </c>
    </row>
    <row r="25" spans="1:2">
      <c r="A25" t="s">
        <v>178</v>
      </c>
      <c r="B25">
        <v>60</v>
      </c>
    </row>
    <row r="26" spans="1:2">
      <c r="A26" t="s">
        <v>31</v>
      </c>
      <c r="B26">
        <v>480</v>
      </c>
    </row>
    <row r="27" spans="1:2">
      <c r="A27" t="s">
        <v>530</v>
      </c>
      <c r="B27">
        <v>30</v>
      </c>
    </row>
    <row r="28" spans="1:2">
      <c r="A28" t="s">
        <v>81</v>
      </c>
      <c r="B28">
        <v>120</v>
      </c>
    </row>
    <row r="29" spans="1:2">
      <c r="A29" t="s">
        <v>33</v>
      </c>
      <c r="B29">
        <v>480</v>
      </c>
    </row>
    <row r="30" spans="1:2">
      <c r="A30" t="s">
        <v>497</v>
      </c>
      <c r="B30">
        <v>60</v>
      </c>
    </row>
    <row r="31" spans="1:2">
      <c r="A31" t="s">
        <v>151</v>
      </c>
      <c r="B31">
        <v>300</v>
      </c>
    </row>
    <row r="32" spans="1:2">
      <c r="A32" t="s">
        <v>133</v>
      </c>
      <c r="B32">
        <v>90</v>
      </c>
    </row>
    <row r="33" spans="1:2">
      <c r="A33" t="s">
        <v>400</v>
      </c>
      <c r="B33">
        <v>480</v>
      </c>
    </row>
    <row r="34" spans="1:2">
      <c r="A34" t="s">
        <v>77</v>
      </c>
      <c r="B34">
        <v>480</v>
      </c>
    </row>
    <row r="35" spans="1:2">
      <c r="A35" t="s">
        <v>67</v>
      </c>
      <c r="B35">
        <v>340</v>
      </c>
    </row>
    <row r="36" spans="1:2">
      <c r="A36" t="s">
        <v>496</v>
      </c>
      <c r="B36">
        <v>540</v>
      </c>
    </row>
    <row r="37" spans="1:2">
      <c r="A37" t="s">
        <v>110</v>
      </c>
      <c r="B37">
        <v>480</v>
      </c>
    </row>
    <row r="38" spans="1:2">
      <c r="A38" t="s">
        <v>56</v>
      </c>
      <c r="B38">
        <v>480</v>
      </c>
    </row>
    <row r="39" spans="1:2">
      <c r="A39" t="s">
        <v>52</v>
      </c>
      <c r="B39">
        <v>120</v>
      </c>
    </row>
    <row r="40" spans="1:2">
      <c r="A40" t="s">
        <v>369</v>
      </c>
      <c r="B40">
        <v>150</v>
      </c>
    </row>
    <row r="41" spans="1:2">
      <c r="A41" t="s">
        <v>471</v>
      </c>
      <c r="B41">
        <v>180</v>
      </c>
    </row>
    <row r="42" spans="1:2">
      <c r="A42" t="s">
        <v>368</v>
      </c>
      <c r="B42">
        <v>120</v>
      </c>
    </row>
    <row r="43" spans="1:2">
      <c r="A43" t="s">
        <v>37</v>
      </c>
      <c r="B43">
        <v>240</v>
      </c>
    </row>
    <row r="44" spans="1:2">
      <c r="A44" t="s">
        <v>132</v>
      </c>
      <c r="B44">
        <v>0</v>
      </c>
    </row>
    <row r="45" spans="1:2">
      <c r="A45" t="s">
        <v>177</v>
      </c>
      <c r="B45">
        <v>60</v>
      </c>
    </row>
    <row r="46" spans="1:2">
      <c r="A46" t="s">
        <v>73</v>
      </c>
      <c r="B46">
        <v>960</v>
      </c>
    </row>
    <row r="47" spans="1:2">
      <c r="A47" t="s">
        <v>73</v>
      </c>
      <c r="B47">
        <v>260</v>
      </c>
    </row>
    <row r="48" spans="1:2">
      <c r="A48" t="s">
        <v>186</v>
      </c>
      <c r="B48">
        <v>120</v>
      </c>
    </row>
    <row r="49" spans="1:2">
      <c r="A49" t="s">
        <v>175</v>
      </c>
      <c r="B49">
        <v>280</v>
      </c>
    </row>
    <row r="50" spans="1:2">
      <c r="A50" t="s">
        <v>35</v>
      </c>
      <c r="B50">
        <v>300</v>
      </c>
    </row>
    <row r="51" spans="1:2">
      <c r="A51" t="s">
        <v>36</v>
      </c>
      <c r="B51">
        <v>480</v>
      </c>
    </row>
    <row r="52" spans="1:2">
      <c r="A52" t="s">
        <v>36</v>
      </c>
      <c r="B52">
        <v>480</v>
      </c>
    </row>
    <row r="53" spans="1:2">
      <c r="A53" t="s">
        <v>39</v>
      </c>
      <c r="B53">
        <v>480</v>
      </c>
    </row>
    <row r="54" spans="1:2">
      <c r="A54" t="s">
        <v>39</v>
      </c>
      <c r="B54">
        <v>480</v>
      </c>
    </row>
    <row r="55" spans="1:2">
      <c r="A55" s="2" t="s">
        <v>171</v>
      </c>
      <c r="B55">
        <v>120</v>
      </c>
    </row>
    <row r="56" spans="1:2">
      <c r="A56" t="s">
        <v>587</v>
      </c>
      <c r="B56">
        <v>60</v>
      </c>
    </row>
    <row r="57" spans="1:2">
      <c r="A57" t="s">
        <v>470</v>
      </c>
      <c r="B57">
        <v>120</v>
      </c>
    </row>
    <row r="58" spans="1:2">
      <c r="A58" t="s">
        <v>156</v>
      </c>
      <c r="B58">
        <v>120</v>
      </c>
    </row>
    <row r="59" spans="1:2">
      <c r="A59" t="s">
        <v>450</v>
      </c>
      <c r="B59">
        <v>240</v>
      </c>
    </row>
    <row r="60" spans="1:2">
      <c r="A60" t="s">
        <v>124</v>
      </c>
      <c r="B60">
        <v>240</v>
      </c>
    </row>
    <row r="61" spans="1:2">
      <c r="A61" t="s">
        <v>46</v>
      </c>
      <c r="B61">
        <v>960</v>
      </c>
    </row>
    <row r="62" spans="1:2">
      <c r="A62" t="s">
        <v>46</v>
      </c>
      <c r="B62">
        <v>120</v>
      </c>
    </row>
    <row r="63" spans="1:2">
      <c r="A63" t="s">
        <v>46</v>
      </c>
      <c r="B63">
        <v>960</v>
      </c>
    </row>
    <row r="64" spans="1:2">
      <c r="A64" t="s">
        <v>46</v>
      </c>
      <c r="B64">
        <v>120</v>
      </c>
    </row>
    <row r="65" spans="1:2">
      <c r="A65" t="s">
        <v>111</v>
      </c>
      <c r="B65">
        <v>480</v>
      </c>
    </row>
    <row r="66" spans="1:2">
      <c r="A66" t="s">
        <v>111</v>
      </c>
      <c r="B66">
        <v>480</v>
      </c>
    </row>
    <row r="67" spans="1:2">
      <c r="A67" t="s">
        <v>48</v>
      </c>
      <c r="B67">
        <v>30</v>
      </c>
    </row>
    <row r="68" spans="1:2">
      <c r="A68" t="s">
        <v>48</v>
      </c>
      <c r="B68">
        <v>30</v>
      </c>
    </row>
    <row r="69" spans="1:2">
      <c r="A69" t="s">
        <v>79</v>
      </c>
      <c r="B69">
        <v>480</v>
      </c>
    </row>
    <row r="70" spans="1:2">
      <c r="A70" t="s">
        <v>79</v>
      </c>
      <c r="B70">
        <v>480</v>
      </c>
    </row>
    <row r="71" spans="1:2">
      <c r="A71" t="s">
        <v>61</v>
      </c>
      <c r="B71">
        <v>120</v>
      </c>
    </row>
    <row r="72" spans="1:2">
      <c r="A72" t="s">
        <v>528</v>
      </c>
      <c r="B72">
        <v>90</v>
      </c>
    </row>
    <row r="73" spans="1:2">
      <c r="A73" t="s">
        <v>366</v>
      </c>
      <c r="B73">
        <v>30</v>
      </c>
    </row>
    <row r="74" spans="1:2">
      <c r="A74" t="s">
        <v>495</v>
      </c>
      <c r="B74">
        <v>30</v>
      </c>
    </row>
    <row r="75" spans="1:2">
      <c r="A75" t="s">
        <v>75</v>
      </c>
      <c r="B75">
        <v>180</v>
      </c>
    </row>
    <row r="76" spans="1:2">
      <c r="A76" t="s">
        <v>75</v>
      </c>
      <c r="B76">
        <v>180</v>
      </c>
    </row>
    <row r="77" spans="1:2">
      <c r="A77" t="s">
        <v>50</v>
      </c>
      <c r="B77">
        <v>30</v>
      </c>
    </row>
    <row r="78" spans="1:2">
      <c r="A78" t="s">
        <v>26</v>
      </c>
      <c r="B78">
        <v>480</v>
      </c>
    </row>
    <row r="79" spans="1:2">
      <c r="A79" t="s">
        <v>26</v>
      </c>
      <c r="B79">
        <v>120</v>
      </c>
    </row>
    <row r="80" spans="1:2">
      <c r="A80" t="s">
        <v>26</v>
      </c>
      <c r="B80">
        <v>480</v>
      </c>
    </row>
    <row r="81" spans="1:2">
      <c r="A81" t="s">
        <v>26</v>
      </c>
      <c r="B81">
        <v>120</v>
      </c>
    </row>
    <row r="82" spans="1:2">
      <c r="A82" t="s">
        <v>70</v>
      </c>
      <c r="B82">
        <v>60</v>
      </c>
    </row>
    <row r="83" spans="1:2">
      <c r="A83" t="s">
        <v>70</v>
      </c>
      <c r="B83">
        <v>30</v>
      </c>
    </row>
    <row r="84" spans="1:2">
      <c r="A84" t="s">
        <v>21</v>
      </c>
      <c r="B84">
        <v>960</v>
      </c>
    </row>
    <row r="85" spans="1:2">
      <c r="A85" t="s">
        <v>21</v>
      </c>
      <c r="B85">
        <v>960</v>
      </c>
    </row>
    <row r="86" spans="1:2">
      <c r="A86" t="s">
        <v>24</v>
      </c>
      <c r="B86">
        <v>120</v>
      </c>
    </row>
    <row r="87" spans="1:2">
      <c r="A87" t="s">
        <v>59</v>
      </c>
      <c r="B87">
        <v>150</v>
      </c>
    </row>
    <row r="88" spans="1:2">
      <c r="A88" t="s">
        <v>131</v>
      </c>
      <c r="B88">
        <v>60</v>
      </c>
    </row>
    <row r="89" spans="1:2">
      <c r="A89" t="s">
        <v>165</v>
      </c>
      <c r="B89">
        <v>150</v>
      </c>
    </row>
    <row r="90" spans="1:2">
      <c r="A90" t="s">
        <v>23</v>
      </c>
      <c r="B90">
        <v>960</v>
      </c>
    </row>
    <row r="91" spans="1:2">
      <c r="A91" t="s">
        <v>23</v>
      </c>
      <c r="B91">
        <v>960</v>
      </c>
    </row>
    <row r="92" spans="1:2">
      <c r="A92" t="s">
        <v>472</v>
      </c>
      <c r="B92">
        <v>180</v>
      </c>
    </row>
    <row r="93" spans="1:2">
      <c r="A93" t="s">
        <v>168</v>
      </c>
      <c r="B93">
        <v>120</v>
      </c>
    </row>
    <row r="94" spans="1:2">
      <c r="A94" t="s">
        <v>176</v>
      </c>
      <c r="B94">
        <v>30</v>
      </c>
    </row>
    <row r="95" spans="1:2">
      <c r="A95" t="s">
        <v>122</v>
      </c>
      <c r="B95">
        <v>180</v>
      </c>
    </row>
    <row r="96" spans="1:2">
      <c r="A96" t="s">
        <v>299</v>
      </c>
      <c r="B96">
        <v>300</v>
      </c>
    </row>
    <row r="97" spans="1:2">
      <c r="A97" t="s">
        <v>295</v>
      </c>
      <c r="B97">
        <v>40</v>
      </c>
    </row>
    <row r="98" spans="1:2">
      <c r="A98" t="s">
        <v>294</v>
      </c>
      <c r="B98">
        <v>30</v>
      </c>
    </row>
    <row r="99" spans="1:2">
      <c r="A99" t="s">
        <v>142</v>
      </c>
      <c r="B99">
        <v>30</v>
      </c>
    </row>
    <row r="100" spans="1:2">
      <c r="A100" t="s">
        <v>143</v>
      </c>
      <c r="B100">
        <v>30</v>
      </c>
    </row>
    <row r="101" spans="1:2">
      <c r="A101" t="s">
        <v>531</v>
      </c>
      <c r="B101">
        <v>40</v>
      </c>
    </row>
    <row r="102" spans="1:2">
      <c r="A102" t="s">
        <v>154</v>
      </c>
      <c r="B102">
        <v>30</v>
      </c>
    </row>
    <row r="103" spans="1:2">
      <c r="A103" t="s">
        <v>140</v>
      </c>
      <c r="B103">
        <v>480</v>
      </c>
    </row>
    <row r="104" spans="1:2">
      <c r="A104" t="s">
        <v>401</v>
      </c>
      <c r="B104">
        <v>30</v>
      </c>
    </row>
    <row r="105" spans="1:2">
      <c r="A105" t="s">
        <v>451</v>
      </c>
      <c r="B105">
        <v>30</v>
      </c>
    </row>
    <row r="106" spans="1:2">
      <c r="A106" t="s">
        <v>152</v>
      </c>
      <c r="B106">
        <v>30</v>
      </c>
    </row>
    <row r="107" spans="1:2">
      <c r="A107" s="10" t="s">
        <v>53</v>
      </c>
      <c r="B107">
        <v>0</v>
      </c>
    </row>
    <row r="108" spans="1:2">
      <c r="A108" t="s">
        <v>296</v>
      </c>
      <c r="B108">
        <v>60</v>
      </c>
    </row>
    <row r="109" spans="1:2">
      <c r="A109" t="s">
        <v>551</v>
      </c>
      <c r="B109">
        <v>60</v>
      </c>
    </row>
    <row r="110" spans="1:2">
      <c r="A110" t="s">
        <v>69</v>
      </c>
      <c r="B110">
        <v>80</v>
      </c>
    </row>
    <row r="111" spans="1:2">
      <c r="A111" t="s">
        <v>54</v>
      </c>
      <c r="B111">
        <v>90</v>
      </c>
    </row>
    <row r="112" spans="1:2">
      <c r="A112" t="s">
        <v>367</v>
      </c>
      <c r="B112">
        <v>180</v>
      </c>
    </row>
    <row r="113" spans="1:2">
      <c r="A113" t="s">
        <v>374</v>
      </c>
      <c r="B113">
        <v>30</v>
      </c>
    </row>
    <row r="114" spans="1:2">
      <c r="A114" t="s">
        <v>29</v>
      </c>
      <c r="B114">
        <v>20</v>
      </c>
    </row>
    <row r="115" spans="1:2">
      <c r="A115" t="s">
        <v>63</v>
      </c>
      <c r="B115">
        <v>30</v>
      </c>
    </row>
    <row r="116" spans="1:2">
      <c r="A116" t="s">
        <v>379</v>
      </c>
      <c r="B116">
        <v>60</v>
      </c>
    </row>
    <row r="117" spans="1:2">
      <c r="A117" t="s">
        <v>399</v>
      </c>
      <c r="B117">
        <v>60</v>
      </c>
    </row>
    <row r="118" spans="1:2">
      <c r="A118" t="s">
        <v>364</v>
      </c>
      <c r="B118">
        <v>60</v>
      </c>
    </row>
    <row r="119" spans="1:2">
      <c r="A119" t="s">
        <v>109</v>
      </c>
      <c r="B119">
        <v>60</v>
      </c>
    </row>
    <row r="120" spans="1:2">
      <c r="A120" t="s">
        <v>64</v>
      </c>
      <c r="B120">
        <v>100</v>
      </c>
    </row>
    <row r="121" spans="1:2">
      <c r="A121" t="s">
        <v>64</v>
      </c>
      <c r="B121">
        <v>120</v>
      </c>
    </row>
    <row r="122" spans="1:2">
      <c r="A122" t="s">
        <v>588</v>
      </c>
      <c r="B122">
        <v>1200</v>
      </c>
    </row>
    <row r="123" spans="1:2">
      <c r="A123" t="s">
        <v>584</v>
      </c>
      <c r="B123">
        <v>1200</v>
      </c>
    </row>
    <row r="124" spans="1:2">
      <c r="A124" t="s">
        <v>147</v>
      </c>
      <c r="B124">
        <v>5</v>
      </c>
    </row>
    <row r="125" spans="1:2">
      <c r="A125" t="s">
        <v>169</v>
      </c>
      <c r="B125">
        <v>180</v>
      </c>
    </row>
    <row r="126" spans="1:2">
      <c r="A126" t="s">
        <v>65</v>
      </c>
      <c r="B126">
        <v>800</v>
      </c>
    </row>
    <row r="127" spans="1:2">
      <c r="A127" t="s">
        <v>172</v>
      </c>
      <c r="B127">
        <v>30</v>
      </c>
    </row>
    <row r="128" spans="1:2">
      <c r="A128" t="s">
        <v>174</v>
      </c>
      <c r="B128">
        <v>30</v>
      </c>
    </row>
    <row r="129" spans="1:2">
      <c r="A129" t="s">
        <v>553</v>
      </c>
      <c r="B129">
        <v>60</v>
      </c>
    </row>
    <row r="130" spans="1:2">
      <c r="A130" t="s">
        <v>380</v>
      </c>
      <c r="B130">
        <v>30</v>
      </c>
    </row>
    <row r="131" spans="1:2">
      <c r="A131" t="s">
        <v>183</v>
      </c>
      <c r="B131">
        <v>120</v>
      </c>
    </row>
    <row r="132" spans="1:2">
      <c r="A132" t="s">
        <v>27</v>
      </c>
      <c r="B132">
        <v>90</v>
      </c>
    </row>
    <row r="133" spans="1:2">
      <c r="A133" t="s">
        <v>27</v>
      </c>
      <c r="B133">
        <v>60</v>
      </c>
    </row>
    <row r="134" spans="1:2">
      <c r="A134" t="s">
        <v>445</v>
      </c>
      <c r="B134">
        <v>60</v>
      </c>
    </row>
    <row r="135" spans="1:2">
      <c r="A135" t="s">
        <v>589</v>
      </c>
      <c r="B135">
        <v>200</v>
      </c>
    </row>
    <row r="136" spans="1:2">
      <c r="A136" t="s">
        <v>28</v>
      </c>
      <c r="B136">
        <v>500</v>
      </c>
    </row>
    <row r="137" spans="1:2">
      <c r="A137" t="s">
        <v>28</v>
      </c>
      <c r="B137">
        <v>120</v>
      </c>
    </row>
    <row r="138" spans="1:2">
      <c r="A138" t="s">
        <v>184</v>
      </c>
      <c r="B138">
        <v>120</v>
      </c>
    </row>
    <row r="139" spans="1:2">
      <c r="A139" t="s">
        <v>153</v>
      </c>
      <c r="B139">
        <v>120</v>
      </c>
    </row>
    <row r="140" spans="1:2">
      <c r="A140" t="s">
        <v>534</v>
      </c>
      <c r="B140">
        <v>20</v>
      </c>
    </row>
    <row r="141" spans="1:2">
      <c r="A141" t="s">
        <v>72</v>
      </c>
      <c r="B141">
        <v>30</v>
      </c>
    </row>
    <row r="142" spans="1:2">
      <c r="A142" t="s">
        <v>155</v>
      </c>
      <c r="B142">
        <v>90</v>
      </c>
    </row>
    <row r="143" spans="1:2">
      <c r="A143" t="s">
        <v>155</v>
      </c>
      <c r="B143">
        <v>240</v>
      </c>
    </row>
    <row r="144" spans="1:2">
      <c r="A144" t="s">
        <v>41</v>
      </c>
      <c r="B144">
        <v>240</v>
      </c>
    </row>
    <row r="145" spans="1:2">
      <c r="A145" t="s">
        <v>138</v>
      </c>
      <c r="B145">
        <v>240</v>
      </c>
    </row>
    <row r="146" spans="1:2">
      <c r="A146" t="s">
        <v>138</v>
      </c>
      <c r="B146">
        <v>240</v>
      </c>
    </row>
    <row r="147" spans="1:2">
      <c r="A147" t="s">
        <v>80</v>
      </c>
      <c r="B147">
        <v>480</v>
      </c>
    </row>
    <row r="148" spans="1:2">
      <c r="A148" t="s">
        <v>80</v>
      </c>
      <c r="B148">
        <v>480</v>
      </c>
    </row>
    <row r="149" spans="1:2">
      <c r="A149" t="s">
        <v>452</v>
      </c>
      <c r="B149">
        <v>30</v>
      </c>
    </row>
    <row r="150" spans="1:2">
      <c r="A150" t="s">
        <v>163</v>
      </c>
      <c r="B150">
        <v>600</v>
      </c>
    </row>
    <row r="151" spans="1:2">
      <c r="A151" t="s">
        <v>439</v>
      </c>
      <c r="B151">
        <v>120</v>
      </c>
    </row>
    <row r="152" spans="1:2">
      <c r="A152" t="s">
        <v>42</v>
      </c>
      <c r="B152">
        <v>240</v>
      </c>
    </row>
    <row r="153" spans="1:2">
      <c r="A153" t="s">
        <v>371</v>
      </c>
      <c r="B153">
        <v>30</v>
      </c>
    </row>
    <row r="154" spans="1:2">
      <c r="A154" t="s">
        <v>371</v>
      </c>
      <c r="B154">
        <v>30</v>
      </c>
    </row>
    <row r="155" spans="1:2">
      <c r="A155" t="s">
        <v>365</v>
      </c>
      <c r="B155">
        <v>30</v>
      </c>
    </row>
    <row r="156" spans="1:2">
      <c r="A156" t="s">
        <v>57</v>
      </c>
      <c r="B156">
        <v>600</v>
      </c>
    </row>
    <row r="157" spans="1:2">
      <c r="A157" t="s">
        <v>45</v>
      </c>
      <c r="B157">
        <v>360</v>
      </c>
    </row>
    <row r="158" spans="1:2">
      <c r="A158" t="s">
        <v>441</v>
      </c>
      <c r="B158">
        <v>300</v>
      </c>
    </row>
    <row r="159" spans="1:2">
      <c r="A159" t="s">
        <v>160</v>
      </c>
      <c r="B159">
        <v>0</v>
      </c>
    </row>
    <row r="160" spans="1:2">
      <c r="A160" t="s">
        <v>55</v>
      </c>
      <c r="B160">
        <v>30</v>
      </c>
    </row>
    <row r="161" spans="1:2">
      <c r="A161" t="s">
        <v>78</v>
      </c>
      <c r="B161">
        <v>480</v>
      </c>
    </row>
    <row r="162" spans="1:2">
      <c r="A162" t="s">
        <v>38</v>
      </c>
      <c r="B162">
        <v>400</v>
      </c>
    </row>
    <row r="163" spans="1:2">
      <c r="A163" t="s">
        <v>71</v>
      </c>
      <c r="B163">
        <v>120</v>
      </c>
    </row>
    <row r="164" spans="1:2">
      <c r="A164" t="s">
        <v>40</v>
      </c>
      <c r="B164">
        <v>120</v>
      </c>
    </row>
    <row r="165" spans="1:2">
      <c r="A165" t="s">
        <v>43</v>
      </c>
      <c r="B165">
        <v>30</v>
      </c>
    </row>
    <row r="166" spans="1:2">
      <c r="A166" t="s">
        <v>550</v>
      </c>
      <c r="B166">
        <v>0</v>
      </c>
    </row>
    <row r="167" spans="1:2">
      <c r="A167" t="s">
        <v>586</v>
      </c>
      <c r="B167">
        <v>60</v>
      </c>
    </row>
    <row r="168" spans="1:2">
      <c r="A168" t="s">
        <v>529</v>
      </c>
      <c r="B168">
        <v>30</v>
      </c>
    </row>
    <row r="169" spans="1:2">
      <c r="A169" t="s">
        <v>58</v>
      </c>
      <c r="B169">
        <v>30</v>
      </c>
    </row>
    <row r="170" spans="1:2">
      <c r="A170" t="s">
        <v>146</v>
      </c>
      <c r="B170">
        <v>30</v>
      </c>
    </row>
    <row r="171" spans="1:2">
      <c r="A171" t="s">
        <v>552</v>
      </c>
      <c r="B171">
        <v>60</v>
      </c>
    </row>
    <row r="172" spans="1:2">
      <c r="A172" t="s">
        <v>60</v>
      </c>
      <c r="B172">
        <v>50</v>
      </c>
    </row>
    <row r="173" spans="1:2">
      <c r="A173" t="s">
        <v>34</v>
      </c>
      <c r="B173">
        <v>180</v>
      </c>
    </row>
    <row r="174" spans="1:2">
      <c r="A174" t="s">
        <v>34</v>
      </c>
      <c r="B174">
        <v>180</v>
      </c>
    </row>
    <row r="175" spans="1:2">
      <c r="A175" t="s">
        <v>145</v>
      </c>
      <c r="B175">
        <v>60</v>
      </c>
    </row>
    <row r="176" spans="1:2">
      <c r="A176" t="s">
        <v>145</v>
      </c>
      <c r="B176">
        <v>90</v>
      </c>
    </row>
    <row r="177" spans="1:2">
      <c r="A177" t="s">
        <v>134</v>
      </c>
      <c r="B177">
        <v>90</v>
      </c>
    </row>
    <row r="178" spans="1:2">
      <c r="A178" t="s">
        <v>554</v>
      </c>
      <c r="B178">
        <v>900</v>
      </c>
    </row>
    <row r="179" spans="1:2">
      <c r="A179" t="s">
        <v>32</v>
      </c>
      <c r="B179">
        <v>960</v>
      </c>
    </row>
    <row r="180" spans="1:2">
      <c r="A180" t="s">
        <v>159</v>
      </c>
      <c r="B180">
        <v>300</v>
      </c>
    </row>
    <row r="181" spans="1:2">
      <c r="A181" t="s">
        <v>185</v>
      </c>
      <c r="B181">
        <v>180</v>
      </c>
    </row>
    <row r="182" spans="1:2">
      <c r="A182" t="s">
        <v>443</v>
      </c>
      <c r="B182">
        <v>240</v>
      </c>
    </row>
    <row r="183" spans="1:2">
      <c r="A183" t="s">
        <v>582</v>
      </c>
      <c r="B183">
        <v>60</v>
      </c>
    </row>
    <row r="184" spans="1:2">
      <c r="A184" t="s">
        <v>30</v>
      </c>
      <c r="B184">
        <v>180</v>
      </c>
    </row>
    <row r="185" spans="1:2">
      <c r="A185" t="s">
        <v>498</v>
      </c>
      <c r="B185">
        <v>180</v>
      </c>
    </row>
    <row r="186" spans="1:2">
      <c r="A186" t="s">
        <v>499</v>
      </c>
      <c r="B186">
        <v>240</v>
      </c>
    </row>
    <row r="187" spans="1:2">
      <c r="A187" t="s">
        <v>446</v>
      </c>
      <c r="B187">
        <v>360</v>
      </c>
    </row>
    <row r="188" spans="1:2">
      <c r="A188" t="s">
        <v>106</v>
      </c>
      <c r="B188">
        <v>960</v>
      </c>
    </row>
    <row r="189" spans="1:2">
      <c r="A189" t="s">
        <v>106</v>
      </c>
      <c r="B189">
        <v>960</v>
      </c>
    </row>
    <row r="190" spans="1:2">
      <c r="A190" t="s">
        <v>137</v>
      </c>
      <c r="B190">
        <v>30</v>
      </c>
    </row>
    <row r="191" spans="1:2">
      <c r="A191" t="s">
        <v>25</v>
      </c>
      <c r="B191">
        <v>480</v>
      </c>
    </row>
    <row r="192" spans="1:2">
      <c r="A192" t="s">
        <v>25</v>
      </c>
      <c r="B192">
        <v>480</v>
      </c>
    </row>
    <row r="193" spans="1:2">
      <c r="A193" t="s">
        <v>581</v>
      </c>
      <c r="B193">
        <v>180</v>
      </c>
    </row>
    <row r="194" spans="1:2">
      <c r="A194" t="s">
        <v>20</v>
      </c>
      <c r="B194">
        <v>180</v>
      </c>
    </row>
    <row r="195" spans="1:2">
      <c r="A195" t="s">
        <v>20</v>
      </c>
      <c r="B195">
        <v>180</v>
      </c>
    </row>
    <row r="196" spans="1:2">
      <c r="A196" t="s">
        <v>44</v>
      </c>
      <c r="B196">
        <v>30</v>
      </c>
    </row>
    <row r="197" spans="1:2">
      <c r="A197" t="s">
        <v>44</v>
      </c>
      <c r="B197">
        <v>30</v>
      </c>
    </row>
    <row r="198" spans="1:2">
      <c r="A198" t="s">
        <v>440</v>
      </c>
      <c r="B198">
        <v>80</v>
      </c>
    </row>
    <row r="199" spans="1:2">
      <c r="A199" t="s">
        <v>107</v>
      </c>
      <c r="B199">
        <v>90</v>
      </c>
    </row>
    <row r="200" spans="1:2">
      <c r="A200" t="s">
        <v>378</v>
      </c>
      <c r="B200">
        <v>10</v>
      </c>
    </row>
    <row r="201" spans="1:2">
      <c r="A201" t="s">
        <v>370</v>
      </c>
      <c r="B201">
        <v>10</v>
      </c>
    </row>
    <row r="202" spans="1:2">
      <c r="A202" t="s">
        <v>449</v>
      </c>
      <c r="B202">
        <v>120</v>
      </c>
    </row>
    <row r="203" spans="1:2">
      <c r="A203" t="s">
        <v>76</v>
      </c>
      <c r="B203">
        <v>330</v>
      </c>
    </row>
    <row r="204" spans="1:2">
      <c r="A204" t="s">
        <v>76</v>
      </c>
      <c r="B204">
        <v>340</v>
      </c>
    </row>
    <row r="205" spans="1:2">
      <c r="A205" t="s">
        <v>349</v>
      </c>
      <c r="B205">
        <v>200</v>
      </c>
    </row>
    <row r="206" spans="1:2">
      <c r="A206" t="s">
        <v>7</v>
      </c>
      <c r="B206">
        <v>960</v>
      </c>
    </row>
    <row r="207" spans="1:2">
      <c r="A207" t="s">
        <v>6</v>
      </c>
      <c r="B207">
        <v>30</v>
      </c>
    </row>
    <row r="208" spans="1:2">
      <c r="A208" t="s">
        <v>373</v>
      </c>
      <c r="B208">
        <v>20</v>
      </c>
    </row>
    <row r="209" spans="1:2">
      <c r="A209" t="s">
        <v>126</v>
      </c>
      <c r="B209">
        <v>20</v>
      </c>
    </row>
    <row r="210" spans="1:2">
      <c r="A210" t="s">
        <v>442</v>
      </c>
      <c r="B210">
        <v>30</v>
      </c>
    </row>
    <row r="211" spans="1:2">
      <c r="A211" t="s">
        <v>422</v>
      </c>
      <c r="B211">
        <v>30</v>
      </c>
    </row>
    <row r="212" spans="1:2">
      <c r="A212" t="s">
        <v>148</v>
      </c>
      <c r="B212">
        <v>30</v>
      </c>
    </row>
    <row r="213" spans="1:2">
      <c r="A213" t="s">
        <v>182</v>
      </c>
      <c r="B213">
        <v>40</v>
      </c>
    </row>
    <row r="214" spans="1:2">
      <c r="A214" t="s">
        <v>179</v>
      </c>
      <c r="B214">
        <v>40</v>
      </c>
    </row>
    <row r="215" spans="1:2">
      <c r="A215" t="s">
        <v>68</v>
      </c>
      <c r="B215">
        <v>180</v>
      </c>
    </row>
    <row r="216" spans="1:2">
      <c r="A216" t="s">
        <v>66</v>
      </c>
      <c r="B216">
        <v>60</v>
      </c>
    </row>
    <row r="217" spans="1:2">
      <c r="A217" t="s">
        <v>139</v>
      </c>
      <c r="B217">
        <v>30</v>
      </c>
    </row>
    <row r="218" spans="1:2">
      <c r="A218" t="s">
        <v>533</v>
      </c>
      <c r="B218">
        <v>90</v>
      </c>
    </row>
    <row r="219" spans="1:2">
      <c r="A219" t="s">
        <v>298</v>
      </c>
      <c r="B219">
        <v>80</v>
      </c>
    </row>
    <row r="220" spans="1:2">
      <c r="A220" t="s">
        <v>542</v>
      </c>
      <c r="B220">
        <v>120</v>
      </c>
    </row>
    <row r="221" spans="1:2">
      <c r="A221" t="s">
        <v>444</v>
      </c>
      <c r="B221">
        <v>120</v>
      </c>
    </row>
    <row r="222" spans="1:2">
      <c r="A222" t="s">
        <v>158</v>
      </c>
      <c r="B222">
        <v>10</v>
      </c>
    </row>
    <row r="223" spans="1:2">
      <c r="A223" t="s">
        <v>136</v>
      </c>
      <c r="B223">
        <v>120</v>
      </c>
    </row>
    <row r="224" spans="1:2">
      <c r="A224" t="s">
        <v>130</v>
      </c>
      <c r="B224">
        <v>20</v>
      </c>
    </row>
    <row r="225" spans="1:2">
      <c r="A225" t="s">
        <v>161</v>
      </c>
      <c r="B225">
        <v>30</v>
      </c>
    </row>
    <row r="226" spans="1:2">
      <c r="A226" t="s">
        <v>519</v>
      </c>
      <c r="B226">
        <v>30</v>
      </c>
    </row>
    <row r="227" spans="1:2">
      <c r="A227" t="s">
        <v>519</v>
      </c>
      <c r="B227">
        <v>40</v>
      </c>
    </row>
    <row r="228" spans="1:2">
      <c r="A228" t="s">
        <v>108</v>
      </c>
      <c r="B228">
        <v>40</v>
      </c>
    </row>
    <row r="229" spans="1:2">
      <c r="A229" t="s">
        <v>108</v>
      </c>
      <c r="B229">
        <v>960</v>
      </c>
    </row>
    <row r="230" spans="1:2">
      <c r="A230" t="s">
        <v>117</v>
      </c>
      <c r="B230">
        <v>30</v>
      </c>
    </row>
    <row r="231" spans="1:2">
      <c r="A231" t="s">
        <v>585</v>
      </c>
      <c r="B231">
        <v>40</v>
      </c>
    </row>
    <row r="232" spans="1:2">
      <c r="A232" t="s">
        <v>149</v>
      </c>
      <c r="B232">
        <v>30</v>
      </c>
    </row>
    <row r="233" spans="1:2">
      <c r="A233" t="s">
        <v>167</v>
      </c>
      <c r="B233">
        <v>30</v>
      </c>
    </row>
    <row r="234" spans="1:2">
      <c r="A234" t="s">
        <v>181</v>
      </c>
      <c r="B234">
        <v>30</v>
      </c>
    </row>
    <row r="235" spans="1:2">
      <c r="A235" t="s">
        <v>150</v>
      </c>
      <c r="B235">
        <v>30</v>
      </c>
    </row>
    <row r="236" spans="1:2">
      <c r="A236" t="s">
        <v>129</v>
      </c>
      <c r="B236">
        <v>120</v>
      </c>
    </row>
    <row r="237" spans="1:2">
      <c r="A237" t="s">
        <v>128</v>
      </c>
      <c r="B237">
        <v>60</v>
      </c>
    </row>
    <row r="238" spans="1:2">
      <c r="A238" t="s">
        <v>121</v>
      </c>
      <c r="B238">
        <v>90</v>
      </c>
    </row>
    <row r="239" spans="1:2">
      <c r="A239" t="s">
        <v>157</v>
      </c>
      <c r="B239">
        <v>40</v>
      </c>
    </row>
    <row r="240" spans="1:2">
      <c r="A240" t="s">
        <v>640</v>
      </c>
      <c r="B240">
        <v>600</v>
      </c>
    </row>
    <row r="241" spans="1:2">
      <c r="A241" t="s">
        <v>641</v>
      </c>
      <c r="B241">
        <v>40</v>
      </c>
    </row>
    <row r="242" spans="1:2">
      <c r="A242" t="s">
        <v>642</v>
      </c>
      <c r="B242">
        <v>150</v>
      </c>
    </row>
    <row r="243" spans="1:2">
      <c r="A243" t="s">
        <v>643</v>
      </c>
      <c r="B243">
        <v>90</v>
      </c>
    </row>
    <row r="244" spans="1:2">
      <c r="A244" t="s">
        <v>644</v>
      </c>
      <c r="B244">
        <v>0</v>
      </c>
    </row>
    <row r="245" spans="1:2">
      <c r="A245" t="s">
        <v>645</v>
      </c>
      <c r="B245">
        <v>60</v>
      </c>
    </row>
    <row r="246" spans="1:2">
      <c r="A246" t="s">
        <v>646</v>
      </c>
      <c r="B246">
        <v>120</v>
      </c>
    </row>
    <row r="247" spans="1:2">
      <c r="A247" t="s">
        <v>647</v>
      </c>
      <c r="B247">
        <v>90</v>
      </c>
    </row>
    <row r="248" spans="1:2">
      <c r="A248" t="s">
        <v>648</v>
      </c>
      <c r="B248">
        <v>0</v>
      </c>
    </row>
    <row r="249" spans="1:2">
      <c r="A249" t="s">
        <v>649</v>
      </c>
      <c r="B249">
        <v>1200</v>
      </c>
    </row>
    <row r="250" spans="1:2">
      <c r="A250" t="s">
        <v>650</v>
      </c>
      <c r="B250">
        <v>1200</v>
      </c>
    </row>
    <row r="251" spans="1:2">
      <c r="A251" t="s">
        <v>628</v>
      </c>
      <c r="B251">
        <v>30</v>
      </c>
    </row>
    <row r="252" spans="1:2">
      <c r="A252" t="s">
        <v>651</v>
      </c>
      <c r="B252">
        <v>30</v>
      </c>
    </row>
    <row r="253" spans="1:2">
      <c r="A253" t="s">
        <v>652</v>
      </c>
      <c r="B253">
        <v>0</v>
      </c>
    </row>
    <row r="254" spans="1:2">
      <c r="A254" t="s">
        <v>653</v>
      </c>
      <c r="B254">
        <v>30</v>
      </c>
    </row>
    <row r="255" spans="1:2">
      <c r="A255" t="s">
        <v>638</v>
      </c>
      <c r="B255">
        <v>120</v>
      </c>
    </row>
    <row r="256" spans="1:2">
      <c r="A256" t="s">
        <v>666</v>
      </c>
      <c r="B256">
        <v>30</v>
      </c>
    </row>
    <row r="257" spans="1:2">
      <c r="A257" t="s">
        <v>667</v>
      </c>
      <c r="B257">
        <v>30</v>
      </c>
    </row>
    <row r="258" spans="1:2">
      <c r="A258" t="s">
        <v>668</v>
      </c>
      <c r="B258">
        <v>0</v>
      </c>
    </row>
    <row r="259" spans="1:2">
      <c r="A259" t="s">
        <v>669</v>
      </c>
      <c r="B259">
        <v>0</v>
      </c>
    </row>
    <row r="260" spans="1:2">
      <c r="A260" t="s">
        <v>670</v>
      </c>
      <c r="B260">
        <v>0</v>
      </c>
    </row>
    <row r="261" spans="1:2">
      <c r="A261" t="s">
        <v>691</v>
      </c>
    </row>
    <row r="262" spans="1:2">
      <c r="A262" t="s">
        <v>692</v>
      </c>
    </row>
    <row r="263" spans="1:2">
      <c r="A263" t="s">
        <v>693</v>
      </c>
    </row>
    <row r="264" spans="1:2">
      <c r="A264" t="s">
        <v>694</v>
      </c>
    </row>
    <row r="265" spans="1:2">
      <c r="A265" t="s">
        <v>695</v>
      </c>
    </row>
    <row r="266" spans="1:2">
      <c r="A266" t="s">
        <v>696</v>
      </c>
    </row>
    <row r="267" spans="1:2">
      <c r="A267" t="s">
        <v>697</v>
      </c>
    </row>
    <row r="268" spans="1:2">
      <c r="A268" t="s">
        <v>698</v>
      </c>
    </row>
  </sheetData>
  <autoFilter ref="A2:B260" xr:uid="{00000000-0009-0000-0000-000003000000}"/>
  <sortState xmlns:xlrd2="http://schemas.microsoft.com/office/spreadsheetml/2017/richdata2" ref="A3:B240">
    <sortCondition ref="A3:A240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>
    <tabColor rgb="FF8A2BE2"/>
  </sheetPr>
  <dimension ref="A1:U59"/>
  <sheetViews>
    <sheetView showGridLines="0" workbookViewId="0">
      <pane ySplit="1" topLeftCell="A2" activePane="bottomLeft" state="frozen"/>
      <selection pane="bottomLeft"/>
    </sheetView>
  </sheetViews>
  <sheetFormatPr baseColWidth="10" defaultColWidth="9.140625" defaultRowHeight="15"/>
  <cols>
    <col min="21" max="21" width="15.28515625" customWidth="1"/>
  </cols>
  <sheetData>
    <row r="1" spans="1:21">
      <c r="A1" s="73" t="s">
        <v>0</v>
      </c>
      <c r="B1" s="73" t="s">
        <v>187</v>
      </c>
      <c r="C1" s="73" t="s">
        <v>1</v>
      </c>
      <c r="D1" s="73" t="s">
        <v>725</v>
      </c>
      <c r="E1" s="73" t="s">
        <v>188</v>
      </c>
      <c r="F1" s="73" t="s">
        <v>189</v>
      </c>
      <c r="G1" s="73" t="s">
        <v>190</v>
      </c>
      <c r="H1" s="73" t="s">
        <v>191</v>
      </c>
      <c r="I1" s="73" t="s">
        <v>192</v>
      </c>
      <c r="J1" s="73" t="s">
        <v>193</v>
      </c>
      <c r="K1" s="73" t="s">
        <v>194</v>
      </c>
      <c r="L1" s="73" t="s">
        <v>195</v>
      </c>
      <c r="M1" s="73" t="s">
        <v>2</v>
      </c>
      <c r="N1" s="73" t="s">
        <v>196</v>
      </c>
      <c r="O1" s="73" t="s">
        <v>197</v>
      </c>
      <c r="P1" s="73" t="s">
        <v>3</v>
      </c>
      <c r="Q1" s="73" t="s">
        <v>198</v>
      </c>
      <c r="R1" s="73" t="s">
        <v>4</v>
      </c>
      <c r="S1" s="73" t="s">
        <v>199</v>
      </c>
      <c r="T1" s="73" t="s">
        <v>200</v>
      </c>
      <c r="U1" s="73" t="s">
        <v>5</v>
      </c>
    </row>
    <row r="2" spans="1:21">
      <c r="A2" s="74" t="s">
        <v>727</v>
      </c>
      <c r="B2" s="74" t="s">
        <v>728</v>
      </c>
      <c r="C2" s="74" t="s">
        <v>729</v>
      </c>
      <c r="D2" s="74" t="s">
        <v>726</v>
      </c>
      <c r="E2" s="75">
        <v>8</v>
      </c>
      <c r="F2" s="75">
        <v>2020</v>
      </c>
      <c r="G2" s="75">
        <v>27</v>
      </c>
      <c r="H2" s="76" t="b">
        <v>1</v>
      </c>
      <c r="I2" s="77">
        <v>44011.084837962997</v>
      </c>
      <c r="J2" s="77">
        <v>44011.126388888901</v>
      </c>
      <c r="K2" s="77">
        <v>43789</v>
      </c>
      <c r="L2" s="77">
        <v>43791</v>
      </c>
      <c r="M2" s="77">
        <v>43683</v>
      </c>
      <c r="N2" s="78">
        <v>2.6110000000000002</v>
      </c>
      <c r="O2" s="78">
        <v>2.42</v>
      </c>
      <c r="P2" s="74" t="s">
        <v>340</v>
      </c>
      <c r="Q2" s="74" t="s">
        <v>689</v>
      </c>
      <c r="R2" s="74" t="s">
        <v>730</v>
      </c>
      <c r="S2" s="79"/>
      <c r="T2" s="76" t="b">
        <v>0</v>
      </c>
      <c r="U2" s="77">
        <v>43718.372418981497</v>
      </c>
    </row>
    <row r="3" spans="1:21">
      <c r="A3" s="74" t="s">
        <v>731</v>
      </c>
      <c r="B3" s="74" t="s">
        <v>202</v>
      </c>
      <c r="C3" s="74" t="s">
        <v>732</v>
      </c>
      <c r="D3" s="74" t="s">
        <v>726</v>
      </c>
      <c r="E3" s="75">
        <v>39</v>
      </c>
      <c r="F3" s="75">
        <v>2020</v>
      </c>
      <c r="G3" s="75">
        <v>27</v>
      </c>
      <c r="H3" s="76" t="b">
        <v>1</v>
      </c>
      <c r="I3" s="77">
        <v>44011.407754629603</v>
      </c>
      <c r="J3" s="77">
        <v>44011.420138888898</v>
      </c>
      <c r="K3" s="77">
        <v>44001</v>
      </c>
      <c r="L3" s="77">
        <v>44006</v>
      </c>
      <c r="M3" s="77">
        <v>44001</v>
      </c>
      <c r="N3" s="78">
        <v>8.8800000000000008</v>
      </c>
      <c r="O3" s="78">
        <v>0.74</v>
      </c>
      <c r="P3" s="74" t="s">
        <v>203</v>
      </c>
      <c r="Q3" s="74" t="s">
        <v>474</v>
      </c>
      <c r="R3" s="74" t="s">
        <v>733</v>
      </c>
      <c r="S3" s="79"/>
      <c r="T3" s="76" t="b">
        <v>0</v>
      </c>
      <c r="U3" s="77">
        <v>44008.372372685197</v>
      </c>
    </row>
    <row r="4" spans="1:21">
      <c r="A4" s="74" t="s">
        <v>735</v>
      </c>
      <c r="B4" s="74" t="s">
        <v>202</v>
      </c>
      <c r="C4" s="74" t="s">
        <v>736</v>
      </c>
      <c r="D4" s="74" t="s">
        <v>726</v>
      </c>
      <c r="E4" s="75">
        <v>16</v>
      </c>
      <c r="F4" s="75">
        <v>2020</v>
      </c>
      <c r="G4" s="75">
        <v>27</v>
      </c>
      <c r="H4" s="76" t="b">
        <v>1</v>
      </c>
      <c r="I4" s="77">
        <v>44013.525115740696</v>
      </c>
      <c r="J4" s="77">
        <v>44013.534722222197</v>
      </c>
      <c r="K4" s="77">
        <v>44006</v>
      </c>
      <c r="L4" s="77">
        <v>44015</v>
      </c>
      <c r="M4" s="77">
        <v>44015</v>
      </c>
      <c r="N4" s="78">
        <v>0.93300000000000005</v>
      </c>
      <c r="O4" s="78">
        <v>0.6</v>
      </c>
      <c r="P4" s="74" t="s">
        <v>203</v>
      </c>
      <c r="Q4" s="74" t="s">
        <v>514</v>
      </c>
      <c r="R4" s="74" t="s">
        <v>737</v>
      </c>
      <c r="S4" s="79"/>
      <c r="T4" s="76" t="b">
        <v>0</v>
      </c>
      <c r="U4" s="77">
        <v>44005.5801967593</v>
      </c>
    </row>
    <row r="5" spans="1:21">
      <c r="A5" s="74" t="s">
        <v>247</v>
      </c>
      <c r="B5" s="74" t="s">
        <v>202</v>
      </c>
      <c r="C5" s="74" t="s">
        <v>738</v>
      </c>
      <c r="D5" s="74" t="s">
        <v>726</v>
      </c>
      <c r="E5" s="75">
        <v>14</v>
      </c>
      <c r="F5" s="75">
        <v>2020</v>
      </c>
      <c r="G5" s="75">
        <v>27</v>
      </c>
      <c r="H5" s="76" t="b">
        <v>1</v>
      </c>
      <c r="I5" s="77">
        <v>44013.550810185203</v>
      </c>
      <c r="J5" s="77">
        <v>44013.561111111099</v>
      </c>
      <c r="K5" s="77">
        <v>44007</v>
      </c>
      <c r="L5" s="77">
        <v>44013</v>
      </c>
      <c r="M5" s="77">
        <v>44013</v>
      </c>
      <c r="N5" s="78">
        <v>0.6</v>
      </c>
      <c r="O5" s="78">
        <v>0.63</v>
      </c>
      <c r="P5" s="74" t="s">
        <v>203</v>
      </c>
      <c r="Q5" s="74" t="s">
        <v>514</v>
      </c>
      <c r="R5" s="74" t="s">
        <v>248</v>
      </c>
      <c r="S5" s="79"/>
      <c r="T5" s="76" t="b">
        <v>0</v>
      </c>
      <c r="U5" s="77">
        <v>44007.669594907398</v>
      </c>
    </row>
    <row r="6" spans="1:21">
      <c r="A6" s="74" t="s">
        <v>739</v>
      </c>
      <c r="B6" s="74" t="s">
        <v>202</v>
      </c>
      <c r="C6" s="74" t="s">
        <v>740</v>
      </c>
      <c r="D6" s="74" t="s">
        <v>726</v>
      </c>
      <c r="E6" s="75">
        <v>24</v>
      </c>
      <c r="F6" s="75">
        <v>2020</v>
      </c>
      <c r="G6" s="75">
        <v>27</v>
      </c>
      <c r="H6" s="76" t="b">
        <v>1</v>
      </c>
      <c r="I6" s="77">
        <v>44013.561226851903</v>
      </c>
      <c r="J6" s="77">
        <v>44013.561805555597</v>
      </c>
      <c r="K6" s="77">
        <v>44007</v>
      </c>
      <c r="L6" s="77">
        <v>44015</v>
      </c>
      <c r="M6" s="77">
        <v>44015</v>
      </c>
      <c r="N6" s="78">
        <v>4.8470000000000004</v>
      </c>
      <c r="O6" s="78">
        <v>0.05</v>
      </c>
      <c r="P6" s="74" t="s">
        <v>203</v>
      </c>
      <c r="Q6" s="74" t="s">
        <v>678</v>
      </c>
      <c r="R6" s="74" t="s">
        <v>741</v>
      </c>
      <c r="S6" s="79"/>
      <c r="T6" s="76" t="b">
        <v>0</v>
      </c>
      <c r="U6" s="77">
        <v>44005.389328703699</v>
      </c>
    </row>
    <row r="7" spans="1:21">
      <c r="A7" s="74" t="s">
        <v>742</v>
      </c>
      <c r="B7" s="74" t="s">
        <v>202</v>
      </c>
      <c r="C7" s="74" t="s">
        <v>743</v>
      </c>
      <c r="D7" s="74" t="s">
        <v>726</v>
      </c>
      <c r="E7" s="75">
        <v>11</v>
      </c>
      <c r="F7" s="75">
        <v>2020</v>
      </c>
      <c r="G7" s="75">
        <v>27</v>
      </c>
      <c r="H7" s="76" t="b">
        <v>1</v>
      </c>
      <c r="I7" s="77">
        <v>44013.593171296299</v>
      </c>
      <c r="J7" s="77">
        <v>44013.607638888898</v>
      </c>
      <c r="K7" s="77">
        <v>44007</v>
      </c>
      <c r="L7" s="77">
        <v>44013</v>
      </c>
      <c r="M7" s="77">
        <v>44013</v>
      </c>
      <c r="N7" s="78">
        <v>0.68100000000000005</v>
      </c>
      <c r="O7" s="78">
        <v>0.86</v>
      </c>
      <c r="P7" s="74" t="s">
        <v>203</v>
      </c>
      <c r="Q7" s="74" t="s">
        <v>514</v>
      </c>
      <c r="R7" s="74" t="s">
        <v>744</v>
      </c>
      <c r="S7" s="79"/>
      <c r="T7" s="76" t="b">
        <v>0</v>
      </c>
      <c r="U7" s="77">
        <v>44008.560983796298</v>
      </c>
    </row>
    <row r="8" spans="1:21">
      <c r="A8" s="74" t="s">
        <v>745</v>
      </c>
      <c r="B8" s="74" t="s">
        <v>202</v>
      </c>
      <c r="C8" s="74" t="s">
        <v>746</v>
      </c>
      <c r="D8" s="74" t="s">
        <v>726</v>
      </c>
      <c r="E8" s="75">
        <v>8</v>
      </c>
      <c r="F8" s="75">
        <v>2020</v>
      </c>
      <c r="G8" s="75">
        <v>27</v>
      </c>
      <c r="H8" s="76" t="b">
        <v>1</v>
      </c>
      <c r="I8" s="77">
        <v>44013.614699074104</v>
      </c>
      <c r="J8" s="77">
        <v>44013.627777777801</v>
      </c>
      <c r="K8" s="77">
        <v>44008</v>
      </c>
      <c r="L8" s="77">
        <v>44015</v>
      </c>
      <c r="M8" s="77">
        <v>44015</v>
      </c>
      <c r="N8" s="78">
        <v>1.08</v>
      </c>
      <c r="O8" s="78">
        <v>0.77</v>
      </c>
      <c r="P8" s="74" t="s">
        <v>203</v>
      </c>
      <c r="Q8" s="74" t="s">
        <v>474</v>
      </c>
      <c r="R8" s="74" t="s">
        <v>747</v>
      </c>
      <c r="S8" s="79"/>
      <c r="T8" s="76" t="b">
        <v>0</v>
      </c>
      <c r="U8" s="77">
        <v>44007.546759259298</v>
      </c>
    </row>
    <row r="9" spans="1:21">
      <c r="A9" s="74" t="s">
        <v>748</v>
      </c>
      <c r="B9" s="74" t="s">
        <v>202</v>
      </c>
      <c r="C9" s="74" t="s">
        <v>749</v>
      </c>
      <c r="D9" s="74" t="s">
        <v>726</v>
      </c>
      <c r="E9" s="75">
        <v>24</v>
      </c>
      <c r="F9" s="75">
        <v>2020</v>
      </c>
      <c r="G9" s="75">
        <v>27</v>
      </c>
      <c r="H9" s="76" t="b">
        <v>1</v>
      </c>
      <c r="I9" s="77">
        <v>44013.614699074104</v>
      </c>
      <c r="J9" s="77">
        <v>44013.614583333299</v>
      </c>
      <c r="K9" s="77">
        <v>44008</v>
      </c>
      <c r="L9" s="77">
        <v>44015</v>
      </c>
      <c r="M9" s="77">
        <v>44015</v>
      </c>
      <c r="N9" s="78">
        <v>0.186</v>
      </c>
      <c r="O9" s="78">
        <v>0.03</v>
      </c>
      <c r="P9" s="74" t="s">
        <v>203</v>
      </c>
      <c r="Q9" s="74" t="s">
        <v>676</v>
      </c>
      <c r="R9" s="74" t="s">
        <v>750</v>
      </c>
      <c r="S9" s="79"/>
      <c r="T9" s="76" t="b">
        <v>0</v>
      </c>
      <c r="U9" s="77">
        <v>44008.372175925899</v>
      </c>
    </row>
    <row r="10" spans="1:21">
      <c r="A10" s="74" t="s">
        <v>751</v>
      </c>
      <c r="B10" s="74" t="s">
        <v>202</v>
      </c>
      <c r="C10" s="74" t="s">
        <v>752</v>
      </c>
      <c r="D10" s="74" t="s">
        <v>726</v>
      </c>
      <c r="E10" s="75">
        <v>14</v>
      </c>
      <c r="F10" s="75">
        <v>2020</v>
      </c>
      <c r="G10" s="75">
        <v>27</v>
      </c>
      <c r="H10" s="76" t="b">
        <v>1</v>
      </c>
      <c r="I10" s="77">
        <v>44013.627893518496</v>
      </c>
      <c r="J10" s="77">
        <v>44013.658333333296</v>
      </c>
      <c r="K10" s="77">
        <v>44008</v>
      </c>
      <c r="L10" s="77">
        <v>44015</v>
      </c>
      <c r="M10" s="77">
        <v>44015</v>
      </c>
      <c r="N10" s="78">
        <v>0.28799999999999998</v>
      </c>
      <c r="O10" s="78">
        <v>1.78</v>
      </c>
      <c r="P10" s="74" t="s">
        <v>203</v>
      </c>
      <c r="Q10" s="74" t="s">
        <v>474</v>
      </c>
      <c r="R10" s="74" t="s">
        <v>753</v>
      </c>
      <c r="S10" s="79"/>
      <c r="T10" s="76" t="b">
        <v>0</v>
      </c>
      <c r="U10" s="77">
        <v>44006.557766203703</v>
      </c>
    </row>
    <row r="11" spans="1:21">
      <c r="A11" s="74" t="s">
        <v>754</v>
      </c>
      <c r="B11" s="74" t="s">
        <v>202</v>
      </c>
      <c r="C11" s="74" t="s">
        <v>755</v>
      </c>
      <c r="D11" s="74" t="s">
        <v>726</v>
      </c>
      <c r="E11" s="75">
        <v>24</v>
      </c>
      <c r="F11" s="75">
        <v>2020</v>
      </c>
      <c r="G11" s="75">
        <v>27</v>
      </c>
      <c r="H11" s="76" t="b">
        <v>1</v>
      </c>
      <c r="I11" s="77">
        <v>44013.658449074101</v>
      </c>
      <c r="J11" s="77">
        <v>44013.661111111098</v>
      </c>
      <c r="K11" s="77">
        <v>44008</v>
      </c>
      <c r="L11" s="77">
        <v>44015</v>
      </c>
      <c r="M11" s="77">
        <v>44015</v>
      </c>
      <c r="N11" s="78">
        <v>3.5619999999999998</v>
      </c>
      <c r="O11" s="78">
        <v>0.19</v>
      </c>
      <c r="P11" s="74" t="s">
        <v>203</v>
      </c>
      <c r="Q11" s="74" t="s">
        <v>474</v>
      </c>
      <c r="R11" s="74" t="s">
        <v>756</v>
      </c>
      <c r="S11" s="79"/>
      <c r="T11" s="76" t="b">
        <v>0</v>
      </c>
      <c r="U11" s="77">
        <v>44006.647326388898</v>
      </c>
    </row>
    <row r="12" spans="1:21">
      <c r="A12" s="74" t="s">
        <v>757</v>
      </c>
      <c r="B12" s="74" t="s">
        <v>202</v>
      </c>
      <c r="C12" s="74" t="s">
        <v>758</v>
      </c>
      <c r="D12" s="74" t="s">
        <v>726</v>
      </c>
      <c r="E12" s="75">
        <v>33</v>
      </c>
      <c r="F12" s="75">
        <v>2020</v>
      </c>
      <c r="G12" s="75">
        <v>27</v>
      </c>
      <c r="H12" s="76" t="b">
        <v>1</v>
      </c>
      <c r="I12" s="77">
        <v>44013.661226851902</v>
      </c>
      <c r="J12" s="77">
        <v>44013.673611111102</v>
      </c>
      <c r="K12" s="77">
        <v>44008</v>
      </c>
      <c r="L12" s="77">
        <v>44015</v>
      </c>
      <c r="M12" s="77">
        <v>44015</v>
      </c>
      <c r="N12" s="78">
        <v>0.29199999999999998</v>
      </c>
      <c r="O12" s="78">
        <v>0.76</v>
      </c>
      <c r="P12" s="74" t="s">
        <v>203</v>
      </c>
      <c r="Q12" s="74" t="s">
        <v>474</v>
      </c>
      <c r="R12" s="74" t="s">
        <v>759</v>
      </c>
      <c r="S12" s="79"/>
      <c r="T12" s="76" t="b">
        <v>0</v>
      </c>
      <c r="U12" s="77">
        <v>44006.670578703699</v>
      </c>
    </row>
    <row r="13" spans="1:21">
      <c r="A13" s="74" t="s">
        <v>760</v>
      </c>
      <c r="B13" s="74" t="s">
        <v>202</v>
      </c>
      <c r="C13" s="74" t="s">
        <v>761</v>
      </c>
      <c r="D13" s="74" t="s">
        <v>726</v>
      </c>
      <c r="E13" s="75">
        <v>19</v>
      </c>
      <c r="F13" s="75">
        <v>2020</v>
      </c>
      <c r="G13" s="75">
        <v>27</v>
      </c>
      <c r="H13" s="76" t="b">
        <v>1</v>
      </c>
      <c r="I13" s="77">
        <v>44013.673726851899</v>
      </c>
      <c r="J13" s="77">
        <v>44013.684722222199</v>
      </c>
      <c r="K13" s="77">
        <v>44008</v>
      </c>
      <c r="L13" s="77">
        <v>44015</v>
      </c>
      <c r="M13" s="77">
        <v>44015</v>
      </c>
      <c r="N13" s="78">
        <v>3.53</v>
      </c>
      <c r="O13" s="78">
        <v>0.67</v>
      </c>
      <c r="P13" s="74" t="s">
        <v>203</v>
      </c>
      <c r="Q13" s="74" t="s">
        <v>474</v>
      </c>
      <c r="R13" s="74" t="s">
        <v>250</v>
      </c>
      <c r="S13" s="79"/>
      <c r="T13" s="76" t="b">
        <v>0</v>
      </c>
      <c r="U13" s="77">
        <v>44005.580439814803</v>
      </c>
    </row>
    <row r="14" spans="1:21">
      <c r="A14" s="74" t="s">
        <v>762</v>
      </c>
      <c r="B14" s="74" t="s">
        <v>202</v>
      </c>
      <c r="C14" s="74" t="s">
        <v>763</v>
      </c>
      <c r="D14" s="74" t="s">
        <v>726</v>
      </c>
      <c r="E14" s="75">
        <v>33</v>
      </c>
      <c r="F14" s="75">
        <v>2020</v>
      </c>
      <c r="G14" s="75">
        <v>27</v>
      </c>
      <c r="H14" s="76" t="b">
        <v>1</v>
      </c>
      <c r="I14" s="77">
        <v>44013.684837963003</v>
      </c>
      <c r="J14" s="77">
        <v>44013.693749999999</v>
      </c>
      <c r="K14" s="77">
        <v>44008</v>
      </c>
      <c r="L14" s="77">
        <v>44014</v>
      </c>
      <c r="M14" s="77">
        <v>44014</v>
      </c>
      <c r="N14" s="78">
        <v>0.69399999999999995</v>
      </c>
      <c r="O14" s="78">
        <v>0.53</v>
      </c>
      <c r="P14" s="74" t="s">
        <v>203</v>
      </c>
      <c r="Q14" s="74" t="s">
        <v>676</v>
      </c>
      <c r="R14" s="74" t="s">
        <v>764</v>
      </c>
      <c r="S14" s="79"/>
      <c r="T14" s="76" t="b">
        <v>0</v>
      </c>
      <c r="U14" s="77">
        <v>44008.476770833302</v>
      </c>
    </row>
    <row r="15" spans="1:21">
      <c r="A15" s="74" t="s">
        <v>765</v>
      </c>
      <c r="B15" s="74" t="s">
        <v>202</v>
      </c>
      <c r="C15" s="74" t="s">
        <v>766</v>
      </c>
      <c r="D15" s="74" t="s">
        <v>726</v>
      </c>
      <c r="E15" s="75">
        <v>24</v>
      </c>
      <c r="F15" s="75">
        <v>2020</v>
      </c>
      <c r="G15" s="75">
        <v>27</v>
      </c>
      <c r="H15" s="76" t="b">
        <v>1</v>
      </c>
      <c r="I15" s="77">
        <v>44013.693865740701</v>
      </c>
      <c r="J15" s="77">
        <v>44013.708333333299</v>
      </c>
      <c r="K15" s="77">
        <v>44008</v>
      </c>
      <c r="L15" s="77">
        <v>44015</v>
      </c>
      <c r="M15" s="77">
        <v>44015</v>
      </c>
      <c r="N15" s="78">
        <v>1.44</v>
      </c>
      <c r="O15" s="78">
        <v>0.86</v>
      </c>
      <c r="P15" s="74" t="s">
        <v>203</v>
      </c>
      <c r="Q15" s="74" t="s">
        <v>671</v>
      </c>
      <c r="R15" s="74" t="s">
        <v>767</v>
      </c>
      <c r="S15" s="79"/>
      <c r="T15" s="76" t="b">
        <v>0</v>
      </c>
      <c r="U15" s="77">
        <v>44007.667280092603</v>
      </c>
    </row>
    <row r="16" spans="1:21">
      <c r="A16" s="74" t="s">
        <v>768</v>
      </c>
      <c r="B16" s="74" t="s">
        <v>202</v>
      </c>
      <c r="C16" s="74" t="s">
        <v>769</v>
      </c>
      <c r="D16" s="74" t="s">
        <v>726</v>
      </c>
      <c r="E16" s="75">
        <v>12</v>
      </c>
      <c r="F16" s="75">
        <v>2020</v>
      </c>
      <c r="G16" s="75">
        <v>27</v>
      </c>
      <c r="H16" s="76" t="b">
        <v>1</v>
      </c>
      <c r="I16" s="77">
        <v>44013.708449074104</v>
      </c>
      <c r="J16" s="77">
        <v>44013.719444444403</v>
      </c>
      <c r="K16" s="77">
        <v>44008</v>
      </c>
      <c r="L16" s="77">
        <v>44014</v>
      </c>
      <c r="M16" s="77">
        <v>44014</v>
      </c>
      <c r="N16" s="78">
        <v>0.107</v>
      </c>
      <c r="O16" s="78">
        <v>0.68</v>
      </c>
      <c r="P16" s="74" t="s">
        <v>203</v>
      </c>
      <c r="Q16" s="74" t="s">
        <v>671</v>
      </c>
      <c r="R16" s="74" t="s">
        <v>770</v>
      </c>
      <c r="S16" s="79"/>
      <c r="T16" s="76" t="b">
        <v>0</v>
      </c>
      <c r="U16" s="77">
        <v>44007.620393518497</v>
      </c>
    </row>
    <row r="17" spans="1:21">
      <c r="A17" s="74" t="s">
        <v>771</v>
      </c>
      <c r="B17" s="74" t="s">
        <v>202</v>
      </c>
      <c r="C17" s="74" t="s">
        <v>772</v>
      </c>
      <c r="D17" s="74" t="s">
        <v>726</v>
      </c>
      <c r="E17" s="75">
        <v>11</v>
      </c>
      <c r="F17" s="75">
        <v>2020</v>
      </c>
      <c r="G17" s="75">
        <v>27</v>
      </c>
      <c r="H17" s="76" t="b">
        <v>1</v>
      </c>
      <c r="I17" s="77">
        <v>44013.748032407399</v>
      </c>
      <c r="J17" s="77">
        <v>44013.756249999999</v>
      </c>
      <c r="K17" s="77">
        <v>44008</v>
      </c>
      <c r="L17" s="77">
        <v>44014</v>
      </c>
      <c r="M17" s="77">
        <v>44014</v>
      </c>
      <c r="N17" s="78">
        <v>0.35099999999999998</v>
      </c>
      <c r="O17" s="78">
        <v>0.5</v>
      </c>
      <c r="P17" s="74" t="s">
        <v>203</v>
      </c>
      <c r="Q17" s="74" t="s">
        <v>773</v>
      </c>
      <c r="R17" s="74" t="s">
        <v>774</v>
      </c>
      <c r="S17" s="79"/>
      <c r="T17" s="76" t="b">
        <v>0</v>
      </c>
      <c r="U17" s="77">
        <v>44008.371979166703</v>
      </c>
    </row>
    <row r="18" spans="1:21">
      <c r="A18" s="74" t="s">
        <v>775</v>
      </c>
      <c r="B18" s="74" t="s">
        <v>202</v>
      </c>
      <c r="C18" s="74" t="s">
        <v>776</v>
      </c>
      <c r="D18" s="74" t="s">
        <v>726</v>
      </c>
      <c r="E18" s="75">
        <v>24</v>
      </c>
      <c r="F18" s="75">
        <v>2020</v>
      </c>
      <c r="G18" s="75">
        <v>27</v>
      </c>
      <c r="H18" s="76" t="b">
        <v>1</v>
      </c>
      <c r="I18" s="77">
        <v>44015.3445601852</v>
      </c>
      <c r="J18" s="77">
        <v>44015.345138888901</v>
      </c>
      <c r="K18" s="77">
        <v>44011</v>
      </c>
      <c r="L18" s="77">
        <v>44018</v>
      </c>
      <c r="M18" s="77">
        <v>44018</v>
      </c>
      <c r="N18" s="78">
        <v>1.343</v>
      </c>
      <c r="O18" s="78">
        <v>0.08</v>
      </c>
      <c r="P18" s="74" t="s">
        <v>203</v>
      </c>
      <c r="Q18" s="74" t="s">
        <v>474</v>
      </c>
      <c r="R18" s="74" t="s">
        <v>777</v>
      </c>
      <c r="S18" s="79"/>
      <c r="T18" s="76" t="b">
        <v>0</v>
      </c>
      <c r="U18" s="77">
        <v>44006.606134259302</v>
      </c>
    </row>
    <row r="19" spans="1:21">
      <c r="A19" s="74" t="s">
        <v>779</v>
      </c>
      <c r="B19" s="74" t="s">
        <v>202</v>
      </c>
      <c r="C19" s="74" t="s">
        <v>780</v>
      </c>
      <c r="D19" s="74" t="s">
        <v>726</v>
      </c>
      <c r="E19" s="75">
        <v>19</v>
      </c>
      <c r="F19" s="75">
        <v>2020</v>
      </c>
      <c r="G19" s="75">
        <v>28</v>
      </c>
      <c r="H19" s="76" t="b">
        <v>1</v>
      </c>
      <c r="I19" s="77">
        <v>44018.7327546296</v>
      </c>
      <c r="J19" s="77">
        <v>44018.751388888901</v>
      </c>
      <c r="K19" s="77">
        <v>44011</v>
      </c>
      <c r="L19" s="77">
        <v>44015</v>
      </c>
      <c r="M19" s="77">
        <v>44015</v>
      </c>
      <c r="N19" s="78">
        <v>100</v>
      </c>
      <c r="O19" s="78">
        <v>1.1000000000000001</v>
      </c>
      <c r="P19" s="74" t="s">
        <v>203</v>
      </c>
      <c r="Q19" s="74" t="s">
        <v>514</v>
      </c>
      <c r="R19" s="74" t="s">
        <v>781</v>
      </c>
      <c r="S19" s="79"/>
      <c r="T19" s="76" t="b">
        <v>0</v>
      </c>
      <c r="U19" s="77">
        <v>44006.430115740703</v>
      </c>
    </row>
    <row r="20" spans="1:21">
      <c r="A20" s="74" t="s">
        <v>782</v>
      </c>
      <c r="B20" s="74" t="s">
        <v>202</v>
      </c>
      <c r="C20" s="74" t="s">
        <v>783</v>
      </c>
      <c r="D20" s="74" t="s">
        <v>726</v>
      </c>
      <c r="E20" s="75">
        <v>19</v>
      </c>
      <c r="F20" s="75">
        <v>2020</v>
      </c>
      <c r="G20" s="75">
        <v>28</v>
      </c>
      <c r="H20" s="76" t="b">
        <v>1</v>
      </c>
      <c r="I20" s="77">
        <v>44018.775810185201</v>
      </c>
      <c r="J20" s="77">
        <v>44018.785416666702</v>
      </c>
      <c r="K20" s="77">
        <v>44011</v>
      </c>
      <c r="L20" s="77">
        <v>44018</v>
      </c>
      <c r="M20" s="77">
        <v>44018</v>
      </c>
      <c r="N20" s="78">
        <v>0.2</v>
      </c>
      <c r="O20" s="78">
        <v>0.6</v>
      </c>
      <c r="P20" s="74" t="s">
        <v>203</v>
      </c>
      <c r="Q20" s="74" t="s">
        <v>671</v>
      </c>
      <c r="R20" s="74" t="s">
        <v>784</v>
      </c>
      <c r="S20" s="79"/>
      <c r="T20" s="76" t="b">
        <v>0</v>
      </c>
      <c r="U20" s="77">
        <v>44005.390416666698</v>
      </c>
    </row>
    <row r="21" spans="1:21">
      <c r="A21" s="74" t="s">
        <v>786</v>
      </c>
      <c r="B21" s="74" t="s">
        <v>202</v>
      </c>
      <c r="C21" s="74" t="s">
        <v>787</v>
      </c>
      <c r="D21" s="74" t="s">
        <v>726</v>
      </c>
      <c r="E21" s="75">
        <v>9</v>
      </c>
      <c r="F21" s="75">
        <v>2020</v>
      </c>
      <c r="G21" s="75">
        <v>28</v>
      </c>
      <c r="H21" s="76" t="b">
        <v>1</v>
      </c>
      <c r="I21" s="77">
        <v>44019.518171296302</v>
      </c>
      <c r="J21" s="77">
        <v>44019.53125</v>
      </c>
      <c r="K21" s="77">
        <v>44011</v>
      </c>
      <c r="L21" s="77">
        <v>44015</v>
      </c>
      <c r="M21" s="77">
        <v>44015</v>
      </c>
      <c r="N21" s="78">
        <v>1.337</v>
      </c>
      <c r="O21" s="78">
        <v>0.79</v>
      </c>
      <c r="P21" s="74" t="s">
        <v>203</v>
      </c>
      <c r="Q21" s="74" t="s">
        <v>676</v>
      </c>
      <c r="R21" s="74" t="s">
        <v>788</v>
      </c>
      <c r="S21" s="79"/>
      <c r="T21" s="76" t="b">
        <v>0</v>
      </c>
      <c r="U21" s="77">
        <v>44007.3909837963</v>
      </c>
    </row>
    <row r="22" spans="1:21">
      <c r="A22" s="74" t="s">
        <v>789</v>
      </c>
      <c r="B22" s="74" t="s">
        <v>202</v>
      </c>
      <c r="C22" s="74" t="s">
        <v>790</v>
      </c>
      <c r="D22" s="74" t="s">
        <v>726</v>
      </c>
      <c r="E22" s="75">
        <v>7</v>
      </c>
      <c r="F22" s="75">
        <v>2020</v>
      </c>
      <c r="G22" s="75">
        <v>28</v>
      </c>
      <c r="H22" s="76" t="b">
        <v>1</v>
      </c>
      <c r="I22" s="77">
        <v>44019.531365740702</v>
      </c>
      <c r="J22" s="77">
        <v>44019.552777777797</v>
      </c>
      <c r="K22" s="77">
        <v>44011</v>
      </c>
      <c r="L22" s="77">
        <v>44015</v>
      </c>
      <c r="M22" s="77">
        <v>44015</v>
      </c>
      <c r="N22" s="78">
        <v>3.3000000000000002E-2</v>
      </c>
      <c r="O22" s="78">
        <v>1.25</v>
      </c>
      <c r="P22" s="74" t="s">
        <v>203</v>
      </c>
      <c r="Q22" s="74" t="s">
        <v>676</v>
      </c>
      <c r="R22" s="74" t="s">
        <v>791</v>
      </c>
      <c r="S22" s="79"/>
      <c r="T22" s="76" t="b">
        <v>0</v>
      </c>
      <c r="U22" s="77">
        <v>44007.372731481497</v>
      </c>
    </row>
    <row r="23" spans="1:21">
      <c r="A23" s="74" t="s">
        <v>792</v>
      </c>
      <c r="B23" s="74" t="s">
        <v>202</v>
      </c>
      <c r="C23" s="74" t="s">
        <v>793</v>
      </c>
      <c r="D23" s="74" t="s">
        <v>726</v>
      </c>
      <c r="E23" s="75">
        <v>8</v>
      </c>
      <c r="F23" s="75">
        <v>2020</v>
      </c>
      <c r="G23" s="75">
        <v>28</v>
      </c>
      <c r="H23" s="80" t="b">
        <v>0</v>
      </c>
      <c r="I23" s="77">
        <v>44019.6258101852</v>
      </c>
      <c r="J23" s="77">
        <v>44019.640972222202</v>
      </c>
      <c r="K23" s="77">
        <v>44012</v>
      </c>
      <c r="L23" s="77">
        <v>44019</v>
      </c>
      <c r="M23" s="77">
        <v>44019</v>
      </c>
      <c r="N23" s="78">
        <v>0.107</v>
      </c>
      <c r="O23" s="78">
        <v>0.92</v>
      </c>
      <c r="P23" s="74" t="s">
        <v>203</v>
      </c>
      <c r="Q23" s="74" t="s">
        <v>671</v>
      </c>
      <c r="R23" s="74" t="s">
        <v>794</v>
      </c>
      <c r="S23" s="79"/>
      <c r="T23" s="76" t="b">
        <v>0</v>
      </c>
      <c r="U23" s="77">
        <v>44007.376585648097</v>
      </c>
    </row>
    <row r="24" spans="1:21">
      <c r="A24" s="74" t="s">
        <v>795</v>
      </c>
      <c r="B24" s="74" t="s">
        <v>202</v>
      </c>
      <c r="C24" s="74" t="s">
        <v>796</v>
      </c>
      <c r="D24" s="74" t="s">
        <v>726</v>
      </c>
      <c r="E24" s="75">
        <v>24</v>
      </c>
      <c r="F24" s="75">
        <v>2020</v>
      </c>
      <c r="G24" s="75">
        <v>28</v>
      </c>
      <c r="H24" s="80" t="b">
        <v>0</v>
      </c>
      <c r="I24" s="77">
        <v>44019.982060185197</v>
      </c>
      <c r="J24" s="77">
        <v>44019.984027777798</v>
      </c>
      <c r="K24" s="77">
        <v>44013</v>
      </c>
      <c r="L24" s="77">
        <v>44020</v>
      </c>
      <c r="M24" s="77">
        <v>44020</v>
      </c>
      <c r="N24" s="78">
        <v>1.4319999999999999</v>
      </c>
      <c r="O24" s="78">
        <v>0.13</v>
      </c>
      <c r="P24" s="74" t="s">
        <v>203</v>
      </c>
      <c r="Q24" s="74" t="s">
        <v>678</v>
      </c>
      <c r="R24" s="74" t="s">
        <v>797</v>
      </c>
      <c r="S24" s="79"/>
      <c r="T24" s="76" t="b">
        <v>0</v>
      </c>
      <c r="U24" s="77">
        <v>44005.389583333301</v>
      </c>
    </row>
    <row r="25" spans="1:21">
      <c r="A25" s="74" t="s">
        <v>798</v>
      </c>
      <c r="B25" s="74" t="s">
        <v>202</v>
      </c>
      <c r="C25" s="74" t="s">
        <v>799</v>
      </c>
      <c r="D25" s="74" t="s">
        <v>726</v>
      </c>
      <c r="E25" s="75">
        <v>1</v>
      </c>
      <c r="F25" s="75">
        <v>2020</v>
      </c>
      <c r="G25" s="75">
        <v>28</v>
      </c>
      <c r="H25" s="80" t="b">
        <v>0</v>
      </c>
      <c r="I25" s="77">
        <v>44020.739699074104</v>
      </c>
      <c r="J25" s="77">
        <v>44020.745833333298</v>
      </c>
      <c r="K25" s="77">
        <v>44013</v>
      </c>
      <c r="L25" s="77">
        <v>44018</v>
      </c>
      <c r="M25" s="77">
        <v>44018</v>
      </c>
      <c r="N25" s="78">
        <v>0.26800000000000002</v>
      </c>
      <c r="O25" s="78">
        <v>0.4</v>
      </c>
      <c r="P25" s="74" t="s">
        <v>203</v>
      </c>
      <c r="Q25" s="74" t="s">
        <v>734</v>
      </c>
      <c r="R25" s="74" t="s">
        <v>800</v>
      </c>
      <c r="S25" s="79"/>
      <c r="T25" s="76" t="b">
        <v>0</v>
      </c>
      <c r="U25" s="77">
        <v>44006.3836226852</v>
      </c>
    </row>
    <row r="26" spans="1:21">
      <c r="A26" s="74" t="s">
        <v>801</v>
      </c>
      <c r="B26" s="74" t="s">
        <v>202</v>
      </c>
      <c r="C26" s="74" t="s">
        <v>802</v>
      </c>
      <c r="D26" s="74" t="s">
        <v>726</v>
      </c>
      <c r="E26" s="75">
        <v>9</v>
      </c>
      <c r="F26" s="75">
        <v>2020</v>
      </c>
      <c r="G26" s="75">
        <v>28</v>
      </c>
      <c r="H26" s="80" t="b">
        <v>0</v>
      </c>
      <c r="I26" s="77">
        <v>44020.798032407401</v>
      </c>
      <c r="J26" s="77">
        <v>44020.823611111096</v>
      </c>
      <c r="K26" s="77">
        <v>44013</v>
      </c>
      <c r="L26" s="77">
        <v>44020</v>
      </c>
      <c r="M26" s="77">
        <v>44020</v>
      </c>
      <c r="N26" s="78">
        <v>0.25700000000000001</v>
      </c>
      <c r="O26" s="78">
        <v>1.52</v>
      </c>
      <c r="P26" s="74" t="s">
        <v>203</v>
      </c>
      <c r="Q26" s="74" t="s">
        <v>785</v>
      </c>
      <c r="R26" s="74" t="s">
        <v>803</v>
      </c>
      <c r="S26" s="79"/>
      <c r="T26" s="76" t="b">
        <v>0</v>
      </c>
      <c r="U26" s="77">
        <v>44007.334467592598</v>
      </c>
    </row>
    <row r="27" spans="1:21">
      <c r="A27" s="74" t="s">
        <v>804</v>
      </c>
      <c r="B27" s="74" t="s">
        <v>202</v>
      </c>
      <c r="C27" s="74" t="s">
        <v>805</v>
      </c>
      <c r="D27" s="74" t="s">
        <v>726</v>
      </c>
      <c r="E27" s="75">
        <v>16</v>
      </c>
      <c r="F27" s="75">
        <v>2020</v>
      </c>
      <c r="G27" s="75">
        <v>28</v>
      </c>
      <c r="H27" s="80" t="b">
        <v>0</v>
      </c>
      <c r="I27" s="77">
        <v>44020.904282407399</v>
      </c>
      <c r="J27" s="77">
        <v>44020.913888888899</v>
      </c>
      <c r="K27" s="77">
        <v>44014</v>
      </c>
      <c r="L27" s="77">
        <v>44021</v>
      </c>
      <c r="M27" s="77">
        <v>44021</v>
      </c>
      <c r="N27" s="78">
        <v>0.35399999999999998</v>
      </c>
      <c r="O27" s="78">
        <v>0.6</v>
      </c>
      <c r="P27" s="74" t="s">
        <v>203</v>
      </c>
      <c r="Q27" s="74" t="s">
        <v>671</v>
      </c>
      <c r="R27" s="74" t="s">
        <v>806</v>
      </c>
      <c r="S27" s="79"/>
      <c r="T27" s="76" t="b">
        <v>0</v>
      </c>
      <c r="U27" s="77">
        <v>44006.384837963</v>
      </c>
    </row>
    <row r="28" spans="1:21">
      <c r="A28" s="74" t="s">
        <v>807</v>
      </c>
      <c r="B28" s="74" t="s">
        <v>202</v>
      </c>
      <c r="C28" s="74" t="s">
        <v>808</v>
      </c>
      <c r="D28" s="74" t="s">
        <v>726</v>
      </c>
      <c r="E28" s="75">
        <v>16</v>
      </c>
      <c r="F28" s="75">
        <v>2020</v>
      </c>
      <c r="G28" s="75">
        <v>28</v>
      </c>
      <c r="H28" s="80" t="b">
        <v>0</v>
      </c>
      <c r="I28" s="77">
        <v>44020.914004629602</v>
      </c>
      <c r="J28" s="77">
        <v>44020.922222222202</v>
      </c>
      <c r="K28" s="77">
        <v>44014</v>
      </c>
      <c r="L28" s="77">
        <v>44020</v>
      </c>
      <c r="M28" s="77">
        <v>44020</v>
      </c>
      <c r="N28" s="78">
        <v>7.4999999999999997E-2</v>
      </c>
      <c r="O28" s="78">
        <v>0.5</v>
      </c>
      <c r="P28" s="74" t="s">
        <v>203</v>
      </c>
      <c r="Q28" s="74" t="s">
        <v>514</v>
      </c>
      <c r="R28" s="74" t="s">
        <v>809</v>
      </c>
      <c r="S28" s="79"/>
      <c r="T28" s="76" t="b">
        <v>0</v>
      </c>
      <c r="U28" s="77">
        <v>44008.540393518502</v>
      </c>
    </row>
    <row r="29" spans="1:21">
      <c r="A29" s="74" t="s">
        <v>810</v>
      </c>
      <c r="B29" s="74" t="s">
        <v>202</v>
      </c>
      <c r="C29" s="74" t="s">
        <v>811</v>
      </c>
      <c r="D29" s="74" t="s">
        <v>726</v>
      </c>
      <c r="E29" s="75">
        <v>24</v>
      </c>
      <c r="F29" s="75">
        <v>2020</v>
      </c>
      <c r="G29" s="75">
        <v>28</v>
      </c>
      <c r="H29" s="80" t="b">
        <v>0</v>
      </c>
      <c r="I29" s="77">
        <v>44020.985532407401</v>
      </c>
      <c r="J29" s="77">
        <v>44020.986111111102</v>
      </c>
      <c r="K29" s="77">
        <v>44014</v>
      </c>
      <c r="L29" s="77">
        <v>44021</v>
      </c>
      <c r="M29" s="77">
        <v>44021</v>
      </c>
      <c r="N29" s="78">
        <v>2.1480000000000001</v>
      </c>
      <c r="O29" s="78">
        <v>0.08</v>
      </c>
      <c r="P29" s="74" t="s">
        <v>220</v>
      </c>
      <c r="Q29" s="74" t="s">
        <v>689</v>
      </c>
      <c r="R29" s="74" t="s">
        <v>812</v>
      </c>
      <c r="S29" s="74" t="s">
        <v>813</v>
      </c>
      <c r="T29" s="76" t="b">
        <v>0</v>
      </c>
      <c r="U29" s="77">
        <v>44004.6187615741</v>
      </c>
    </row>
    <row r="30" spans="1:21">
      <c r="A30" s="74" t="s">
        <v>814</v>
      </c>
      <c r="B30" s="74" t="s">
        <v>202</v>
      </c>
      <c r="C30" s="74" t="s">
        <v>815</v>
      </c>
      <c r="D30" s="74" t="s">
        <v>726</v>
      </c>
      <c r="E30" s="75">
        <v>33</v>
      </c>
      <c r="F30" s="75">
        <v>2020</v>
      </c>
      <c r="G30" s="75">
        <v>28</v>
      </c>
      <c r="H30" s="80" t="b">
        <v>0</v>
      </c>
      <c r="I30" s="77">
        <v>44021.028587963003</v>
      </c>
      <c r="J30" s="77">
        <v>44021.039583333302</v>
      </c>
      <c r="K30" s="77">
        <v>44014</v>
      </c>
      <c r="L30" s="77">
        <v>44021</v>
      </c>
      <c r="M30" s="77">
        <v>44021</v>
      </c>
      <c r="N30" s="78">
        <v>0.13</v>
      </c>
      <c r="O30" s="78">
        <v>0.65</v>
      </c>
      <c r="P30" s="74" t="s">
        <v>203</v>
      </c>
      <c r="Q30" s="74" t="s">
        <v>474</v>
      </c>
      <c r="R30" s="74" t="s">
        <v>816</v>
      </c>
      <c r="S30" s="79"/>
      <c r="T30" s="76" t="b">
        <v>0</v>
      </c>
      <c r="U30" s="77">
        <v>44007.348310185203</v>
      </c>
    </row>
    <row r="31" spans="1:21">
      <c r="A31" s="74" t="s">
        <v>817</v>
      </c>
      <c r="B31" s="74" t="s">
        <v>202</v>
      </c>
      <c r="C31" s="74" t="s">
        <v>818</v>
      </c>
      <c r="D31" s="74" t="s">
        <v>726</v>
      </c>
      <c r="E31" s="75">
        <v>9</v>
      </c>
      <c r="F31" s="75">
        <v>2020</v>
      </c>
      <c r="G31" s="75">
        <v>28</v>
      </c>
      <c r="H31" s="80" t="b">
        <v>0</v>
      </c>
      <c r="I31" s="77">
        <v>44022.619560185201</v>
      </c>
      <c r="J31" s="77">
        <v>44022.668055555601</v>
      </c>
      <c r="K31" s="77">
        <v>44015</v>
      </c>
      <c r="L31" s="77">
        <v>44021</v>
      </c>
      <c r="M31" s="77">
        <v>44021</v>
      </c>
      <c r="N31" s="78">
        <v>0.42799999999999999</v>
      </c>
      <c r="O31" s="78">
        <v>2.83</v>
      </c>
      <c r="P31" s="74" t="s">
        <v>203</v>
      </c>
      <c r="Q31" s="74" t="s">
        <v>474</v>
      </c>
      <c r="R31" s="74" t="s">
        <v>819</v>
      </c>
      <c r="S31" s="79"/>
      <c r="T31" s="76" t="b">
        <v>0</v>
      </c>
      <c r="U31" s="77">
        <v>44007.655787037002</v>
      </c>
    </row>
    <row r="32" spans="1:21">
      <c r="A32" s="74" t="s">
        <v>820</v>
      </c>
      <c r="B32" s="74" t="s">
        <v>202</v>
      </c>
      <c r="C32" s="74" t="s">
        <v>821</v>
      </c>
      <c r="D32" s="74" t="s">
        <v>726</v>
      </c>
      <c r="E32" s="75">
        <v>70</v>
      </c>
      <c r="F32" s="75">
        <v>2020</v>
      </c>
      <c r="G32" s="75">
        <v>28</v>
      </c>
      <c r="H32" s="80" t="b">
        <v>0</v>
      </c>
      <c r="I32" s="77">
        <v>44022.864004629599</v>
      </c>
      <c r="J32" s="77">
        <v>44022.869444444397</v>
      </c>
      <c r="K32" s="77">
        <v>44018</v>
      </c>
      <c r="L32" s="77">
        <v>44036</v>
      </c>
      <c r="M32" s="77">
        <v>44036</v>
      </c>
      <c r="N32" s="78">
        <v>10</v>
      </c>
      <c r="O32" s="78">
        <v>0.33</v>
      </c>
      <c r="P32" s="74" t="s">
        <v>203</v>
      </c>
      <c r="Q32" s="74" t="s">
        <v>474</v>
      </c>
      <c r="R32" s="74" t="s">
        <v>822</v>
      </c>
      <c r="S32" s="79"/>
      <c r="T32" s="76" t="b">
        <v>0</v>
      </c>
      <c r="U32" s="77">
        <v>44007.267118055599</v>
      </c>
    </row>
    <row r="33" spans="1:21">
      <c r="A33" s="74" t="s">
        <v>823</v>
      </c>
      <c r="B33" s="74" t="s">
        <v>202</v>
      </c>
      <c r="C33" s="74" t="s">
        <v>824</v>
      </c>
      <c r="D33" s="74" t="s">
        <v>726</v>
      </c>
      <c r="E33" s="75">
        <v>2</v>
      </c>
      <c r="F33" s="75">
        <v>2020</v>
      </c>
      <c r="G33" s="75">
        <v>28</v>
      </c>
      <c r="H33" s="80" t="b">
        <v>0</v>
      </c>
      <c r="I33" s="77">
        <v>44022.869560185201</v>
      </c>
      <c r="J33" s="77">
        <v>44022.875694444403</v>
      </c>
      <c r="K33" s="77">
        <v>44018</v>
      </c>
      <c r="L33" s="77">
        <v>44022</v>
      </c>
      <c r="M33" s="77">
        <v>44022</v>
      </c>
      <c r="N33" s="78">
        <v>12</v>
      </c>
      <c r="O33" s="78">
        <v>0.4</v>
      </c>
      <c r="P33" s="74" t="s">
        <v>203</v>
      </c>
      <c r="Q33" s="74" t="s">
        <v>671</v>
      </c>
      <c r="R33" s="74" t="s">
        <v>825</v>
      </c>
      <c r="S33" s="79"/>
      <c r="T33" s="76" t="b">
        <v>0</v>
      </c>
      <c r="U33" s="77">
        <v>44005.4851851852</v>
      </c>
    </row>
    <row r="34" spans="1:21">
      <c r="A34" s="74" t="s">
        <v>826</v>
      </c>
      <c r="B34" s="74" t="s">
        <v>202</v>
      </c>
      <c r="C34" s="74" t="s">
        <v>827</v>
      </c>
      <c r="D34" s="74" t="s">
        <v>726</v>
      </c>
      <c r="E34" s="75">
        <v>16</v>
      </c>
      <c r="F34" s="75">
        <v>2020</v>
      </c>
      <c r="G34" s="75">
        <v>29</v>
      </c>
      <c r="H34" s="80" t="b">
        <v>0</v>
      </c>
      <c r="I34" s="77">
        <v>44025.712615740696</v>
      </c>
      <c r="J34" s="77">
        <v>44025.724305555603</v>
      </c>
      <c r="K34" s="77">
        <v>44019</v>
      </c>
      <c r="L34" s="77">
        <v>44025</v>
      </c>
      <c r="M34" s="77">
        <v>44025</v>
      </c>
      <c r="N34" s="78">
        <v>1.07</v>
      </c>
      <c r="O34" s="78">
        <v>0.72</v>
      </c>
      <c r="P34" s="74" t="s">
        <v>275</v>
      </c>
      <c r="Q34" s="74" t="s">
        <v>689</v>
      </c>
      <c r="R34" s="74" t="s">
        <v>828</v>
      </c>
      <c r="S34" s="79"/>
      <c r="T34" s="76" t="b">
        <v>0</v>
      </c>
      <c r="U34" s="77">
        <v>44005.389444444401</v>
      </c>
    </row>
    <row r="35" spans="1:21">
      <c r="A35" s="74" t="s">
        <v>829</v>
      </c>
      <c r="B35" s="74" t="s">
        <v>202</v>
      </c>
      <c r="C35" s="74" t="s">
        <v>830</v>
      </c>
      <c r="D35" s="74" t="s">
        <v>726</v>
      </c>
      <c r="E35" s="75">
        <v>24</v>
      </c>
      <c r="F35" s="75">
        <v>2020</v>
      </c>
      <c r="G35" s="75">
        <v>29</v>
      </c>
      <c r="H35" s="80" t="b">
        <v>0</v>
      </c>
      <c r="I35" s="77">
        <v>44028.3133101852</v>
      </c>
      <c r="J35" s="77">
        <v>44028.316666666702</v>
      </c>
      <c r="K35" s="77">
        <v>44020</v>
      </c>
      <c r="L35" s="77">
        <v>44026</v>
      </c>
      <c r="M35" s="77">
        <v>44026</v>
      </c>
      <c r="N35" s="78">
        <v>2.5339999999999998</v>
      </c>
      <c r="O35" s="78">
        <v>0.22</v>
      </c>
      <c r="P35" s="74" t="s">
        <v>203</v>
      </c>
      <c r="Q35" s="74" t="s">
        <v>689</v>
      </c>
      <c r="R35" s="74" t="s">
        <v>831</v>
      </c>
      <c r="S35" s="79"/>
      <c r="T35" s="76" t="b">
        <v>0</v>
      </c>
      <c r="U35" s="77">
        <v>44008.696875000001</v>
      </c>
    </row>
    <row r="36" spans="1:21">
      <c r="A36" s="74" t="s">
        <v>832</v>
      </c>
      <c r="B36" s="74" t="s">
        <v>202</v>
      </c>
      <c r="C36" s="74" t="s">
        <v>833</v>
      </c>
      <c r="D36" s="74" t="s">
        <v>726</v>
      </c>
      <c r="E36" s="75">
        <v>14</v>
      </c>
      <c r="F36" s="75">
        <v>2020</v>
      </c>
      <c r="G36" s="75">
        <v>30</v>
      </c>
      <c r="H36" s="80" t="b">
        <v>0</v>
      </c>
      <c r="I36" s="77">
        <v>44033.234837962998</v>
      </c>
      <c r="J36" s="77">
        <v>44033.252083333296</v>
      </c>
      <c r="K36" s="77">
        <v>44025</v>
      </c>
      <c r="L36" s="77">
        <v>44027</v>
      </c>
      <c r="M36" s="77">
        <v>44027</v>
      </c>
      <c r="N36" s="78">
        <v>11.275</v>
      </c>
      <c r="O36" s="78">
        <v>1.04</v>
      </c>
      <c r="P36" s="74" t="s">
        <v>203</v>
      </c>
      <c r="Q36" s="74" t="s">
        <v>689</v>
      </c>
      <c r="R36" s="74" t="s">
        <v>834</v>
      </c>
      <c r="S36" s="79"/>
      <c r="T36" s="76" t="b">
        <v>0</v>
      </c>
      <c r="U36" s="77">
        <v>44007.390115740702</v>
      </c>
    </row>
    <row r="37" spans="1:21">
      <c r="A37" s="74" t="s">
        <v>835</v>
      </c>
      <c r="B37" s="74" t="s">
        <v>202</v>
      </c>
      <c r="C37" s="74" t="s">
        <v>836</v>
      </c>
      <c r="D37" s="74" t="s">
        <v>726</v>
      </c>
      <c r="E37" s="75">
        <v>33</v>
      </c>
      <c r="F37" s="75">
        <v>2020</v>
      </c>
      <c r="G37" s="75">
        <v>30</v>
      </c>
      <c r="H37" s="80" t="b">
        <v>0</v>
      </c>
      <c r="I37" s="77">
        <v>44033.293865740699</v>
      </c>
      <c r="J37" s="77">
        <v>44033.302777777797</v>
      </c>
      <c r="K37" s="77">
        <v>44025</v>
      </c>
      <c r="L37" s="77">
        <v>44039</v>
      </c>
      <c r="M37" s="77">
        <v>44039</v>
      </c>
      <c r="N37" s="78">
        <v>4.16</v>
      </c>
      <c r="O37" s="78">
        <v>0.53</v>
      </c>
      <c r="P37" s="74" t="s">
        <v>203</v>
      </c>
      <c r="Q37" s="74" t="s">
        <v>514</v>
      </c>
      <c r="R37" s="74" t="s">
        <v>837</v>
      </c>
      <c r="S37" s="79"/>
      <c r="T37" s="76" t="b">
        <v>0</v>
      </c>
      <c r="U37" s="77">
        <v>44008.372280092597</v>
      </c>
    </row>
    <row r="38" spans="1:21">
      <c r="A38" s="74" t="s">
        <v>840</v>
      </c>
      <c r="B38" s="74" t="s">
        <v>202</v>
      </c>
      <c r="C38" s="74" t="s">
        <v>841</v>
      </c>
      <c r="D38" s="74" t="s">
        <v>726</v>
      </c>
      <c r="E38" s="75">
        <v>10</v>
      </c>
      <c r="F38" s="75">
        <v>2020</v>
      </c>
      <c r="G38" s="75">
        <v>30</v>
      </c>
      <c r="H38" s="80" t="b">
        <v>0</v>
      </c>
      <c r="I38" s="77">
        <v>44033.635532407403</v>
      </c>
      <c r="J38" s="77">
        <v>44034.025694444397</v>
      </c>
      <c r="K38" s="77">
        <v>44027</v>
      </c>
      <c r="L38" s="77">
        <v>44029</v>
      </c>
      <c r="M38" s="77">
        <v>44029</v>
      </c>
      <c r="N38" s="78">
        <v>14</v>
      </c>
      <c r="O38" s="78">
        <v>22</v>
      </c>
      <c r="P38" s="74" t="s">
        <v>203</v>
      </c>
      <c r="Q38" s="74" t="s">
        <v>778</v>
      </c>
      <c r="R38" s="74" t="s">
        <v>842</v>
      </c>
      <c r="S38" s="79"/>
      <c r="T38" s="76" t="b">
        <v>0</v>
      </c>
      <c r="U38" s="77">
        <v>44007.990462962996</v>
      </c>
    </row>
    <row r="39" spans="1:21">
      <c r="A39" s="74" t="s">
        <v>844</v>
      </c>
      <c r="B39" s="74" t="s">
        <v>202</v>
      </c>
      <c r="C39" s="74" t="s">
        <v>845</v>
      </c>
      <c r="D39" s="74" t="s">
        <v>726</v>
      </c>
      <c r="E39" s="75">
        <v>16</v>
      </c>
      <c r="F39" s="75">
        <v>2020</v>
      </c>
      <c r="G39" s="75">
        <v>26</v>
      </c>
      <c r="H39" s="76" t="b">
        <v>1</v>
      </c>
      <c r="I39" s="77">
        <v>44006</v>
      </c>
      <c r="J39" s="77">
        <v>44011</v>
      </c>
      <c r="K39" s="77">
        <v>44006</v>
      </c>
      <c r="L39" s="77">
        <v>44015</v>
      </c>
      <c r="M39" s="77">
        <v>44015</v>
      </c>
      <c r="N39" s="78">
        <v>1.38</v>
      </c>
      <c r="O39" s="78">
        <v>0.35599999999999998</v>
      </c>
      <c r="P39" s="74" t="s">
        <v>203</v>
      </c>
      <c r="Q39" s="74" t="s">
        <v>678</v>
      </c>
      <c r="R39" s="74" t="s">
        <v>216</v>
      </c>
      <c r="S39" s="74" t="s">
        <v>234</v>
      </c>
      <c r="T39" s="76" t="b">
        <v>0</v>
      </c>
      <c r="U39" s="77">
        <v>44005.389826388899</v>
      </c>
    </row>
    <row r="40" spans="1:21">
      <c r="A40" s="74" t="s">
        <v>846</v>
      </c>
      <c r="B40" s="74" t="s">
        <v>202</v>
      </c>
      <c r="C40" s="74" t="s">
        <v>847</v>
      </c>
      <c r="D40" s="74" t="s">
        <v>726</v>
      </c>
      <c r="E40" s="75">
        <v>9</v>
      </c>
      <c r="F40" s="75">
        <v>2020</v>
      </c>
      <c r="G40" s="75">
        <v>21</v>
      </c>
      <c r="H40" s="76" t="b">
        <v>1</v>
      </c>
      <c r="I40" s="77">
        <v>43971</v>
      </c>
      <c r="J40" s="77">
        <v>43973</v>
      </c>
      <c r="K40" s="77">
        <v>43971</v>
      </c>
      <c r="L40" s="77">
        <v>43980</v>
      </c>
      <c r="M40" s="77">
        <v>43980</v>
      </c>
      <c r="N40" s="78">
        <v>0.54544999999999999</v>
      </c>
      <c r="O40" s="78">
        <v>0.42199999999999999</v>
      </c>
      <c r="P40" s="74" t="s">
        <v>220</v>
      </c>
      <c r="Q40" s="74" t="s">
        <v>514</v>
      </c>
      <c r="R40" s="74" t="s">
        <v>848</v>
      </c>
      <c r="S40" s="74" t="s">
        <v>234</v>
      </c>
      <c r="T40" s="76" t="b">
        <v>0</v>
      </c>
      <c r="U40" s="77">
        <v>44006.634826388901</v>
      </c>
    </row>
    <row r="41" spans="1:21">
      <c r="A41" s="74" t="s">
        <v>849</v>
      </c>
      <c r="B41" s="74" t="s">
        <v>202</v>
      </c>
      <c r="C41" s="74" t="s">
        <v>850</v>
      </c>
      <c r="D41" s="74" t="s">
        <v>726</v>
      </c>
      <c r="E41" s="75">
        <v>11</v>
      </c>
      <c r="F41" s="75">
        <v>2020</v>
      </c>
      <c r="G41" s="75">
        <v>26</v>
      </c>
      <c r="H41" s="76" t="b">
        <v>1</v>
      </c>
      <c r="I41" s="77">
        <v>44006</v>
      </c>
      <c r="J41" s="77">
        <v>44008</v>
      </c>
      <c r="K41" s="77">
        <v>44006</v>
      </c>
      <c r="L41" s="77">
        <v>44015</v>
      </c>
      <c r="M41" s="77">
        <v>44015</v>
      </c>
      <c r="N41" s="78">
        <v>6.9000000000000006E-2</v>
      </c>
      <c r="O41" s="78">
        <v>0.91600000000000004</v>
      </c>
      <c r="P41" s="74" t="s">
        <v>220</v>
      </c>
      <c r="Q41" s="74" t="s">
        <v>689</v>
      </c>
      <c r="R41" s="74" t="s">
        <v>851</v>
      </c>
      <c r="S41" s="74" t="s">
        <v>234</v>
      </c>
      <c r="T41" s="76" t="b">
        <v>0</v>
      </c>
      <c r="U41" s="77">
        <v>44004.377326388902</v>
      </c>
    </row>
    <row r="42" spans="1:21">
      <c r="A42" s="74" t="s">
        <v>854</v>
      </c>
      <c r="B42" s="74" t="s">
        <v>202</v>
      </c>
      <c r="C42" s="74" t="s">
        <v>855</v>
      </c>
      <c r="D42" s="74" t="s">
        <v>726</v>
      </c>
      <c r="E42" s="75">
        <v>19</v>
      </c>
      <c r="F42" s="75">
        <v>2020</v>
      </c>
      <c r="G42" s="75">
        <v>25</v>
      </c>
      <c r="H42" s="76" t="b">
        <v>1</v>
      </c>
      <c r="I42" s="77">
        <v>43998</v>
      </c>
      <c r="J42" s="77">
        <v>44001</v>
      </c>
      <c r="K42" s="77">
        <v>43998</v>
      </c>
      <c r="L42" s="77">
        <v>44004</v>
      </c>
      <c r="M42" s="77">
        <v>44004</v>
      </c>
      <c r="N42" s="78">
        <v>0.17</v>
      </c>
      <c r="O42" s="78">
        <v>0.41899999999999998</v>
      </c>
      <c r="P42" s="74" t="s">
        <v>275</v>
      </c>
      <c r="Q42" s="74" t="s">
        <v>514</v>
      </c>
      <c r="R42" s="74" t="s">
        <v>856</v>
      </c>
      <c r="S42" s="74" t="s">
        <v>234</v>
      </c>
      <c r="T42" s="76" t="b">
        <v>0</v>
      </c>
      <c r="U42" s="77">
        <v>44006.643981481502</v>
      </c>
    </row>
    <row r="43" spans="1:21">
      <c r="A43" s="74" t="s">
        <v>857</v>
      </c>
      <c r="B43" s="74" t="s">
        <v>202</v>
      </c>
      <c r="C43" s="74" t="s">
        <v>858</v>
      </c>
      <c r="D43" s="74" t="s">
        <v>726</v>
      </c>
      <c r="E43" s="75">
        <v>1</v>
      </c>
      <c r="F43" s="75">
        <v>2020</v>
      </c>
      <c r="G43" s="75">
        <v>27</v>
      </c>
      <c r="H43" s="76" t="b">
        <v>1</v>
      </c>
      <c r="I43" s="77">
        <v>44011</v>
      </c>
      <c r="J43" s="77">
        <v>44011</v>
      </c>
      <c r="K43" s="77">
        <v>44011</v>
      </c>
      <c r="L43" s="77">
        <v>44012</v>
      </c>
      <c r="M43" s="77">
        <v>44012</v>
      </c>
      <c r="N43" s="78">
        <v>0.05</v>
      </c>
      <c r="O43" s="78">
        <v>0</v>
      </c>
      <c r="P43" s="74" t="s">
        <v>203</v>
      </c>
      <c r="Q43" s="74" t="s">
        <v>859</v>
      </c>
      <c r="R43" s="74" t="s">
        <v>336</v>
      </c>
      <c r="S43" s="74" t="s">
        <v>234</v>
      </c>
      <c r="T43" s="76" t="b">
        <v>0</v>
      </c>
      <c r="U43" s="77">
        <v>44007.383067129602</v>
      </c>
    </row>
    <row r="44" spans="1:21">
      <c r="A44" s="74" t="s">
        <v>860</v>
      </c>
      <c r="B44" s="74" t="s">
        <v>202</v>
      </c>
      <c r="C44" s="74" t="s">
        <v>861</v>
      </c>
      <c r="D44" s="74" t="s">
        <v>726</v>
      </c>
      <c r="E44" s="75">
        <v>16</v>
      </c>
      <c r="F44" s="75">
        <v>2020</v>
      </c>
      <c r="G44" s="75">
        <v>25</v>
      </c>
      <c r="H44" s="76" t="b">
        <v>1</v>
      </c>
      <c r="I44" s="77">
        <v>44000</v>
      </c>
      <c r="J44" s="77">
        <v>44007</v>
      </c>
      <c r="K44" s="77">
        <v>44000</v>
      </c>
      <c r="L44" s="77">
        <v>44008</v>
      </c>
      <c r="M44" s="77">
        <v>44008</v>
      </c>
      <c r="N44" s="78">
        <v>0.3</v>
      </c>
      <c r="O44" s="78">
        <v>0.59299999999999997</v>
      </c>
      <c r="P44" s="74" t="s">
        <v>203</v>
      </c>
      <c r="Q44" s="74" t="s">
        <v>474</v>
      </c>
      <c r="R44" s="74" t="s">
        <v>862</v>
      </c>
      <c r="S44" s="74" t="s">
        <v>234</v>
      </c>
      <c r="T44" s="76" t="b">
        <v>0</v>
      </c>
      <c r="U44" s="77">
        <v>44005.390196759297</v>
      </c>
    </row>
    <row r="45" spans="1:21">
      <c r="A45" s="74" t="s">
        <v>863</v>
      </c>
      <c r="B45" s="74" t="s">
        <v>202</v>
      </c>
      <c r="C45" s="74" t="s">
        <v>838</v>
      </c>
      <c r="D45" s="74" t="s">
        <v>726</v>
      </c>
      <c r="E45" s="75">
        <v>19</v>
      </c>
      <c r="F45" s="75">
        <v>2020</v>
      </c>
      <c r="G45" s="75">
        <v>24</v>
      </c>
      <c r="H45" s="76" t="b">
        <v>1</v>
      </c>
      <c r="I45" s="77">
        <v>43991</v>
      </c>
      <c r="J45" s="77">
        <v>43998</v>
      </c>
      <c r="K45" s="77">
        <v>43991</v>
      </c>
      <c r="L45" s="77">
        <v>43999</v>
      </c>
      <c r="M45" s="77">
        <v>43999</v>
      </c>
      <c r="N45" s="78">
        <v>1.3136000000000001</v>
      </c>
      <c r="O45" s="78">
        <v>40.619999999999997</v>
      </c>
      <c r="P45" s="74" t="s">
        <v>220</v>
      </c>
      <c r="Q45" s="74" t="s">
        <v>671</v>
      </c>
      <c r="R45" s="74" t="s">
        <v>839</v>
      </c>
      <c r="S45" s="74" t="s">
        <v>234</v>
      </c>
      <c r="T45" s="76" t="b">
        <v>0</v>
      </c>
      <c r="U45" s="77">
        <v>43985.578599537002</v>
      </c>
    </row>
    <row r="46" spans="1:21">
      <c r="A46" s="74" t="s">
        <v>864</v>
      </c>
      <c r="B46" s="74" t="s">
        <v>202</v>
      </c>
      <c r="C46" s="74" t="s">
        <v>865</v>
      </c>
      <c r="D46" s="74" t="s">
        <v>726</v>
      </c>
      <c r="E46" s="75">
        <v>8</v>
      </c>
      <c r="F46" s="75">
        <v>2020</v>
      </c>
      <c r="G46" s="75">
        <v>25</v>
      </c>
      <c r="H46" s="76" t="b">
        <v>1</v>
      </c>
      <c r="I46" s="77">
        <v>44000</v>
      </c>
      <c r="J46" s="77">
        <v>44004</v>
      </c>
      <c r="K46" s="77">
        <v>44000</v>
      </c>
      <c r="L46" s="77">
        <v>44006</v>
      </c>
      <c r="M46" s="77">
        <v>44006</v>
      </c>
      <c r="N46" s="78">
        <v>0.107</v>
      </c>
      <c r="O46" s="78">
        <v>1.982</v>
      </c>
      <c r="P46" s="74" t="s">
        <v>203</v>
      </c>
      <c r="Q46" s="74" t="s">
        <v>785</v>
      </c>
      <c r="R46" s="74" t="s">
        <v>866</v>
      </c>
      <c r="S46" s="74" t="s">
        <v>234</v>
      </c>
      <c r="T46" s="76" t="b">
        <v>0</v>
      </c>
      <c r="U46" s="77">
        <v>44007.4844212963</v>
      </c>
    </row>
    <row r="47" spans="1:21">
      <c r="A47" s="74" t="s">
        <v>867</v>
      </c>
      <c r="B47" s="74" t="s">
        <v>202</v>
      </c>
      <c r="C47" s="74" t="s">
        <v>868</v>
      </c>
      <c r="D47" s="74" t="s">
        <v>726</v>
      </c>
      <c r="E47" s="75">
        <v>16</v>
      </c>
      <c r="F47" s="75">
        <v>2020</v>
      </c>
      <c r="G47" s="75">
        <v>25</v>
      </c>
      <c r="H47" s="76" t="b">
        <v>1</v>
      </c>
      <c r="I47" s="77">
        <v>44001</v>
      </c>
      <c r="J47" s="77">
        <v>44008</v>
      </c>
      <c r="K47" s="77">
        <v>44001</v>
      </c>
      <c r="L47" s="77">
        <v>44012</v>
      </c>
      <c r="M47" s="77">
        <v>44012</v>
      </c>
      <c r="N47" s="78">
        <v>3</v>
      </c>
      <c r="O47" s="78">
        <v>0.75</v>
      </c>
      <c r="P47" s="74" t="s">
        <v>203</v>
      </c>
      <c r="Q47" s="74" t="s">
        <v>689</v>
      </c>
      <c r="R47" s="74" t="s">
        <v>862</v>
      </c>
      <c r="S47" s="74" t="s">
        <v>234</v>
      </c>
      <c r="T47" s="76" t="b">
        <v>0</v>
      </c>
      <c r="U47" s="77">
        <v>44008.371759259302</v>
      </c>
    </row>
    <row r="48" spans="1:21">
      <c r="A48" s="74" t="s">
        <v>869</v>
      </c>
      <c r="B48" s="74" t="s">
        <v>202</v>
      </c>
      <c r="C48" s="74" t="s">
        <v>870</v>
      </c>
      <c r="D48" s="74" t="s">
        <v>726</v>
      </c>
      <c r="E48" s="75">
        <v>19</v>
      </c>
      <c r="F48" s="75">
        <v>2020</v>
      </c>
      <c r="G48" s="75">
        <v>25</v>
      </c>
      <c r="H48" s="76" t="b">
        <v>1</v>
      </c>
      <c r="I48" s="77">
        <v>43998</v>
      </c>
      <c r="J48" s="77">
        <v>44001</v>
      </c>
      <c r="K48" s="77">
        <v>43998</v>
      </c>
      <c r="L48" s="77">
        <v>44004</v>
      </c>
      <c r="M48" s="77">
        <v>44004</v>
      </c>
      <c r="N48" s="78">
        <v>0.125</v>
      </c>
      <c r="O48" s="78">
        <v>0.42</v>
      </c>
      <c r="P48" s="74" t="s">
        <v>275</v>
      </c>
      <c r="Q48" s="74" t="s">
        <v>514</v>
      </c>
      <c r="R48" s="74" t="s">
        <v>871</v>
      </c>
      <c r="S48" s="74" t="s">
        <v>234</v>
      </c>
      <c r="T48" s="76" t="b">
        <v>0</v>
      </c>
      <c r="U48" s="77">
        <v>44006.645636574103</v>
      </c>
    </row>
    <row r="49" spans="1:21">
      <c r="A49" s="74" t="s">
        <v>872</v>
      </c>
      <c r="B49" s="74" t="s">
        <v>202</v>
      </c>
      <c r="C49" s="74" t="s">
        <v>873</v>
      </c>
      <c r="D49" s="74" t="s">
        <v>726</v>
      </c>
      <c r="E49" s="75">
        <v>12</v>
      </c>
      <c r="F49" s="75">
        <v>2020</v>
      </c>
      <c r="G49" s="75">
        <v>25</v>
      </c>
      <c r="H49" s="76" t="b">
        <v>1</v>
      </c>
      <c r="I49" s="77">
        <v>44001</v>
      </c>
      <c r="J49" s="77">
        <v>44008</v>
      </c>
      <c r="K49" s="77">
        <v>44001</v>
      </c>
      <c r="L49" s="77">
        <v>44011</v>
      </c>
      <c r="M49" s="77">
        <v>44011</v>
      </c>
      <c r="N49" s="78">
        <v>0.37209999999999999</v>
      </c>
      <c r="O49" s="78">
        <v>0.56100000000000005</v>
      </c>
      <c r="P49" s="74" t="s">
        <v>203</v>
      </c>
      <c r="Q49" s="74" t="s">
        <v>676</v>
      </c>
      <c r="R49" s="74" t="s">
        <v>874</v>
      </c>
      <c r="S49" s="74" t="s">
        <v>234</v>
      </c>
      <c r="T49" s="76" t="b">
        <v>0</v>
      </c>
      <c r="U49" s="77">
        <v>44005.390069444402</v>
      </c>
    </row>
    <row r="50" spans="1:21">
      <c r="A50" s="74" t="s">
        <v>875</v>
      </c>
      <c r="B50" s="74" t="s">
        <v>202</v>
      </c>
      <c r="C50" s="74" t="s">
        <v>876</v>
      </c>
      <c r="D50" s="74" t="s">
        <v>726</v>
      </c>
      <c r="E50" s="75">
        <v>11</v>
      </c>
      <c r="F50" s="75">
        <v>2020</v>
      </c>
      <c r="G50" s="75">
        <v>26</v>
      </c>
      <c r="H50" s="76" t="b">
        <v>1</v>
      </c>
      <c r="I50" s="77">
        <v>44006</v>
      </c>
      <c r="J50" s="77">
        <v>44011</v>
      </c>
      <c r="K50" s="77">
        <v>44006</v>
      </c>
      <c r="L50" s="77">
        <v>44013</v>
      </c>
      <c r="M50" s="77">
        <v>44013</v>
      </c>
      <c r="N50" s="78">
        <v>0.26750000000000002</v>
      </c>
      <c r="O50" s="78">
        <v>0.48899999999999999</v>
      </c>
      <c r="P50" s="74" t="s">
        <v>203</v>
      </c>
      <c r="Q50" s="74" t="s">
        <v>671</v>
      </c>
      <c r="R50" s="74" t="s">
        <v>877</v>
      </c>
      <c r="S50" s="74" t="s">
        <v>234</v>
      </c>
      <c r="T50" s="76" t="b">
        <v>0</v>
      </c>
      <c r="U50" s="77">
        <v>44005.580729166701</v>
      </c>
    </row>
    <row r="51" spans="1:21">
      <c r="A51" s="74" t="s">
        <v>878</v>
      </c>
      <c r="B51" s="74" t="s">
        <v>202</v>
      </c>
      <c r="C51" s="74" t="s">
        <v>879</v>
      </c>
      <c r="D51" s="74" t="s">
        <v>726</v>
      </c>
      <c r="E51" s="75">
        <v>1</v>
      </c>
      <c r="F51" s="75">
        <v>2020</v>
      </c>
      <c r="G51" s="75">
        <v>26</v>
      </c>
      <c r="H51" s="76" t="b">
        <v>1</v>
      </c>
      <c r="I51" s="77">
        <v>44005</v>
      </c>
      <c r="J51" s="77">
        <v>44008</v>
      </c>
      <c r="K51" s="77">
        <v>44005</v>
      </c>
      <c r="L51" s="77">
        <v>44011</v>
      </c>
      <c r="M51" s="77">
        <v>44011</v>
      </c>
      <c r="N51" s="78">
        <v>0.26250000000000001</v>
      </c>
      <c r="O51" s="78">
        <v>0</v>
      </c>
      <c r="P51" s="74" t="s">
        <v>203</v>
      </c>
      <c r="Q51" s="74" t="s">
        <v>514</v>
      </c>
      <c r="R51" s="74" t="s">
        <v>880</v>
      </c>
      <c r="S51" s="74" t="s">
        <v>234</v>
      </c>
      <c r="T51" s="76" t="b">
        <v>0</v>
      </c>
      <c r="U51" s="77">
        <v>44008.585717592599</v>
      </c>
    </row>
    <row r="52" spans="1:21">
      <c r="A52" s="74" t="s">
        <v>881</v>
      </c>
      <c r="B52" s="74" t="s">
        <v>202</v>
      </c>
      <c r="C52" s="74" t="s">
        <v>882</v>
      </c>
      <c r="D52" s="74" t="s">
        <v>726</v>
      </c>
      <c r="E52" s="75">
        <v>14</v>
      </c>
      <c r="F52" s="75">
        <v>2020</v>
      </c>
      <c r="G52" s="75">
        <v>26</v>
      </c>
      <c r="H52" s="76" t="b">
        <v>1</v>
      </c>
      <c r="I52" s="77">
        <v>44006</v>
      </c>
      <c r="J52" s="77">
        <v>44011</v>
      </c>
      <c r="K52" s="77">
        <v>44006</v>
      </c>
      <c r="L52" s="77">
        <v>44013</v>
      </c>
      <c r="M52" s="77">
        <v>44013</v>
      </c>
      <c r="N52" s="78">
        <v>5.4315000000000002E-2</v>
      </c>
      <c r="O52" s="78">
        <v>0.77100000000000002</v>
      </c>
      <c r="P52" s="74" t="s">
        <v>203</v>
      </c>
      <c r="Q52" s="74" t="s">
        <v>514</v>
      </c>
      <c r="R52" s="74" t="s">
        <v>883</v>
      </c>
      <c r="S52" s="74" t="s">
        <v>234</v>
      </c>
      <c r="T52" s="76" t="b">
        <v>0</v>
      </c>
      <c r="U52" s="77">
        <v>44007.3805208333</v>
      </c>
    </row>
    <row r="53" spans="1:21">
      <c r="A53" s="74" t="s">
        <v>884</v>
      </c>
      <c r="B53" s="74" t="s">
        <v>202</v>
      </c>
      <c r="C53" s="74" t="s">
        <v>885</v>
      </c>
      <c r="D53" s="74" t="s">
        <v>726</v>
      </c>
      <c r="E53" s="75">
        <v>1</v>
      </c>
      <c r="F53" s="75">
        <v>2020</v>
      </c>
      <c r="G53" s="75">
        <v>24</v>
      </c>
      <c r="H53" s="76" t="b">
        <v>1</v>
      </c>
      <c r="I53" s="77">
        <v>43990</v>
      </c>
      <c r="J53" s="77">
        <v>43994</v>
      </c>
      <c r="K53" s="77">
        <v>43990</v>
      </c>
      <c r="L53" s="77">
        <v>43997</v>
      </c>
      <c r="M53" s="77">
        <v>43997</v>
      </c>
      <c r="N53" s="78">
        <v>14</v>
      </c>
      <c r="O53" s="78">
        <v>0</v>
      </c>
      <c r="P53" s="74" t="s">
        <v>460</v>
      </c>
      <c r="Q53" s="74" t="s">
        <v>678</v>
      </c>
      <c r="R53" s="74" t="s">
        <v>886</v>
      </c>
      <c r="S53" s="74" t="s">
        <v>234</v>
      </c>
      <c r="T53" s="76" t="b">
        <v>0</v>
      </c>
      <c r="U53" s="77">
        <v>43986.935370370396</v>
      </c>
    </row>
    <row r="54" spans="1:21">
      <c r="A54" s="74" t="s">
        <v>887</v>
      </c>
      <c r="B54" s="74" t="s">
        <v>202</v>
      </c>
      <c r="C54" s="74" t="s">
        <v>888</v>
      </c>
      <c r="D54" s="74" t="s">
        <v>726</v>
      </c>
      <c r="E54" s="75">
        <v>19</v>
      </c>
      <c r="F54" s="75">
        <v>2020</v>
      </c>
      <c r="G54" s="75">
        <v>26</v>
      </c>
      <c r="H54" s="76" t="b">
        <v>1</v>
      </c>
      <c r="I54" s="77">
        <v>44004</v>
      </c>
      <c r="J54" s="77">
        <v>44007</v>
      </c>
      <c r="K54" s="77">
        <v>44004</v>
      </c>
      <c r="L54" s="77">
        <v>44015</v>
      </c>
      <c r="M54" s="77">
        <v>44015</v>
      </c>
      <c r="N54" s="78">
        <v>0.34499999999999997</v>
      </c>
      <c r="O54" s="78">
        <v>0.184</v>
      </c>
      <c r="P54" s="74" t="s">
        <v>203</v>
      </c>
      <c r="Q54" s="74" t="s">
        <v>474</v>
      </c>
      <c r="R54" s="74" t="s">
        <v>889</v>
      </c>
      <c r="S54" s="74" t="s">
        <v>234</v>
      </c>
      <c r="T54" s="76" t="b">
        <v>0</v>
      </c>
      <c r="U54" s="77">
        <v>44004.376458333303</v>
      </c>
    </row>
    <row r="55" spans="1:21">
      <c r="A55" s="74" t="s">
        <v>890</v>
      </c>
      <c r="B55" s="74" t="s">
        <v>202</v>
      </c>
      <c r="C55" s="74" t="s">
        <v>891</v>
      </c>
      <c r="D55" s="74" t="s">
        <v>726</v>
      </c>
      <c r="E55" s="75">
        <v>11</v>
      </c>
      <c r="F55" s="75">
        <v>2020</v>
      </c>
      <c r="G55" s="75">
        <v>25</v>
      </c>
      <c r="H55" s="76" t="b">
        <v>1</v>
      </c>
      <c r="I55" s="77">
        <v>43999</v>
      </c>
      <c r="J55" s="77">
        <v>44004</v>
      </c>
      <c r="K55" s="77">
        <v>43999</v>
      </c>
      <c r="L55" s="77">
        <v>44006</v>
      </c>
      <c r="M55" s="77">
        <v>44006</v>
      </c>
      <c r="N55" s="78">
        <v>2.8703820000000002</v>
      </c>
      <c r="O55" s="78">
        <v>0.97399999999999998</v>
      </c>
      <c r="P55" s="74" t="s">
        <v>275</v>
      </c>
      <c r="Q55" s="74" t="s">
        <v>678</v>
      </c>
      <c r="R55" s="74" t="s">
        <v>892</v>
      </c>
      <c r="S55" s="74" t="s">
        <v>234</v>
      </c>
      <c r="T55" s="76" t="b">
        <v>0</v>
      </c>
      <c r="U55" s="77">
        <v>44007.5469675926</v>
      </c>
    </row>
    <row r="56" spans="1:21">
      <c r="A56" s="74" t="s">
        <v>893</v>
      </c>
      <c r="B56" s="74" t="s">
        <v>202</v>
      </c>
      <c r="C56" s="74" t="s">
        <v>852</v>
      </c>
      <c r="D56" s="74" t="s">
        <v>726</v>
      </c>
      <c r="E56" s="75">
        <v>19</v>
      </c>
      <c r="F56" s="75">
        <v>2020</v>
      </c>
      <c r="G56" s="75">
        <v>25</v>
      </c>
      <c r="H56" s="76" t="b">
        <v>1</v>
      </c>
      <c r="I56" s="77">
        <v>43997</v>
      </c>
      <c r="J56" s="77">
        <v>44000</v>
      </c>
      <c r="K56" s="77">
        <v>43997</v>
      </c>
      <c r="L56" s="77">
        <v>44001</v>
      </c>
      <c r="M56" s="77">
        <v>44001</v>
      </c>
      <c r="N56" s="78">
        <v>32.432400000000001</v>
      </c>
      <c r="O56" s="78">
        <v>0.63600000000000001</v>
      </c>
      <c r="P56" s="74" t="s">
        <v>203</v>
      </c>
      <c r="Q56" s="74" t="s">
        <v>474</v>
      </c>
      <c r="R56" s="74" t="s">
        <v>853</v>
      </c>
      <c r="S56" s="74" t="s">
        <v>234</v>
      </c>
      <c r="T56" s="76" t="b">
        <v>0</v>
      </c>
      <c r="U56" s="77">
        <v>44008.371874999997</v>
      </c>
    </row>
    <row r="57" spans="1:21">
      <c r="A57" s="74" t="s">
        <v>894</v>
      </c>
      <c r="B57" s="74" t="s">
        <v>202</v>
      </c>
      <c r="C57" s="74" t="s">
        <v>895</v>
      </c>
      <c r="D57" s="74" t="s">
        <v>726</v>
      </c>
      <c r="E57" s="75">
        <v>1</v>
      </c>
      <c r="F57" s="75">
        <v>2020</v>
      </c>
      <c r="G57" s="75">
        <v>27</v>
      </c>
      <c r="H57" s="76" t="b">
        <v>1</v>
      </c>
      <c r="I57" s="77">
        <v>44011</v>
      </c>
      <c r="J57" s="77">
        <v>44015</v>
      </c>
      <c r="K57" s="77">
        <v>44011</v>
      </c>
      <c r="L57" s="77">
        <v>44018</v>
      </c>
      <c r="M57" s="77">
        <v>44018</v>
      </c>
      <c r="N57" s="78">
        <v>5000</v>
      </c>
      <c r="O57" s="78">
        <v>0</v>
      </c>
      <c r="P57" s="74" t="s">
        <v>203</v>
      </c>
      <c r="Q57" s="74" t="s">
        <v>678</v>
      </c>
      <c r="R57" s="74" t="s">
        <v>896</v>
      </c>
      <c r="S57" s="74" t="s">
        <v>234</v>
      </c>
      <c r="T57" s="76" t="b">
        <v>0</v>
      </c>
      <c r="U57" s="77">
        <v>44008.6550347222</v>
      </c>
    </row>
    <row r="58" spans="1:21">
      <c r="A58" s="74" t="s">
        <v>897</v>
      </c>
      <c r="B58" s="74" t="s">
        <v>202</v>
      </c>
      <c r="C58" s="74" t="s">
        <v>898</v>
      </c>
      <c r="D58" s="74" t="s">
        <v>726</v>
      </c>
      <c r="E58" s="75">
        <v>11</v>
      </c>
      <c r="F58" s="75">
        <v>2020</v>
      </c>
      <c r="G58" s="75">
        <v>20</v>
      </c>
      <c r="H58" s="76" t="b">
        <v>1</v>
      </c>
      <c r="I58" s="77">
        <v>43964</v>
      </c>
      <c r="J58" s="77">
        <v>43966</v>
      </c>
      <c r="K58" s="77">
        <v>43964</v>
      </c>
      <c r="L58" s="77">
        <v>43973</v>
      </c>
      <c r="M58" s="77">
        <v>43973</v>
      </c>
      <c r="N58" s="78">
        <v>1.452</v>
      </c>
      <c r="O58" s="78">
        <v>1.829</v>
      </c>
      <c r="P58" s="74" t="s">
        <v>220</v>
      </c>
      <c r="Q58" s="74" t="s">
        <v>689</v>
      </c>
      <c r="R58" s="74" t="s">
        <v>899</v>
      </c>
      <c r="S58" s="74" t="s">
        <v>234</v>
      </c>
      <c r="T58" s="76" t="b">
        <v>0</v>
      </c>
      <c r="U58" s="77">
        <v>43979.566412036998</v>
      </c>
    </row>
    <row r="59" spans="1:21">
      <c r="A59" s="74" t="s">
        <v>900</v>
      </c>
      <c r="B59" s="74" t="s">
        <v>202</v>
      </c>
      <c r="C59" s="74" t="s">
        <v>843</v>
      </c>
      <c r="D59" s="74" t="s">
        <v>726</v>
      </c>
      <c r="E59" s="75">
        <v>6</v>
      </c>
      <c r="F59" s="75">
        <v>2020</v>
      </c>
      <c r="G59" s="75">
        <v>6</v>
      </c>
      <c r="H59" s="76" t="b">
        <v>1</v>
      </c>
      <c r="I59" s="77">
        <v>43868</v>
      </c>
      <c r="J59" s="77">
        <v>43873</v>
      </c>
      <c r="K59" s="77">
        <v>43868</v>
      </c>
      <c r="L59" s="77">
        <v>43875</v>
      </c>
      <c r="M59" s="77">
        <v>43875</v>
      </c>
      <c r="N59" s="78">
        <v>2.2000000000000002</v>
      </c>
      <c r="O59" s="78">
        <v>2.5209999999999999</v>
      </c>
      <c r="P59" s="74" t="s">
        <v>383</v>
      </c>
      <c r="Q59" s="74" t="s">
        <v>689</v>
      </c>
      <c r="R59" s="74" t="s">
        <v>571</v>
      </c>
      <c r="S59" s="74" t="s">
        <v>234</v>
      </c>
      <c r="T59" s="76" t="b">
        <v>0</v>
      </c>
      <c r="U59" s="77">
        <v>43984.574930555602</v>
      </c>
    </row>
  </sheetData>
  <autoFilter ref="A2:U59" xr:uid="{1B79FF0A-2E90-48A5-B26A-61A3ECF0DF78}"/>
  <phoneticPr fontId="1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175C29-70E5-4A74-970A-F54ADA6B23DF}">
  <sheetPr codeName="Feuil6"/>
  <dimension ref="B2:G21"/>
  <sheetViews>
    <sheetView zoomScale="78" zoomScaleNormal="78" workbookViewId="0">
      <selection activeCell="G2" sqref="G2"/>
    </sheetView>
  </sheetViews>
  <sheetFormatPr baseColWidth="10" defaultColWidth="11" defaultRowHeight="15"/>
  <cols>
    <col min="1" max="1" width="11" style="63"/>
    <col min="2" max="2" width="29" style="63" customWidth="1"/>
    <col min="3" max="3" width="11" style="63"/>
    <col min="4" max="4" width="25.42578125" style="63" customWidth="1"/>
    <col min="5" max="16384" width="11" style="63"/>
  </cols>
  <sheetData>
    <row r="2" spans="2:7">
      <c r="B2" s="62">
        <f>G2</f>
        <v>2020</v>
      </c>
      <c r="D2" s="64" t="s">
        <v>724</v>
      </c>
      <c r="G2" s="63">
        <v>2020</v>
      </c>
    </row>
    <row r="3" spans="2:7">
      <c r="B3" s="65">
        <f>DATE(B2,1,1)</f>
        <v>43831</v>
      </c>
      <c r="D3" s="66">
        <f>ROUND(DATE(B2, 4, MOD(234-11*MOD(B2, 19), 30))/7, 0)*7-6</f>
        <v>43933</v>
      </c>
      <c r="G3" s="63">
        <v>2021</v>
      </c>
    </row>
    <row r="4" spans="2:7">
      <c r="B4" s="67">
        <f>DATE(B2,5,1)</f>
        <v>43952</v>
      </c>
      <c r="G4" s="63">
        <v>2022</v>
      </c>
    </row>
    <row r="5" spans="2:7">
      <c r="B5" s="67">
        <f>DATE(B2,5,8)</f>
        <v>43959</v>
      </c>
      <c r="G5" s="63">
        <v>2023</v>
      </c>
    </row>
    <row r="6" spans="2:7">
      <c r="B6" s="67">
        <f>DATE(B2,7,14)</f>
        <v>44026</v>
      </c>
      <c r="G6" s="63">
        <v>2024</v>
      </c>
    </row>
    <row r="7" spans="2:7">
      <c r="B7" s="67">
        <f>DATE(B2,8,15)</f>
        <v>44058</v>
      </c>
      <c r="G7" s="63">
        <v>2025</v>
      </c>
    </row>
    <row r="8" spans="2:7">
      <c r="B8" s="67">
        <f>DATE(B2,11,1)</f>
        <v>44136</v>
      </c>
      <c r="G8" s="63">
        <v>2026</v>
      </c>
    </row>
    <row r="9" spans="2:7">
      <c r="B9" s="67">
        <f>DATE(B2,11,11)</f>
        <v>44146</v>
      </c>
      <c r="G9" s="63">
        <v>2027</v>
      </c>
    </row>
    <row r="10" spans="2:7">
      <c r="B10" s="68">
        <f>DATE(B2,12,25)</f>
        <v>44190</v>
      </c>
      <c r="G10" s="63">
        <v>2028</v>
      </c>
    </row>
    <row r="11" spans="2:7">
      <c r="B11" s="69">
        <f>D3</f>
        <v>43933</v>
      </c>
      <c r="G11" s="63">
        <v>2029</v>
      </c>
    </row>
    <row r="12" spans="2:7">
      <c r="B12" s="69">
        <f>D3+1</f>
        <v>43934</v>
      </c>
      <c r="G12" s="63">
        <v>2030</v>
      </c>
    </row>
    <row r="13" spans="2:7">
      <c r="B13" s="69">
        <f>D3+39</f>
        <v>43972</v>
      </c>
    </row>
    <row r="14" spans="2:7">
      <c r="B14" s="70">
        <f>D3+50</f>
        <v>43983</v>
      </c>
    </row>
    <row r="15" spans="2:7">
      <c r="B15" s="71"/>
    </row>
    <row r="16" spans="2:7">
      <c r="B16" s="71"/>
    </row>
    <row r="17" spans="2:2">
      <c r="B17" s="71"/>
    </row>
    <row r="18" spans="2:2">
      <c r="B18" s="72"/>
    </row>
    <row r="19" spans="2:2">
      <c r="B19" s="72"/>
    </row>
    <row r="20" spans="2:2">
      <c r="B20" s="72"/>
    </row>
    <row r="21" spans="2:2">
      <c r="B21" s="72"/>
    </row>
  </sheetData>
  <conditionalFormatting sqref="A1:XFD1048576">
    <cfRule type="expression" dxfId="0" priority="1">
      <formula>A1&lt;&gt;""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N29"/>
  <sheetViews>
    <sheetView workbookViewId="0">
      <selection activeCell="K35" sqref="K35"/>
    </sheetView>
  </sheetViews>
  <sheetFormatPr baseColWidth="10" defaultRowHeight="15"/>
  <cols>
    <col min="5" max="5" width="17.28515625" customWidth="1"/>
    <col min="6" max="6" width="14.28515625" customWidth="1"/>
    <col min="8" max="8" width="18.28515625" customWidth="1"/>
    <col min="11" max="11" width="19.42578125" customWidth="1"/>
  </cols>
  <sheetData>
    <row r="1" spans="1:14" ht="15.75" thickBot="1"/>
    <row r="2" spans="1:14">
      <c r="A2" s="94" t="s">
        <v>599</v>
      </c>
      <c r="B2" s="95"/>
      <c r="C2" s="94" t="s">
        <v>598</v>
      </c>
      <c r="D2" s="95"/>
    </row>
    <row r="3" spans="1:14" ht="15.75" thickBot="1">
      <c r="A3" s="96">
        <f ca="1">COUNTIF(planning!F6:F200,"&lt;"&amp;TODAY())</f>
        <v>14</v>
      </c>
      <c r="B3" s="97"/>
      <c r="C3" s="96">
        <f>COUNTIF(planning!C6:C200,"B")</f>
        <v>10</v>
      </c>
      <c r="D3" s="97"/>
      <c r="K3" s="16" t="s">
        <v>96</v>
      </c>
      <c r="L3" s="16"/>
      <c r="M3" s="16"/>
      <c r="N3" s="16"/>
    </row>
    <row r="4" spans="1:14">
      <c r="A4" s="98" t="s">
        <v>597</v>
      </c>
      <c r="B4" s="99"/>
      <c r="C4" s="99"/>
      <c r="D4" s="100"/>
      <c r="F4" s="101" t="s">
        <v>113</v>
      </c>
      <c r="G4" s="102"/>
      <c r="H4" s="103"/>
      <c r="K4" s="16"/>
      <c r="L4" s="16"/>
      <c r="M4" s="16"/>
      <c r="N4" s="16"/>
    </row>
    <row r="5" spans="1:14" ht="15.75" thickBot="1">
      <c r="A5" s="24" t="s">
        <v>382</v>
      </c>
      <c r="B5" s="25" t="s">
        <v>98</v>
      </c>
      <c r="C5" s="25" t="s">
        <v>13</v>
      </c>
      <c r="D5" s="26" t="s">
        <v>135</v>
      </c>
      <c r="F5" s="43"/>
      <c r="G5" s="44" t="s">
        <v>98</v>
      </c>
      <c r="H5" s="45" t="s">
        <v>9</v>
      </c>
      <c r="K5" s="16" t="s">
        <v>97</v>
      </c>
      <c r="L5" s="16" t="s">
        <v>98</v>
      </c>
      <c r="M5" s="16" t="s">
        <v>9</v>
      </c>
      <c r="N5" s="16"/>
    </row>
    <row r="6" spans="1:14">
      <c r="A6" s="27" t="s">
        <v>100</v>
      </c>
      <c r="B6" s="32">
        <f ca="1">M19+M20</f>
        <v>5</v>
      </c>
      <c r="C6" s="31">
        <f ca="1">M15+M16</f>
        <v>1550</v>
      </c>
      <c r="D6" s="47">
        <f ca="1">C6/60</f>
        <v>25.833333333333332</v>
      </c>
      <c r="F6" s="40" t="s">
        <v>82</v>
      </c>
      <c r="G6" s="38">
        <f>COUNTIFS(planning!$I$6:$I$199,F6)</f>
        <v>0</v>
      </c>
      <c r="H6" s="36">
        <f>SUMIF(planning!$I$6:$I$199,F6,planning!$L$6:$L$199)</f>
        <v>0</v>
      </c>
      <c r="K6" s="17">
        <v>0</v>
      </c>
      <c r="L6" s="18">
        <f ca="1">COUNTIFS(planning!$J$6:$J$199,"=0")</f>
        <v>0</v>
      </c>
      <c r="M6" s="18">
        <f ca="1">SUMIF(planning!$J$6:$J$199,"=0",planning!$L$6:$L$199)</f>
        <v>0</v>
      </c>
      <c r="N6" s="16"/>
    </row>
    <row r="7" spans="1:14">
      <c r="A7" s="28" t="s">
        <v>101</v>
      </c>
      <c r="B7" s="33">
        <f ca="1">L6+L7</f>
        <v>0</v>
      </c>
      <c r="C7" s="30">
        <f ca="1">M6+M7</f>
        <v>0</v>
      </c>
      <c r="D7" s="48">
        <f t="shared" ref="D7:D11" ca="1" si="0">C7/60</f>
        <v>0</v>
      </c>
      <c r="F7" s="41" t="s">
        <v>83</v>
      </c>
      <c r="G7" s="38">
        <f>COUNTIFS(planning!$I$6:$I$199,F7)</f>
        <v>4</v>
      </c>
      <c r="H7" s="36">
        <f>SUMIF(planning!$I$6:$I$199,F7,planning!$L$6:$L$199)</f>
        <v>4800</v>
      </c>
      <c r="K7" s="17">
        <v>1</v>
      </c>
      <c r="L7" s="18">
        <f ca="1">COUNTIFS(planning!$J$6:$J$199,"=-1")</f>
        <v>0</v>
      </c>
      <c r="M7" s="18">
        <f ca="1">SUMIF(planning!$J$6:$J$199,"=-1",planning!$L$6:$L$199)</f>
        <v>0</v>
      </c>
      <c r="N7" s="16"/>
    </row>
    <row r="8" spans="1:14">
      <c r="A8" s="28" t="s">
        <v>102</v>
      </c>
      <c r="B8" s="33">
        <f ca="1">L8+L9</f>
        <v>2</v>
      </c>
      <c r="C8" s="30">
        <f ca="1">M8+M9</f>
        <v>190</v>
      </c>
      <c r="D8" s="48">
        <f t="shared" ca="1" si="0"/>
        <v>3.1666666666666665</v>
      </c>
      <c r="F8" s="41" t="s">
        <v>84</v>
      </c>
      <c r="G8" s="38">
        <f>COUNTIFS(planning!$I$6:$I$199,F8)</f>
        <v>0</v>
      </c>
      <c r="H8" s="36">
        <f>SUMIF(planning!$I$6:$I$199,F8,planning!$L$6:$L$199)</f>
        <v>0</v>
      </c>
      <c r="K8" s="17">
        <v>2</v>
      </c>
      <c r="L8" s="18">
        <f ca="1">COUNTIFS(planning!$J$6:$J$199,"=-2")</f>
        <v>0</v>
      </c>
      <c r="M8" s="18">
        <f ca="1">SUMIF(planning!$J$6:$J$199,"=-2",planning!$L$6:$L$199)</f>
        <v>0</v>
      </c>
      <c r="N8" s="16"/>
    </row>
    <row r="9" spans="1:14">
      <c r="A9" s="28" t="s">
        <v>103</v>
      </c>
      <c r="B9" s="33">
        <f ca="1">L10+L11</f>
        <v>4</v>
      </c>
      <c r="C9" s="30">
        <f ca="1">M10+M11</f>
        <v>1200</v>
      </c>
      <c r="D9" s="48">
        <f t="shared" ca="1" si="0"/>
        <v>20</v>
      </c>
      <c r="F9" s="41" t="s">
        <v>85</v>
      </c>
      <c r="G9" s="38">
        <f>COUNTIFS(planning!$I$6:$I$199,F9)</f>
        <v>0</v>
      </c>
      <c r="H9" s="36">
        <f>SUMIF(planning!$I$6:$I$199,F9,planning!$L$6:$L$199)</f>
        <v>0</v>
      </c>
      <c r="K9" s="17">
        <v>3</v>
      </c>
      <c r="L9" s="18">
        <f ca="1">COUNTIFS(planning!$J$6:$J$199,"=-3")</f>
        <v>2</v>
      </c>
      <c r="M9" s="18">
        <f ca="1">SUMIF(planning!$J$6:$J$199,"=-3",planning!$L$6:$L$199)</f>
        <v>190</v>
      </c>
      <c r="N9" s="16"/>
    </row>
    <row r="10" spans="1:14">
      <c r="A10" s="28" t="s">
        <v>104</v>
      </c>
      <c r="B10" s="33">
        <f ca="1">L12-SUM(L6:L11)</f>
        <v>11</v>
      </c>
      <c r="C10" s="30">
        <f ca="1">M12-SUM(M6:M11)</f>
        <v>4020</v>
      </c>
      <c r="D10" s="48">
        <f t="shared" ca="1" si="0"/>
        <v>67</v>
      </c>
      <c r="F10" s="41" t="s">
        <v>86</v>
      </c>
      <c r="G10" s="38">
        <f>COUNTIFS(planning!$I$6:$I$199,F10)</f>
        <v>2</v>
      </c>
      <c r="H10" s="36">
        <f>SUMIF(planning!$I$6:$I$199,F10,planning!$L$6:$L$199)</f>
        <v>840</v>
      </c>
      <c r="K10" s="17">
        <v>4</v>
      </c>
      <c r="L10" s="18">
        <f ca="1">COUNTIFS(planning!$J$6:$J$199,"=-4")</f>
        <v>3</v>
      </c>
      <c r="M10" s="18">
        <f ca="1">SUMIF(planning!$J$6:$J$199,"=-4",planning!$L$6:$L$199)</f>
        <v>1200</v>
      </c>
      <c r="N10" s="16"/>
    </row>
    <row r="11" spans="1:14" ht="15.75" thickBot="1">
      <c r="A11" s="29" t="s">
        <v>105</v>
      </c>
      <c r="B11" s="34">
        <f ca="1">SUM(B6:B10)</f>
        <v>22</v>
      </c>
      <c r="C11" s="35">
        <f ca="1">SUM(C6:C10)</f>
        <v>6960</v>
      </c>
      <c r="D11" s="49">
        <f t="shared" ca="1" si="0"/>
        <v>116</v>
      </c>
      <c r="F11" s="41" t="s">
        <v>87</v>
      </c>
      <c r="G11" s="38">
        <f>COUNTIFS(planning!$I$6:$I$199,F11)</f>
        <v>1</v>
      </c>
      <c r="H11" s="36">
        <f>SUMIF(planning!$I$6:$I$199,F11,planning!$L$6:$L$199)</f>
        <v>30</v>
      </c>
      <c r="K11" s="17">
        <v>5</v>
      </c>
      <c r="L11" s="18">
        <f ca="1">COUNTIFS(planning!$J$6:$J$199,"=-5")</f>
        <v>1</v>
      </c>
      <c r="M11" s="18">
        <f ca="1">SUMIF(planning!$J$6:$J$199,"=-5",planning!$L$6:$L$199)</f>
        <v>0</v>
      </c>
      <c r="N11" s="16"/>
    </row>
    <row r="12" spans="1:14">
      <c r="C12" s="51"/>
      <c r="F12" s="41" t="s">
        <v>88</v>
      </c>
      <c r="G12" s="38">
        <f>COUNTIFS(planning!$I$6:$I$199,F12)</f>
        <v>1</v>
      </c>
      <c r="H12" s="36">
        <f>SUMIF(planning!$I$6:$I$199,F12,planning!$L$6:$L$199)</f>
        <v>60</v>
      </c>
      <c r="K12" s="16" t="s">
        <v>99</v>
      </c>
      <c r="L12" s="19">
        <f ca="1">COUNTIFS(planning!J6:J199,"*-*")</f>
        <v>17</v>
      </c>
      <c r="M12" s="19">
        <f ca="1">SUMIF(planning!$J$6:$J$199,"*-*",planning!$L$6:$L$199)</f>
        <v>5410</v>
      </c>
      <c r="N12" s="16"/>
    </row>
    <row r="13" spans="1:14">
      <c r="C13" s="51"/>
      <c r="F13" s="41" t="s">
        <v>89</v>
      </c>
      <c r="G13" s="38">
        <f>COUNTIFS(planning!$I$6:$I$199,F13)</f>
        <v>0</v>
      </c>
      <c r="H13" s="36">
        <f>SUMIF(planning!$I$6:$I$199,F13,planning!$L$6:$L$199)</f>
        <v>0</v>
      </c>
      <c r="L13" s="16"/>
      <c r="N13" s="16"/>
    </row>
    <row r="14" spans="1:14">
      <c r="F14" s="41" t="s">
        <v>90</v>
      </c>
      <c r="G14" s="38">
        <f>COUNTIFS(planning!$I$6:$I$199,F14)</f>
        <v>0</v>
      </c>
      <c r="H14" s="36">
        <f>SUMIF(planning!$I$6:$I$199,F14,planning!$L$6:$L$199)</f>
        <v>0</v>
      </c>
      <c r="K14" s="104" t="s">
        <v>593</v>
      </c>
      <c r="L14" s="104"/>
      <c r="M14" s="104"/>
    </row>
    <row r="15" spans="1:14">
      <c r="F15" s="41" t="s">
        <v>91</v>
      </c>
      <c r="G15" s="38">
        <f>COUNTIFS(planning!$I$6:$I$199,F15)</f>
        <v>1</v>
      </c>
      <c r="H15" s="36">
        <f>SUMIF(planning!$I$6:$I$199,F15,planning!$L$6:$L$199)</f>
        <v>150</v>
      </c>
      <c r="K15" s="93" t="s">
        <v>592</v>
      </c>
      <c r="L15" s="16" t="s">
        <v>591</v>
      </c>
      <c r="M15" s="16">
        <f ca="1">SUMIFS(planning!L6:L200,planning!F6:F200,"&lt;"&amp;TODAY(),planning!C6:C200,("D"))</f>
        <v>1350</v>
      </c>
    </row>
    <row r="16" spans="1:14">
      <c r="F16" s="41" t="s">
        <v>92</v>
      </c>
      <c r="G16" s="38">
        <f>COUNTIFS(planning!$I$6:$I$199,F16)</f>
        <v>1</v>
      </c>
      <c r="H16" s="36">
        <f>SUMIF(planning!$I$6:$I$199,F16,planning!$L$6:$L$199)</f>
        <v>60</v>
      </c>
      <c r="K16" s="93"/>
      <c r="L16" s="16" t="s">
        <v>590</v>
      </c>
      <c r="M16" s="16">
        <f ca="1">SUMIFS(planning!L6:L200,planning!F6:F200,"&lt;"&amp;TODAY(),planning!C6:C200,("R"))</f>
        <v>200</v>
      </c>
    </row>
    <row r="17" spans="1:13">
      <c r="A17" s="2" t="s">
        <v>114</v>
      </c>
      <c r="D17" s="20">
        <f ca="1">AVERAGE(planning!K6:K198)</f>
        <v>6.258064516129032</v>
      </c>
      <c r="F17" s="41" t="s">
        <v>93</v>
      </c>
      <c r="G17" s="38">
        <f>COUNTIFS(planning!$I$6:$I$199,F17)</f>
        <v>0</v>
      </c>
      <c r="H17" s="36">
        <f>SUMIF(planning!$I$6:$I$199,F17,planning!$L$6:$L$199)</f>
        <v>0</v>
      </c>
      <c r="K17" s="16"/>
      <c r="L17" s="16"/>
      <c r="M17" s="16"/>
    </row>
    <row r="18" spans="1:13">
      <c r="F18" s="41" t="s">
        <v>94</v>
      </c>
      <c r="G18" s="38">
        <f>COUNTIFS(planning!$I$6:$I$199,F18)</f>
        <v>0</v>
      </c>
      <c r="H18" s="36">
        <f>SUMIF(planning!$I$6:$I$199,F18,planning!$L$6:$L$199)</f>
        <v>0</v>
      </c>
      <c r="K18" s="104" t="s">
        <v>594</v>
      </c>
      <c r="L18" s="104"/>
      <c r="M18" s="104"/>
    </row>
    <row r="19" spans="1:13" ht="15.75" thickBot="1">
      <c r="F19" s="42" t="s">
        <v>95</v>
      </c>
      <c r="G19" s="39">
        <f>COUNTIFS(planning!$I$6:$I$199,F19)</f>
        <v>1</v>
      </c>
      <c r="H19" s="37">
        <f>SUMIF(planning!$I$6:$I$199,F19,planning!$L$6:$L$199)</f>
        <v>0</v>
      </c>
      <c r="K19" s="93" t="s">
        <v>592</v>
      </c>
      <c r="L19" s="2" t="s">
        <v>595</v>
      </c>
      <c r="M19" s="51">
        <f ca="1">COUNTIFS(planning!F6:F200,"&lt;"&amp;TODAY(),planning!C6:C200,("D"))</f>
        <v>4</v>
      </c>
    </row>
    <row r="20" spans="1:13">
      <c r="K20" s="93"/>
      <c r="L20" s="16" t="s">
        <v>596</v>
      </c>
      <c r="M20">
        <f ca="1">COUNTIFS(planning!F6:F200,"&lt;"&amp;TODAY(),planning!C6:C200,("R"))</f>
        <v>1</v>
      </c>
    </row>
    <row r="28" spans="1:13">
      <c r="A28" s="51">
        <f ca="1">COUNTIFS(planning!F6:F200,"&lt;"&amp;TODAY(),planning!C6:C200,("D"))</f>
        <v>4</v>
      </c>
    </row>
    <row r="29" spans="1:13">
      <c r="A29">
        <f ca="1">COUNTIFS(planning!F6:F200,"&lt;"&amp;TODAY(),planning!C6:C200,("R"))</f>
        <v>1</v>
      </c>
    </row>
  </sheetData>
  <sortState xmlns:xlrd2="http://schemas.microsoft.com/office/spreadsheetml/2017/richdata2" ref="F6:F19">
    <sortCondition ref="F6"/>
  </sortState>
  <mergeCells count="10">
    <mergeCell ref="K19:K20"/>
    <mergeCell ref="A2:B2"/>
    <mergeCell ref="A3:B3"/>
    <mergeCell ref="C2:D2"/>
    <mergeCell ref="C3:D3"/>
    <mergeCell ref="A4:D4"/>
    <mergeCell ref="F4:H4"/>
    <mergeCell ref="K15:K16"/>
    <mergeCell ref="K14:M14"/>
    <mergeCell ref="K18:M18"/>
  </mergeCells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3E25D3-08A4-4E1E-A5A5-8F7FEC2B59C6}">
  <sheetPr codeName="Feuil7"/>
  <dimension ref="A1:V60"/>
  <sheetViews>
    <sheetView workbookViewId="0">
      <selection activeCell="Q21" sqref="Q21"/>
    </sheetView>
  </sheetViews>
  <sheetFormatPr baseColWidth="10" defaultRowHeight="15"/>
  <sheetData>
    <row r="1" spans="1:22" s="82" customFormat="1">
      <c r="B1" s="82" t="s">
        <v>907</v>
      </c>
    </row>
    <row r="2" spans="1:22" s="82" customFormat="1">
      <c r="B2" s="82" t="s">
        <v>908</v>
      </c>
      <c r="L2" s="82" t="s">
        <v>909</v>
      </c>
    </row>
    <row r="3" spans="1:22" s="82" customFormat="1">
      <c r="B3" s="82" t="s">
        <v>910</v>
      </c>
    </row>
    <row r="4" spans="1:22" s="82" customFormat="1"/>
    <row r="5" spans="1:22" s="82" customFormat="1">
      <c r="B5" s="82" t="s">
        <v>911</v>
      </c>
    </row>
    <row r="6" spans="1:22" s="82" customFormat="1"/>
    <row r="7" spans="1:22" s="82" customFormat="1">
      <c r="B7" s="82" t="s">
        <v>912</v>
      </c>
    </row>
    <row r="8" spans="1:22" s="81" customFormat="1">
      <c r="A8" s="82"/>
      <c r="B8" s="82" t="s">
        <v>913</v>
      </c>
      <c r="C8" s="82"/>
      <c r="D8" s="82"/>
      <c r="E8" s="82"/>
      <c r="F8" s="82"/>
      <c r="G8" s="82"/>
      <c r="H8" s="82"/>
      <c r="I8" s="82"/>
      <c r="J8" s="82"/>
      <c r="K8" s="82"/>
      <c r="L8" s="82"/>
      <c r="M8" s="82"/>
      <c r="N8" s="82"/>
      <c r="O8" s="82"/>
      <c r="P8" s="82"/>
      <c r="Q8" s="82"/>
      <c r="R8" s="82"/>
      <c r="S8" s="82"/>
      <c r="T8" s="82"/>
      <c r="U8" s="82"/>
      <c r="V8" s="82"/>
    </row>
    <row r="9" spans="1:22" s="81" customFormat="1">
      <c r="A9" s="82"/>
      <c r="B9" s="82" t="s">
        <v>914</v>
      </c>
      <c r="C9" s="82"/>
      <c r="D9" s="82"/>
      <c r="E9" s="82"/>
      <c r="F9" s="82"/>
      <c r="G9" s="82"/>
      <c r="H9" s="82"/>
      <c r="I9" s="82"/>
      <c r="J9" s="82"/>
      <c r="K9" s="82"/>
      <c r="L9" s="82"/>
      <c r="M9" s="82"/>
      <c r="N9" s="82"/>
      <c r="O9" s="82"/>
      <c r="P9" s="82"/>
      <c r="Q9" s="82"/>
      <c r="R9" s="82"/>
      <c r="S9" s="82"/>
      <c r="T9" s="82"/>
      <c r="U9" s="82"/>
      <c r="V9" s="82"/>
    </row>
    <row r="10" spans="1:22" s="81" customFormat="1">
      <c r="A10" s="82"/>
      <c r="B10" s="82" t="s">
        <v>915</v>
      </c>
      <c r="C10" s="82"/>
      <c r="D10" s="82"/>
      <c r="E10" s="82"/>
      <c r="F10" s="82"/>
      <c r="G10" s="82"/>
      <c r="H10" s="82"/>
      <c r="I10" s="82"/>
      <c r="J10" s="82"/>
      <c r="K10" s="82"/>
      <c r="L10" s="82"/>
      <c r="M10" s="82"/>
      <c r="N10" s="82"/>
      <c r="O10" s="82"/>
      <c r="P10" s="82"/>
      <c r="Q10" s="82"/>
      <c r="R10" s="82"/>
      <c r="S10" s="82"/>
      <c r="T10" s="82"/>
      <c r="U10" s="82"/>
      <c r="V10" s="82"/>
    </row>
    <row r="11" spans="1:22">
      <c r="A11" s="82"/>
      <c r="B11" s="82" t="s">
        <v>916</v>
      </c>
      <c r="C11" s="82"/>
      <c r="D11" s="82"/>
      <c r="E11" s="82"/>
      <c r="F11" s="82"/>
      <c r="G11" s="82"/>
      <c r="H11" s="82"/>
      <c r="I11" s="82"/>
      <c r="J11" s="82"/>
      <c r="K11" s="82"/>
      <c r="L11" s="82"/>
      <c r="M11" s="82"/>
      <c r="N11" s="82"/>
      <c r="O11" s="82"/>
      <c r="P11" s="82"/>
      <c r="Q11" s="82"/>
      <c r="R11" s="82"/>
      <c r="S11" s="82"/>
      <c r="T11" s="82"/>
      <c r="U11" s="82"/>
      <c r="V11" s="82"/>
    </row>
    <row r="12" spans="1:22">
      <c r="A12" s="82"/>
      <c r="B12" s="82" t="s">
        <v>917</v>
      </c>
      <c r="C12" s="82" t="s">
        <v>918</v>
      </c>
      <c r="D12" s="82"/>
      <c r="E12" s="82"/>
      <c r="F12" s="82"/>
      <c r="G12" s="82"/>
      <c r="H12" s="82"/>
      <c r="I12" s="82"/>
      <c r="J12" s="82" t="s">
        <v>919</v>
      </c>
      <c r="K12" s="82"/>
      <c r="L12" s="82"/>
      <c r="M12" s="82"/>
      <c r="N12" s="82"/>
      <c r="O12" s="82"/>
      <c r="P12" s="82"/>
      <c r="Q12" s="82"/>
      <c r="R12" s="82"/>
      <c r="S12" s="82"/>
      <c r="T12" s="82"/>
      <c r="U12" s="82"/>
      <c r="V12" s="82"/>
    </row>
    <row r="13" spans="1:22">
      <c r="A13" s="82"/>
      <c r="B13" s="82" t="s">
        <v>920</v>
      </c>
      <c r="C13" s="82" t="s">
        <v>921</v>
      </c>
      <c r="D13" s="82"/>
      <c r="E13" s="82"/>
      <c r="F13" s="82"/>
      <c r="G13" s="82"/>
      <c r="H13" s="82"/>
      <c r="I13" s="82"/>
      <c r="J13" s="82" t="s">
        <v>922</v>
      </c>
      <c r="K13" s="82"/>
      <c r="L13" s="82"/>
      <c r="M13" s="82"/>
      <c r="N13" s="82"/>
      <c r="O13" s="82"/>
      <c r="P13" s="82"/>
      <c r="Q13" s="82"/>
      <c r="R13" s="82"/>
      <c r="S13" s="82"/>
      <c r="T13" s="82"/>
      <c r="U13" s="82"/>
      <c r="V13" s="82"/>
    </row>
    <row r="14" spans="1:22">
      <c r="A14" s="82"/>
      <c r="B14" s="82"/>
      <c r="C14" s="82"/>
      <c r="D14" s="82"/>
      <c r="E14" s="82"/>
      <c r="F14" s="82"/>
      <c r="G14" s="82"/>
      <c r="H14" s="82"/>
      <c r="I14" s="82"/>
      <c r="J14" s="82"/>
      <c r="K14" s="82"/>
      <c r="L14" s="82"/>
      <c r="M14" s="82"/>
      <c r="N14" s="82"/>
      <c r="O14" s="82"/>
      <c r="P14" s="82"/>
      <c r="Q14" s="82"/>
      <c r="R14" s="82"/>
      <c r="S14" s="82"/>
      <c r="T14" s="82"/>
      <c r="U14" s="82"/>
      <c r="V14" s="82"/>
    </row>
    <row r="15" spans="1:22">
      <c r="A15" s="82"/>
      <c r="B15" s="82"/>
      <c r="C15" s="82"/>
      <c r="D15" s="82"/>
      <c r="E15" s="82"/>
      <c r="F15" s="82"/>
      <c r="G15" s="82"/>
      <c r="H15" s="82"/>
      <c r="I15" s="82"/>
      <c r="J15" s="82"/>
      <c r="K15" s="82"/>
      <c r="L15" s="82"/>
      <c r="M15" s="82"/>
      <c r="N15" s="82"/>
      <c r="O15" s="82"/>
      <c r="P15" s="82"/>
      <c r="Q15" s="82"/>
      <c r="R15" s="82"/>
      <c r="S15" s="82"/>
      <c r="T15" s="82"/>
      <c r="U15" s="82"/>
      <c r="V15" s="82"/>
    </row>
    <row r="16" spans="1:22">
      <c r="A16" s="82"/>
      <c r="B16" s="82" t="s">
        <v>923</v>
      </c>
      <c r="C16" s="82"/>
      <c r="D16" s="82"/>
      <c r="E16" s="82"/>
      <c r="F16" s="82"/>
      <c r="G16" s="82"/>
      <c r="H16" s="82"/>
      <c r="I16" s="82"/>
      <c r="J16" s="82"/>
      <c r="K16" s="82"/>
      <c r="L16" s="82"/>
      <c r="M16" s="82"/>
      <c r="N16" s="82"/>
      <c r="O16" s="82"/>
      <c r="P16" s="82"/>
      <c r="Q16" s="82"/>
      <c r="R16" s="82"/>
      <c r="S16" s="82"/>
      <c r="T16" s="82"/>
      <c r="U16" s="82"/>
      <c r="V16" s="82"/>
    </row>
    <row r="17" spans="1:22">
      <c r="A17" s="82"/>
      <c r="B17" s="82" t="s">
        <v>924</v>
      </c>
      <c r="C17" s="82"/>
      <c r="D17" s="82"/>
      <c r="E17" s="82"/>
      <c r="F17" s="82"/>
      <c r="G17" s="82"/>
      <c r="H17" s="82"/>
      <c r="I17" s="82"/>
      <c r="J17" s="82"/>
      <c r="K17" s="82"/>
      <c r="L17" s="82"/>
      <c r="M17" s="82"/>
      <c r="N17" s="82"/>
      <c r="O17" s="82"/>
      <c r="P17" s="82"/>
      <c r="Q17" s="82"/>
      <c r="R17" s="82"/>
      <c r="S17" s="82"/>
      <c r="T17" s="82"/>
      <c r="U17" s="82"/>
      <c r="V17" s="82"/>
    </row>
    <row r="18" spans="1:22">
      <c r="A18" s="82"/>
      <c r="B18" s="82"/>
      <c r="C18" s="82"/>
      <c r="D18" s="82"/>
      <c r="E18" s="82"/>
      <c r="F18" s="82"/>
      <c r="G18" s="82"/>
      <c r="H18" s="82"/>
      <c r="I18" s="82"/>
      <c r="J18" s="82"/>
      <c r="K18" s="82"/>
      <c r="L18" s="82"/>
      <c r="M18" s="82"/>
      <c r="N18" s="82"/>
      <c r="O18" s="82"/>
      <c r="P18" s="82"/>
      <c r="Q18" s="82"/>
      <c r="R18" s="82"/>
      <c r="S18" s="82"/>
      <c r="T18" s="82"/>
      <c r="U18" s="82"/>
      <c r="V18" s="82"/>
    </row>
    <row r="22" spans="1:22">
      <c r="A22" s="81"/>
      <c r="B22" s="81"/>
      <c r="C22" s="81"/>
      <c r="D22" s="81"/>
      <c r="E22" s="81"/>
      <c r="F22" s="81"/>
      <c r="G22" s="81"/>
      <c r="H22" s="81"/>
      <c r="I22" s="81"/>
      <c r="J22" s="81"/>
      <c r="K22" s="81"/>
    </row>
    <row r="23" spans="1:22" ht="15.75" thickBot="1">
      <c r="A23" s="81"/>
      <c r="B23" s="81"/>
      <c r="C23" s="81"/>
      <c r="D23" s="81"/>
      <c r="E23" s="81"/>
      <c r="F23" s="81"/>
      <c r="G23" s="81"/>
      <c r="H23" s="81"/>
      <c r="I23" s="81"/>
      <c r="J23" s="81"/>
      <c r="K23" s="81"/>
    </row>
    <row r="24" spans="1:22">
      <c r="A24" s="108" t="s">
        <v>718</v>
      </c>
      <c r="B24" s="109"/>
      <c r="C24" s="109"/>
      <c r="D24" s="109"/>
      <c r="E24" s="109"/>
      <c r="F24" s="109"/>
      <c r="G24" s="109"/>
      <c r="H24" s="109"/>
      <c r="I24" s="109"/>
      <c r="J24" s="109"/>
      <c r="K24" s="110"/>
    </row>
    <row r="25" spans="1:22" ht="15.75" thickBot="1">
      <c r="A25" s="105" t="s">
        <v>712</v>
      </c>
      <c r="B25" s="106"/>
      <c r="C25" s="106"/>
      <c r="D25" s="106"/>
      <c r="E25" s="106"/>
      <c r="F25" s="106"/>
      <c r="G25" s="106"/>
      <c r="H25" s="106"/>
      <c r="I25" s="106"/>
      <c r="J25" s="106"/>
      <c r="K25" s="107"/>
    </row>
    <row r="26" spans="1:22">
      <c r="A26" s="57" t="s">
        <v>711</v>
      </c>
      <c r="B26" s="58"/>
      <c r="C26" s="58"/>
      <c r="D26" s="58"/>
    </row>
    <row r="27" spans="1:22">
      <c r="A27" s="53" t="s">
        <v>719</v>
      </c>
    </row>
    <row r="28" spans="1:22">
      <c r="A28" s="54" t="s">
        <v>700</v>
      </c>
    </row>
    <row r="29" spans="1:22">
      <c r="A29" s="54" t="s">
        <v>701</v>
      </c>
    </row>
    <row r="30" spans="1:22">
      <c r="A30" s="55" t="s">
        <v>710</v>
      </c>
      <c r="B30" s="16"/>
      <c r="C30" s="16"/>
      <c r="D30" s="16"/>
      <c r="E30" s="16"/>
      <c r="F30" s="16"/>
      <c r="G30" s="16"/>
      <c r="H30" s="16"/>
      <c r="I30" s="16"/>
    </row>
    <row r="31" spans="1:22">
      <c r="A31" s="56" t="s">
        <v>707</v>
      </c>
      <c r="B31" s="10"/>
      <c r="C31" s="10"/>
    </row>
    <row r="32" spans="1:22">
      <c r="A32" s="53" t="s">
        <v>720</v>
      </c>
    </row>
    <row r="33" spans="1:9">
      <c r="A33" s="55" t="s">
        <v>706</v>
      </c>
      <c r="B33" s="16"/>
      <c r="C33" s="16"/>
      <c r="D33" s="16"/>
      <c r="E33" s="16"/>
    </row>
    <row r="34" spans="1:9">
      <c r="A34" s="54" t="s">
        <v>702</v>
      </c>
    </row>
    <row r="35" spans="1:9">
      <c r="A35" s="54"/>
    </row>
    <row r="36" spans="1:9">
      <c r="A36" s="56" t="s">
        <v>709</v>
      </c>
      <c r="B36" s="10"/>
      <c r="C36" s="10"/>
      <c r="D36" s="10"/>
    </row>
    <row r="38" spans="1:9">
      <c r="A38" s="57" t="s">
        <v>716</v>
      </c>
      <c r="B38" s="58"/>
      <c r="C38" s="58"/>
      <c r="D38" s="58"/>
      <c r="E38" s="58"/>
      <c r="F38" s="58"/>
      <c r="G38" s="58"/>
      <c r="H38" s="58"/>
      <c r="I38" s="58"/>
    </row>
    <row r="39" spans="1:9">
      <c r="A39" s="57" t="s">
        <v>717</v>
      </c>
      <c r="B39" s="58"/>
      <c r="C39" s="58"/>
      <c r="D39" s="58"/>
      <c r="E39" s="58"/>
      <c r="F39" s="58"/>
      <c r="G39" s="58"/>
      <c r="H39" s="58"/>
      <c r="I39" s="58"/>
    </row>
    <row r="40" spans="1:9">
      <c r="A40" s="57" t="s">
        <v>723</v>
      </c>
      <c r="B40" s="58"/>
      <c r="C40" s="58"/>
      <c r="D40" s="58"/>
      <c r="E40" s="58"/>
      <c r="F40" s="58"/>
      <c r="G40" s="58"/>
      <c r="H40" s="58"/>
      <c r="I40" s="58"/>
    </row>
    <row r="41" spans="1:9">
      <c r="A41" s="53" t="s">
        <v>713</v>
      </c>
    </row>
    <row r="42" spans="1:9">
      <c r="A42" s="55" t="s">
        <v>708</v>
      </c>
      <c r="B42" s="16"/>
      <c r="C42" s="16"/>
      <c r="D42" s="16"/>
      <c r="E42" s="16"/>
    </row>
    <row r="43" spans="1:9">
      <c r="A43" s="54" t="s">
        <v>703</v>
      </c>
    </row>
    <row r="44" spans="1:9">
      <c r="A44" s="60" t="s">
        <v>704</v>
      </c>
      <c r="B44" s="46"/>
      <c r="C44" s="46"/>
    </row>
    <row r="45" spans="1:9">
      <c r="A45" s="59" t="s">
        <v>714</v>
      </c>
      <c r="B45" s="10"/>
    </row>
    <row r="47" spans="1:9">
      <c r="A47" s="53" t="s">
        <v>721</v>
      </c>
    </row>
    <row r="48" spans="1:9">
      <c r="A48" s="54"/>
    </row>
    <row r="49" spans="1:5">
      <c r="A49" s="54" t="s">
        <v>722</v>
      </c>
    </row>
    <row r="50" spans="1:5">
      <c r="A50" s="60" t="s">
        <v>705</v>
      </c>
      <c r="B50" s="61"/>
      <c r="C50" s="61"/>
    </row>
    <row r="51" spans="1:5">
      <c r="A51" s="59" t="s">
        <v>715</v>
      </c>
      <c r="B51" s="10"/>
    </row>
    <row r="55" spans="1:5">
      <c r="A55" s="10" t="s">
        <v>901</v>
      </c>
      <c r="B55" s="10"/>
      <c r="C55" s="10"/>
      <c r="D55" s="10"/>
      <c r="E55" s="10"/>
    </row>
    <row r="56" spans="1:5">
      <c r="A56" s="10" t="s">
        <v>902</v>
      </c>
      <c r="B56" s="10"/>
      <c r="C56" s="10"/>
      <c r="D56" s="10"/>
      <c r="E56" s="10"/>
    </row>
    <row r="57" spans="1:5">
      <c r="A57" s="10" t="s">
        <v>903</v>
      </c>
      <c r="B57" s="10"/>
      <c r="C57" s="10"/>
      <c r="D57" s="10"/>
      <c r="E57" s="10"/>
    </row>
    <row r="58" spans="1:5">
      <c r="A58" s="10" t="s">
        <v>904</v>
      </c>
      <c r="B58" s="10"/>
      <c r="C58" s="10"/>
      <c r="D58" s="10"/>
      <c r="E58" s="10"/>
    </row>
    <row r="59" spans="1:5">
      <c r="A59" s="10" t="s">
        <v>905</v>
      </c>
      <c r="B59" s="10"/>
      <c r="C59" s="10"/>
      <c r="D59" s="10"/>
      <c r="E59" s="10"/>
    </row>
    <row r="60" spans="1:5">
      <c r="A60" s="10" t="s">
        <v>906</v>
      </c>
      <c r="B60" s="10"/>
      <c r="C60" s="10"/>
      <c r="D60" s="10"/>
      <c r="E60" s="10"/>
    </row>
  </sheetData>
  <mergeCells count="2">
    <mergeCell ref="A25:K25"/>
    <mergeCell ref="A24:K2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4</vt:i4>
      </vt:variant>
    </vt:vector>
  </HeadingPairs>
  <TitlesOfParts>
    <vt:vector size="12" baseType="lpstr">
      <vt:lpstr>planning</vt:lpstr>
      <vt:lpstr>lot réclamés</vt:lpstr>
      <vt:lpstr>lot finis</vt:lpstr>
      <vt:lpstr>données plan-article-opérateurs</vt:lpstr>
      <vt:lpstr>Charge Par Article</vt:lpstr>
      <vt:lpstr>Feries</vt:lpstr>
      <vt:lpstr>indicateurs</vt:lpstr>
      <vt:lpstr>expiication fichier</vt:lpstr>
      <vt:lpstr>planning!_Toc43900609</vt:lpstr>
      <vt:lpstr>planning!_Toc43900610</vt:lpstr>
      <vt:lpstr>planning!_Toc43900611</vt:lpstr>
      <vt:lpstr>feries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Coget Fabien</dc:creator>
  <cp:lastModifiedBy>Fabien</cp:lastModifiedBy>
  <cp:lastPrinted>2020-07-24T11:25:58Z</cp:lastPrinted>
  <dcterms:created xsi:type="dcterms:W3CDTF">2020-06-29T06:46:26Z</dcterms:created>
  <dcterms:modified xsi:type="dcterms:W3CDTF">2020-07-25T15:10:46Z</dcterms:modified>
</cp:coreProperties>
</file>