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salahbenhajjou/Desktop/"/>
    </mc:Choice>
  </mc:AlternateContent>
  <xr:revisionPtr revIDLastSave="0" documentId="13_ncr:1_{F236C534-E4F0-454D-827D-EA3A70FB3C86}" xr6:coauthVersionLast="45" xr6:coauthVersionMax="45" xr10:uidLastSave="{00000000-0000-0000-0000-000000000000}"/>
  <bookViews>
    <workbookView xWindow="520" yWindow="1120" windowWidth="34780" windowHeight="19580" activeTab="3" xr2:uid="{AB5D9D04-1E00-5E44-AE34-AA6E9EBFB570}"/>
  </bookViews>
  <sheets>
    <sheet name="TT_Table_PowApps" sheetId="1" r:id="rId1"/>
    <sheet name="TT_Yearly" sheetId="2" r:id="rId2"/>
    <sheet name="TT_Overall_info" sheetId="3" r:id="rId3"/>
    <sheet name="Invoice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9" i="5" l="1"/>
  <c r="I3" i="1" l="1"/>
  <c r="I4" i="1"/>
  <c r="I2" i="1"/>
  <c r="C9" i="5" s="1"/>
  <c r="D6" i="2" l="1"/>
  <c r="E6" i="2"/>
  <c r="F6" i="2"/>
  <c r="D7" i="2"/>
  <c r="E7" i="2"/>
  <c r="F7" i="2"/>
  <c r="D8" i="2"/>
  <c r="E8" i="2"/>
  <c r="F8" i="2"/>
  <c r="E9" i="2"/>
  <c r="F9" i="2"/>
  <c r="C11" i="2"/>
  <c r="D11" i="2"/>
  <c r="E11" i="2"/>
  <c r="F11" i="2"/>
  <c r="C12" i="2"/>
  <c r="D12" i="2"/>
  <c r="E12" i="2"/>
  <c r="F12" i="2"/>
  <c r="F13" i="2"/>
  <c r="C14" i="2"/>
  <c r="D14" i="2"/>
  <c r="E14" i="2"/>
  <c r="F14" i="2"/>
  <c r="E13" i="2"/>
  <c r="D13" i="2"/>
  <c r="C13" i="2"/>
  <c r="G10" i="5" s="1"/>
  <c r="I10" i="5" s="1"/>
  <c r="F10" i="2"/>
  <c r="E10" i="2"/>
  <c r="D10" i="2"/>
  <c r="C10" i="2"/>
  <c r="D9" i="2"/>
  <c r="C9" i="2"/>
  <c r="C8" i="2"/>
  <c r="C7" i="2"/>
  <c r="C6" i="2"/>
  <c r="F5" i="2"/>
  <c r="E5" i="2"/>
  <c r="D5" i="2"/>
  <c r="C5" i="2"/>
  <c r="F4" i="2"/>
  <c r="E4" i="2"/>
  <c r="D4" i="2"/>
  <c r="C4" i="2"/>
  <c r="F3" i="2"/>
  <c r="E3" i="2"/>
  <c r="D3" i="2"/>
  <c r="C3" i="2"/>
  <c r="F2" i="2"/>
  <c r="E2" i="2"/>
  <c r="D2" i="2"/>
  <c r="C2" i="2"/>
  <c r="B5" i="5"/>
  <c r="B6" i="5"/>
  <c r="B4" i="5"/>
  <c r="H4" i="5"/>
  <c r="H5" i="5"/>
</calcChain>
</file>

<file path=xl/sharedStrings.xml><?xml version="1.0" encoding="utf-8"?>
<sst xmlns="http://schemas.openxmlformats.org/spreadsheetml/2006/main" count="104" uniqueCount="73">
  <si>
    <t>Company ID</t>
  </si>
  <si>
    <t>Name</t>
  </si>
  <si>
    <t>Month</t>
  </si>
  <si>
    <t>Research</t>
  </si>
  <si>
    <t>Development</t>
  </si>
  <si>
    <t>Maintenance</t>
  </si>
  <si>
    <t>Other</t>
  </si>
  <si>
    <t>__PowerAppsId__</t>
  </si>
  <si>
    <t>January</t>
  </si>
  <si>
    <t>qR3ZwwUDYu4</t>
  </si>
  <si>
    <t>February</t>
  </si>
  <si>
    <t>wu4VG8WXy7I</t>
  </si>
  <si>
    <t>March</t>
  </si>
  <si>
    <t>lnWwfTqoti8</t>
  </si>
  <si>
    <t>Corp. Name</t>
  </si>
  <si>
    <t>Address</t>
  </si>
  <si>
    <t>Postal code / City</t>
  </si>
  <si>
    <t>Contact</t>
  </si>
  <si>
    <t>Client ID</t>
  </si>
  <si>
    <t>Tax ID</t>
  </si>
  <si>
    <t>Description</t>
  </si>
  <si>
    <t>Daily rate</t>
  </si>
  <si>
    <t>BILL TO</t>
  </si>
  <si>
    <t>Client ID:</t>
  </si>
  <si>
    <t>Tax ID:</t>
  </si>
  <si>
    <t>Terms:</t>
  </si>
  <si>
    <t>Qty</t>
  </si>
  <si>
    <t>Unit price</t>
  </si>
  <si>
    <t>Amount</t>
  </si>
  <si>
    <t>Reference</t>
  </si>
  <si>
    <t>Employee ID</t>
  </si>
  <si>
    <t>Job title</t>
  </si>
  <si>
    <t>YEARLY</t>
  </si>
  <si>
    <t>EMPLOYEE ID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</si>
  <si>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</si>
  <si>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</si>
  <si>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</si>
  <si>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</si>
  <si>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</si>
  <si>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</si>
  <si>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</si>
  <si>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</si>
  <si>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</si>
  <si>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</si>
  <si>
    <t>Poste 11</t>
  </si>
  <si>
    <t>Poste 12</t>
  </si>
  <si>
    <t>Poste 13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</si>
  <si>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</si>
  <si>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</si>
  <si>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</si>
  <si>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</si>
  <si>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</si>
  <si>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</si>
  <si>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</si>
  <si>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</si>
  <si>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</si>
  <si>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</si>
  <si>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</si>
  <si>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</si>
  <si>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</si>
  <si>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Adresse 1</t>
  </si>
  <si>
    <t>Adresse 2</t>
  </si>
  <si>
    <t>Adresse 3</t>
  </si>
  <si>
    <t>Adresse 4</t>
  </si>
  <si>
    <t>123 Ville</t>
  </si>
  <si>
    <t>124 Ville</t>
  </si>
  <si>
    <t>125 Ville</t>
  </si>
  <si>
    <t>126 Ville</t>
  </si>
  <si>
    <t>Nom</t>
  </si>
  <si>
    <t>Company 1</t>
  </si>
  <si>
    <t>Company 2</t>
  </si>
  <si>
    <t>Company 3</t>
  </si>
  <si>
    <t>Company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</si>
</sst>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[$€-2]\ * #,##0.00_);_([$€-2]\ * \(#,##0.00\);_([$€-2]\ * &quot;-&quot;??_);_(@_)"/>
    <numFmt numFmtId="165" formatCode="_-[$€-2]\ * #,##0.00_-;\-[$€-2]\ * #,##0.00_-;_-[$€-2]\ * &quot;-&quot;??_-;_-@_-"/>
  </numFmts>
  <fonts count="9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4"/>
      <color theme="3"/>
      <name val="Calibri Light"/>
      <family val="2"/>
      <scheme val="major"/>
    </font>
    <font>
      <sz val="12"/>
      <color theme="3"/>
      <name val="Calibri Light"/>
      <family val="2"/>
      <scheme val="maj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0" borderId="0" xfId="0" applyFont="1"/>
    <xf numFmtId="165" fontId="0" fillId="0" borderId="0" xfId="0" applyNumberFormat="1"/>
    <xf numFmtId="0" fontId="7" fillId="0" borderId="0" xfId="0" applyFont="1" applyAlignment="1">
      <alignment vertical="center"/>
    </xf>
    <xf numFmtId="0" fontId="2" fillId="6" borderId="0" xfId="0" applyFont="1" applyFill="1"/>
    <xf numFmtId="165" fontId="0" fillId="4" borderId="0" xfId="0" applyNumberFormat="1" applyFill="1"/>
    <xf numFmtId="0" fontId="0" fillId="4" borderId="0" xfId="0" applyFill="1"/>
    <xf numFmtId="0" fontId="1" fillId="5" borderId="12" xfId="0" applyNumberFormat="1" applyFont="1" applyFill="1" applyBorder="1" applyAlignment="1" applyProtection="1">
      <alignment vertical="center"/>
    </xf>
    <xf numFmtId="0" fontId="0" fillId="0" borderId="11" xfId="0" applyBorder="1"/>
    <xf numFmtId="0" fontId="2" fillId="0" borderId="0" xfId="0" applyFont="1"/>
    <xf numFmtId="0" fontId="0" fillId="0" borderId="6" xfId="0" applyNumberFormat="1" applyFill="1" applyBorder="1" applyAlignment="1" applyProtection="1"/>
    <xf numFmtId="0" fontId="0" fillId="0" borderId="7" xfId="0" applyNumberFormat="1" applyFill="1" applyBorder="1" applyAlignment="1" applyProtection="1"/>
    <xf numFmtId="0" fontId="0" fillId="0" borderId="4" xfId="0" applyNumberFormat="1" applyFill="1" applyBorder="1" applyAlignment="1" applyProtection="1"/>
    <xf numFmtId="164" fontId="0" fillId="0" borderId="4" xfId="0" applyNumberFormat="1" applyFill="1" applyBorder="1" applyAlignment="1" applyProtection="1"/>
    <xf numFmtId="164" fontId="0" fillId="0" borderId="5" xfId="0" applyNumberFormat="1" applyFill="1" applyBorder="1" applyAlignment="1" applyProtection="1"/>
    <xf numFmtId="0" fontId="0" fillId="0" borderId="11" xfId="0" applyNumberFormat="1" applyFill="1" applyBorder="1" applyAlignment="1" applyProtection="1"/>
    <xf numFmtId="0" fontId="6" fillId="0" borderId="10" xfId="0" applyNumberFormat="1" applyFont="1" applyFill="1" applyBorder="1" applyAlignment="1" applyProtection="1"/>
    <xf numFmtId="0" fontId="0" fillId="0" borderId="10" xfId="0" applyNumberFormat="1" applyFill="1" applyBorder="1" applyAlignment="1" applyProtection="1"/>
    <xf numFmtId="0" fontId="0" fillId="0" borderId="0" xfId="0" applyNumberFormat="1" applyFill="1" applyAlignment="1" applyProtection="1"/>
    <xf numFmtId="0" fontId="1" fillId="2" borderId="1" xfId="0" applyNumberFormat="1" applyFont="1" applyFill="1" applyBorder="1" applyAlignment="1" applyProtection="1"/>
    <xf numFmtId="0" fontId="1" fillId="2" borderId="2" xfId="0" applyNumberFormat="1" applyFont="1" applyFill="1" applyBorder="1" applyAlignment="1" applyProtection="1"/>
    <xf numFmtId="0" fontId="1" fillId="2" borderId="3" xfId="0" applyNumberFormat="1" applyFont="1" applyFill="1" applyBorder="1" applyAlignment="1" applyProtection="1"/>
    <xf numFmtId="0" fontId="2" fillId="4" borderId="0" xfId="0" applyNumberFormat="1" applyFont="1" applyFill="1" applyAlignment="1" applyProtection="1"/>
    <xf numFmtId="0" fontId="4" fillId="0" borderId="0" xfId="0" applyNumberFormat="1" applyFont="1" applyFill="1" applyAlignment="1" applyProtection="1"/>
    <xf numFmtId="0" fontId="2" fillId="3" borderId="0" xfId="0" applyNumberFormat="1" applyFont="1" applyFill="1" applyAlignment="1" applyProtection="1"/>
    <xf numFmtId="0" fontId="3" fillId="0" borderId="0" xfId="0" applyNumberFormat="1" applyFont="1" applyFill="1" applyAlignment="1" applyProtection="1">
      <alignment horizontal="center" vertical="center"/>
    </xf>
    <xf numFmtId="0" fontId="2" fillId="0" borderId="0" xfId="0" applyNumberFormat="1" applyFont="1" applyFill="1" applyAlignment="1" applyProtection="1">
      <alignment horizontal="center" vertical="center"/>
    </xf>
    <xf numFmtId="0" fontId="1" fillId="5" borderId="14" xfId="0" applyNumberFormat="1" applyFont="1" applyFill="1" applyBorder="1" applyAlignment="1" applyProtection="1">
      <alignment horizontal="center" vertical="center"/>
    </xf>
    <xf numFmtId="0" fontId="1" fillId="5" borderId="15" xfId="0" applyNumberFormat="1" applyFont="1" applyFill="1" applyBorder="1" applyAlignment="1" applyProtection="1">
      <alignment horizontal="center" vertical="center"/>
    </xf>
    <xf numFmtId="0" fontId="1" fillId="5" borderId="16" xfId="0" applyNumberFormat="1" applyFont="1" applyFill="1" applyBorder="1" applyAlignment="1" applyProtection="1">
      <alignment horizontal="center" vertical="center"/>
    </xf>
    <xf numFmtId="0" fontId="5" fillId="0" borderId="8" xfId="0" applyNumberFormat="1" applyFont="1" applyFill="1" applyBorder="1" applyAlignment="1" applyProtection="1">
      <alignment horizontal="center"/>
    </xf>
    <xf numFmtId="0" fontId="5" fillId="0" borderId="9" xfId="0" applyNumberFormat="1" applyFont="1" applyFill="1" applyBorder="1" applyAlignment="1" applyProtection="1">
      <alignment horizontal="center"/>
    </xf>
    <xf numFmtId="0" fontId="1" fillId="5" borderId="13" xfId="0" applyNumberFormat="1" applyFont="1" applyFill="1" applyBorder="1" applyAlignment="1" applyProtection="1">
      <alignment horizontal="left" vertical="center"/>
    </xf>
    <xf numFmtId="0" fontId="1" fillId="5" borderId="16" xfId="0" applyNumberFormat="1" applyFont="1" applyFill="1" applyBorder="1" applyAlignment="1" applyProtection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1:H4" totalsRowShown="0">
  <autoFilter ref="A1:H4" xr:uid="{00000000-0009-0000-0100-000001000000}"/>
  <tableColumns count="8">
    <tableColumn id="1" xr3:uid="{00000000-0010-0000-0000-000001000000}" name="Company ID"/>
    <tableColumn id="2" xr3:uid="{00000000-0010-0000-0000-000002000000}" name="Name"/>
    <tableColumn id="3" xr3:uid="{00000000-0010-0000-0000-000003000000}" name="Month"/>
    <tableColumn id="4" xr3:uid="{00000000-0010-0000-0000-000004000000}" name="Research"/>
    <tableColumn id="5" xr3:uid="{00000000-0010-0000-0000-000005000000}" name="Development"/>
    <tableColumn id="6" xr3:uid="{00000000-0010-0000-0000-000006000000}" name="Maintenance"/>
    <tableColumn id="7" xr3:uid="{00000000-0010-0000-0000-000007000000}" name="Other"/>
    <tableColumn id="8" xr3:uid="{00000000-0010-0000-0000-000008000000}" name="__PowerAppsId__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D2815C-D581-E04F-BED1-32B57E40FBCF}">
  <dimension ref="A1:I14"/>
  <sheetViews>
    <sheetView workbookViewId="0">
      <selection activeCell="B5" sqref="B5"/>
    </sheetView>
  </sheetViews>
  <sheetFormatPr baseColWidth="10" defaultRowHeight="16" x14ac:dyDescent="0.2"/>
  <cols>
    <col min="1" max="1" width="9.1640625" style="18" customWidth="1"/>
    <col min="2" max="2" width="10.1640625" style="18" customWidth="1"/>
    <col min="3" max="3" width="9.5" style="18" customWidth="1"/>
    <col min="4" max="4" width="11.6640625" style="18" customWidth="1"/>
    <col min="5" max="5" width="14.33203125" style="18" customWidth="1"/>
    <col min="6" max="6" width="14.1640625" style="18" customWidth="1"/>
    <col min="7" max="7" width="9.1640625" style="18" customWidth="1"/>
    <col min="8" max="8" width="18.33203125" style="18" bestFit="1" customWidth="1"/>
    <col min="9" max="9" width="25.5" customWidth="1"/>
  </cols>
  <sheetData>
    <row r="1" spans="1:9" x14ac:dyDescent="0.2">
      <c r="A1" s="18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  <c r="G1" s="18" t="s">
        <v>6</v>
      </c>
      <c r="H1" s="18" t="s">
        <v>7</v>
      </c>
      <c r="I1" s="4" t="s">
        <v>31</v>
      </c>
    </row>
    <row r="2" spans="1:9" x14ac:dyDescent="0.2">
      <c r="A2" s="18">
        <v>1012</v>
      </c>
      <c r="B2" s="18" t="s">
        <v>1</v>
      </c>
      <c r="C2" s="18" t="s">
        <v>8</v>
      </c>
      <c r="D2" s="18">
        <v>10</v>
      </c>
      <c r="E2" s="18">
        <v>10</v>
      </c>
      <c r="F2" s="18">
        <v>0</v>
      </c>
      <c r="G2" s="18">
        <v>2</v>
      </c>
      <c r="H2" s="18" t="s">
        <v>9</v>
      </c>
      <c r="I2" t="str">
        <f>VLOOKUP(Table1[[#This Row],[Company ID]],TT_Overall_info!A17:D30,2,0)</f>
        <v>Poste 12</v>
      </c>
    </row>
    <row r="3" spans="1:9" x14ac:dyDescent="0.2">
      <c r="A3" s="18">
        <v>1012</v>
      </c>
      <c r="B3" s="18" t="s">
        <v>1</v>
      </c>
      <c r="C3" s="18" t="s">
        <v>10</v>
      </c>
      <c r="D3" s="18">
        <v>5</v>
      </c>
      <c r="E3" s="18">
        <v>10</v>
      </c>
      <c r="F3" s="18">
        <v>5</v>
      </c>
      <c r="G3" s="18">
        <v>2</v>
      </c>
      <c r="H3" s="18" t="s">
        <v>11</v>
      </c>
      <c r="I3" t="str">
        <f>VLOOKUP(Table1[[#This Row],[Company ID]],TT_Overall_info!A18:D31,2,0)</f>
        <v>Poste 12</v>
      </c>
    </row>
    <row r="4" spans="1:9" x14ac:dyDescent="0.2">
      <c r="A4" s="18">
        <v>1012</v>
      </c>
      <c r="B4" s="18" t="s">
        <v>1</v>
      </c>
      <c r="C4" s="18" t="s">
        <v>12</v>
      </c>
      <c r="D4" s="18">
        <v>12</v>
      </c>
      <c r="E4" s="18">
        <v>8</v>
      </c>
      <c r="F4" s="18">
        <v>0</v>
      </c>
      <c r="G4" s="18">
        <v>2</v>
      </c>
      <c r="H4" s="18" t="s">
        <v>13</v>
      </c>
      <c r="I4" t="str">
        <f>VLOOKUP(Table1[[#This Row],[Company ID]],TT_Overall_info!A19:D32,2,0)</f>
        <v>Poste 12</v>
      </c>
    </row>
    <row r="6" spans="1:9" x14ac:dyDescent="0.2">
      <c r="I6" s="18"/>
    </row>
    <row r="11" spans="1:9" x14ac:dyDescent="0.2">
      <c r="I11" s="18"/>
    </row>
    <row r="14" spans="1:9" x14ac:dyDescent="0.2">
      <c r="I14" s="18"/>
    </row>
  </sheetData>
  <pageMargins left="0.7" right="0.7" top="0.75" bottom="0.75" header="0.3" footer="0.3"/>
  <pageSetup orientation="portrait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68F8A0-0591-CA4D-A785-2BEB4B765FE8}">
  <dimension ref="A1:N25"/>
  <sheetViews>
    <sheetView workbookViewId="0">
      <selection activeCell="N23" sqref="N23"/>
    </sheetView>
  </sheetViews>
  <sheetFormatPr baseColWidth="10" defaultRowHeight="16" x14ac:dyDescent="0.2"/>
  <cols>
    <col min="1" max="1" width="12.33203125" bestFit="1" customWidth="1"/>
    <col min="2" max="2" width="11.1640625" style="18" bestFit="1" customWidth="1"/>
    <col min="3" max="3" width="9.1640625" style="18" customWidth="1"/>
    <col min="4" max="4" width="12.33203125" style="18" bestFit="1" customWidth="1"/>
    <col min="5" max="5" width="11.83203125" style="18" bestFit="1" customWidth="1"/>
  </cols>
  <sheetData>
    <row r="1" spans="1:6" x14ac:dyDescent="0.2">
      <c r="A1" s="19" t="s">
        <v>33</v>
      </c>
      <c r="B1" s="19" t="s">
        <v>1</v>
      </c>
      <c r="C1" s="20" t="s">
        <v>3</v>
      </c>
      <c r="D1" s="20" t="s">
        <v>4</v>
      </c>
      <c r="E1" s="20" t="s">
        <v>5</v>
      </c>
      <c r="F1" s="21" t="s">
        <v>6</v>
      </c>
    </row>
    <row r="2" spans="1:6" x14ac:dyDescent="0.2">
      <c r="A2" s="1">
        <v>1001</v>
      </c>
      <c r="B2" s="12" t="s">
        <v>47</v>
      </c>
      <c r="C2" s="18">
        <f>SUMIF(Table1[Name],"Aaron",Table1[Research])</f>
        <v>0</v>
      </c>
      <c r="D2" s="18">
        <f>SUMIF(Table1[Name],"Aaron",Table1[Development])</f>
        <v>0</v>
      </c>
      <c r="E2" s="18">
        <f>SUMIF(Table1[Name],"Aaron",Table1[Maintenance])</f>
        <v>0</v>
      </c>
      <c r="F2" s="18">
        <f>SUMIF(Table1[Name],"Aaron",Table1[Other])</f>
        <v>0</v>
      </c>
    </row>
    <row r="3" spans="1:6" x14ac:dyDescent="0.2">
      <c r="A3" s="1">
        <v>1002</v>
      </c>
      <c r="B3" s="12" t="s">
        <v>48</v>
      </c>
      <c r="C3" s="18">
        <f>SUMIF(Table1[Name],"Ana",Table1[Research])</f>
        <v>0</v>
      </c>
      <c r="D3" s="18">
        <f>SUMIF(Table1[Name],"Ana",Table1[Development])</f>
        <v>0</v>
      </c>
      <c r="E3" s="18">
        <f>SUMIF(Table1[Name],"Ana",Table1[Maintenance])</f>
        <v>0</v>
      </c>
      <c r="F3" s="18">
        <f>SUMIF(Table1[Name],"Ana",Table1[Other])</f>
        <v>0</v>
      </c>
    </row>
    <row r="4" spans="1:6" x14ac:dyDescent="0.2">
      <c r="A4" s="1">
        <v>1003</v>
      </c>
      <c r="B4" s="12" t="s">
        <v>49</v>
      </c>
      <c r="C4" s="18">
        <f>SUMIF(Table1[Name],"Benjamin",Table1[Research])</f>
        <v>0</v>
      </c>
      <c r="D4" s="18">
        <f>SUMIF(Table1[Name],"Benjamin",Table1[Development])</f>
        <v>0</v>
      </c>
      <c r="E4" s="18">
        <f>SUMIF(Table1[Name],"Benjamin",Table1[Maintenance])</f>
        <v>0</v>
      </c>
      <c r="F4" s="18">
        <f>SUMIF(Table1[Name],"Benjamin",Table1[Other])</f>
        <v>0</v>
      </c>
    </row>
    <row r="5" spans="1:6" x14ac:dyDescent="0.2">
      <c r="A5" s="1">
        <v>1004</v>
      </c>
      <c r="B5" s="12" t="s">
        <v>50</v>
      </c>
      <c r="C5" s="18">
        <f>SUMIF(Table1[Name],"Furkan",Table1[Research])</f>
        <v>0</v>
      </c>
      <c r="D5" s="18">
        <f>SUMIF(Table1[Name],"Furkan",Table1[Development])</f>
        <v>0</v>
      </c>
      <c r="E5" s="18">
        <f>SUMIF(Table1[Name],"Furkan",Table1[Maintenance])</f>
        <v>0</v>
      </c>
      <c r="F5" s="18">
        <f>SUMIF(Table1[Name],"Furkan",Table1[Other])</f>
        <v>0</v>
      </c>
    </row>
    <row r="6" spans="1:6" x14ac:dyDescent="0.2">
      <c r="A6" s="1">
        <v>1005</v>
      </c>
      <c r="B6" s="12" t="s">
        <v>51</v>
      </c>
      <c r="C6" s="18">
        <f>SUMIF(Table1[Name],"Jan",Table1[Research])</f>
        <v>0</v>
      </c>
      <c r="D6" s="18">
        <f>SUMIF(Table1[Name],"Jan",Table1[Development])</f>
        <v>0</v>
      </c>
      <c r="E6" s="18">
        <f>SUMIF(Table1[Name],"Jan",Table1[Maintenance])</f>
        <v>0</v>
      </c>
      <c r="F6" s="18">
        <f>SUMIF(Table1[Name],"Jan",Table1[Other])</f>
        <v>0</v>
      </c>
    </row>
    <row r="7" spans="1:6" x14ac:dyDescent="0.2">
      <c r="A7" s="1">
        <v>1006</v>
      </c>
      <c r="B7" s="12" t="s">
        <v>52</v>
      </c>
      <c r="C7" s="18">
        <f>SUMIF(Table1[Name],"Jeremy",Table1[Research])</f>
        <v>0</v>
      </c>
      <c r="D7" s="18">
        <f>SUMIF(Table1[Name],"Jeremy",Table1[Development])</f>
        <v>0</v>
      </c>
      <c r="E7" s="18">
        <f>SUMIF(Table1[Name],"Jeremy",Table1[Maintenance])</f>
        <v>0</v>
      </c>
      <c r="F7" s="18">
        <f>SUMIF(Table1[Name],"Jeremy",Table1[Other])</f>
        <v>0</v>
      </c>
    </row>
    <row r="8" spans="1:6" x14ac:dyDescent="0.2">
      <c r="A8" s="1">
        <v>1007</v>
      </c>
      <c r="B8" s="12" t="s">
        <v>53</v>
      </c>
      <c r="C8" s="18">
        <f>SUMIF(Table1[Name],"Stan",Table1[Research])</f>
        <v>0</v>
      </c>
      <c r="D8" s="18">
        <f>SUMIF(Table1[Name],"Stan",Table1[Development])</f>
        <v>0</v>
      </c>
      <c r="E8" s="18">
        <f>SUMIF(Table1[Name],"Stan",Table1[Maintenance])</f>
        <v>0</v>
      </c>
      <c r="F8" s="18">
        <f>SUMIF(Table1[Name],"Stan",Table1[Other])</f>
        <v>0</v>
      </c>
    </row>
    <row r="9" spans="1:6" x14ac:dyDescent="0.2">
      <c r="A9" s="1">
        <v>1008</v>
      </c>
      <c r="B9" s="12" t="s">
        <v>54</v>
      </c>
      <c r="C9" s="18">
        <f>SUMIF(Table1[Name],"Iryna",Table1[Research])</f>
        <v>0</v>
      </c>
      <c r="D9" s="18">
        <f>SUMIF(Table1[Name],"Iryna",Table1[Development])</f>
        <v>0</v>
      </c>
      <c r="E9" s="18">
        <f>SUMIF(Table1[Name],"Iryna",Table1[Maintenance])</f>
        <v>0</v>
      </c>
      <c r="F9" s="18">
        <f>SUMIF(Table1[Name],"Iryna",Table1[Other])</f>
        <v>0</v>
      </c>
    </row>
    <row r="10" spans="1:6" x14ac:dyDescent="0.2">
      <c r="A10" s="1">
        <v>1009</v>
      </c>
      <c r="B10" s="12" t="s">
        <v>55</v>
      </c>
      <c r="C10" s="18">
        <f>SUMIF(Table1[Name],"Corina",Table1[Research])</f>
        <v>0</v>
      </c>
      <c r="D10" s="18">
        <f>SUMIF(Table1[Name],"Corina",Table1[Development])</f>
        <v>0</v>
      </c>
      <c r="E10" s="18">
        <f>SUMIF(Table1[Name],"Corina",Table1[Maintenance])</f>
        <v>0</v>
      </c>
      <c r="F10" s="18">
        <f>SUMIF(Table1[Name],"Corina",Table1[Other])</f>
        <v>0</v>
      </c>
    </row>
    <row r="11" spans="1:6" x14ac:dyDescent="0.2">
      <c r="A11" s="1">
        <v>1010</v>
      </c>
      <c r="B11" s="12" t="s">
        <v>56</v>
      </c>
      <c r="C11" s="18">
        <f>SUMIF(Table1[Name],"Josip",Table1[Research])</f>
        <v>0</v>
      </c>
      <c r="D11" s="18">
        <f>SUMIF(Table1[Name],"Josip",Table1[Development])</f>
        <v>0</v>
      </c>
      <c r="E11" s="18">
        <f>SUMIF(Table1[Name],"Josip",Table1[Maintenance])</f>
        <v>0</v>
      </c>
      <c r="F11" s="18">
        <f>SUMIF(Table1[Name],"Josip",Table1[Other])</f>
        <v>0</v>
      </c>
    </row>
    <row r="12" spans="1:6" x14ac:dyDescent="0.2">
      <c r="A12" s="1">
        <v>1011</v>
      </c>
      <c r="B12" s="12" t="s">
        <v>57</v>
      </c>
      <c r="C12" s="18">
        <f>SUMIF(Table1[Name],"Ola",Table1[Research])</f>
        <v>0</v>
      </c>
      <c r="D12" s="18">
        <f>SUMIF(Table1[Name],"Ola",Table1[Development])</f>
        <v>0</v>
      </c>
      <c r="E12" s="18">
        <f>SUMIF(Table1[Name],"Ola",Table1[Maintenance])</f>
        <v>0</v>
      </c>
      <c r="F12" s="18">
        <f>SUMIF(Table1[Name],"Ola",Table1[Other])</f>
        <v>0</v>
      </c>
    </row>
    <row r="13" spans="1:6" x14ac:dyDescent="0.2">
      <c r="A13" s="1">
        <v>1012</v>
      </c>
      <c r="B13" s="12" t="s">
        <v>58</v>
      </c>
      <c r="C13" s="18">
        <f>SUMIF(Table1[Name],"Salah",Table1[Research])</f>
        <v>0</v>
      </c>
      <c r="D13" s="18">
        <f>SUMIF(Table1[Name],"Salah",Table1[Development])</f>
        <v>0</v>
      </c>
      <c r="E13" s="18">
        <f>SUMIF(Table1[Name],"Salah",Table1[Maintenance])</f>
        <v>0</v>
      </c>
      <c r="F13" s="18">
        <f>SUMIF(Table1[Name],"Salah",Table1[Other])</f>
        <v>0</v>
      </c>
    </row>
    <row r="14" spans="1:6" x14ac:dyDescent="0.2">
      <c r="A14" s="1">
        <v>1013</v>
      </c>
      <c r="B14" s="12" t="s">
        <v>59</v>
      </c>
      <c r="C14" s="18">
        <f>SUMIF(Table1[Name],"Richard",Table1[Research])</f>
        <v>0</v>
      </c>
      <c r="D14" s="18">
        <f>SUMIF(Table1[Name],"Richard",Table1[Development])</f>
        <v>0</v>
      </c>
      <c r="E14" s="18">
        <f>SUMIF(Table1[Name],"Richard",Table1[Maintenance])</f>
        <v>0</v>
      </c>
      <c r="F14" s="18">
        <f>SUMIF(Table1[Name],"Richard",Table1[Other])</f>
        <v>0</v>
      </c>
    </row>
    <row r="25" spans="14:14" x14ac:dyDescent="0.2">
      <c r="N25" s="18"/>
    </row>
  </sheetData>
  <pageMargins left="0.7" right="0.7" top="0.75" bottom="0.75" header="0.3" footer="0.3"/>
  <pageSetup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C7AA97-B62A-464A-8ECD-19B9D76FF59D}">
  <dimension ref="A1:I30"/>
  <sheetViews>
    <sheetView workbookViewId="0">
      <selection activeCell="E38" sqref="E38"/>
    </sheetView>
  </sheetViews>
  <sheetFormatPr baseColWidth="10" defaultRowHeight="16" x14ac:dyDescent="0.2"/>
  <cols>
    <col min="1" max="1" width="11.6640625" customWidth="1"/>
    <col min="2" max="2" width="29.33203125" style="18" customWidth="1"/>
    <col min="3" max="3" width="18.6640625" style="18" bestFit="1" customWidth="1"/>
    <col min="4" max="4" width="17.5" style="18" bestFit="1" customWidth="1"/>
    <col min="5" max="5" width="13" style="18" customWidth="1"/>
    <col min="6" max="6" width="12.5" style="18" customWidth="1"/>
    <col min="7" max="7" width="14.33203125" style="18" customWidth="1"/>
    <col min="8" max="8" width="17.5" style="18" bestFit="1" customWidth="1"/>
  </cols>
  <sheetData>
    <row r="1" spans="2:9" x14ac:dyDescent="0.2">
      <c r="B1" s="22" t="s">
        <v>14</v>
      </c>
      <c r="C1" s="22" t="s">
        <v>15</v>
      </c>
      <c r="D1" s="22" t="s">
        <v>16</v>
      </c>
      <c r="E1" s="22" t="s">
        <v>17</v>
      </c>
      <c r="F1" s="22" t="s">
        <v>18</v>
      </c>
      <c r="G1" s="22" t="s">
        <v>19</v>
      </c>
      <c r="I1" s="23"/>
    </row>
    <row r="2" spans="2:9" x14ac:dyDescent="0.2">
      <c r="B2" s="10" t="s">
        <v>69</v>
      </c>
      <c r="C2" s="10" t="s">
        <v>60</v>
      </c>
      <c r="D2" s="10" t="s">
        <v>64</v>
      </c>
      <c r="E2" s="10" t="s">
        <v>68</v>
      </c>
      <c r="F2" s="10">
        <v>11111</v>
      </c>
      <c r="G2" s="10">
        <v>8387982</v>
      </c>
    </row>
    <row r="3" spans="2:9" x14ac:dyDescent="0.2">
      <c r="B3" s="10" t="s">
        <v>70</v>
      </c>
      <c r="C3" s="10" t="s">
        <v>61</v>
      </c>
      <c r="D3" s="10" t="s">
        <v>65</v>
      </c>
      <c r="E3" s="11" t="s">
        <v>68</v>
      </c>
      <c r="F3" s="11">
        <v>22222</v>
      </c>
      <c r="G3" s="11">
        <v>928732723</v>
      </c>
    </row>
    <row r="4" spans="2:9" x14ac:dyDescent="0.2">
      <c r="B4" s="10" t="s">
        <v>71</v>
      </c>
      <c r="C4" s="10" t="s">
        <v>62</v>
      </c>
      <c r="D4" s="10" t="s">
        <v>66</v>
      </c>
      <c r="E4" s="11" t="s">
        <v>68</v>
      </c>
      <c r="F4" s="11">
        <v>33333</v>
      </c>
      <c r="G4" s="11">
        <v>8221921</v>
      </c>
    </row>
    <row r="5" spans="2:9" x14ac:dyDescent="0.2">
      <c r="B5" s="10" t="s">
        <v>72</v>
      </c>
      <c r="C5" s="10" t="s">
        <v>63</v>
      </c>
      <c r="D5" s="10" t="s">
        <v>67</v>
      </c>
      <c r="E5" s="11" t="s">
        <v>68</v>
      </c>
      <c r="F5" s="11">
        <v>44444</v>
      </c>
      <c r="G5" s="11">
        <v>982127</v>
      </c>
    </row>
    <row r="17" spans="1:9" x14ac:dyDescent="0.2">
      <c r="A17" s="24" t="s">
        <v>30</v>
      </c>
      <c r="B17" s="24" t="s">
        <v>20</v>
      </c>
      <c r="C17" s="24" t="s">
        <v>1</v>
      </c>
      <c r="D17" s="24" t="s">
        <v>21</v>
      </c>
      <c r="E17" s="25"/>
      <c r="F17" s="25"/>
      <c r="G17" s="25"/>
      <c r="H17" s="25"/>
      <c r="I17" s="26"/>
    </row>
    <row r="18" spans="1:9" x14ac:dyDescent="0.2">
      <c r="A18" s="1">
        <v>1001</v>
      </c>
      <c r="B18" s="12" t="s">
        <v>34</v>
      </c>
      <c r="C18" s="12" t="s">
        <v>47</v>
      </c>
      <c r="D18" s="13">
        <v>123</v>
      </c>
      <c r="I18" s="18"/>
    </row>
    <row r="19" spans="1:9" x14ac:dyDescent="0.2">
      <c r="A19" s="1">
        <v>1002</v>
      </c>
      <c r="B19" s="12" t="s">
        <v>35</v>
      </c>
      <c r="C19" s="12" t="s">
        <v>48</v>
      </c>
      <c r="D19" s="14">
        <v>342</v>
      </c>
      <c r="I19" s="18"/>
    </row>
    <row r="20" spans="1:9" x14ac:dyDescent="0.2">
      <c r="A20" s="1">
        <v>1003</v>
      </c>
      <c r="B20" s="12" t="s">
        <v>36</v>
      </c>
      <c r="C20" s="12" t="s">
        <v>49</v>
      </c>
      <c r="D20" s="14">
        <v>123</v>
      </c>
      <c r="I20" s="18"/>
    </row>
    <row r="21" spans="1:9" x14ac:dyDescent="0.2">
      <c r="A21" s="1">
        <v>1004</v>
      </c>
      <c r="B21" s="12" t="s">
        <v>37</v>
      </c>
      <c r="C21" s="12" t="s">
        <v>50</v>
      </c>
      <c r="D21" s="14">
        <v>231</v>
      </c>
      <c r="I21" s="18"/>
    </row>
    <row r="22" spans="1:9" x14ac:dyDescent="0.2">
      <c r="A22" s="1">
        <v>1005</v>
      </c>
      <c r="B22" s="12" t="s">
        <v>38</v>
      </c>
      <c r="C22" s="12" t="s">
        <v>51</v>
      </c>
      <c r="D22" s="14">
        <v>123</v>
      </c>
      <c r="I22" s="18"/>
    </row>
    <row r="23" spans="1:9" x14ac:dyDescent="0.2">
      <c r="A23" s="1">
        <v>1006</v>
      </c>
      <c r="B23" s="12" t="s">
        <v>39</v>
      </c>
      <c r="C23" s="12" t="s">
        <v>52</v>
      </c>
      <c r="D23" s="14">
        <v>231</v>
      </c>
      <c r="I23" s="18"/>
    </row>
    <row r="24" spans="1:9" x14ac:dyDescent="0.2">
      <c r="A24" s="1">
        <v>1007</v>
      </c>
      <c r="B24" s="12" t="s">
        <v>40</v>
      </c>
      <c r="C24" s="12" t="s">
        <v>53</v>
      </c>
      <c r="D24" s="14">
        <v>211</v>
      </c>
      <c r="I24" s="18"/>
    </row>
    <row r="25" spans="1:9" x14ac:dyDescent="0.2">
      <c r="A25" s="1">
        <v>1008</v>
      </c>
      <c r="B25" s="12" t="s">
        <v>41</v>
      </c>
      <c r="C25" s="12" t="s">
        <v>54</v>
      </c>
      <c r="D25" s="14">
        <v>321</v>
      </c>
      <c r="I25" s="18"/>
    </row>
    <row r="26" spans="1:9" x14ac:dyDescent="0.2">
      <c r="A26" s="1">
        <v>1009</v>
      </c>
      <c r="B26" s="12" t="s">
        <v>42</v>
      </c>
      <c r="C26" s="12" t="s">
        <v>55</v>
      </c>
      <c r="D26" s="14">
        <v>231</v>
      </c>
      <c r="I26" s="18"/>
    </row>
    <row r="27" spans="1:9" x14ac:dyDescent="0.2">
      <c r="A27" s="1">
        <v>1010</v>
      </c>
      <c r="B27" s="12" t="s">
        <v>43</v>
      </c>
      <c r="C27" s="12" t="s">
        <v>56</v>
      </c>
      <c r="D27" s="14">
        <v>321</v>
      </c>
      <c r="I27" s="18"/>
    </row>
    <row r="28" spans="1:9" x14ac:dyDescent="0.2">
      <c r="A28" s="1">
        <v>1011</v>
      </c>
      <c r="B28" s="12" t="s">
        <v>44</v>
      </c>
      <c r="C28" s="12" t="s">
        <v>57</v>
      </c>
      <c r="D28" s="14">
        <v>23</v>
      </c>
      <c r="I28" s="18"/>
    </row>
    <row r="29" spans="1:9" x14ac:dyDescent="0.2">
      <c r="A29" s="1">
        <v>1012</v>
      </c>
      <c r="B29" s="12" t="s">
        <v>45</v>
      </c>
      <c r="C29" s="12" t="s">
        <v>58</v>
      </c>
      <c r="D29" s="14">
        <v>123</v>
      </c>
      <c r="I29" s="18"/>
    </row>
    <row r="30" spans="1:9" x14ac:dyDescent="0.2">
      <c r="A30" s="1">
        <v>1013</v>
      </c>
      <c r="B30" s="12" t="s">
        <v>46</v>
      </c>
      <c r="C30" s="12" t="s">
        <v>59</v>
      </c>
      <c r="D30" s="14">
        <v>122</v>
      </c>
      <c r="I30" s="18"/>
    </row>
  </sheetData>
  <phoneticPr fontId="8" type="noConversion"/>
  <pageMargins left="0.7" right="0.7" top="0.75" bottom="0.75" header="0.3" footer="0.3"/>
  <pageSetup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79CA39-39E6-6941-A091-6D05DB1A7F68}">
  <dimension ref="B2:K13"/>
  <sheetViews>
    <sheetView showGridLines="0" tabSelected="1" workbookViewId="0">
      <selection activeCell="I23" sqref="I23"/>
    </sheetView>
  </sheetViews>
  <sheetFormatPr baseColWidth="10" defaultRowHeight="16" x14ac:dyDescent="0.2"/>
  <cols>
    <col min="9" max="9" width="12" bestFit="1" customWidth="1"/>
  </cols>
  <sheetData>
    <row r="2" spans="2:11" ht="19" customHeight="1" x14ac:dyDescent="0.25">
      <c r="B2" s="16" t="s">
        <v>22</v>
      </c>
      <c r="C2" s="17"/>
      <c r="D2" s="17"/>
      <c r="H2" s="30" t="s">
        <v>32</v>
      </c>
      <c r="I2" s="31"/>
    </row>
    <row r="3" spans="2:11" x14ac:dyDescent="0.2">
      <c r="B3" s="9" t="s">
        <v>71</v>
      </c>
    </row>
    <row r="4" spans="2:11" x14ac:dyDescent="0.2">
      <c r="B4" t="str">
        <f>VLOOKUP(B3,TT_Overall_info!B1:G8,4,0)</f>
        <v>Nom</v>
      </c>
      <c r="G4" s="18" t="s">
        <v>23</v>
      </c>
      <c r="H4">
        <f>VLOOKUP(B3,TT_Overall_info!B1:G8,5,0)</f>
        <v>33333</v>
      </c>
    </row>
    <row r="5" spans="2:11" x14ac:dyDescent="0.2">
      <c r="B5" t="str">
        <f>VLOOKUP(B3,TT_Overall_info!B1:G8,2,0)</f>
        <v>Adresse 3</v>
      </c>
      <c r="G5" s="18" t="s">
        <v>24</v>
      </c>
      <c r="H5">
        <f>VLOOKUP(B3,TT_Overall_info!B1:G8,6,0)</f>
        <v>8221921</v>
      </c>
    </row>
    <row r="6" spans="2:11" ht="17" customHeight="1" thickBot="1" x14ac:dyDescent="0.25">
      <c r="B6" t="str">
        <f>VLOOKUP(B3,TT_Overall_info!B1:G8,3,0)</f>
        <v>125 Ville</v>
      </c>
      <c r="G6" s="15" t="s">
        <v>25</v>
      </c>
      <c r="H6" s="8"/>
      <c r="I6" s="8"/>
      <c r="K6" s="18"/>
    </row>
    <row r="7" spans="2:11" ht="18" customHeight="1" thickTop="1" thickBot="1" x14ac:dyDescent="0.25"/>
    <row r="8" spans="2:11" ht="17" customHeight="1" thickBot="1" x14ac:dyDescent="0.25">
      <c r="B8" s="7" t="s">
        <v>29</v>
      </c>
      <c r="C8" s="32" t="s">
        <v>20</v>
      </c>
      <c r="D8" s="32"/>
      <c r="E8" s="32"/>
      <c r="F8" s="33"/>
      <c r="G8" s="27" t="s">
        <v>26</v>
      </c>
      <c r="H8" s="28" t="s">
        <v>27</v>
      </c>
      <c r="I8" s="29" t="s">
        <v>28</v>
      </c>
    </row>
    <row r="9" spans="2:11" x14ac:dyDescent="0.2">
      <c r="B9" s="6">
        <v>1012</v>
      </c>
      <c r="C9" s="6" t="str">
        <f>VLOOKUP($B$9,TT_Table_PowApps!A1:I4,9,0)</f>
        <v>Poste 12</v>
      </c>
      <c r="D9" s="6"/>
      <c r="E9" s="6"/>
      <c r="F9" s="6"/>
      <c r="G9" s="6"/>
      <c r="H9" s="5">
        <f>VLOOKUP(B9,TT_Overall_info!A17:D30,4,0)</f>
        <v>123</v>
      </c>
      <c r="I9" s="6"/>
    </row>
    <row r="10" spans="2:11" x14ac:dyDescent="0.2">
      <c r="D10" s="3" t="s">
        <v>3</v>
      </c>
      <c r="G10">
        <f>IF($H$2="YEARLY",VLOOKUP($B$9,TT_Yearly!A1:F14,3,0),0)</f>
        <v>0</v>
      </c>
      <c r="I10" s="2">
        <f>$H$9*G10</f>
        <v>0</v>
      </c>
    </row>
    <row r="11" spans="2:11" x14ac:dyDescent="0.2">
      <c r="D11" s="3" t="s">
        <v>4</v>
      </c>
    </row>
    <row r="12" spans="2:11" x14ac:dyDescent="0.2">
      <c r="D12" s="3" t="s">
        <v>5</v>
      </c>
    </row>
    <row r="13" spans="2:11" x14ac:dyDescent="0.2">
      <c r="D13" s="3" t="s">
        <v>6</v>
      </c>
    </row>
  </sheetData>
  <mergeCells count="2">
    <mergeCell ref="H2:I2"/>
    <mergeCell ref="C8:F8"/>
  </mergeCells>
  <dataValidations count="1">
    <dataValidation type="list" allowBlank="1" showInputMessage="1" showErrorMessage="1" sqref="H2:I2" xr:uid="{00000000-0002-0000-0300-000000000000}">
      <formula1>"YEARLY,JANUARY,FEBRUARY,MARCH,APRIL,MAY,JUNE,JULY,AUGUST,SEPTEMBER,OCTOBER,NOVEMBER,DECEMBER"</formula1>
    </dataValidation>
  </dataValidations>
  <pageMargins left="0.7" right="0.7" top="0.75" bottom="0.75" header="0.3" footer="0.3"/>
  <pageSetup orientation="portrait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6DF4416-6641-8943-B68E-BBEDC310C72B}">
          <x14:formula1>
            <xm:f>TT_Overall_info!$B$2:$B$9</xm:f>
          </x14:formula1>
          <xm:sqref>B3</xm:sqref>
        </x14:dataValidation>
        <x14:dataValidation type="list" allowBlank="1" showInputMessage="1" showErrorMessage="1" xr:uid="{C44F4EEB-9397-AD4D-A9F2-4B7A0BFE5DE8}">
          <x14:formula1>
            <xm:f>TT_Overall_info!$A$18:$A$30</xm:f>
          </x14:formula1>
          <xm:sqref>B9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TT_Table_PowApps</vt:lpstr>
      <vt:lpstr>TT_Yearly</vt:lpstr>
      <vt:lpstr>TT_Overall_info</vt:lpstr>
      <vt:lpstr>Invoice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Office User</dc:creator>
  <cp:keywords/>
  <dc:description/>
  <cp:lastModifiedBy>Microsoft Office User</cp:lastModifiedBy>
  <dcterms:created xsi:type="dcterms:W3CDTF">2020-06-23T10:32:41Z</dcterms:created>
  <dcterms:modified xsi:type="dcterms:W3CDTF">2020-06-24T06:45:39Z</dcterms:modified>
  <cp:category/>
</cp:coreProperties>
</file>