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5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6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hilippine Sentenac\Desktop\"/>
    </mc:Choice>
  </mc:AlternateContent>
  <xr:revisionPtr revIDLastSave="0" documentId="13_ncr:1_{3AB2BAC5-91B1-4C18-8F03-7A8882C24A17}" xr6:coauthVersionLast="45" xr6:coauthVersionMax="45" xr10:uidLastSave="{00000000-0000-0000-0000-000000000000}"/>
  <bookViews>
    <workbookView xWindow="-110" yWindow="-110" windowWidth="19420" windowHeight="10420" activeTab="4" xr2:uid="{4B009803-3D0C-4F9A-8C12-B1C1C28C88CD}"/>
  </bookViews>
  <sheets>
    <sheet name="User_Guide" sheetId="5" r:id="rId1"/>
    <sheet name="VPP" sheetId="1" r:id="rId2"/>
    <sheet name="Résistance" sheetId="2" r:id="rId3"/>
    <sheet name="Appendices" sheetId="8" r:id="rId4"/>
    <sheet name="Voiles" sheetId="6" r:id="rId5"/>
    <sheet name="Flettner" sheetId="7" r:id="rId6"/>
    <sheet name="Résultats" sheetId="3" r:id="rId7"/>
    <sheet name="Polar" sheetId="4" r:id="rId8"/>
  </sheets>
  <functionGroups builtInGroupCount="19"/>
  <definedNames>
    <definedName name="Draugth" comment="Draught at waterline">VPP!$E$5</definedName>
    <definedName name="solver_adj" localSheetId="1" hidden="1">VPP!$K$2:$L$2</definedName>
    <definedName name="solver_cvg" localSheetId="1" hidden="1">0.0001</definedName>
    <definedName name="solver_drv" localSheetId="1" hidden="1">1</definedName>
    <definedName name="solver_eng" localSheetId="1" hidden="1">1</definedName>
    <definedName name="solver_est" localSheetId="1" hidden="1">1</definedName>
    <definedName name="solver_itr" localSheetId="1" hidden="1">2147483647</definedName>
    <definedName name="solver_lhs2" localSheetId="1" hidden="1">VPP!$K$2</definedName>
    <definedName name="solver_lhs3" localSheetId="1" hidden="1">VPP!$K$2</definedName>
    <definedName name="solver_lhs4" localSheetId="1" hidden="1">VPP!$L$2</definedName>
    <definedName name="solver_lhs5" localSheetId="1" hidden="1">VPP!$L$2</definedName>
    <definedName name="solver_lhs6" localSheetId="1" hidden="1">VPP!$S$15</definedName>
    <definedName name="solver_lhs7" localSheetId="1" hidden="1">VPP!$M$2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0</definedName>
    <definedName name="solver_nwt" localSheetId="1" hidden="1">1</definedName>
    <definedName name="solver_opt" localSheetId="1" hidden="1">VPP!$R$15</definedName>
    <definedName name="solver_pre" localSheetId="1" hidden="1">0.000001</definedName>
    <definedName name="solver_rbv" localSheetId="1" hidden="1">1</definedName>
    <definedName name="solver_rel2" localSheetId="1" hidden="1">1</definedName>
    <definedName name="solver_rel3" localSheetId="1" hidden="1">3</definedName>
    <definedName name="solver_rel4" localSheetId="1" hidden="1">1</definedName>
    <definedName name="solver_rel5" localSheetId="1" hidden="1">3</definedName>
    <definedName name="solver_rel6" localSheetId="1" hidden="1">1</definedName>
    <definedName name="solver_rel7" localSheetId="1" hidden="1">3</definedName>
    <definedName name="solver_rhs2" localSheetId="1" hidden="1">VPP!$R$13</definedName>
    <definedName name="solver_rhs3" localSheetId="1" hidden="1">VPP!$Q$13</definedName>
    <definedName name="solver_rhs4" localSheetId="1" hidden="1">VPP!$S$14</definedName>
    <definedName name="solver_rhs5" localSheetId="1" hidden="1">VPP!#REF!</definedName>
    <definedName name="solver_rhs6" localSheetId="1" hidden="1">VPP!$S$15</definedName>
    <definedName name="solver_rhs7" localSheetId="1" hidden="1">VPP!#REF!</definedName>
    <definedName name="solver_rlx" localSheetId="1" hidden="1">2</definedName>
    <definedName name="solver_rsd" localSheetId="1" hidden="1">0</definedName>
    <definedName name="solver_scl" localSheetId="1" hidden="1">1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2" i="6" l="1"/>
  <c r="P2" i="1" l="1"/>
  <c r="L15" i="1" l="1"/>
  <c r="C32" i="8"/>
  <c r="C12" i="8"/>
  <c r="F20" i="2" l="1"/>
  <c r="F10" i="8"/>
  <c r="F11" i="8"/>
  <c r="E30" i="8"/>
  <c r="G10" i="6"/>
  <c r="H22" i="6" a="1"/>
  <c r="E31" i="8"/>
  <c r="G19" i="6"/>
  <c r="E23" i="8"/>
  <c r="G11" i="6"/>
  <c r="E32" i="8"/>
  <c r="H21" i="6"/>
  <c r="E25" i="8"/>
  <c r="E24" i="8"/>
  <c r="E33" i="8"/>
  <c r="E29" i="8"/>
  <c r="E27" i="8"/>
  <c r="E26" i="8"/>
  <c r="E28" i="8"/>
  <c r="F28" i="8" l="1"/>
  <c r="F26" i="8"/>
  <c r="F27" i="8"/>
  <c r="F29" i="8"/>
  <c r="F33" i="8"/>
  <c r="F24" i="8"/>
  <c r="F25" i="8"/>
  <c r="F32" i="8"/>
  <c r="F23" i="8"/>
  <c r="D35" i="8" s="1" a="1"/>
  <c r="D35" i="8" s="1"/>
  <c r="F31" i="8"/>
  <c r="F30" i="8"/>
  <c r="H22" i="6"/>
  <c r="G23" i="8" l="1"/>
  <c r="B20" i="2" s="1"/>
  <c r="E35" i="8"/>
  <c r="G26" i="8" s="1"/>
  <c r="B23" i="2" s="1"/>
  <c r="F35" i="8"/>
  <c r="G32" i="8" s="1"/>
  <c r="B29" i="2" s="1"/>
  <c r="G35" i="8"/>
  <c r="H35" i="8"/>
  <c r="G25" i="8" s="1"/>
  <c r="B22" i="2" s="1"/>
  <c r="I35" i="8"/>
  <c r="E16" i="1"/>
  <c r="L16" i="1"/>
  <c r="C10" i="8"/>
  <c r="C11" i="8" s="1"/>
  <c r="G24" i="8" l="1"/>
  <c r="B21" i="2" s="1"/>
  <c r="G28" i="8"/>
  <c r="B25" i="2" s="1"/>
  <c r="G30" i="8"/>
  <c r="B27" i="2" s="1"/>
  <c r="G27" i="8"/>
  <c r="B24" i="2" s="1"/>
  <c r="G29" i="8"/>
  <c r="B26" i="2" s="1"/>
  <c r="G31" i="8"/>
  <c r="B28" i="2" s="1"/>
  <c r="F12" i="8"/>
  <c r="C13" i="8"/>
  <c r="G11" i="8" l="1"/>
  <c r="D21" i="2" s="1"/>
  <c r="G19" i="8"/>
  <c r="D29" i="2" s="1"/>
  <c r="G13" i="8"/>
  <c r="D23" i="2" s="1"/>
  <c r="G14" i="8"/>
  <c r="D24" i="2" s="1"/>
  <c r="G10" i="8"/>
  <c r="D20" i="2" s="1"/>
  <c r="G15" i="8"/>
  <c r="D25" i="2" s="1"/>
  <c r="G16" i="8"/>
  <c r="D26" i="2" s="1"/>
  <c r="G17" i="8"/>
  <c r="D27" i="2" s="1"/>
  <c r="G12" i="8"/>
  <c r="D22" i="2" s="1"/>
  <c r="G18" i="8"/>
  <c r="D28" i="2" s="1"/>
  <c r="C14" i="8"/>
  <c r="D18" i="8" s="1"/>
  <c r="N31" i="6"/>
  <c r="N32" i="6"/>
  <c r="D14" i="8" l="1"/>
  <c r="C24" i="2" s="1"/>
  <c r="E24" i="2" s="1"/>
  <c r="D13" i="8"/>
  <c r="J13" i="8" s="1"/>
  <c r="O18" i="1" s="1"/>
  <c r="D12" i="8"/>
  <c r="J12" i="8" s="1"/>
  <c r="O17" i="1" s="1"/>
  <c r="C28" i="2"/>
  <c r="E28" i="2" s="1"/>
  <c r="J18" i="8"/>
  <c r="O23" i="1" s="1"/>
  <c r="D11" i="8"/>
  <c r="C21" i="2" s="1"/>
  <c r="D17" i="8"/>
  <c r="D16" i="8"/>
  <c r="D10" i="8"/>
  <c r="D19" i="8"/>
  <c r="D15" i="8"/>
  <c r="J7" i="7"/>
  <c r="I4" i="7"/>
  <c r="E6" i="6"/>
  <c r="J4" i="7"/>
  <c r="C20" i="2" l="1"/>
  <c r="E20" i="2" s="1"/>
  <c r="J10" i="8"/>
  <c r="O15" i="1" s="1"/>
  <c r="J14" i="8"/>
  <c r="O19" i="1" s="1"/>
  <c r="C23" i="2"/>
  <c r="E23" i="2" s="1"/>
  <c r="C22" i="2"/>
  <c r="E22" i="2" s="1"/>
  <c r="E21" i="2"/>
  <c r="J11" i="8"/>
  <c r="O16" i="1" s="1"/>
  <c r="C26" i="2"/>
  <c r="E26" i="2" s="1"/>
  <c r="J16" i="8"/>
  <c r="O21" i="1" s="1"/>
  <c r="C25" i="2"/>
  <c r="E25" i="2" s="1"/>
  <c r="J15" i="8"/>
  <c r="O20" i="1" s="1"/>
  <c r="J19" i="8"/>
  <c r="O24" i="1" s="1"/>
  <c r="C29" i="2"/>
  <c r="E29" i="2" s="1"/>
  <c r="C27" i="2"/>
  <c r="E27" i="2" s="1"/>
  <c r="J17" i="8"/>
  <c r="O22" i="1" s="1"/>
  <c r="J4" i="1"/>
  <c r="J3" i="1"/>
  <c r="H20" i="6"/>
  <c r="H4" i="3" l="1"/>
  <c r="G4" i="3"/>
  <c r="F4" i="3"/>
  <c r="E4" i="3"/>
  <c r="D4" i="3"/>
  <c r="C4" i="3"/>
  <c r="N34" i="6"/>
  <c r="E13" i="1" l="1"/>
  <c r="G18" i="7" a="1"/>
  <c r="G18" i="7" s="1"/>
  <c r="L3" i="7" s="1"/>
  <c r="N9" i="6"/>
  <c r="N8" i="6"/>
  <c r="N7" i="6"/>
  <c r="M10" i="6"/>
  <c r="E11" i="1"/>
  <c r="E12" i="1"/>
  <c r="E14" i="1"/>
  <c r="E15" i="1"/>
  <c r="N10" i="6" l="1"/>
  <c r="G19" i="7" a="1"/>
  <c r="G19" i="7" s="1"/>
  <c r="N36" i="6" l="1"/>
  <c r="H24" i="6" a="1"/>
  <c r="G30" i="6" a="1"/>
  <c r="H23" i="6" a="1"/>
  <c r="H25" i="6" a="1"/>
  <c r="H25" i="6" l="1"/>
  <c r="G30" i="6"/>
  <c r="H24" i="6"/>
  <c r="H23" i="6"/>
  <c r="J2" i="1"/>
  <c r="H4" i="6"/>
  <c r="H32" i="6" a="1"/>
  <c r="H15" i="6" a="1"/>
  <c r="G41" i="6" a="1"/>
  <c r="I38" i="6" a="1"/>
  <c r="G42" i="6" a="1"/>
  <c r="I22" i="6" a="1"/>
  <c r="G32" i="6" a="1"/>
  <c r="I41" i="6" a="1"/>
  <c r="I12" i="6" a="1"/>
  <c r="G36" i="6" a="1"/>
  <c r="G13" i="6" a="1"/>
  <c r="H38" i="6" a="1"/>
  <c r="H43" i="6" a="1"/>
  <c r="H35" i="6" a="1"/>
  <c r="I36" i="6" a="1"/>
  <c r="I43" i="6" a="1"/>
  <c r="G40" i="6" a="1"/>
  <c r="I33" i="6" a="1"/>
  <c r="G18" i="6" a="1"/>
  <c r="I23" i="6" a="1"/>
  <c r="I30" i="6" a="1"/>
  <c r="G37" i="6" a="1"/>
  <c r="G45" i="6" a="1"/>
  <c r="I14" i="6" a="1"/>
  <c r="G12" i="6" a="1"/>
  <c r="G20" i="6" a="1"/>
  <c r="I39" i="6" a="1"/>
  <c r="H17" i="6" a="1"/>
  <c r="I34" i="6" a="1"/>
  <c r="H44" i="6" a="1"/>
  <c r="G44" i="6" a="1"/>
  <c r="I16" i="6" a="1"/>
  <c r="I13" i="6" a="1"/>
  <c r="H41" i="6" a="1"/>
  <c r="H19" i="6" a="1"/>
  <c r="I31" i="6" a="1"/>
  <c r="G25" i="6" a="1"/>
  <c r="G35" i="6" a="1"/>
  <c r="H34" i="6" a="1"/>
  <c r="I32" i="6" a="1"/>
  <c r="I25" i="6" a="1"/>
  <c r="G34" i="6" a="1"/>
  <c r="G31" i="6" a="1"/>
  <c r="I17" i="6" a="1"/>
  <c r="G38" i="6" a="1"/>
  <c r="G15" i="6" a="1"/>
  <c r="I37" i="6" a="1"/>
  <c r="H45" i="6" a="1"/>
  <c r="H36" i="6" a="1"/>
  <c r="G43" i="6" a="1"/>
  <c r="G21" i="6" a="1"/>
  <c r="G22" i="6" a="1"/>
  <c r="G24" i="6" a="1"/>
  <c r="H37" i="6" a="1"/>
  <c r="H13" i="6" a="1"/>
  <c r="H33" i="6" a="1"/>
  <c r="G16" i="6" a="1"/>
  <c r="G23" i="6" a="1"/>
  <c r="I21" i="6" a="1"/>
  <c r="G33" i="6" a="1"/>
  <c r="H11" i="6" a="1"/>
  <c r="G39" i="6" a="1"/>
  <c r="H12" i="6" a="1"/>
  <c r="I35" i="6" a="1"/>
  <c r="I10" i="6" a="1"/>
  <c r="I19" i="6" a="1"/>
  <c r="I45" i="6" a="1"/>
  <c r="I42" i="6" a="1"/>
  <c r="H31" i="6" a="1"/>
  <c r="H42" i="6" a="1"/>
  <c r="I24" i="6" a="1"/>
  <c r="H40" i="6" a="1"/>
  <c r="I44" i="6" a="1"/>
  <c r="H39" i="6" a="1"/>
  <c r="H18" i="6" a="1"/>
  <c r="G17" i="6" a="1"/>
  <c r="I18" i="6" a="1"/>
  <c r="G14" i="6" a="1"/>
  <c r="I15" i="6" a="1"/>
  <c r="H16" i="6" a="1"/>
  <c r="I20" i="6" a="1"/>
  <c r="I40" i="6" a="1"/>
  <c r="H14" i="6" a="1"/>
  <c r="H30" i="6" a="1"/>
  <c r="I11" i="6" a="1"/>
  <c r="H10" i="6" a="1"/>
  <c r="M2" i="7" l="1"/>
  <c r="L2" i="7"/>
  <c r="N13" i="7"/>
  <c r="I2" i="1"/>
  <c r="N14" i="7"/>
  <c r="I22" i="7"/>
  <c r="I43" i="6"/>
  <c r="I39" i="6"/>
  <c r="I35" i="6"/>
  <c r="I31" i="6"/>
  <c r="I42" i="6"/>
  <c r="I38" i="6"/>
  <c r="I34" i="6"/>
  <c r="I41" i="6"/>
  <c r="I45" i="6"/>
  <c r="I37" i="6"/>
  <c r="I33" i="6"/>
  <c r="I44" i="6"/>
  <c r="I40" i="6"/>
  <c r="I36" i="6"/>
  <c r="I32" i="6"/>
  <c r="I30" i="6"/>
  <c r="H35" i="6"/>
  <c r="H31" i="6"/>
  <c r="H42" i="6"/>
  <c r="H38" i="6"/>
  <c r="H34" i="6"/>
  <c r="H43" i="6"/>
  <c r="H33" i="6"/>
  <c r="H39" i="6"/>
  <c r="H45" i="6"/>
  <c r="H41" i="6"/>
  <c r="H37" i="6"/>
  <c r="H44" i="6"/>
  <c r="H40" i="6"/>
  <c r="H36" i="6"/>
  <c r="H32" i="6"/>
  <c r="H30" i="6"/>
  <c r="K31" i="6" s="1"/>
  <c r="G38" i="6"/>
  <c r="G34" i="6"/>
  <c r="G45" i="6"/>
  <c r="G41" i="6"/>
  <c r="G33" i="6"/>
  <c r="G37" i="6"/>
  <c r="G42" i="6"/>
  <c r="G44" i="6"/>
  <c r="G40" i="6"/>
  <c r="G36" i="6"/>
  <c r="G32" i="6"/>
  <c r="G43" i="6"/>
  <c r="G39" i="6"/>
  <c r="G35" i="6"/>
  <c r="G31" i="6"/>
  <c r="I11" i="6"/>
  <c r="I22" i="6"/>
  <c r="I14" i="6"/>
  <c r="I23" i="6"/>
  <c r="I25" i="6"/>
  <c r="I13" i="6"/>
  <c r="I15" i="6"/>
  <c r="I18" i="6"/>
  <c r="I21" i="6"/>
  <c r="I17" i="6"/>
  <c r="I19" i="6"/>
  <c r="I24" i="6"/>
  <c r="I20" i="6"/>
  <c r="I16" i="6"/>
  <c r="I12" i="6"/>
  <c r="I10" i="6"/>
  <c r="H15" i="6"/>
  <c r="H11" i="6"/>
  <c r="H18" i="6"/>
  <c r="H14" i="6"/>
  <c r="H13" i="6"/>
  <c r="H17" i="6"/>
  <c r="H19" i="6"/>
  <c r="H16" i="6"/>
  <c r="H12" i="6"/>
  <c r="H10" i="6"/>
  <c r="G23" i="6"/>
  <c r="G22" i="6"/>
  <c r="G18" i="6"/>
  <c r="G14" i="6"/>
  <c r="G21" i="6"/>
  <c r="L24" i="6" s="1"/>
  <c r="G17" i="6"/>
  <c r="G13" i="6"/>
  <c r="G15" i="6"/>
  <c r="G25" i="6"/>
  <c r="G24" i="6"/>
  <c r="G20" i="6"/>
  <c r="G16" i="6"/>
  <c r="G12" i="6"/>
  <c r="L28" i="6" l="1"/>
  <c r="L13" i="6"/>
  <c r="K33" i="6"/>
  <c r="L42" i="6"/>
  <c r="M42" i="6"/>
  <c r="K32" i="6"/>
  <c r="N2" i="7"/>
  <c r="O2" i="7"/>
  <c r="L15" i="6"/>
  <c r="K46" i="6"/>
  <c r="L27" i="6"/>
  <c r="L26" i="6"/>
  <c r="L16" i="6"/>
  <c r="K37" i="6"/>
  <c r="K39" i="6"/>
  <c r="K45" i="6"/>
  <c r="L20" i="6"/>
  <c r="K35" i="6"/>
  <c r="K41" i="6"/>
  <c r="L19" i="6"/>
  <c r="L23" i="6"/>
  <c r="K43" i="6"/>
  <c r="L22" i="6"/>
  <c r="L17" i="6"/>
  <c r="L21" i="6"/>
  <c r="K36" i="6"/>
  <c r="K38" i="6"/>
  <c r="L25" i="6"/>
  <c r="K40" i="6"/>
  <c r="K34" i="6"/>
  <c r="L18" i="6"/>
  <c r="L14" i="6"/>
  <c r="K44" i="6"/>
  <c r="K42" i="6"/>
  <c r="N33" i="6"/>
  <c r="N35" i="6"/>
  <c r="N37" i="6"/>
  <c r="N38" i="6"/>
  <c r="N39" i="6"/>
  <c r="N40" i="6"/>
  <c r="N41" i="6"/>
  <c r="N42" i="6"/>
  <c r="N43" i="6"/>
  <c r="N44" i="6"/>
  <c r="N45" i="6"/>
  <c r="N46" i="6"/>
  <c r="H5" i="6"/>
  <c r="P2" i="7" l="1"/>
  <c r="M39" i="6"/>
  <c r="L39" i="6"/>
  <c r="L33" i="6"/>
  <c r="M33" i="6"/>
  <c r="L35" i="6"/>
  <c r="M35" i="6"/>
  <c r="M17" i="6" s="1"/>
  <c r="L46" i="6"/>
  <c r="M46" i="6"/>
  <c r="M28" i="6" s="1"/>
  <c r="L36" i="6"/>
  <c r="M36" i="6"/>
  <c r="M18" i="6" s="1"/>
  <c r="L38" i="6"/>
  <c r="M38" i="6"/>
  <c r="M34" i="6"/>
  <c r="L34" i="6"/>
  <c r="M16" i="6" s="1"/>
  <c r="L44" i="6"/>
  <c r="M44" i="6"/>
  <c r="M45" i="6"/>
  <c r="L45" i="6"/>
  <c r="M27" i="6" s="1"/>
  <c r="L31" i="6"/>
  <c r="O26" i="6" a="1"/>
  <c r="M31" i="6"/>
  <c r="L41" i="6"/>
  <c r="M23" i="6" s="1"/>
  <c r="M41" i="6"/>
  <c r="L37" i="6"/>
  <c r="M37" i="6"/>
  <c r="M19" i="6" s="1"/>
  <c r="M32" i="6"/>
  <c r="L32" i="6"/>
  <c r="L40" i="6"/>
  <c r="M40" i="6"/>
  <c r="M43" i="6"/>
  <c r="L43" i="6"/>
  <c r="M26" i="6"/>
  <c r="M20" i="6"/>
  <c r="M15" i="6"/>
  <c r="M21" i="6"/>
  <c r="M24" i="6"/>
  <c r="Q26" i="6" l="1"/>
  <c r="P26" i="6"/>
  <c r="O26" i="6"/>
  <c r="T26" i="6"/>
  <c r="S26" i="6"/>
  <c r="R26" i="6"/>
  <c r="U26" i="6"/>
  <c r="M22" i="6"/>
  <c r="M14" i="6"/>
  <c r="M13" i="6"/>
  <c r="M25" i="6"/>
  <c r="L17" i="1"/>
  <c r="L18" i="1"/>
  <c r="L19" i="1"/>
  <c r="L20" i="1"/>
  <c r="L21" i="1"/>
  <c r="L22" i="1"/>
  <c r="L23" i="1"/>
  <c r="L24" i="1"/>
  <c r="O27" i="6" l="1" a="1"/>
  <c r="O27" i="6" s="1"/>
  <c r="U2" i="6" s="1"/>
  <c r="P15" i="1" s="1"/>
  <c r="I24" i="7"/>
  <c r="J5" i="1"/>
  <c r="I25" i="7" s="1"/>
  <c r="J6" i="1"/>
  <c r="I26" i="7" s="1"/>
  <c r="J7" i="1"/>
  <c r="I27" i="7" s="1"/>
  <c r="J8" i="1"/>
  <c r="I28" i="7" s="1"/>
  <c r="J9" i="1"/>
  <c r="I29" i="7" s="1"/>
  <c r="J10" i="1"/>
  <c r="I30" i="7" s="1"/>
  <c r="J11" i="1"/>
  <c r="I31" i="7" l="1"/>
  <c r="M11" i="7"/>
  <c r="I23" i="7"/>
  <c r="I11" i="1"/>
  <c r="I9" i="1"/>
  <c r="I10" i="1"/>
  <c r="I6" i="1"/>
  <c r="I4" i="1"/>
  <c r="I3" i="1"/>
  <c r="I8" i="1"/>
  <c r="I7" i="1"/>
  <c r="I5" i="1"/>
  <c r="D5" i="2"/>
  <c r="B16" i="2" s="1" a="1"/>
  <c r="D6" i="2"/>
  <c r="D7" i="2"/>
  <c r="D8" i="2"/>
  <c r="D9" i="2"/>
  <c r="D10" i="2"/>
  <c r="B16" i="2" l="1"/>
  <c r="C16" i="2"/>
  <c r="F16" i="2"/>
  <c r="E16" i="2"/>
  <c r="D16" i="2"/>
  <c r="O4" i="7"/>
  <c r="N4" i="7"/>
  <c r="N7" i="7"/>
  <c r="O7" i="7"/>
  <c r="N8" i="7"/>
  <c r="O8" i="7"/>
  <c r="N6" i="7"/>
  <c r="O6" i="7"/>
  <c r="N10" i="7"/>
  <c r="O10" i="7"/>
  <c r="N3" i="7"/>
  <c r="O3" i="7"/>
  <c r="N9" i="7"/>
  <c r="O9" i="7"/>
  <c r="O5" i="7"/>
  <c r="N5" i="7"/>
  <c r="N11" i="7"/>
  <c r="O11" i="7"/>
  <c r="J15" i="1"/>
  <c r="I15" i="1" l="1"/>
  <c r="K15" i="1" s="1"/>
  <c r="P9" i="1"/>
  <c r="I22" i="1" s="1"/>
  <c r="P10" i="1"/>
  <c r="I23" i="1" s="1"/>
  <c r="P3" i="1"/>
  <c r="I16" i="1" s="1"/>
  <c r="P11" i="1"/>
  <c r="I24" i="1" s="1"/>
  <c r="P8" i="1"/>
  <c r="I21" i="1" s="1"/>
  <c r="P4" i="1"/>
  <c r="I17" i="1" s="1"/>
  <c r="P5" i="1"/>
  <c r="I18" i="1" s="1"/>
  <c r="P7" i="1"/>
  <c r="I20" i="1" s="1"/>
  <c r="P6" i="1"/>
  <c r="I19" i="1" s="1"/>
  <c r="U3" i="6"/>
  <c r="U4" i="6"/>
  <c r="V8" i="6"/>
  <c r="V5" i="6"/>
  <c r="V10" i="6"/>
  <c r="U7" i="6"/>
  <c r="V3" i="6"/>
  <c r="U6" i="6"/>
  <c r="U9" i="6"/>
  <c r="U10" i="6"/>
  <c r="U8" i="6"/>
  <c r="V9" i="6"/>
  <c r="U5" i="6"/>
  <c r="V6" i="6"/>
  <c r="V11" i="6"/>
  <c r="V4" i="6"/>
  <c r="U11" i="6"/>
  <c r="V7" i="6"/>
  <c r="M5" i="7"/>
  <c r="M6" i="7"/>
  <c r="M7" i="7"/>
  <c r="M9" i="7"/>
  <c r="M8" i="7"/>
  <c r="M10" i="7"/>
  <c r="M3" i="7"/>
  <c r="M4" i="7"/>
  <c r="L11" i="7"/>
  <c r="L9" i="7"/>
  <c r="L7" i="7"/>
  <c r="L10" i="7"/>
  <c r="L8" i="7"/>
  <c r="L4" i="7"/>
  <c r="L5" i="7"/>
  <c r="L6" i="7"/>
  <c r="M16" i="1" l="1"/>
  <c r="J16" i="1"/>
  <c r="Q2" i="7"/>
  <c r="Q10" i="7"/>
  <c r="P4" i="7"/>
  <c r="K17" i="1" s="1"/>
  <c r="Q4" i="7"/>
  <c r="Q3" i="7"/>
  <c r="P3" i="7"/>
  <c r="P8" i="7"/>
  <c r="Q8" i="7"/>
  <c r="P10" i="7"/>
  <c r="J23" i="1" s="1"/>
  <c r="K23" i="1" s="1"/>
  <c r="Q7" i="7"/>
  <c r="P7" i="7"/>
  <c r="J20" i="1" s="1"/>
  <c r="K20" i="1" s="1"/>
  <c r="P6" i="7"/>
  <c r="Q6" i="7"/>
  <c r="P9" i="7"/>
  <c r="J22" i="1" s="1"/>
  <c r="K22" i="1" s="1"/>
  <c r="Q9" i="7"/>
  <c r="Q11" i="7"/>
  <c r="P11" i="7"/>
  <c r="J24" i="1" s="1"/>
  <c r="K24" i="1" s="1"/>
  <c r="P5" i="7"/>
  <c r="J18" i="1" s="1"/>
  <c r="K18" i="1" s="1"/>
  <c r="Q5" i="7"/>
  <c r="K16" i="1" l="1"/>
  <c r="J21" i="1"/>
  <c r="K21" i="1" s="1"/>
  <c r="J19" i="1"/>
  <c r="K19" i="1" s="1"/>
  <c r="P23" i="1"/>
  <c r="Q23" i="1" s="1"/>
  <c r="M23" i="1"/>
  <c r="N23" i="1" s="1"/>
  <c r="P22" i="1"/>
  <c r="Q22" i="1" s="1"/>
  <c r="M22" i="1"/>
  <c r="N22" i="1" s="1"/>
  <c r="P21" i="1"/>
  <c r="Q21" i="1" s="1"/>
  <c r="M21" i="1"/>
  <c r="N21" i="1" s="1"/>
  <c r="P18" i="1"/>
  <c r="Q18" i="1" s="1"/>
  <c r="M18" i="1"/>
  <c r="N18" i="1" s="1"/>
  <c r="M19" i="1"/>
  <c r="N19" i="1" s="1"/>
  <c r="P19" i="1"/>
  <c r="Q19" i="1" s="1"/>
  <c r="P16" i="1"/>
  <c r="Q16" i="1" s="1"/>
  <c r="N16" i="1"/>
  <c r="P17" i="1"/>
  <c r="Q17" i="1" s="1"/>
  <c r="M17" i="1"/>
  <c r="N17" i="1" s="1"/>
  <c r="P24" i="1"/>
  <c r="Q24" i="1" s="1"/>
  <c r="M24" i="1"/>
  <c r="N24" i="1" s="1"/>
  <c r="P20" i="1"/>
  <c r="Q20" i="1" s="1"/>
  <c r="M20" i="1"/>
  <c r="N20" i="1" s="1"/>
  <c r="M15" i="1"/>
  <c r="N15" i="1" s="1"/>
  <c r="Q15" i="1"/>
  <c r="R15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Philippine Sentenac</author>
  </authors>
  <commentList>
    <comment ref="H1" authorId="0" shapeId="0" xr:uid="{7C797F5D-5121-402F-989A-14669A3B2E10}">
      <text>
        <r>
          <rPr>
            <b/>
            <sz val="9"/>
            <color indexed="81"/>
            <rFont val="Tahoma"/>
            <family val="2"/>
          </rPr>
          <t>Philippine Sentenac:</t>
        </r>
        <r>
          <rPr>
            <sz val="9"/>
            <color indexed="81"/>
            <rFont val="Tahoma"/>
            <family val="2"/>
          </rPr>
          <t xml:space="preserve">
True wind angle aussi gamma</t>
        </r>
      </text>
    </comment>
    <comment ref="I1" authorId="0" shapeId="0" xr:uid="{A741B3D3-253B-4EA7-B3DC-5474DC346009}">
      <text>
        <r>
          <rPr>
            <b/>
            <sz val="9"/>
            <color indexed="81"/>
            <rFont val="Tahoma"/>
            <family val="2"/>
          </rPr>
          <t>Philippine Sentenac:</t>
        </r>
        <r>
          <rPr>
            <sz val="9"/>
            <color indexed="81"/>
            <rFont val="Tahoma"/>
            <family val="2"/>
          </rPr>
          <t xml:space="preserve">
Apparent wind angle also Beta
</t>
        </r>
      </text>
    </comment>
    <comment ref="J1" authorId="0" shapeId="0" xr:uid="{04E2305F-0952-419D-9882-78AFD62D6633}">
      <text>
        <r>
          <rPr>
            <b/>
            <sz val="9"/>
            <color indexed="81"/>
            <rFont val="Tahoma"/>
            <family val="2"/>
          </rPr>
          <t>Philippine Sentenac:</t>
        </r>
        <r>
          <rPr>
            <sz val="9"/>
            <color indexed="81"/>
            <rFont val="Tahoma"/>
            <family val="2"/>
          </rPr>
          <t xml:space="preserve">
Apparent wind speed</t>
        </r>
      </text>
    </comment>
    <comment ref="K1" authorId="0" shapeId="0" xr:uid="{D9953DCB-A16D-4403-A293-50BD722EFED9}">
      <text>
        <r>
          <rPr>
            <b/>
            <sz val="9"/>
            <color indexed="81"/>
            <rFont val="Tahoma"/>
            <family val="2"/>
          </rPr>
          <t>Philippine Sentenac:</t>
        </r>
        <r>
          <rPr>
            <sz val="9"/>
            <color indexed="81"/>
            <rFont val="Tahoma"/>
            <family val="2"/>
          </rPr>
          <t xml:space="preserve">
Vitesse du navire
</t>
        </r>
      </text>
    </comment>
    <comment ref="L1" authorId="0" shapeId="0" xr:uid="{1553CBE7-B46D-4A08-8BE7-5464A342BD30}">
      <text>
        <r>
          <rPr>
            <b/>
            <sz val="9"/>
            <color indexed="81"/>
            <rFont val="Tahoma"/>
            <family val="2"/>
          </rPr>
          <t>Philippine Sentenac:</t>
        </r>
        <r>
          <rPr>
            <sz val="9"/>
            <color indexed="81"/>
            <rFont val="Tahoma"/>
            <family val="2"/>
          </rPr>
          <t xml:space="preserve">
Angle de gîte</t>
        </r>
      </text>
    </comment>
    <comment ref="M1" authorId="0" shapeId="0" xr:uid="{3EAB8E59-1A6D-4184-ABFD-4474DDB0BCC7}">
      <text>
        <r>
          <rPr>
            <b/>
            <sz val="9"/>
            <color indexed="81"/>
            <rFont val="Tahoma"/>
            <family val="2"/>
          </rPr>
          <t>Philippine Sentenac:</t>
        </r>
        <r>
          <rPr>
            <sz val="9"/>
            <color indexed="81"/>
            <rFont val="Tahoma"/>
            <family val="2"/>
          </rPr>
          <t xml:space="preserve">
Angle de lacet</t>
        </r>
      </text>
    </comment>
    <comment ref="A5" authorId="0" shapeId="0" xr:uid="{F6FAAB0C-EDE3-4428-A8D4-3B6CDAEFFEA0}">
      <text>
        <r>
          <rPr>
            <b/>
            <sz val="9"/>
            <color indexed="81"/>
            <rFont val="Tahoma"/>
            <family val="2"/>
          </rPr>
          <t>Philippine Sentenac:</t>
        </r>
        <r>
          <rPr>
            <sz val="9"/>
            <color indexed="81"/>
            <rFont val="Tahoma"/>
            <family val="2"/>
          </rPr>
          <t xml:space="preserve">
Masse volumique de l'air</t>
        </r>
      </text>
    </comment>
    <comment ref="B5" authorId="0" shapeId="0" xr:uid="{F594F45C-491A-42AE-B046-305CCD5220FE}">
      <text>
        <r>
          <rPr>
            <b/>
            <sz val="9"/>
            <color indexed="81"/>
            <rFont val="Tahoma"/>
            <family val="2"/>
          </rPr>
          <t>Philippine Sentenac:</t>
        </r>
        <r>
          <rPr>
            <sz val="9"/>
            <color indexed="81"/>
            <rFont val="Tahoma"/>
            <family val="2"/>
          </rPr>
          <t xml:space="preserve">
Masse volumique de l'eau</t>
        </r>
      </text>
    </comment>
    <comment ref="A8" authorId="0" shapeId="0" xr:uid="{4DD274EA-862F-419D-9A69-ED6FC8213E00}">
      <text>
        <r>
          <rPr>
            <b/>
            <sz val="9"/>
            <color indexed="81"/>
            <rFont val="Tahoma"/>
            <family val="2"/>
          </rPr>
          <t>Philippine Sentenac:</t>
        </r>
        <r>
          <rPr>
            <sz val="9"/>
            <color indexed="81"/>
            <rFont val="Tahoma"/>
            <family val="2"/>
          </rPr>
          <t xml:space="preserve">
Guess minimum speed of the boat
</t>
        </r>
      </text>
    </comment>
    <comment ref="B8" authorId="0" shapeId="0" xr:uid="{2EF5A6FD-629F-49B7-9FAA-F90D82CB2D6A}">
      <text>
        <r>
          <rPr>
            <b/>
            <sz val="9"/>
            <color indexed="81"/>
            <rFont val="Tahoma"/>
            <family val="2"/>
          </rPr>
          <t>Philippine Sentenac:</t>
        </r>
        <r>
          <rPr>
            <sz val="9"/>
            <color indexed="81"/>
            <rFont val="Tahoma"/>
            <family val="2"/>
          </rPr>
          <t xml:space="preserve">
Guess maximum speed of the boat
</t>
        </r>
      </text>
    </comment>
    <comment ref="C8" authorId="0" shapeId="0" xr:uid="{ABC9BFFD-3A17-46C3-A140-35CF39BF66BD}">
      <text>
        <r>
          <rPr>
            <b/>
            <sz val="9"/>
            <color indexed="81"/>
            <rFont val="Tahoma"/>
            <family val="2"/>
          </rPr>
          <t>Philippine Sentenac:</t>
        </r>
        <r>
          <rPr>
            <sz val="9"/>
            <color indexed="81"/>
            <rFont val="Tahoma"/>
            <family val="2"/>
          </rPr>
          <t xml:space="preserve">
Initial guess of the minimum heel angle</t>
        </r>
      </text>
    </comment>
    <comment ref="D8" authorId="0" shapeId="0" xr:uid="{6E30A6E2-9B0C-40C7-82C3-DC1AA1891916}">
      <text>
        <r>
          <rPr>
            <b/>
            <sz val="9"/>
            <color indexed="81"/>
            <rFont val="Tahoma"/>
            <family val="2"/>
          </rPr>
          <t>Philippine Sentenac:</t>
        </r>
        <r>
          <rPr>
            <sz val="9"/>
            <color indexed="81"/>
            <rFont val="Tahoma"/>
            <family val="2"/>
          </rPr>
          <t xml:space="preserve">
Initial guess of the maximum heel angle
</t>
        </r>
      </text>
    </comment>
    <comment ref="E8" authorId="0" shapeId="0" xr:uid="{125EF706-52F4-4DFC-8CF3-8E1DFA577DC5}">
      <text>
        <r>
          <rPr>
            <b/>
            <sz val="9"/>
            <color indexed="81"/>
            <rFont val="Tahoma"/>
            <family val="2"/>
          </rPr>
          <t>Philippine Sentenac:</t>
        </r>
        <r>
          <rPr>
            <sz val="9"/>
            <color indexed="81"/>
            <rFont val="Tahoma"/>
            <family val="2"/>
          </rPr>
          <t xml:space="preserve">
Initial guess of the minimum leeway angle (lacet)</t>
        </r>
      </text>
    </comment>
    <comment ref="F8" authorId="0" shapeId="0" xr:uid="{83A17734-7502-46BE-9DDC-0E8DE01F7A48}">
      <text>
        <r>
          <rPr>
            <b/>
            <sz val="9"/>
            <color indexed="81"/>
            <rFont val="Tahoma"/>
            <family val="2"/>
          </rPr>
          <t>Philippine Sentenac:</t>
        </r>
        <r>
          <rPr>
            <sz val="9"/>
            <color indexed="81"/>
            <rFont val="Tahoma"/>
            <family val="2"/>
          </rPr>
          <t xml:space="preserve">
Initial guess of the maximum leeway angle (lacet)</t>
        </r>
      </text>
    </comment>
    <comment ref="A11" authorId="0" shapeId="0" xr:uid="{32FD9869-012C-4F1D-99E2-EAA2F1B7B0C4}">
      <text>
        <r>
          <rPr>
            <b/>
            <sz val="9"/>
            <color indexed="81"/>
            <rFont val="Tahoma"/>
            <family val="2"/>
          </rPr>
          <t>Philippine Sentenac:</t>
        </r>
        <r>
          <rPr>
            <sz val="9"/>
            <color indexed="81"/>
            <rFont val="Tahoma"/>
            <family val="2"/>
          </rPr>
          <t xml:space="preserve">
True wind speed</t>
        </r>
      </text>
    </comment>
    <comment ref="H14" authorId="0" shapeId="0" xr:uid="{77C9B92C-1F75-49E7-A00D-138811725E95}">
      <text>
        <r>
          <rPr>
            <b/>
            <sz val="9"/>
            <color indexed="81"/>
            <rFont val="Tahoma"/>
            <family val="2"/>
          </rPr>
          <t>Philippine Sentenac:</t>
        </r>
        <r>
          <rPr>
            <sz val="9"/>
            <color indexed="81"/>
            <rFont val="Tahoma"/>
            <family val="2"/>
          </rPr>
          <t xml:space="preserve">
True wind angle aussi gamma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<sst xmlns="http://schemas.openxmlformats.org/spreadsheetml/2006/main" count="220" uniqueCount="173">
  <si>
    <t>C_R</t>
  </si>
  <si>
    <t>Beam (m)</t>
  </si>
  <si>
    <t>Draught (m)</t>
  </si>
  <si>
    <t>Lwl (m)</t>
  </si>
  <si>
    <t>h (m)</t>
  </si>
  <si>
    <t>∆ (kg)</t>
  </si>
  <si>
    <t>rho_a (kg/m^3)</t>
  </si>
  <si>
    <t>rho_h (kg/m^3)</t>
  </si>
  <si>
    <t>GM (m)</t>
  </si>
  <si>
    <t>WSA (m²)</t>
  </si>
  <si>
    <t>TWA (°)</t>
  </si>
  <si>
    <t>AWA (°)</t>
  </si>
  <si>
    <t>AWS (kts)</t>
  </si>
  <si>
    <t>V_S (kts)</t>
  </si>
  <si>
    <t>Heel (°)</t>
  </si>
  <si>
    <t>leeway (°)</t>
  </si>
  <si>
    <t>Trainée totale (kN)</t>
  </si>
  <si>
    <t>Vitesse Ferry en nds</t>
  </si>
  <si>
    <t>Coeff resistance</t>
  </si>
  <si>
    <t>Trouver le coefficient de résistance du navire</t>
  </si>
  <si>
    <t>Equation des coefficients :</t>
  </si>
  <si>
    <t>A CHANGER</t>
  </si>
  <si>
    <t>NE PAS TOUCHER</t>
  </si>
  <si>
    <t>Difference</t>
  </si>
  <si>
    <t>TWA\TWS</t>
  </si>
  <si>
    <t>Cx</t>
  </si>
  <si>
    <t>Cy</t>
  </si>
  <si>
    <t>Heel max (°)</t>
  </si>
  <si>
    <t>Leeway max (°)</t>
  </si>
  <si>
    <t>V min (kts)</t>
  </si>
  <si>
    <t>V max (kts)</t>
  </si>
  <si>
    <t>Heel min (°)</t>
  </si>
  <si>
    <t>Leeway min (°)</t>
  </si>
  <si>
    <t xml:space="preserve"> Cy</t>
  </si>
  <si>
    <t>Total draught (m)</t>
  </si>
  <si>
    <t>Calcul des forces et de leur équilibre. Les équations sont détaillées sur le côté</t>
  </si>
  <si>
    <t xml:space="preserve">Complétez les deux premiers tableaux à l'aide des résultats issus d'une analyse CFD et d'une analyse aérodynamique des voiles. Les courbes seront automatiquement générées et prises en compte par le code. </t>
  </si>
  <si>
    <t>RIEN A CHANGER NON PLUS SAUF SI VOUS METTEZ DES VITESSES DE VENT REEL DIFFERENTES. DANS CE CAS, ELLES SONT A CHANGER DANS LA CREATION DU GRAPHE, IL FAUT RENOMMER LES SERIES UNE A UNE.</t>
  </si>
  <si>
    <t>Paramètres du bateau - A compléter</t>
  </si>
  <si>
    <t>Initial guesses - A compléter</t>
  </si>
  <si>
    <t xml:space="preserve">Bienvenue ! Ce VPP a été conçu pour être simple d'utilisation. Il vous suffit juste de suivre les instructions données. </t>
  </si>
  <si>
    <t>L'onglet "A_compléter" recquiert des données issues d'une étude CFD et d'une analyse aérodynamique.</t>
  </si>
  <si>
    <t xml:space="preserve">Dans l'onglet VPP, veuillez compléter les paramères généraux du bateau. </t>
  </si>
  <si>
    <t>ATTENTION AUX UNITES</t>
  </si>
  <si>
    <t xml:space="preserve">1) Complétez toutes les cases vertes présentes dans le fichier. </t>
  </si>
  <si>
    <t xml:space="preserve">2) Les cases bleues correspondent à l'hypothèse des valeurs de vitesse, d'angle de lacet et de gîte que votre bateau subira. </t>
  </si>
  <si>
    <t>Il n'est pas nécessaire de réinitialiser le projet. Ce sera fait automatiquement.</t>
  </si>
  <si>
    <t>Les vitesses par défaut sont 10, 12, 15, 20, 25 et 28 nœuds. Vous devrez donc entrer ces valeurs.</t>
  </si>
  <si>
    <t>Si vous souhaitez des valeurs différentes, c'est aussi possible. Juste rentrez les à la place.</t>
  </si>
  <si>
    <t>5) Pour lancer le VPP, appuez sur le bouton "Lancer le VPP" dans l'onglet "VPP".</t>
  </si>
  <si>
    <t>Les résultats s'affichent directement dans l'onglet "Polar".</t>
  </si>
  <si>
    <t>6) Si vous souhaitez connaitre les valeurs d'angle de gîte et de lacet pour une valeur spécifique de TWS,</t>
  </si>
  <si>
    <t>(Les résultats dans "VPP" affichés étant les derniers calculés)</t>
  </si>
  <si>
    <t>Ce n'est pas nécessaire de mettre un écart trop important.</t>
  </si>
  <si>
    <t xml:space="preserve">TWS du code </t>
  </si>
  <si>
    <t xml:space="preserve">TWS (kts) </t>
  </si>
  <si>
    <t>4)  Une fois les cases bleues et vertes remplies, le VPP est prêt à tourner.</t>
  </si>
  <si>
    <t xml:space="preserve">3) Les cases jaunes sont les vitesses de vent réel auxquelles vous voulez tester votre bateau. </t>
  </si>
  <si>
    <t>Il faudra néanmoins penser à les changer dans l'onglet "Polar".</t>
  </si>
  <si>
    <t>Plus les minimums et maximums sont précis, plus les résultats le seront aussi.</t>
  </si>
  <si>
    <t xml:space="preserve">NE PAS TOUCHER </t>
  </si>
  <si>
    <t xml:space="preserve">vous pouvez soit séléctionner cette valeur en la donnant à la cellule "E16" de l'onglet VPP. </t>
  </si>
  <si>
    <t>Ou changer 'j' dans VBA en loopant jusqu'à 12 au lieu de 17 dans le module "User_VPP".</t>
  </si>
  <si>
    <t>Resistance (kN)</t>
  </si>
  <si>
    <t>Driving force (kN)</t>
  </si>
  <si>
    <t>RM (kN.m)</t>
  </si>
  <si>
    <t>HM (kN.m)</t>
  </si>
  <si>
    <t>Hydro side force (kN)</t>
  </si>
  <si>
    <t>Aero side force (kN)</t>
  </si>
  <si>
    <t>Sail coefficients, lift</t>
  </si>
  <si>
    <t>GV</t>
  </si>
  <si>
    <t>Génois</t>
  </si>
  <si>
    <t>Spinnaker</t>
  </si>
  <si>
    <t>Interpolations</t>
  </si>
  <si>
    <t>Nombre de voiles utilisées</t>
  </si>
  <si>
    <t>Cl total</t>
  </si>
  <si>
    <t>Cd total</t>
  </si>
  <si>
    <t>Surface (m²)</t>
  </si>
  <si>
    <t>Sail coefficients, viscous drag</t>
  </si>
  <si>
    <t>Jib</t>
  </si>
  <si>
    <t>Aspect ratio</t>
  </si>
  <si>
    <t>others courses</t>
  </si>
  <si>
    <t>Mast height</t>
  </si>
  <si>
    <t>Freeboard</t>
  </si>
  <si>
    <t>Max beam</t>
  </si>
  <si>
    <t>Mast diameter</t>
  </si>
  <si>
    <t>Viscous drag</t>
  </si>
  <si>
    <t>Induced drag</t>
  </si>
  <si>
    <t>close hauled</t>
  </si>
  <si>
    <t>Nombre de mats</t>
  </si>
  <si>
    <t>Cl</t>
  </si>
  <si>
    <t>Cd</t>
  </si>
  <si>
    <t>RAJOUTER SRS1 CUBIC SPLINE FOR EXCEL 2.51</t>
  </si>
  <si>
    <t>Quadratic drag</t>
  </si>
  <si>
    <t>Reef</t>
  </si>
  <si>
    <t>Flat</t>
  </si>
  <si>
    <t>jusqu'à AWA = 40°</t>
  </si>
  <si>
    <t>Pondération meme mat</t>
  </si>
  <si>
    <t>en tandem</t>
  </si>
  <si>
    <t>Velocity ratio</t>
  </si>
  <si>
    <t>Drag coeff</t>
  </si>
  <si>
    <t>Lift coeff</t>
  </si>
  <si>
    <t>Un flettner</t>
  </si>
  <si>
    <t>Total des flettners</t>
  </si>
  <si>
    <t xml:space="preserve">Dimensions </t>
  </si>
  <si>
    <t>n°</t>
  </si>
  <si>
    <t>Tandem</t>
  </si>
  <si>
    <t>Côte à côte</t>
  </si>
  <si>
    <t>Diamètre (m)</t>
  </si>
  <si>
    <t>Hauteur (m)</t>
  </si>
  <si>
    <t>C_L</t>
  </si>
  <si>
    <t>C_D</t>
  </si>
  <si>
    <t>Equations des coefficients</t>
  </si>
  <si>
    <t>Vitesse de rotation (m/s)</t>
  </si>
  <si>
    <t>Surface area (m²)</t>
  </si>
  <si>
    <t xml:space="preserve"> </t>
  </si>
  <si>
    <t>Height of the system (m)</t>
  </si>
  <si>
    <t>VERIFIER QUE LE CALCUL SOIT AUTOMATIQUE</t>
  </si>
  <si>
    <t>Centre d'effort (m)</t>
  </si>
  <si>
    <t>Boom above deck</t>
  </si>
  <si>
    <t>Main height</t>
  </si>
  <si>
    <t xml:space="preserve">Main jib </t>
  </si>
  <si>
    <t>CE height</t>
  </si>
  <si>
    <t>Total</t>
  </si>
  <si>
    <t>Centre de résistance latérale</t>
  </si>
  <si>
    <t>Spin Ratio</t>
  </si>
  <si>
    <t>cos AWA</t>
  </si>
  <si>
    <t>sinAWA</t>
  </si>
  <si>
    <t>cd</t>
  </si>
  <si>
    <t>cl</t>
  </si>
  <si>
    <t>height of the system</t>
  </si>
  <si>
    <t>heigth of the system</t>
  </si>
  <si>
    <t>Windage</t>
  </si>
  <si>
    <t>rig height factor</t>
  </si>
  <si>
    <t>Keel parameters</t>
  </si>
  <si>
    <t>lateral aera</t>
  </si>
  <si>
    <t xml:space="preserve">sweep-angle </t>
  </si>
  <si>
    <t>effective reduction</t>
  </si>
  <si>
    <t>span (height)</t>
  </si>
  <si>
    <t>thickness/ cord ratio</t>
  </si>
  <si>
    <t>Rudder deflection angle</t>
  </si>
  <si>
    <t>Canoe body draught</t>
  </si>
  <si>
    <t>Draught with rudder</t>
  </si>
  <si>
    <t>Halg angle of trailing edge</t>
  </si>
  <si>
    <t xml:space="preserve">Mean chord </t>
  </si>
  <si>
    <t>lateral aera Ak</t>
  </si>
  <si>
    <t>Rudder</t>
  </si>
  <si>
    <t>Slope factor</t>
  </si>
  <si>
    <t>Lift/curve</t>
  </si>
  <si>
    <t>Keel</t>
  </si>
  <si>
    <t>Position of maximum thickness</t>
  </si>
  <si>
    <t>tan of half angle</t>
  </si>
  <si>
    <t>Rounded lateral edges</t>
  </si>
  <si>
    <t>Squared lateral edges</t>
  </si>
  <si>
    <t>Curve rounded</t>
  </si>
  <si>
    <t>Curve square</t>
  </si>
  <si>
    <t>Lift side force</t>
  </si>
  <si>
    <t>nombre</t>
  </si>
  <si>
    <t>Total side force (kN)</t>
  </si>
  <si>
    <t>Rudder parameters</t>
  </si>
  <si>
    <t>Sway forces; skeg + hull</t>
  </si>
  <si>
    <t>Velocity kts</t>
  </si>
  <si>
    <t>Forces kN</t>
  </si>
  <si>
    <t>Lateral area</t>
  </si>
  <si>
    <t>leeway</t>
  </si>
  <si>
    <t>Induced resistance</t>
  </si>
  <si>
    <t>AR</t>
  </si>
  <si>
    <t>span</t>
  </si>
  <si>
    <t>Due to hull</t>
  </si>
  <si>
    <t>Due to keel</t>
  </si>
  <si>
    <t>Due to rudder</t>
  </si>
  <si>
    <t>skeg+hull force</t>
  </si>
  <si>
    <t>SI LA COURBE DE TENDANCE N'EST PAS BONNE, CHANGER DE POLYNOME ET A CHANGER DANS LE CODE AUSSI DU COUP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</si>
</sst>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0.0000"/>
    <numFmt numFmtId="166" formatCode="0.0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-0.249977111117893"/>
        <bgColor indexed="64"/>
      </patternFill>
    </fill>
  </fills>
  <borders count="4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2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3" borderId="4" xfId="0" applyFill="1" applyBorder="1"/>
    <xf numFmtId="0" fontId="0" fillId="3" borderId="13" xfId="0" applyFill="1" applyBorder="1"/>
    <xf numFmtId="0" fontId="0" fillId="0" borderId="21" xfId="0" applyBorder="1"/>
    <xf numFmtId="0" fontId="0" fillId="3" borderId="18" xfId="0" applyFill="1" applyBorder="1"/>
    <xf numFmtId="0" fontId="0" fillId="3" borderId="19" xfId="0" applyFill="1" applyBorder="1"/>
    <xf numFmtId="0" fontId="0" fillId="3" borderId="20" xfId="0" applyFill="1" applyBorder="1"/>
    <xf numFmtId="0" fontId="0" fillId="4" borderId="2" xfId="0" applyFill="1" applyBorder="1"/>
    <xf numFmtId="0" fontId="0" fillId="4" borderId="3" xfId="0" applyFill="1" applyBorder="1"/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0" fillId="0" borderId="0" xfId="0" applyFill="1" applyBorder="1"/>
    <xf numFmtId="0" fontId="0" fillId="0" borderId="19" xfId="0" applyBorder="1"/>
    <xf numFmtId="0" fontId="0" fillId="0" borderId="20" xfId="0" applyBorder="1"/>
    <xf numFmtId="0" fontId="0" fillId="5" borderId="0" xfId="0" applyFill="1"/>
    <xf numFmtId="0" fontId="5" fillId="4" borderId="22" xfId="0" applyFont="1" applyFill="1" applyBorder="1"/>
    <xf numFmtId="0" fontId="5" fillId="4" borderId="2" xfId="0" applyFont="1" applyFill="1" applyBorder="1"/>
    <xf numFmtId="0" fontId="1" fillId="0" borderId="18" xfId="0" applyFont="1" applyBorder="1" applyAlignment="1">
      <alignment horizontal="left" indent="1"/>
    </xf>
    <xf numFmtId="0" fontId="1" fillId="0" borderId="0" xfId="0" applyFont="1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4" borderId="19" xfId="0" applyFill="1" applyBorder="1"/>
    <xf numFmtId="0" fontId="0" fillId="4" borderId="20" xfId="0" applyFill="1" applyBorder="1"/>
    <xf numFmtId="0" fontId="1" fillId="0" borderId="0" xfId="0" applyFont="1" applyFill="1" applyBorder="1"/>
    <xf numFmtId="0" fontId="1" fillId="2" borderId="32" xfId="0" applyFont="1" applyFill="1" applyBorder="1"/>
    <xf numFmtId="0" fontId="1" fillId="0" borderId="1" xfId="0" applyFont="1" applyFill="1" applyBorder="1"/>
    <xf numFmtId="0" fontId="0" fillId="0" borderId="9" xfId="0" applyBorder="1"/>
    <xf numFmtId="2" fontId="0" fillId="0" borderId="21" xfId="0" applyNumberFormat="1" applyBorder="1"/>
    <xf numFmtId="0" fontId="0" fillId="3" borderId="34" xfId="0" applyFill="1" applyBorder="1"/>
    <xf numFmtId="0" fontId="0" fillId="3" borderId="35" xfId="0" applyFill="1" applyBorder="1"/>
    <xf numFmtId="0" fontId="0" fillId="3" borderId="5" xfId="0" applyFill="1" applyBorder="1"/>
    <xf numFmtId="0" fontId="0" fillId="0" borderId="0" xfId="0" applyBorder="1" applyAlignment="1">
      <alignment horizontal="center"/>
    </xf>
    <xf numFmtId="0" fontId="1" fillId="0" borderId="0" xfId="0" applyFont="1" applyBorder="1"/>
    <xf numFmtId="0" fontId="0" fillId="0" borderId="11" xfId="0" applyBorder="1"/>
    <xf numFmtId="0" fontId="0" fillId="0" borderId="37" xfId="0" applyBorder="1"/>
    <xf numFmtId="0" fontId="0" fillId="6" borderId="9" xfId="0" applyFill="1" applyBorder="1"/>
    <xf numFmtId="0" fontId="0" fillId="0" borderId="36" xfId="0" applyBorder="1"/>
    <xf numFmtId="0" fontId="0" fillId="6" borderId="7" xfId="0" applyFill="1" applyBorder="1"/>
    <xf numFmtId="0" fontId="0" fillId="6" borderId="6" xfId="0" applyFill="1" applyBorder="1"/>
    <xf numFmtId="0" fontId="0" fillId="7" borderId="0" xfId="0" applyFill="1"/>
    <xf numFmtId="0" fontId="0" fillId="7" borderId="13" xfId="0" applyFill="1" applyBorder="1"/>
    <xf numFmtId="0" fontId="0" fillId="7" borderId="23" xfId="0" applyFill="1" applyBorder="1"/>
    <xf numFmtId="0" fontId="6" fillId="8" borderId="0" xfId="0" applyFont="1" applyFill="1"/>
    <xf numFmtId="0" fontId="0" fillId="4" borderId="14" xfId="0" applyFill="1" applyBorder="1"/>
    <xf numFmtId="0" fontId="1" fillId="7" borderId="29" xfId="0" applyFont="1" applyFill="1" applyBorder="1" applyAlignment="1">
      <alignment horizontal="center"/>
    </xf>
    <xf numFmtId="0" fontId="1" fillId="7" borderId="23" xfId="0" applyFont="1" applyFill="1" applyBorder="1" applyAlignment="1">
      <alignment horizontal="center"/>
    </xf>
    <xf numFmtId="0" fontId="2" fillId="7" borderId="23" xfId="0" applyFont="1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1" fillId="7" borderId="30" xfId="0" applyFont="1" applyFill="1" applyBorder="1" applyAlignment="1">
      <alignment horizontal="center"/>
    </xf>
    <xf numFmtId="0" fontId="1" fillId="7" borderId="23" xfId="0" applyFont="1" applyFill="1" applyBorder="1" applyAlignment="1">
      <alignment horizontal="center" wrapText="1"/>
    </xf>
    <xf numFmtId="0" fontId="0" fillId="7" borderId="17" xfId="0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20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center"/>
    </xf>
    <xf numFmtId="0" fontId="0" fillId="0" borderId="0" xfId="0" applyAlignment="1">
      <alignment vertical="top"/>
    </xf>
    <xf numFmtId="0" fontId="1" fillId="10" borderId="29" xfId="0" applyFont="1" applyFill="1" applyBorder="1"/>
    <xf numFmtId="0" fontId="1" fillId="10" borderId="4" xfId="0" applyFont="1" applyFill="1" applyBorder="1"/>
    <xf numFmtId="0" fontId="1" fillId="10" borderId="23" xfId="0" applyFont="1" applyFill="1" applyBorder="1" applyAlignment="1">
      <alignment horizontal="center"/>
    </xf>
    <xf numFmtId="0" fontId="1" fillId="10" borderId="23" xfId="0" applyFont="1" applyFill="1" applyBorder="1"/>
    <xf numFmtId="0" fontId="1" fillId="10" borderId="14" xfId="0" applyFont="1" applyFill="1" applyBorder="1"/>
    <xf numFmtId="0" fontId="0" fillId="10" borderId="11" xfId="0" applyFill="1" applyBorder="1"/>
    <xf numFmtId="0" fontId="0" fillId="10" borderId="2" xfId="0" applyFill="1" applyBorder="1"/>
    <xf numFmtId="0" fontId="0" fillId="10" borderId="12" xfId="0" applyFill="1" applyBorder="1" applyAlignment="1">
      <alignment horizontal="center"/>
    </xf>
    <xf numFmtId="0" fontId="0" fillId="10" borderId="12" xfId="0" applyFill="1" applyBorder="1"/>
    <xf numFmtId="0" fontId="0" fillId="10" borderId="3" xfId="0" applyFill="1" applyBorder="1"/>
    <xf numFmtId="0" fontId="0" fillId="0" borderId="8" xfId="0" applyFill="1" applyBorder="1" applyAlignment="1">
      <alignment horizontal="center"/>
    </xf>
    <xf numFmtId="0" fontId="1" fillId="0" borderId="29" xfId="0" applyFont="1" applyFill="1" applyBorder="1" applyAlignment="1">
      <alignment horizontal="center" wrapText="1"/>
    </xf>
    <xf numFmtId="0" fontId="1" fillId="0" borderId="23" xfId="0" applyFont="1" applyFill="1" applyBorder="1" applyAlignment="1">
      <alignment horizontal="center" wrapText="1"/>
    </xf>
    <xf numFmtId="0" fontId="0" fillId="0" borderId="7" xfId="0" applyFill="1" applyBorder="1" applyAlignment="1">
      <alignment horizontal="center"/>
    </xf>
    <xf numFmtId="0" fontId="0" fillId="0" borderId="0" xfId="0" applyAlignment="1"/>
    <xf numFmtId="0" fontId="1" fillId="2" borderId="27" xfId="0" applyFont="1" applyFill="1" applyBorder="1"/>
    <xf numFmtId="0" fontId="1" fillId="2" borderId="39" xfId="0" applyFont="1" applyFill="1" applyBorder="1"/>
    <xf numFmtId="0" fontId="6" fillId="0" borderId="0" xfId="0" applyFont="1" applyFill="1"/>
    <xf numFmtId="0" fontId="0" fillId="0" borderId="0" xfId="0" applyFill="1"/>
    <xf numFmtId="0" fontId="1" fillId="12" borderId="32" xfId="0" applyFont="1" applyFill="1" applyBorder="1"/>
    <xf numFmtId="0" fontId="8" fillId="11" borderId="0" xfId="0" applyFont="1" applyFill="1" applyAlignment="1">
      <alignment vertical="top"/>
    </xf>
    <xf numFmtId="0" fontId="1" fillId="2" borderId="41" xfId="0" applyFont="1" applyFill="1" applyBorder="1"/>
    <xf numFmtId="164" fontId="0" fillId="0" borderId="0" xfId="0" applyNumberFormat="1" applyBorder="1"/>
    <xf numFmtId="164" fontId="0" fillId="0" borderId="1" xfId="0" applyNumberFormat="1" applyBorder="1"/>
    <xf numFmtId="164" fontId="0" fillId="0" borderId="0" xfId="0" applyNumberFormat="1" applyFill="1" applyBorder="1"/>
    <xf numFmtId="164" fontId="0" fillId="0" borderId="21" xfId="0" applyNumberFormat="1" applyFill="1" applyBorder="1"/>
    <xf numFmtId="164" fontId="0" fillId="0" borderId="1" xfId="0" applyNumberFormat="1" applyFill="1" applyBorder="1"/>
    <xf numFmtId="164" fontId="0" fillId="0" borderId="27" xfId="0" applyNumberFormat="1" applyFill="1" applyBorder="1"/>
    <xf numFmtId="164" fontId="0" fillId="0" borderId="22" xfId="0" applyNumberFormat="1" applyFill="1" applyBorder="1"/>
    <xf numFmtId="164" fontId="0" fillId="0" borderId="3" xfId="0" applyNumberFormat="1" applyFill="1" applyBorder="1"/>
    <xf numFmtId="164" fontId="0" fillId="0" borderId="38" xfId="0" applyNumberFormat="1" applyFill="1" applyBorder="1"/>
    <xf numFmtId="164" fontId="0" fillId="0" borderId="15" xfId="0" applyNumberFormat="1" applyFill="1" applyBorder="1"/>
    <xf numFmtId="0" fontId="1" fillId="0" borderId="42" xfId="0" applyFont="1" applyFill="1" applyBorder="1" applyAlignment="1">
      <alignment horizontal="center"/>
    </xf>
    <xf numFmtId="0" fontId="1" fillId="0" borderId="41" xfId="0" applyFont="1" applyFill="1" applyBorder="1" applyAlignment="1">
      <alignment horizontal="center"/>
    </xf>
    <xf numFmtId="0" fontId="1" fillId="0" borderId="24" xfId="0" applyFont="1" applyFill="1" applyBorder="1" applyAlignment="1">
      <alignment horizontal="center"/>
    </xf>
    <xf numFmtId="164" fontId="0" fillId="0" borderId="34" xfId="0" applyNumberFormat="1" applyFill="1" applyBorder="1"/>
    <xf numFmtId="0" fontId="1" fillId="0" borderId="16" xfId="0" applyFont="1" applyFill="1" applyBorder="1" applyAlignment="1">
      <alignment horizontal="center"/>
    </xf>
    <xf numFmtId="164" fontId="0" fillId="0" borderId="17" xfId="0" applyNumberFormat="1" applyFill="1" applyBorder="1"/>
    <xf numFmtId="164" fontId="0" fillId="7" borderId="21" xfId="0" applyNumberFormat="1" applyFill="1" applyBorder="1"/>
    <xf numFmtId="164" fontId="0" fillId="7" borderId="10" xfId="0" applyNumberFormat="1" applyFill="1" applyBorder="1"/>
    <xf numFmtId="164" fontId="0" fillId="6" borderId="31" xfId="0" applyNumberFormat="1" applyFill="1" applyBorder="1"/>
    <xf numFmtId="164" fontId="0" fillId="6" borderId="25" xfId="0" applyNumberFormat="1" applyFill="1" applyBorder="1"/>
    <xf numFmtId="164" fontId="0" fillId="6" borderId="0" xfId="0" applyNumberFormat="1" applyFill="1" applyBorder="1"/>
    <xf numFmtId="164" fontId="0" fillId="6" borderId="1" xfId="0" applyNumberFormat="1" applyFill="1" applyBorder="1"/>
    <xf numFmtId="164" fontId="0" fillId="6" borderId="35" xfId="0" applyNumberFormat="1" applyFill="1" applyBorder="1"/>
    <xf numFmtId="164" fontId="0" fillId="6" borderId="5" xfId="0" applyNumberFormat="1" applyFill="1" applyBorder="1"/>
    <xf numFmtId="165" fontId="0" fillId="4" borderId="1" xfId="0" applyNumberFormat="1" applyFill="1" applyBorder="1"/>
    <xf numFmtId="0" fontId="0" fillId="0" borderId="42" xfId="0" applyBorder="1"/>
    <xf numFmtId="0" fontId="0" fillId="0" borderId="43" xfId="0" applyBorder="1"/>
    <xf numFmtId="0" fontId="0" fillId="0" borderId="41" xfId="0" applyBorder="1"/>
    <xf numFmtId="0" fontId="0" fillId="0" borderId="22" xfId="0" applyBorder="1"/>
    <xf numFmtId="0" fontId="0" fillId="0" borderId="1" xfId="0" applyFill="1" applyBorder="1"/>
    <xf numFmtId="0" fontId="0" fillId="0" borderId="27" xfId="0" applyBorder="1"/>
    <xf numFmtId="0" fontId="0" fillId="0" borderId="39" xfId="0" applyBorder="1"/>
    <xf numFmtId="0" fontId="0" fillId="0" borderId="32" xfId="0" applyBorder="1"/>
    <xf numFmtId="0" fontId="0" fillId="0" borderId="33" xfId="0" applyBorder="1"/>
    <xf numFmtId="164" fontId="0" fillId="0" borderId="2" xfId="0" applyNumberFormat="1" applyBorder="1"/>
    <xf numFmtId="164" fontId="0" fillId="0" borderId="3" xfId="0" applyNumberFormat="1" applyBorder="1"/>
    <xf numFmtId="2" fontId="0" fillId="0" borderId="0" xfId="0" applyNumberFormat="1" applyBorder="1"/>
    <xf numFmtId="2" fontId="0" fillId="0" borderId="1" xfId="0" applyNumberFormat="1" applyBorder="1"/>
    <xf numFmtId="2" fontId="0" fillId="0" borderId="2" xfId="0" applyNumberFormat="1" applyBorder="1"/>
    <xf numFmtId="2" fontId="0" fillId="0" borderId="3" xfId="0" applyNumberFormat="1" applyBorder="1"/>
    <xf numFmtId="0" fontId="5" fillId="0" borderId="21" xfId="0" applyFont="1" applyFill="1" applyBorder="1"/>
    <xf numFmtId="164" fontId="5" fillId="0" borderId="0" xfId="0" applyNumberFormat="1" applyFont="1" applyFill="1" applyBorder="1"/>
    <xf numFmtId="164" fontId="5" fillId="0" borderId="1" xfId="0" applyNumberFormat="1" applyFont="1" applyFill="1" applyBorder="1"/>
    <xf numFmtId="0" fontId="5" fillId="0" borderId="22" xfId="0" applyFont="1" applyFill="1" applyBorder="1"/>
    <xf numFmtId="164" fontId="5" fillId="0" borderId="2" xfId="0" applyNumberFormat="1" applyFont="1" applyFill="1" applyBorder="1"/>
    <xf numFmtId="164" fontId="5" fillId="0" borderId="3" xfId="0" applyNumberFormat="1" applyFont="1" applyFill="1" applyBorder="1"/>
    <xf numFmtId="0" fontId="6" fillId="0" borderId="0" xfId="0" applyFont="1" applyAlignment="1">
      <alignment vertical="top"/>
    </xf>
    <xf numFmtId="0" fontId="0" fillId="0" borderId="2" xfId="0" applyFill="1" applyBorder="1"/>
    <xf numFmtId="0" fontId="0" fillId="0" borderId="3" xfId="0" applyFill="1" applyBorder="1"/>
    <xf numFmtId="2" fontId="0" fillId="0" borderId="0" xfId="0" applyNumberFormat="1"/>
    <xf numFmtId="0" fontId="0" fillId="0" borderId="42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1" xfId="0" applyBorder="1" applyAlignment="1"/>
    <xf numFmtId="166" fontId="0" fillId="0" borderId="21" xfId="0" applyNumberFormat="1" applyBorder="1"/>
    <xf numFmtId="166" fontId="0" fillId="0" borderId="1" xfId="0" applyNumberFormat="1" applyBorder="1"/>
    <xf numFmtId="166" fontId="0" fillId="0" borderId="22" xfId="0" applyNumberFormat="1" applyBorder="1"/>
    <xf numFmtId="166" fontId="0" fillId="0" borderId="3" xfId="0" applyNumberFormat="1" applyBorder="1"/>
    <xf numFmtId="164" fontId="9" fillId="0" borderId="44" xfId="0" applyNumberFormat="1" applyFont="1" applyFill="1" applyBorder="1"/>
    <xf numFmtId="164" fontId="9" fillId="0" borderId="27" xfId="0" applyNumberFormat="1" applyFont="1" applyFill="1" applyBorder="1"/>
    <xf numFmtId="164" fontId="9" fillId="0" borderId="39" xfId="0" applyNumberFormat="1" applyFont="1" applyFill="1" applyBorder="1"/>
    <xf numFmtId="0" fontId="0" fillId="0" borderId="0" xfId="0" applyFill="1" applyBorder="1" applyAlignment="1">
      <alignment horizontal="center" wrapText="1"/>
    </xf>
    <xf numFmtId="0" fontId="0" fillId="0" borderId="40" xfId="0" applyBorder="1"/>
    <xf numFmtId="0" fontId="0" fillId="0" borderId="0" xfId="0" applyAlignment="1">
      <alignment wrapText="1"/>
    </xf>
    <xf numFmtId="2" fontId="0" fillId="4" borderId="21" xfId="0" applyNumberFormat="1" applyFill="1" applyBorder="1"/>
    <xf numFmtId="2" fontId="0" fillId="4" borderId="0" xfId="0" applyNumberFormat="1" applyFill="1" applyBorder="1"/>
    <xf numFmtId="2" fontId="0" fillId="4" borderId="1" xfId="0" applyNumberFormat="1" applyFill="1" applyBorder="1"/>
    <xf numFmtId="2" fontId="5" fillId="4" borderId="21" xfId="0" applyNumberFormat="1" applyFont="1" applyFill="1" applyBorder="1"/>
    <xf numFmtId="2" fontId="5" fillId="4" borderId="22" xfId="0" applyNumberFormat="1" applyFont="1" applyFill="1" applyBorder="1"/>
    <xf numFmtId="0" fontId="1" fillId="0" borderId="23" xfId="0" applyFont="1" applyFill="1" applyBorder="1" applyAlignment="1">
      <alignment horizontal="center"/>
    </xf>
    <xf numFmtId="164" fontId="0" fillId="0" borderId="8" xfId="0" applyNumberForma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14" xfId="0" applyFill="1" applyBorder="1"/>
    <xf numFmtId="0" fontId="1" fillId="0" borderId="1" xfId="0" applyFont="1" applyFill="1" applyBorder="1" applyAlignment="1">
      <alignment horizontal="center" wrapText="1"/>
    </xf>
    <xf numFmtId="0" fontId="0" fillId="0" borderId="26" xfId="0" applyFill="1" applyBorder="1" applyAlignment="1">
      <alignment horizontal="center"/>
    </xf>
    <xf numFmtId="2" fontId="0" fillId="0" borderId="22" xfId="0" applyNumberFormat="1" applyBorder="1"/>
    <xf numFmtId="0" fontId="5" fillId="4" borderId="18" xfId="0" applyFont="1" applyFill="1" applyBorder="1"/>
    <xf numFmtId="0" fontId="5" fillId="4" borderId="19" xfId="0" applyFont="1" applyFill="1" applyBorder="1"/>
    <xf numFmtId="0" fontId="0" fillId="0" borderId="42" xfId="0" applyBorder="1" applyAlignment="1">
      <alignment wrapText="1"/>
    </xf>
    <xf numFmtId="0" fontId="0" fillId="0" borderId="21" xfId="0" applyBorder="1" applyAlignment="1">
      <alignment horizontal="center"/>
    </xf>
    <xf numFmtId="0" fontId="1" fillId="0" borderId="42" xfId="0" applyFont="1" applyBorder="1"/>
    <xf numFmtId="165" fontId="0" fillId="0" borderId="25" xfId="0" applyNumberFormat="1" applyBorder="1"/>
    <xf numFmtId="165" fontId="0" fillId="0" borderId="1" xfId="0" applyNumberFormat="1" applyBorder="1"/>
    <xf numFmtId="0" fontId="1" fillId="0" borderId="41" xfId="0" applyFont="1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22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164" fontId="1" fillId="12" borderId="40" xfId="0" applyNumberFormat="1" applyFont="1" applyFill="1" applyBorder="1"/>
    <xf numFmtId="0" fontId="1" fillId="6" borderId="44" xfId="0" applyFont="1" applyFill="1" applyBorder="1" applyAlignment="1">
      <alignment horizontal="center" wrapText="1"/>
    </xf>
    <xf numFmtId="0" fontId="0" fillId="6" borderId="27" xfId="0" applyFill="1" applyBorder="1"/>
    <xf numFmtId="0" fontId="0" fillId="6" borderId="39" xfId="0" applyFill="1" applyBorder="1"/>
    <xf numFmtId="0" fontId="0" fillId="0" borderId="22" xfId="0" applyBorder="1" applyAlignment="1">
      <alignment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165" fontId="0" fillId="0" borderId="3" xfId="0" applyNumberFormat="1" applyBorder="1"/>
    <xf numFmtId="0" fontId="0" fillId="0" borderId="2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41" xfId="0" applyFill="1" applyBorder="1"/>
    <xf numFmtId="2" fontId="0" fillId="4" borderId="2" xfId="0" applyNumberFormat="1" applyFill="1" applyBorder="1"/>
    <xf numFmtId="2" fontId="0" fillId="4" borderId="3" xfId="0" applyNumberFormat="1" applyFill="1" applyBorder="1"/>
    <xf numFmtId="0" fontId="0" fillId="0" borderId="44" xfId="0" applyBorder="1"/>
    <xf numFmtId="0" fontId="0" fillId="0" borderId="27" xfId="0" applyFill="1" applyBorder="1" applyAlignment="1">
      <alignment horizontal="center"/>
    </xf>
    <xf numFmtId="164" fontId="0" fillId="0" borderId="42" xfId="0" applyNumberFormat="1" applyFill="1" applyBorder="1"/>
    <xf numFmtId="164" fontId="0" fillId="0" borderId="41" xfId="0" applyNumberFormat="1" applyFill="1" applyBorder="1"/>
    <xf numFmtId="0" fontId="0" fillId="0" borderId="0" xfId="0" applyNumberFormat="1"/>
    <xf numFmtId="0" fontId="8" fillId="11" borderId="0" xfId="0" applyFont="1" applyFill="1" applyAlignment="1">
      <alignment horizontal="center" vertical="top"/>
    </xf>
    <xf numFmtId="0" fontId="8" fillId="11" borderId="0" xfId="0" applyFont="1" applyFill="1" applyAlignment="1">
      <alignment horizontal="left" vertical="top"/>
    </xf>
    <xf numFmtId="0" fontId="0" fillId="11" borderId="0" xfId="0" applyFill="1" applyAlignment="1">
      <alignment horizontal="center"/>
    </xf>
    <xf numFmtId="0" fontId="8" fillId="11" borderId="0" xfId="0" applyFont="1" applyFill="1" applyAlignment="1">
      <alignment horizontal="left"/>
    </xf>
    <xf numFmtId="0" fontId="6" fillId="8" borderId="33" xfId="0" applyFont="1" applyFill="1" applyBorder="1" applyAlignment="1">
      <alignment horizontal="center"/>
    </xf>
    <xf numFmtId="0" fontId="7" fillId="9" borderId="0" xfId="0" applyFont="1" applyFill="1" applyAlignment="1">
      <alignment horizontal="center" vertical="center" wrapText="1"/>
    </xf>
    <xf numFmtId="0" fontId="6" fillId="8" borderId="0" xfId="0" applyFont="1" applyFill="1" applyAlignment="1">
      <alignment horizontal="center" vertical="center" wrapText="1"/>
    </xf>
    <xf numFmtId="0" fontId="0" fillId="0" borderId="2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  <color rgb="FFFFCC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4"/>
            <c:dispRSqr val="0"/>
            <c:dispEq val="1"/>
            <c:trendlineLbl>
              <c:layout>
                <c:manualLayout>
                  <c:x val="0.11936187515855912"/>
                  <c:y val="0.20045835263239153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4"/>
            <c:dispRSqr val="0"/>
            <c:dispEq val="0"/>
          </c:trendline>
          <c:xVal>
            <c:numRef>
              <c:f>Résistance!$C$5:$C$14</c:f>
              <c:numCache>
                <c:formatCode>0.0</c:formatCode>
                <c:ptCount val="10"/>
                <c:pt idx="0">
                  <c:v>8</c:v>
                </c:pt>
                <c:pt idx="1">
                  <c:v>10</c:v>
                </c:pt>
                <c:pt idx="2">
                  <c:v>12</c:v>
                </c:pt>
                <c:pt idx="3">
                  <c:v>13</c:v>
                </c:pt>
                <c:pt idx="4">
                  <c:v>14</c:v>
                </c:pt>
                <c:pt idx="5">
                  <c:v>15</c:v>
                </c:pt>
              </c:numCache>
            </c:numRef>
          </c:xVal>
          <c:yVal>
            <c:numRef>
              <c:f>Résistance!$D$5:$D$14</c:f>
              <c:numCache>
                <c:formatCode>0.0000</c:formatCode>
                <c:ptCount val="10"/>
                <c:pt idx="0">
                  <c:v>2.1122002455492045E-3</c:v>
                </c:pt>
                <c:pt idx="1">
                  <c:v>2.0764663301476582E-3</c:v>
                </c:pt>
                <c:pt idx="2">
                  <c:v>2.1616981337914147E-3</c:v>
                </c:pt>
                <c:pt idx="3">
                  <c:v>2.3236334478547202E-3</c:v>
                </c:pt>
                <c:pt idx="4">
                  <c:v>2.384505485453024E-3</c:v>
                </c:pt>
                <c:pt idx="5">
                  <c:v>2.5542637267719627E-3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AE59-4636-AC65-3320075B67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5147448"/>
        <c:axId val="305149088"/>
      </c:scatterChart>
      <c:valAx>
        <c:axId val="3051474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Vitesse en</a:t>
                </a:r>
                <a:r>
                  <a:rPr lang="fr-FR" baseline="0"/>
                  <a:t> nds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149088"/>
        <c:crosses val="autoZero"/>
        <c:crossBetween val="midCat"/>
      </c:valAx>
      <c:valAx>
        <c:axId val="305149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Coefficient de résistance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1474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coeef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5"/>
            <c:dispRSqr val="0"/>
            <c:dispEq val="1"/>
            <c:trendlineLbl>
              <c:layout>
                <c:manualLayout>
                  <c:x val="0.14121510673234811"/>
                  <c:y val="-0.15958197464781687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Appendices!$D$23:$D$33</c:f>
              <c:numCache>
                <c:formatCode>General</c:formatCode>
                <c:ptCount val="11"/>
                <c:pt idx="0">
                  <c:v>3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10</c:v>
                </c:pt>
                <c:pt idx="5">
                  <c:v>12</c:v>
                </c:pt>
                <c:pt idx="6">
                  <c:v>13</c:v>
                </c:pt>
                <c:pt idx="7">
                  <c:v>14</c:v>
                </c:pt>
                <c:pt idx="8">
                  <c:v>15</c:v>
                </c:pt>
                <c:pt idx="9">
                  <c:v>17</c:v>
                </c:pt>
                <c:pt idx="10">
                  <c:v>20</c:v>
                </c:pt>
              </c:numCache>
            </c:numRef>
          </c:xVal>
          <c:yVal>
            <c:numRef>
              <c:f>Appendices!$F$23:$F$33</c:f>
              <c:numCache>
                <c:formatCode>General</c:formatCode>
                <c:ptCount val="11"/>
                <c:pt idx="0">
                  <c:v>-4.1004940420484424E-4</c:v>
                </c:pt>
                <c:pt idx="1">
                  <c:v>3.3693759543515889E-2</c:v>
                </c:pt>
                <c:pt idx="2">
                  <c:v>4.5130037426790288E-2</c:v>
                </c:pt>
                <c:pt idx="3">
                  <c:v>4.2347852219260115E-2</c:v>
                </c:pt>
                <c:pt idx="4">
                  <c:v>4.213602069704786E-2</c:v>
                </c:pt>
                <c:pt idx="5">
                  <c:v>4.5503182384616737E-2</c:v>
                </c:pt>
                <c:pt idx="6">
                  <c:v>4.8324298022268036E-2</c:v>
                </c:pt>
                <c:pt idx="7">
                  <c:v>5.1181195063128175E-2</c:v>
                </c:pt>
                <c:pt idx="8">
                  <c:v>5.3425828933140275E-2</c:v>
                </c:pt>
                <c:pt idx="9">
                  <c:v>5.5792371889609185E-2</c:v>
                </c:pt>
                <c:pt idx="10">
                  <c:v>5.5696928563269486E-2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A4DE-44A9-B0F3-5E271BEC45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71105976"/>
        <c:axId val="765777760"/>
      </c:scatterChart>
      <c:valAx>
        <c:axId val="7711059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5777760"/>
        <c:crosses val="autoZero"/>
        <c:crossBetween val="midCat"/>
      </c:valAx>
      <c:valAx>
        <c:axId val="7657777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110597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1"/>
          <c:order val="0"/>
          <c:tx>
            <c:v>GV interpol</c:v>
          </c:tx>
          <c:spPr>
            <a:ln w="952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2"/>
                </a:solidFill>
                <a:round/>
              </a:ln>
              <a:effectLst/>
            </c:spPr>
          </c:marker>
          <c:xVal>
            <c:numRef>
              <c:f>Voiles!$F$10:$F$25</c:f>
              <c:numCache>
                <c:formatCode>General</c:formatCode>
                <c:ptCount val="16"/>
                <c:pt idx="0">
                  <c:v>30</c:v>
                </c:pt>
                <c:pt idx="1">
                  <c:v>40</c:v>
                </c:pt>
                <c:pt idx="2">
                  <c:v>50</c:v>
                </c:pt>
                <c:pt idx="3">
                  <c:v>60</c:v>
                </c:pt>
                <c:pt idx="4">
                  <c:v>70</c:v>
                </c:pt>
                <c:pt idx="5">
                  <c:v>80</c:v>
                </c:pt>
                <c:pt idx="6">
                  <c:v>90</c:v>
                </c:pt>
                <c:pt idx="7">
                  <c:v>100</c:v>
                </c:pt>
                <c:pt idx="8">
                  <c:v>110</c:v>
                </c:pt>
                <c:pt idx="9">
                  <c:v>120</c:v>
                </c:pt>
                <c:pt idx="10">
                  <c:v>130</c:v>
                </c:pt>
                <c:pt idx="11">
                  <c:v>140</c:v>
                </c:pt>
                <c:pt idx="12">
                  <c:v>150</c:v>
                </c:pt>
                <c:pt idx="13">
                  <c:v>160</c:v>
                </c:pt>
                <c:pt idx="14">
                  <c:v>170</c:v>
                </c:pt>
                <c:pt idx="15">
                  <c:v>180</c:v>
                </c:pt>
              </c:numCache>
            </c:numRef>
          </c:xVal>
          <c:yVal>
            <c:numRef>
              <c:f>Voiles!$G$10:$G$25</c:f>
              <c:numCache>
                <c:formatCode>0.0</c:formatCode>
                <c:ptCount val="16"/>
                <c:pt idx="0">
                  <c:v>1.3617355371900799</c:v>
                </c:pt>
                <c:pt idx="1">
                  <c:v>1.36632690541781</c:v>
                </c:pt>
                <c:pt idx="2">
                  <c:v>1.3690817263544499</c:v>
                </c:pt>
                <c:pt idx="3">
                  <c:v>1.37</c:v>
                </c:pt>
                <c:pt idx="4">
                  <c:v>1.35407407407407</c:v>
                </c:pt>
                <c:pt idx="5">
                  <c:v>1.3114814814814799</c:v>
                </c:pt>
                <c:pt idx="6">
                  <c:v>1.25</c:v>
                </c:pt>
                <c:pt idx="7">
                  <c:v>1.17592592592593</c:v>
                </c:pt>
                <c:pt idx="8">
                  <c:v>1.08296296296296</c:v>
                </c:pt>
                <c:pt idx="9">
                  <c:v>0.96</c:v>
                </c:pt>
                <c:pt idx="10">
                  <c:v>0.787407407407407</c:v>
                </c:pt>
                <c:pt idx="11">
                  <c:v>0.58481481481481501</c:v>
                </c:pt>
                <c:pt idx="12">
                  <c:v>0.4</c:v>
                </c:pt>
                <c:pt idx="13">
                  <c:v>0.24888888888888899</c:v>
                </c:pt>
                <c:pt idx="14">
                  <c:v>0.115555555555555</c:v>
                </c:pt>
                <c:pt idx="15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CD67-433C-AF6B-E43A2AF6DE36}"/>
            </c:ext>
          </c:extLst>
        </c:ser>
        <c:ser>
          <c:idx val="0"/>
          <c:order val="1"/>
          <c:tx>
            <c:v>Génois interpol</c:v>
          </c:tx>
          <c:spPr>
            <a:ln w="952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1"/>
                </a:solidFill>
                <a:round/>
              </a:ln>
              <a:effectLst/>
            </c:spPr>
          </c:marker>
          <c:xVal>
            <c:numRef>
              <c:f>Voiles!$F$10:$F$25</c:f>
              <c:numCache>
                <c:formatCode>General</c:formatCode>
                <c:ptCount val="16"/>
                <c:pt idx="0">
                  <c:v>30</c:v>
                </c:pt>
                <c:pt idx="1">
                  <c:v>40</c:v>
                </c:pt>
                <c:pt idx="2">
                  <c:v>50</c:v>
                </c:pt>
                <c:pt idx="3">
                  <c:v>60</c:v>
                </c:pt>
                <c:pt idx="4">
                  <c:v>70</c:v>
                </c:pt>
                <c:pt idx="5">
                  <c:v>80</c:v>
                </c:pt>
                <c:pt idx="6">
                  <c:v>90</c:v>
                </c:pt>
                <c:pt idx="7">
                  <c:v>100</c:v>
                </c:pt>
                <c:pt idx="8">
                  <c:v>110</c:v>
                </c:pt>
                <c:pt idx="9">
                  <c:v>120</c:v>
                </c:pt>
                <c:pt idx="10">
                  <c:v>130</c:v>
                </c:pt>
                <c:pt idx="11">
                  <c:v>140</c:v>
                </c:pt>
                <c:pt idx="12">
                  <c:v>150</c:v>
                </c:pt>
                <c:pt idx="13">
                  <c:v>160</c:v>
                </c:pt>
                <c:pt idx="14">
                  <c:v>170</c:v>
                </c:pt>
                <c:pt idx="15">
                  <c:v>180</c:v>
                </c:pt>
              </c:numCache>
            </c:numRef>
          </c:xVal>
          <c:yVal>
            <c:numRef>
              <c:f>Voiles!$H$10:$H$25</c:f>
              <c:numCache>
                <c:formatCode>0.0</c:formatCode>
                <c:ptCount val="16"/>
                <c:pt idx="0">
                  <c:v>1.4943290043290001</c:v>
                </c:pt>
                <c:pt idx="1">
                  <c:v>1.4468494468494499</c:v>
                </c:pt>
                <c:pt idx="2">
                  <c:v>1.3554064454064501</c:v>
                </c:pt>
                <c:pt idx="3">
                  <c:v>1.22</c:v>
                </c:pt>
                <c:pt idx="4">
                  <c:v>1.0141237774571099</c:v>
                </c:pt>
                <c:pt idx="5">
                  <c:v>0.76428411095077797</c:v>
                </c:pt>
                <c:pt idx="6">
                  <c:v>0.55000000000000004</c:v>
                </c:pt>
                <c:pt idx="7">
                  <c:v>0.40407407407407397</c:v>
                </c:pt>
                <c:pt idx="8">
                  <c:v>0.29370370370370402</c:v>
                </c:pt>
                <c:pt idx="9">
                  <c:v>0.2</c:v>
                </c:pt>
                <c:pt idx="10">
                  <c:v>0.10740740740740699</c:v>
                </c:pt>
                <c:pt idx="11">
                  <c:v>3.1481481481481402E-2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CD67-433C-AF6B-E43A2AF6DE36}"/>
            </c:ext>
          </c:extLst>
        </c:ser>
        <c:ser>
          <c:idx val="2"/>
          <c:order val="2"/>
          <c:tx>
            <c:v>Spinnaker interpol</c:v>
          </c:tx>
          <c:spPr>
            <a:ln w="952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3"/>
                </a:solidFill>
                <a:round/>
              </a:ln>
              <a:effectLst/>
            </c:spPr>
          </c:marker>
          <c:xVal>
            <c:numRef>
              <c:f>Voiles!$F$10:$F$25</c:f>
              <c:numCache>
                <c:formatCode>General</c:formatCode>
                <c:ptCount val="16"/>
                <c:pt idx="0">
                  <c:v>30</c:v>
                </c:pt>
                <c:pt idx="1">
                  <c:v>40</c:v>
                </c:pt>
                <c:pt idx="2">
                  <c:v>50</c:v>
                </c:pt>
                <c:pt idx="3">
                  <c:v>60</c:v>
                </c:pt>
                <c:pt idx="4">
                  <c:v>70</c:v>
                </c:pt>
                <c:pt idx="5">
                  <c:v>80</c:v>
                </c:pt>
                <c:pt idx="6">
                  <c:v>90</c:v>
                </c:pt>
                <c:pt idx="7">
                  <c:v>100</c:v>
                </c:pt>
                <c:pt idx="8">
                  <c:v>110</c:v>
                </c:pt>
                <c:pt idx="9">
                  <c:v>120</c:v>
                </c:pt>
                <c:pt idx="10">
                  <c:v>130</c:v>
                </c:pt>
                <c:pt idx="11">
                  <c:v>140</c:v>
                </c:pt>
                <c:pt idx="12">
                  <c:v>150</c:v>
                </c:pt>
                <c:pt idx="13">
                  <c:v>160</c:v>
                </c:pt>
                <c:pt idx="14">
                  <c:v>170</c:v>
                </c:pt>
                <c:pt idx="15">
                  <c:v>180</c:v>
                </c:pt>
              </c:numCache>
            </c:numRef>
          </c:xVal>
          <c:yVal>
            <c:numRef>
              <c:f>Voiles!$I$10:$I$25</c:f>
              <c:numCache>
                <c:formatCode>0.0</c:formatCode>
                <c:ptCount val="16"/>
                <c:pt idx="0">
                  <c:v>0.13950842545883901</c:v>
                </c:pt>
                <c:pt idx="1">
                  <c:v>0.56712182827885305</c:v>
                </c:pt>
                <c:pt idx="2">
                  <c:v>0.87917108908844399</c:v>
                </c:pt>
                <c:pt idx="3">
                  <c:v>1</c:v>
                </c:pt>
                <c:pt idx="4">
                  <c:v>0.99555555555555597</c:v>
                </c:pt>
                <c:pt idx="5">
                  <c:v>0.982222222222222</c:v>
                </c:pt>
                <c:pt idx="6">
                  <c:v>0.96</c:v>
                </c:pt>
                <c:pt idx="7">
                  <c:v>0.91037037037037005</c:v>
                </c:pt>
                <c:pt idx="8">
                  <c:v>0.82518518518518502</c:v>
                </c:pt>
                <c:pt idx="9">
                  <c:v>0.72</c:v>
                </c:pt>
                <c:pt idx="10">
                  <c:v>0.58888888888888902</c:v>
                </c:pt>
                <c:pt idx="11">
                  <c:v>0.43777777777777799</c:v>
                </c:pt>
                <c:pt idx="12">
                  <c:v>0.3</c:v>
                </c:pt>
                <c:pt idx="13">
                  <c:v>0.18666666666666701</c:v>
                </c:pt>
                <c:pt idx="14">
                  <c:v>8.6666666666666697E-2</c:v>
                </c:pt>
                <c:pt idx="15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10-CD67-433C-AF6B-E43A2AF6DE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83495624"/>
        <c:axId val="283496608"/>
      </c:scatterChart>
      <c:valAx>
        <c:axId val="2834956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3496608"/>
        <c:crosses val="autoZero"/>
        <c:crossBetween val="midCat"/>
      </c:valAx>
      <c:valAx>
        <c:axId val="283496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349562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v>GV interpol</c:v>
          </c:tx>
          <c:spPr>
            <a:ln w="952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1"/>
                </a:solidFill>
                <a:round/>
              </a:ln>
              <a:effectLst/>
            </c:spPr>
          </c:marker>
          <c:xVal>
            <c:numRef>
              <c:f>Voiles!$F$30:$F$45</c:f>
              <c:numCache>
                <c:formatCode>General</c:formatCode>
                <c:ptCount val="16"/>
                <c:pt idx="0">
                  <c:v>30</c:v>
                </c:pt>
                <c:pt idx="1">
                  <c:v>40</c:v>
                </c:pt>
                <c:pt idx="2">
                  <c:v>50</c:v>
                </c:pt>
                <c:pt idx="3">
                  <c:v>60</c:v>
                </c:pt>
                <c:pt idx="4">
                  <c:v>70</c:v>
                </c:pt>
                <c:pt idx="5">
                  <c:v>80</c:v>
                </c:pt>
                <c:pt idx="6">
                  <c:v>90</c:v>
                </c:pt>
                <c:pt idx="7">
                  <c:v>100</c:v>
                </c:pt>
                <c:pt idx="8">
                  <c:v>110</c:v>
                </c:pt>
                <c:pt idx="9">
                  <c:v>120</c:v>
                </c:pt>
                <c:pt idx="10">
                  <c:v>130</c:v>
                </c:pt>
                <c:pt idx="11">
                  <c:v>140</c:v>
                </c:pt>
                <c:pt idx="12">
                  <c:v>150</c:v>
                </c:pt>
                <c:pt idx="13">
                  <c:v>160</c:v>
                </c:pt>
                <c:pt idx="14">
                  <c:v>170</c:v>
                </c:pt>
                <c:pt idx="15">
                  <c:v>180</c:v>
                </c:pt>
              </c:numCache>
            </c:numRef>
          </c:xVal>
          <c:yVal>
            <c:numRef>
              <c:f>Voiles!$G$30:$G$45</c:f>
              <c:numCache>
                <c:formatCode>0.00</c:formatCode>
                <c:ptCount val="16"/>
                <c:pt idx="0">
                  <c:v>3.24675324675324E-3</c:v>
                </c:pt>
                <c:pt idx="1">
                  <c:v>2.51370851370851E-2</c:v>
                </c:pt>
                <c:pt idx="2">
                  <c:v>6.4054834054834003E-2</c:v>
                </c:pt>
                <c:pt idx="3">
                  <c:v>0.12</c:v>
                </c:pt>
                <c:pt idx="4">
                  <c:v>0.186426166426166</c:v>
                </c:pt>
                <c:pt idx="5">
                  <c:v>0.26987974987975</c:v>
                </c:pt>
                <c:pt idx="6">
                  <c:v>0.39</c:v>
                </c:pt>
                <c:pt idx="7">
                  <c:v>0.57629629629629597</c:v>
                </c:pt>
                <c:pt idx="8">
                  <c:v>0.799259259259259</c:v>
                </c:pt>
                <c:pt idx="9">
                  <c:v>0.99</c:v>
                </c:pt>
                <c:pt idx="10">
                  <c:v>1.13037037037037</c:v>
                </c:pt>
                <c:pt idx="11">
                  <c:v>1.2385185185185199</c:v>
                </c:pt>
                <c:pt idx="12">
                  <c:v>1.3</c:v>
                </c:pt>
                <c:pt idx="13">
                  <c:v>1.3277777777777799</c:v>
                </c:pt>
                <c:pt idx="14">
                  <c:v>1.3444444444444399</c:v>
                </c:pt>
                <c:pt idx="15">
                  <c:v>1.35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0577-42CE-9320-7FE35DD90A59}"/>
            </c:ext>
          </c:extLst>
        </c:ser>
        <c:ser>
          <c:idx val="1"/>
          <c:order val="1"/>
          <c:tx>
            <c:v>Génois interpol</c:v>
          </c:tx>
          <c:spPr>
            <a:ln w="952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2"/>
                </a:solidFill>
                <a:round/>
              </a:ln>
              <a:effectLst/>
            </c:spPr>
          </c:marker>
          <c:xVal>
            <c:numRef>
              <c:f>Voiles!$F$30:$F$45</c:f>
              <c:numCache>
                <c:formatCode>General</c:formatCode>
                <c:ptCount val="16"/>
                <c:pt idx="0">
                  <c:v>30</c:v>
                </c:pt>
                <c:pt idx="1">
                  <c:v>40</c:v>
                </c:pt>
                <c:pt idx="2">
                  <c:v>50</c:v>
                </c:pt>
                <c:pt idx="3">
                  <c:v>60</c:v>
                </c:pt>
                <c:pt idx="4">
                  <c:v>70</c:v>
                </c:pt>
                <c:pt idx="5">
                  <c:v>80</c:v>
                </c:pt>
                <c:pt idx="6">
                  <c:v>90</c:v>
                </c:pt>
                <c:pt idx="7">
                  <c:v>100</c:v>
                </c:pt>
                <c:pt idx="8">
                  <c:v>110</c:v>
                </c:pt>
                <c:pt idx="9">
                  <c:v>120</c:v>
                </c:pt>
                <c:pt idx="10">
                  <c:v>130</c:v>
                </c:pt>
                <c:pt idx="11">
                  <c:v>140</c:v>
                </c:pt>
                <c:pt idx="12">
                  <c:v>150</c:v>
                </c:pt>
                <c:pt idx="13">
                  <c:v>160</c:v>
                </c:pt>
                <c:pt idx="14">
                  <c:v>170</c:v>
                </c:pt>
                <c:pt idx="15">
                  <c:v>180</c:v>
                </c:pt>
              </c:numCache>
            </c:numRef>
          </c:xVal>
          <c:yVal>
            <c:numRef>
              <c:f>Voiles!$H$30:$H$45</c:f>
              <c:numCache>
                <c:formatCode>0.00</c:formatCode>
                <c:ptCount val="16"/>
                <c:pt idx="0">
                  <c:v>5.1731601731601698E-2</c:v>
                </c:pt>
                <c:pt idx="1">
                  <c:v>0.15762866762866801</c:v>
                </c:pt>
                <c:pt idx="2">
                  <c:v>0.26371813371813402</c:v>
                </c:pt>
                <c:pt idx="3">
                  <c:v>0.37</c:v>
                </c:pt>
                <c:pt idx="4">
                  <c:v>0.48283469616802899</c:v>
                </c:pt>
                <c:pt idx="5">
                  <c:v>0.59586179252845906</c:v>
                </c:pt>
                <c:pt idx="6">
                  <c:v>0.69</c:v>
                </c:pt>
                <c:pt idx="7">
                  <c:v>0.75407407407407401</c:v>
                </c:pt>
                <c:pt idx="8">
                  <c:v>0.799259259259259</c:v>
                </c:pt>
                <c:pt idx="9">
                  <c:v>0.84</c:v>
                </c:pt>
                <c:pt idx="10">
                  <c:v>0.887777777777778</c:v>
                </c:pt>
                <c:pt idx="11">
                  <c:v>0.931111111111111</c:v>
                </c:pt>
                <c:pt idx="12">
                  <c:v>0.95</c:v>
                </c:pt>
                <c:pt idx="13">
                  <c:v>0.94444444444444398</c:v>
                </c:pt>
                <c:pt idx="14">
                  <c:v>0.92777777777777803</c:v>
                </c:pt>
                <c:pt idx="15">
                  <c:v>0.9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0577-42CE-9320-7FE35DD90A59}"/>
            </c:ext>
          </c:extLst>
        </c:ser>
        <c:ser>
          <c:idx val="2"/>
          <c:order val="2"/>
          <c:tx>
            <c:v>Spinnaker interpol</c:v>
          </c:tx>
          <c:spPr>
            <a:ln w="952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3"/>
                </a:solidFill>
                <a:round/>
              </a:ln>
              <a:effectLst/>
            </c:spPr>
          </c:marker>
          <c:xVal>
            <c:numRef>
              <c:f>Voiles!$F$30:$F$45</c:f>
              <c:numCache>
                <c:formatCode>General</c:formatCode>
                <c:ptCount val="16"/>
                <c:pt idx="0">
                  <c:v>30</c:v>
                </c:pt>
                <c:pt idx="1">
                  <c:v>40</c:v>
                </c:pt>
                <c:pt idx="2">
                  <c:v>50</c:v>
                </c:pt>
                <c:pt idx="3">
                  <c:v>60</c:v>
                </c:pt>
                <c:pt idx="4">
                  <c:v>70</c:v>
                </c:pt>
                <c:pt idx="5">
                  <c:v>80</c:v>
                </c:pt>
                <c:pt idx="6">
                  <c:v>90</c:v>
                </c:pt>
                <c:pt idx="7">
                  <c:v>100</c:v>
                </c:pt>
                <c:pt idx="8">
                  <c:v>110</c:v>
                </c:pt>
                <c:pt idx="9">
                  <c:v>120</c:v>
                </c:pt>
                <c:pt idx="10">
                  <c:v>130</c:v>
                </c:pt>
                <c:pt idx="11">
                  <c:v>140</c:v>
                </c:pt>
                <c:pt idx="12">
                  <c:v>150</c:v>
                </c:pt>
                <c:pt idx="13">
                  <c:v>160</c:v>
                </c:pt>
                <c:pt idx="14">
                  <c:v>170</c:v>
                </c:pt>
                <c:pt idx="15">
                  <c:v>180</c:v>
                </c:pt>
              </c:numCache>
            </c:numRef>
          </c:xVal>
          <c:yVal>
            <c:numRef>
              <c:f>Voiles!$I$30:$I$45</c:f>
              <c:numCache>
                <c:formatCode>0.00</c:formatCode>
                <c:ptCount val="16"/>
                <c:pt idx="0">
                  <c:v>0.21056277056277101</c:v>
                </c:pt>
                <c:pt idx="1">
                  <c:v>0.27697931697931699</c:v>
                </c:pt>
                <c:pt idx="2">
                  <c:v>0.34012506012506</c:v>
                </c:pt>
                <c:pt idx="3">
                  <c:v>0.4</c:v>
                </c:pt>
                <c:pt idx="4">
                  <c:v>0.45995831329164699</c:v>
                </c:pt>
                <c:pt idx="5">
                  <c:v>0.51664582331248998</c:v>
                </c:pt>
                <c:pt idx="6">
                  <c:v>0.56000000000000005</c:v>
                </c:pt>
                <c:pt idx="7">
                  <c:v>0.58629629629629598</c:v>
                </c:pt>
                <c:pt idx="8">
                  <c:v>0.60148148148148095</c:v>
                </c:pt>
                <c:pt idx="9">
                  <c:v>0.61</c:v>
                </c:pt>
                <c:pt idx="10">
                  <c:v>0.61555555555555597</c:v>
                </c:pt>
                <c:pt idx="11">
                  <c:v>0.61888888888888904</c:v>
                </c:pt>
                <c:pt idx="12">
                  <c:v>0.62</c:v>
                </c:pt>
                <c:pt idx="13">
                  <c:v>0.62</c:v>
                </c:pt>
                <c:pt idx="14">
                  <c:v>0.62</c:v>
                </c:pt>
                <c:pt idx="15">
                  <c:v>0.62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0577-42CE-9320-7FE35DD90A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46237640"/>
        <c:axId val="635096960"/>
      </c:scatterChart>
      <c:valAx>
        <c:axId val="5462376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5096960"/>
        <c:crosses val="autoZero"/>
        <c:crossBetween val="midCat"/>
      </c:valAx>
      <c:valAx>
        <c:axId val="635096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623764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v>Cl</c:v>
          </c:tx>
          <c:spPr>
            <a:ln w="952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1"/>
                </a:solidFill>
                <a:round/>
              </a:ln>
              <a:effectLst/>
            </c:spPr>
          </c:marker>
          <c:xVal>
            <c:numRef>
              <c:f>Voiles!$K$13:$K$28</c:f>
              <c:numCache>
                <c:formatCode>General</c:formatCode>
                <c:ptCount val="16"/>
                <c:pt idx="0">
                  <c:v>30</c:v>
                </c:pt>
                <c:pt idx="1">
                  <c:v>40</c:v>
                </c:pt>
                <c:pt idx="2">
                  <c:v>50</c:v>
                </c:pt>
                <c:pt idx="3">
                  <c:v>60</c:v>
                </c:pt>
                <c:pt idx="4">
                  <c:v>70</c:v>
                </c:pt>
                <c:pt idx="5">
                  <c:v>80</c:v>
                </c:pt>
                <c:pt idx="6">
                  <c:v>90</c:v>
                </c:pt>
                <c:pt idx="7">
                  <c:v>100</c:v>
                </c:pt>
                <c:pt idx="8">
                  <c:v>110</c:v>
                </c:pt>
                <c:pt idx="9">
                  <c:v>120</c:v>
                </c:pt>
                <c:pt idx="10">
                  <c:v>130</c:v>
                </c:pt>
                <c:pt idx="11">
                  <c:v>140</c:v>
                </c:pt>
                <c:pt idx="12">
                  <c:v>150</c:v>
                </c:pt>
                <c:pt idx="13">
                  <c:v>160</c:v>
                </c:pt>
                <c:pt idx="14">
                  <c:v>170</c:v>
                </c:pt>
                <c:pt idx="15">
                  <c:v>180</c:v>
                </c:pt>
              </c:numCache>
            </c:numRef>
          </c:xVal>
          <c:yVal>
            <c:numRef>
              <c:f>Voiles!$L$13:$L$28</c:f>
              <c:numCache>
                <c:formatCode>0.00</c:formatCode>
                <c:ptCount val="16"/>
                <c:pt idx="0">
                  <c:v>1.4203728834964948</c:v>
                </c:pt>
                <c:pt idx="1">
                  <c:v>1.4019367152318396</c:v>
                </c:pt>
                <c:pt idx="2">
                  <c:v>1.3630340514418899</c:v>
                </c:pt>
                <c:pt idx="3">
                  <c:v>1.303664892126646</c:v>
                </c:pt>
                <c:pt idx="4">
                  <c:v>1.2037364767563052</c:v>
                </c:pt>
                <c:pt idx="5">
                  <c:v>1.0694921708003486</c:v>
                </c:pt>
                <c:pt idx="6">
                  <c:v>0.94043616325768176</c:v>
                </c:pt>
                <c:pt idx="7">
                  <c:v>0.83458675356032452</c:v>
                </c:pt>
                <c:pt idx="8">
                  <c:v>0.73392564227625257</c:v>
                </c:pt>
                <c:pt idx="9">
                  <c:v>0.62390212010834034</c:v>
                </c:pt>
                <c:pt idx="10">
                  <c:v>0.48668825171486946</c:v>
                </c:pt>
                <c:pt idx="11">
                  <c:v>0.34011197243755392</c:v>
                </c:pt>
                <c:pt idx="12">
                  <c:v>0.22310637900438968</c:v>
                </c:pt>
                <c:pt idx="13">
                  <c:v>0.13882174693606475</c:v>
                </c:pt>
                <c:pt idx="14">
                  <c:v>6.445295393460114E-2</c:v>
                </c:pt>
                <c:pt idx="15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4530-4D67-B671-736C0D68693D}"/>
            </c:ext>
          </c:extLst>
        </c:ser>
        <c:ser>
          <c:idx val="1"/>
          <c:order val="1"/>
          <c:tx>
            <c:v>Cd</c:v>
          </c:tx>
          <c:spPr>
            <a:ln w="952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2"/>
                </a:solidFill>
                <a:round/>
              </a:ln>
              <a:effectLst/>
            </c:spPr>
          </c:marker>
          <c:xVal>
            <c:numRef>
              <c:f>Voiles!$K$13:$K$28</c:f>
              <c:numCache>
                <c:formatCode>General</c:formatCode>
                <c:ptCount val="16"/>
                <c:pt idx="0">
                  <c:v>30</c:v>
                </c:pt>
                <c:pt idx="1">
                  <c:v>40</c:v>
                </c:pt>
                <c:pt idx="2">
                  <c:v>50</c:v>
                </c:pt>
                <c:pt idx="3">
                  <c:v>60</c:v>
                </c:pt>
                <c:pt idx="4">
                  <c:v>70</c:v>
                </c:pt>
                <c:pt idx="5">
                  <c:v>80</c:v>
                </c:pt>
                <c:pt idx="6">
                  <c:v>90</c:v>
                </c:pt>
                <c:pt idx="7">
                  <c:v>100</c:v>
                </c:pt>
                <c:pt idx="8">
                  <c:v>110</c:v>
                </c:pt>
                <c:pt idx="9">
                  <c:v>120</c:v>
                </c:pt>
                <c:pt idx="10">
                  <c:v>130</c:v>
                </c:pt>
                <c:pt idx="11">
                  <c:v>140</c:v>
                </c:pt>
                <c:pt idx="12">
                  <c:v>150</c:v>
                </c:pt>
                <c:pt idx="13">
                  <c:v>160</c:v>
                </c:pt>
                <c:pt idx="14">
                  <c:v>170</c:v>
                </c:pt>
                <c:pt idx="15">
                  <c:v>180</c:v>
                </c:pt>
              </c:numCache>
            </c:numRef>
          </c:xVal>
          <c:yVal>
            <c:numRef>
              <c:f>Voiles!$M$13:$M$28</c:f>
              <c:numCache>
                <c:formatCode>0.00</c:formatCode>
                <c:ptCount val="16"/>
                <c:pt idx="0">
                  <c:v>0.97829720176662782</c:v>
                </c:pt>
                <c:pt idx="1">
                  <c:v>1.0360061369671698</c:v>
                </c:pt>
                <c:pt idx="2">
                  <c:v>1.0771666270987554</c:v>
                </c:pt>
                <c:pt idx="3">
                  <c:v>1.1020434110691049</c:v>
                </c:pt>
                <c:pt idx="4">
                  <c:v>1.0874944089676439</c:v>
                </c:pt>
                <c:pt idx="5">
                  <c:v>1.0494860522301381</c:v>
                </c:pt>
                <c:pt idx="6">
                  <c:v>1.0397436762952081</c:v>
                </c:pt>
                <c:pt idx="7">
                  <c:v>1.0848699123289962</c:v>
                </c:pt>
                <c:pt idx="8">
                  <c:v>1.1534539669628587</c:v>
                </c:pt>
                <c:pt idx="9">
                  <c:v>1.202468025285985</c:v>
                </c:pt>
                <c:pt idx="10">
                  <c:v>1.220360865507536</c:v>
                </c:pt>
                <c:pt idx="11">
                  <c:v>1.2319889280948559</c:v>
                </c:pt>
                <c:pt idx="12">
                  <c:v>1.23645216670934</c:v>
                </c:pt>
                <c:pt idx="13">
                  <c:v>1.2312302906768917</c:v>
                </c:pt>
                <c:pt idx="14">
                  <c:v>1.2237354623105008</c:v>
                </c:pt>
                <c:pt idx="15">
                  <c:v>1.2118596305279257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4530-4D67-B671-736C0D6869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9176984"/>
        <c:axId val="639189448"/>
      </c:scatterChart>
      <c:valAx>
        <c:axId val="6391769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9189448"/>
        <c:crosses val="autoZero"/>
        <c:crossBetween val="midCat"/>
      </c:valAx>
      <c:valAx>
        <c:axId val="639189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917698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rhf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-0.21157137966449846"/>
                  <c:y val="7.8870995341980152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Voiles!$P$31:$P$33</c:f>
              <c:numCache>
                <c:formatCode>General</c:formatCode>
                <c:ptCount val="3"/>
                <c:pt idx="0">
                  <c:v>15</c:v>
                </c:pt>
                <c:pt idx="1">
                  <c:v>30</c:v>
                </c:pt>
                <c:pt idx="2">
                  <c:v>90</c:v>
                </c:pt>
              </c:numCache>
            </c:numRef>
          </c:xVal>
          <c:yVal>
            <c:numRef>
              <c:f>Voiles!$Q$31:$Q$33</c:f>
              <c:numCache>
                <c:formatCode>General</c:formatCode>
                <c:ptCount val="3"/>
                <c:pt idx="0">
                  <c:v>1.1000000000000001</c:v>
                </c:pt>
                <c:pt idx="1">
                  <c:v>1.1000000000000001</c:v>
                </c:pt>
                <c:pt idx="2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EF50-4681-A038-D11916EA9D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98232336"/>
        <c:axId val="939033864"/>
      </c:scatterChart>
      <c:valAx>
        <c:axId val="7982323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9033864"/>
        <c:crosses val="autoZero"/>
        <c:crossBetween val="midCat"/>
      </c:valAx>
      <c:valAx>
        <c:axId val="939033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823233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v>C_L</c:v>
          </c:tx>
          <c:spPr>
            <a:ln w="952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1"/>
                </a:solidFill>
                <a:round/>
              </a:ln>
              <a:effectLst/>
            </c:spPr>
          </c:marker>
          <c:xVal>
            <c:numRef>
              <c:f>Flettner!$B$8:$B$16</c:f>
              <c:numCache>
                <c:formatCode>General</c:formatCode>
                <c:ptCount val="9"/>
                <c:pt idx="0">
                  <c:v>0</c:v>
                </c:pt>
                <c:pt idx="1">
                  <c:v>0.5</c:v>
                </c:pt>
                <c:pt idx="2">
                  <c:v>1</c:v>
                </c:pt>
                <c:pt idx="3">
                  <c:v>1.5</c:v>
                </c:pt>
                <c:pt idx="4">
                  <c:v>2</c:v>
                </c:pt>
                <c:pt idx="5">
                  <c:v>2.5</c:v>
                </c:pt>
                <c:pt idx="6">
                  <c:v>3</c:v>
                </c:pt>
                <c:pt idx="7">
                  <c:v>3.5</c:v>
                </c:pt>
                <c:pt idx="8">
                  <c:v>4</c:v>
                </c:pt>
              </c:numCache>
            </c:numRef>
          </c:xVal>
          <c:yVal>
            <c:numRef>
              <c:f>Flettner!$C$8:$C$16</c:f>
              <c:numCache>
                <c:formatCode>General</c:formatCode>
                <c:ptCount val="9"/>
                <c:pt idx="0">
                  <c:v>0</c:v>
                </c:pt>
                <c:pt idx="1">
                  <c:v>0.5</c:v>
                </c:pt>
                <c:pt idx="2">
                  <c:v>1.2</c:v>
                </c:pt>
                <c:pt idx="3">
                  <c:v>2.2999999999999998</c:v>
                </c:pt>
                <c:pt idx="4">
                  <c:v>3.9</c:v>
                </c:pt>
                <c:pt idx="5">
                  <c:v>5.5</c:v>
                </c:pt>
                <c:pt idx="6">
                  <c:v>6.4</c:v>
                </c:pt>
                <c:pt idx="7">
                  <c:v>6.7</c:v>
                </c:pt>
                <c:pt idx="8">
                  <c:v>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A371-4DB5-AF4C-68F4B4B3E651}"/>
            </c:ext>
          </c:extLst>
        </c:ser>
        <c:ser>
          <c:idx val="1"/>
          <c:order val="1"/>
          <c:tx>
            <c:v>C_D</c:v>
          </c:tx>
          <c:spPr>
            <a:ln w="952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2"/>
                </a:solidFill>
                <a:round/>
              </a:ln>
              <a:effectLst/>
            </c:spPr>
          </c:marker>
          <c:xVal>
            <c:numRef>
              <c:f>Flettner!$B$8:$B$16</c:f>
              <c:numCache>
                <c:formatCode>General</c:formatCode>
                <c:ptCount val="9"/>
                <c:pt idx="0">
                  <c:v>0</c:v>
                </c:pt>
                <c:pt idx="1">
                  <c:v>0.5</c:v>
                </c:pt>
                <c:pt idx="2">
                  <c:v>1</c:v>
                </c:pt>
                <c:pt idx="3">
                  <c:v>1.5</c:v>
                </c:pt>
                <c:pt idx="4">
                  <c:v>2</c:v>
                </c:pt>
                <c:pt idx="5">
                  <c:v>2.5</c:v>
                </c:pt>
                <c:pt idx="6">
                  <c:v>3</c:v>
                </c:pt>
                <c:pt idx="7">
                  <c:v>3.5</c:v>
                </c:pt>
                <c:pt idx="8">
                  <c:v>4</c:v>
                </c:pt>
              </c:numCache>
            </c:numRef>
          </c:xVal>
          <c:yVal>
            <c:numRef>
              <c:f>Flettner!$D$8:$D$16</c:f>
              <c:numCache>
                <c:formatCode>General</c:formatCode>
                <c:ptCount val="9"/>
                <c:pt idx="0">
                  <c:v>0.8</c:v>
                </c:pt>
                <c:pt idx="1">
                  <c:v>0.7</c:v>
                </c:pt>
                <c:pt idx="2">
                  <c:v>0.6</c:v>
                </c:pt>
                <c:pt idx="3">
                  <c:v>0.7</c:v>
                </c:pt>
                <c:pt idx="4">
                  <c:v>1.2</c:v>
                </c:pt>
                <c:pt idx="5">
                  <c:v>2</c:v>
                </c:pt>
                <c:pt idx="6">
                  <c:v>2.8</c:v>
                </c:pt>
                <c:pt idx="7">
                  <c:v>3.3</c:v>
                </c:pt>
                <c:pt idx="8">
                  <c:v>3.6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A371-4DB5-AF4C-68F4B4B3E6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49115936"/>
        <c:axId val="2047271488"/>
      </c:scatterChart>
      <c:valAx>
        <c:axId val="20491159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Velocity ratio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7271488"/>
        <c:crosses val="autoZero"/>
        <c:crossBetween val="midCat"/>
      </c:valAx>
      <c:valAx>
        <c:axId val="2047271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C_L, C_D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911593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Polaire de vitesse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8386511629628803E-2"/>
          <c:y val="0.14390525622499434"/>
          <c:w val="0.80952544895216727"/>
          <c:h val="0.71654624632595088"/>
        </c:manualLayout>
      </c:layout>
      <c:radarChart>
        <c:radarStyle val="marker"/>
        <c:varyColors val="0"/>
        <c:ser>
          <c:idx val="0"/>
          <c:order val="0"/>
          <c:tx>
            <c:v>10 nds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Résultats!$B$5:$B$37</c:f>
              <c:numCache>
                <c:formatCode>General</c:formatCode>
                <c:ptCount val="33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120</c:v>
                </c:pt>
                <c:pt idx="12">
                  <c:v>140</c:v>
                </c:pt>
                <c:pt idx="13">
                  <c:v>160</c:v>
                </c:pt>
                <c:pt idx="14">
                  <c:v>170</c:v>
                </c:pt>
                <c:pt idx="15">
                  <c:v>180</c:v>
                </c:pt>
                <c:pt idx="16">
                  <c:v>190</c:v>
                </c:pt>
                <c:pt idx="17">
                  <c:v>200</c:v>
                </c:pt>
                <c:pt idx="18">
                  <c:v>210</c:v>
                </c:pt>
                <c:pt idx="19">
                  <c:v>220</c:v>
                </c:pt>
                <c:pt idx="20">
                  <c:v>230</c:v>
                </c:pt>
                <c:pt idx="21">
                  <c:v>240</c:v>
                </c:pt>
                <c:pt idx="22">
                  <c:v>250</c:v>
                </c:pt>
                <c:pt idx="23">
                  <c:v>260</c:v>
                </c:pt>
                <c:pt idx="24">
                  <c:v>270</c:v>
                </c:pt>
                <c:pt idx="25">
                  <c:v>280</c:v>
                </c:pt>
                <c:pt idx="26">
                  <c:v>290</c:v>
                </c:pt>
                <c:pt idx="27">
                  <c:v>300</c:v>
                </c:pt>
                <c:pt idx="28">
                  <c:v>310</c:v>
                </c:pt>
                <c:pt idx="29">
                  <c:v>320</c:v>
                </c:pt>
                <c:pt idx="30">
                  <c:v>330</c:v>
                </c:pt>
                <c:pt idx="31">
                  <c:v>340</c:v>
                </c:pt>
                <c:pt idx="32">
                  <c:v>350</c:v>
                </c:pt>
              </c:numCache>
            </c:numRef>
          </c:cat>
          <c:val>
            <c:numRef>
              <c:f>Résultats!$C$5:$C$37</c:f>
              <c:numCache>
                <c:formatCode>General</c:formatCode>
                <c:ptCount val="33"/>
                <c:pt idx="4" formatCode="0.0">
                  <c:v>8.6</c:v>
                </c:pt>
                <c:pt idx="5" formatCode="0.0">
                  <c:v>9.8666666666666671</c:v>
                </c:pt>
                <c:pt idx="6" formatCode="0.0">
                  <c:v>8.9166666666666679</c:v>
                </c:pt>
                <c:pt idx="7" formatCode="0.0">
                  <c:v>9.5500000000000007</c:v>
                </c:pt>
                <c:pt idx="8" formatCode="0.0">
                  <c:v>7.333333333333333</c:v>
                </c:pt>
                <c:pt idx="9" formatCode="0.0">
                  <c:v>7.65</c:v>
                </c:pt>
                <c:pt idx="10" formatCode="0.0">
                  <c:v>8.2833333333333332</c:v>
                </c:pt>
                <c:pt idx="11" formatCode="0.0">
                  <c:v>4.8</c:v>
                </c:pt>
                <c:pt idx="12" formatCode="0.0">
                  <c:v>7.0166666666666666</c:v>
                </c:pt>
                <c:pt idx="13" formatCode="0.0">
                  <c:v>5.1166666666666663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D42-4CD4-A81B-9150A58A4DF6}"/>
            </c:ext>
          </c:extLst>
        </c:ser>
        <c:ser>
          <c:idx val="1"/>
          <c:order val="1"/>
          <c:tx>
            <c:v>12 nds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Résultats!$B$5:$B$37</c:f>
              <c:numCache>
                <c:formatCode>General</c:formatCode>
                <c:ptCount val="33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120</c:v>
                </c:pt>
                <c:pt idx="12">
                  <c:v>140</c:v>
                </c:pt>
                <c:pt idx="13">
                  <c:v>160</c:v>
                </c:pt>
                <c:pt idx="14">
                  <c:v>170</c:v>
                </c:pt>
                <c:pt idx="15">
                  <c:v>180</c:v>
                </c:pt>
                <c:pt idx="16">
                  <c:v>190</c:v>
                </c:pt>
                <c:pt idx="17">
                  <c:v>200</c:v>
                </c:pt>
                <c:pt idx="18">
                  <c:v>210</c:v>
                </c:pt>
                <c:pt idx="19">
                  <c:v>220</c:v>
                </c:pt>
                <c:pt idx="20">
                  <c:v>230</c:v>
                </c:pt>
                <c:pt idx="21">
                  <c:v>240</c:v>
                </c:pt>
                <c:pt idx="22">
                  <c:v>250</c:v>
                </c:pt>
                <c:pt idx="23">
                  <c:v>260</c:v>
                </c:pt>
                <c:pt idx="24">
                  <c:v>270</c:v>
                </c:pt>
                <c:pt idx="25">
                  <c:v>280</c:v>
                </c:pt>
                <c:pt idx="26">
                  <c:v>290</c:v>
                </c:pt>
                <c:pt idx="27">
                  <c:v>300</c:v>
                </c:pt>
                <c:pt idx="28">
                  <c:v>310</c:v>
                </c:pt>
                <c:pt idx="29">
                  <c:v>320</c:v>
                </c:pt>
                <c:pt idx="30">
                  <c:v>330</c:v>
                </c:pt>
                <c:pt idx="31">
                  <c:v>340</c:v>
                </c:pt>
                <c:pt idx="32">
                  <c:v>350</c:v>
                </c:pt>
              </c:numCache>
            </c:numRef>
          </c:cat>
          <c:val>
            <c:numRef>
              <c:f>Résultats!$D$5:$D$37</c:f>
              <c:numCache>
                <c:formatCode>General</c:formatCode>
                <c:ptCount val="33"/>
                <c:pt idx="4" formatCode="0.0">
                  <c:v>11.45</c:v>
                </c:pt>
                <c:pt idx="5" formatCode="0.0">
                  <c:v>11.133333333333333</c:v>
                </c:pt>
                <c:pt idx="6" formatCode="0.0">
                  <c:v>11.133333333333333</c:v>
                </c:pt>
                <c:pt idx="7" formatCode="0.0">
                  <c:v>9.5500000000000007</c:v>
                </c:pt>
                <c:pt idx="8" formatCode="0.0">
                  <c:v>9.8666666666666671</c:v>
                </c:pt>
                <c:pt idx="9" formatCode="0.0">
                  <c:v>9.2333333333333325</c:v>
                </c:pt>
                <c:pt idx="10" formatCode="0.0">
                  <c:v>10.5</c:v>
                </c:pt>
                <c:pt idx="11" formatCode="0.0">
                  <c:v>6.7</c:v>
                </c:pt>
                <c:pt idx="12" formatCode="0.0">
                  <c:v>8.6</c:v>
                </c:pt>
                <c:pt idx="13" formatCode="0.0">
                  <c:v>1.95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D42-4CD4-A81B-9150A58A4DF6}"/>
            </c:ext>
          </c:extLst>
        </c:ser>
        <c:ser>
          <c:idx val="2"/>
          <c:order val="2"/>
          <c:tx>
            <c:v>15 nds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square"/>
            <c:size val="4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numRef>
              <c:f>Résultats!$B$5:$B$37</c:f>
              <c:numCache>
                <c:formatCode>General</c:formatCode>
                <c:ptCount val="33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120</c:v>
                </c:pt>
                <c:pt idx="12">
                  <c:v>140</c:v>
                </c:pt>
                <c:pt idx="13">
                  <c:v>160</c:v>
                </c:pt>
                <c:pt idx="14">
                  <c:v>170</c:v>
                </c:pt>
                <c:pt idx="15">
                  <c:v>180</c:v>
                </c:pt>
                <c:pt idx="16">
                  <c:v>190</c:v>
                </c:pt>
                <c:pt idx="17">
                  <c:v>200</c:v>
                </c:pt>
                <c:pt idx="18">
                  <c:v>210</c:v>
                </c:pt>
                <c:pt idx="19">
                  <c:v>220</c:v>
                </c:pt>
                <c:pt idx="20">
                  <c:v>230</c:v>
                </c:pt>
                <c:pt idx="21">
                  <c:v>240</c:v>
                </c:pt>
                <c:pt idx="22">
                  <c:v>250</c:v>
                </c:pt>
                <c:pt idx="23">
                  <c:v>260</c:v>
                </c:pt>
                <c:pt idx="24">
                  <c:v>270</c:v>
                </c:pt>
                <c:pt idx="25">
                  <c:v>280</c:v>
                </c:pt>
                <c:pt idx="26">
                  <c:v>290</c:v>
                </c:pt>
                <c:pt idx="27">
                  <c:v>300</c:v>
                </c:pt>
                <c:pt idx="28">
                  <c:v>310</c:v>
                </c:pt>
                <c:pt idx="29">
                  <c:v>320</c:v>
                </c:pt>
                <c:pt idx="30">
                  <c:v>330</c:v>
                </c:pt>
                <c:pt idx="31">
                  <c:v>340</c:v>
                </c:pt>
                <c:pt idx="32">
                  <c:v>350</c:v>
                </c:pt>
              </c:numCache>
            </c:numRef>
          </c:cat>
          <c:val>
            <c:numRef>
              <c:f>Résultats!$E$5:$E$37</c:f>
              <c:numCache>
                <c:formatCode>General</c:formatCode>
                <c:ptCount val="33"/>
                <c:pt idx="4" formatCode="0.0">
                  <c:v>13.35</c:v>
                </c:pt>
                <c:pt idx="5" formatCode="0.0">
                  <c:v>13.666666666666666</c:v>
                </c:pt>
                <c:pt idx="6" formatCode="0.0">
                  <c:v>13.666666666666666</c:v>
                </c:pt>
                <c:pt idx="7" formatCode="0.0">
                  <c:v>12.716666666666667</c:v>
                </c:pt>
                <c:pt idx="8" formatCode="0.0">
                  <c:v>11.133333333333333</c:v>
                </c:pt>
                <c:pt idx="9" formatCode="0.0">
                  <c:v>11.766666666666667</c:v>
                </c:pt>
                <c:pt idx="10" formatCode="0.0">
                  <c:v>13.033333333333333</c:v>
                </c:pt>
                <c:pt idx="11" formatCode="0.0">
                  <c:v>8.2833333333333332</c:v>
                </c:pt>
                <c:pt idx="12" formatCode="0.0">
                  <c:v>13.033333333333333</c:v>
                </c:pt>
                <c:pt idx="13" formatCode="0.0">
                  <c:v>3.2166666666666668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D42-4CD4-A81B-9150A58A4DF6}"/>
            </c:ext>
          </c:extLst>
        </c:ser>
        <c:ser>
          <c:idx val="3"/>
          <c:order val="3"/>
          <c:tx>
            <c:v>20 nds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numRef>
              <c:f>Résultats!$B$5:$B$37</c:f>
              <c:numCache>
                <c:formatCode>General</c:formatCode>
                <c:ptCount val="33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120</c:v>
                </c:pt>
                <c:pt idx="12">
                  <c:v>140</c:v>
                </c:pt>
                <c:pt idx="13">
                  <c:v>160</c:v>
                </c:pt>
                <c:pt idx="14">
                  <c:v>170</c:v>
                </c:pt>
                <c:pt idx="15">
                  <c:v>180</c:v>
                </c:pt>
                <c:pt idx="16">
                  <c:v>190</c:v>
                </c:pt>
                <c:pt idx="17">
                  <c:v>200</c:v>
                </c:pt>
                <c:pt idx="18">
                  <c:v>210</c:v>
                </c:pt>
                <c:pt idx="19">
                  <c:v>220</c:v>
                </c:pt>
                <c:pt idx="20">
                  <c:v>230</c:v>
                </c:pt>
                <c:pt idx="21">
                  <c:v>240</c:v>
                </c:pt>
                <c:pt idx="22">
                  <c:v>250</c:v>
                </c:pt>
                <c:pt idx="23">
                  <c:v>260</c:v>
                </c:pt>
                <c:pt idx="24">
                  <c:v>270</c:v>
                </c:pt>
                <c:pt idx="25">
                  <c:v>280</c:v>
                </c:pt>
                <c:pt idx="26">
                  <c:v>290</c:v>
                </c:pt>
                <c:pt idx="27">
                  <c:v>300</c:v>
                </c:pt>
                <c:pt idx="28">
                  <c:v>310</c:v>
                </c:pt>
                <c:pt idx="29">
                  <c:v>320</c:v>
                </c:pt>
                <c:pt idx="30">
                  <c:v>330</c:v>
                </c:pt>
                <c:pt idx="31">
                  <c:v>340</c:v>
                </c:pt>
                <c:pt idx="32">
                  <c:v>350</c:v>
                </c:pt>
              </c:numCache>
            </c:numRef>
          </c:cat>
          <c:val>
            <c:numRef>
              <c:f>Résultats!$F$5:$F$37</c:f>
              <c:numCache>
                <c:formatCode>General</c:formatCode>
                <c:ptCount val="33"/>
                <c:pt idx="4" formatCode="0.0">
                  <c:v>8.2833333333333332</c:v>
                </c:pt>
                <c:pt idx="5" formatCode="0.0">
                  <c:v>8.6</c:v>
                </c:pt>
                <c:pt idx="6" formatCode="0.0">
                  <c:v>10.183333333333334</c:v>
                </c:pt>
                <c:pt idx="7" formatCode="0.0">
                  <c:v>12.716666666666667</c:v>
                </c:pt>
                <c:pt idx="8" formatCode="0.0">
                  <c:v>14.933333333333334</c:v>
                </c:pt>
                <c:pt idx="9" formatCode="0.0">
                  <c:v>15.566666666666666</c:v>
                </c:pt>
                <c:pt idx="10" formatCode="0.0">
                  <c:v>15.883333333333333</c:v>
                </c:pt>
                <c:pt idx="11" formatCode="0.0">
                  <c:v>12.083333333333334</c:v>
                </c:pt>
                <c:pt idx="12" formatCode="0.0">
                  <c:v>8.2833333333333332</c:v>
                </c:pt>
                <c:pt idx="13" formatCode="0.0">
                  <c:v>5.75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D42-4CD4-A81B-9150A58A4DF6}"/>
            </c:ext>
          </c:extLst>
        </c:ser>
        <c:ser>
          <c:idx val="4"/>
          <c:order val="4"/>
          <c:tx>
            <c:v>25 nds</c:v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numRef>
              <c:f>Résultats!$B$5:$B$37</c:f>
              <c:numCache>
                <c:formatCode>General</c:formatCode>
                <c:ptCount val="33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120</c:v>
                </c:pt>
                <c:pt idx="12">
                  <c:v>140</c:v>
                </c:pt>
                <c:pt idx="13">
                  <c:v>160</c:v>
                </c:pt>
                <c:pt idx="14">
                  <c:v>170</c:v>
                </c:pt>
                <c:pt idx="15">
                  <c:v>180</c:v>
                </c:pt>
                <c:pt idx="16">
                  <c:v>190</c:v>
                </c:pt>
                <c:pt idx="17">
                  <c:v>200</c:v>
                </c:pt>
                <c:pt idx="18">
                  <c:v>210</c:v>
                </c:pt>
                <c:pt idx="19">
                  <c:v>220</c:v>
                </c:pt>
                <c:pt idx="20">
                  <c:v>230</c:v>
                </c:pt>
                <c:pt idx="21">
                  <c:v>240</c:v>
                </c:pt>
                <c:pt idx="22">
                  <c:v>250</c:v>
                </c:pt>
                <c:pt idx="23">
                  <c:v>260</c:v>
                </c:pt>
                <c:pt idx="24">
                  <c:v>270</c:v>
                </c:pt>
                <c:pt idx="25">
                  <c:v>280</c:v>
                </c:pt>
                <c:pt idx="26">
                  <c:v>290</c:v>
                </c:pt>
                <c:pt idx="27">
                  <c:v>300</c:v>
                </c:pt>
                <c:pt idx="28">
                  <c:v>310</c:v>
                </c:pt>
                <c:pt idx="29">
                  <c:v>320</c:v>
                </c:pt>
                <c:pt idx="30">
                  <c:v>330</c:v>
                </c:pt>
                <c:pt idx="31">
                  <c:v>340</c:v>
                </c:pt>
                <c:pt idx="32">
                  <c:v>350</c:v>
                </c:pt>
              </c:numCache>
            </c:numRef>
          </c:cat>
          <c:val>
            <c:numRef>
              <c:f>Résultats!$G$5:$G$37</c:f>
              <c:numCache>
                <c:formatCode>General</c:formatCode>
                <c:ptCount val="33"/>
                <c:pt idx="4" formatCode="0.0">
                  <c:v>1</c:v>
                </c:pt>
                <c:pt idx="5" formatCode="0.0">
                  <c:v>1</c:v>
                </c:pt>
                <c:pt idx="6" formatCode="0.0">
                  <c:v>2.2666666666666666</c:v>
                </c:pt>
                <c:pt idx="7" formatCode="0.0">
                  <c:v>5.1166666666666663</c:v>
                </c:pt>
                <c:pt idx="8" formatCode="0.0">
                  <c:v>8.9166666666666679</c:v>
                </c:pt>
                <c:pt idx="9" formatCode="0.0">
                  <c:v>13.983333333333333</c:v>
                </c:pt>
                <c:pt idx="10" formatCode="0.0">
                  <c:v>18.733333333333334</c:v>
                </c:pt>
                <c:pt idx="11" formatCode="0.0">
                  <c:v>15.566666666666666</c:v>
                </c:pt>
                <c:pt idx="12" formatCode="0.0">
                  <c:v>7.333333333333333</c:v>
                </c:pt>
                <c:pt idx="13" formatCode="0.0">
                  <c:v>6.3833333333333337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D42-4CD4-A81B-9150A58A4DF6}"/>
            </c:ext>
          </c:extLst>
        </c:ser>
        <c:ser>
          <c:idx val="5"/>
          <c:order val="5"/>
          <c:tx>
            <c:v>28 nds</c:v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numRef>
              <c:f>Résultats!$B$5:$B$37</c:f>
              <c:numCache>
                <c:formatCode>General</c:formatCode>
                <c:ptCount val="33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120</c:v>
                </c:pt>
                <c:pt idx="12">
                  <c:v>140</c:v>
                </c:pt>
                <c:pt idx="13">
                  <c:v>160</c:v>
                </c:pt>
                <c:pt idx="14">
                  <c:v>170</c:v>
                </c:pt>
                <c:pt idx="15">
                  <c:v>180</c:v>
                </c:pt>
                <c:pt idx="16">
                  <c:v>190</c:v>
                </c:pt>
                <c:pt idx="17">
                  <c:v>200</c:v>
                </c:pt>
                <c:pt idx="18">
                  <c:v>210</c:v>
                </c:pt>
                <c:pt idx="19">
                  <c:v>220</c:v>
                </c:pt>
                <c:pt idx="20">
                  <c:v>230</c:v>
                </c:pt>
                <c:pt idx="21">
                  <c:v>240</c:v>
                </c:pt>
                <c:pt idx="22">
                  <c:v>250</c:v>
                </c:pt>
                <c:pt idx="23">
                  <c:v>260</c:v>
                </c:pt>
                <c:pt idx="24">
                  <c:v>270</c:v>
                </c:pt>
                <c:pt idx="25">
                  <c:v>280</c:v>
                </c:pt>
                <c:pt idx="26">
                  <c:v>290</c:v>
                </c:pt>
                <c:pt idx="27">
                  <c:v>300</c:v>
                </c:pt>
                <c:pt idx="28">
                  <c:v>310</c:v>
                </c:pt>
                <c:pt idx="29">
                  <c:v>320</c:v>
                </c:pt>
                <c:pt idx="30">
                  <c:v>330</c:v>
                </c:pt>
                <c:pt idx="31">
                  <c:v>340</c:v>
                </c:pt>
                <c:pt idx="32">
                  <c:v>350</c:v>
                </c:pt>
              </c:numCache>
            </c:numRef>
          </c:cat>
          <c:val>
            <c:numRef>
              <c:f>Résultats!$H$5:$H$37</c:f>
              <c:numCache>
                <c:formatCode>General</c:formatCode>
                <c:ptCount val="33"/>
                <c:pt idx="4" formatCode="0.0">
                  <c:v>1</c:v>
                </c:pt>
                <c:pt idx="5" formatCode="0.0">
                  <c:v>1</c:v>
                </c:pt>
                <c:pt idx="6" formatCode="0.0">
                  <c:v>1</c:v>
                </c:pt>
                <c:pt idx="7" formatCode="0.0">
                  <c:v>1</c:v>
                </c:pt>
                <c:pt idx="8" formatCode="0.0">
                  <c:v>3.85</c:v>
                </c:pt>
                <c:pt idx="9" formatCode="0.0">
                  <c:v>9.2333333333333325</c:v>
                </c:pt>
                <c:pt idx="10" formatCode="0.0">
                  <c:v>16.2</c:v>
                </c:pt>
                <c:pt idx="11" formatCode="0.0">
                  <c:v>17.466666666666665</c:v>
                </c:pt>
                <c:pt idx="12" formatCode="0.0">
                  <c:v>10.183333333333334</c:v>
                </c:pt>
                <c:pt idx="13" formatCode="0.0">
                  <c:v>7.333333333333333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D42-4CD4-A81B-9150A58A4D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57467560"/>
        <c:axId val="357468216"/>
      </c:radarChart>
      <c:catAx>
        <c:axId val="3574675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7468216"/>
        <c:crosses val="autoZero"/>
        <c:auto val="1"/>
        <c:lblAlgn val="ctr"/>
        <c:lblOffset val="100"/>
        <c:noMultiLvlLbl val="0"/>
      </c:catAx>
      <c:valAx>
        <c:axId val="357468216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accent1"/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bg1">
                <a:lumMod val="50000"/>
              </a:schemeClr>
            </a:solidFill>
            <a:prstDash val="solid"/>
            <a:miter lim="800000"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7467560"/>
        <c:crosses val="autoZero"/>
        <c:crossBetween val="between"/>
        <c:majorUnit val="2"/>
        <c:minorUnit val="0.5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1632571845303536"/>
          <c:y val="4.2758559674422707E-2"/>
          <c:w val="0.10264512584391115"/>
          <c:h val="0.2889575018876064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Relationship Id="rId4" Type="http://schemas.openxmlformats.org/officeDocument/2006/relationships/chart" Target="../charts/chart6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12</xdr:row>
          <xdr:rowOff>12700</xdr:rowOff>
        </xdr:from>
        <xdr:to>
          <xdr:col>1</xdr:col>
          <xdr:colOff>666750</xdr:colOff>
          <xdr:row>15</xdr:row>
          <xdr:rowOff>19050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1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114300</xdr:colOff>
          <xdr:row>12</xdr:row>
          <xdr:rowOff>12700</xdr:rowOff>
        </xdr:from>
        <xdr:to>
          <xdr:col>3</xdr:col>
          <xdr:colOff>400050</xdr:colOff>
          <xdr:row>15</xdr:row>
          <xdr:rowOff>19050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1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FLETTNER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2</xdr:row>
      <xdr:rowOff>38100</xdr:rowOff>
    </xdr:from>
    <xdr:to>
      <xdr:col>9</xdr:col>
      <xdr:colOff>377190</xdr:colOff>
      <xdr:row>13</xdr:row>
      <xdr:rowOff>99060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24</xdr:row>
      <xdr:rowOff>71437</xdr:rowOff>
    </xdr:from>
    <xdr:to>
      <xdr:col>12</xdr:col>
      <xdr:colOff>714375</xdr:colOff>
      <xdr:row>32</xdr:row>
      <xdr:rowOff>47625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47171</xdr:colOff>
      <xdr:row>15</xdr:row>
      <xdr:rowOff>22981</xdr:rowOff>
    </xdr:from>
    <xdr:to>
      <xdr:col>4</xdr:col>
      <xdr:colOff>748211</xdr:colOff>
      <xdr:row>25</xdr:row>
      <xdr:rowOff>181549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8537</xdr:colOff>
      <xdr:row>35</xdr:row>
      <xdr:rowOff>8433</xdr:rowOff>
    </xdr:from>
    <xdr:to>
      <xdr:col>4</xdr:col>
      <xdr:colOff>680890</xdr:colOff>
      <xdr:row>45</xdr:row>
      <xdr:rowOff>44183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255493</xdr:colOff>
      <xdr:row>11</xdr:row>
      <xdr:rowOff>158750</xdr:rowOff>
    </xdr:from>
    <xdr:to>
      <xdr:col>18</xdr:col>
      <xdr:colOff>21167</xdr:colOff>
      <xdr:row>23</xdr:row>
      <xdr:rowOff>107576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15</xdr:col>
      <xdr:colOff>1</xdr:colOff>
      <xdr:row>33</xdr:row>
      <xdr:rowOff>115358</xdr:rowOff>
    </xdr:from>
    <xdr:to>
      <xdr:col>18</xdr:col>
      <xdr:colOff>328084</xdr:colOff>
      <xdr:row>42</xdr:row>
      <xdr:rowOff>137583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539463</xdr:colOff>
      <xdr:row>17</xdr:row>
      <xdr:rowOff>50510</xdr:rowOff>
    </xdr:from>
    <xdr:to>
      <xdr:col>4</xdr:col>
      <xdr:colOff>598921</xdr:colOff>
      <xdr:row>29</xdr:row>
      <xdr:rowOff>28864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3383280" y="251460"/>
    <xdr:ext cx="6697980" cy="4450080"/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806E2F-FA00-4820-A670-6385A4AEA033}">
  <sheetPr codeName="Feuil5"/>
  <dimension ref="B2:M28"/>
  <sheetViews>
    <sheetView zoomScale="85" zoomScaleNormal="85" workbookViewId="0">
      <selection activeCell="B12" sqref="B12:K12"/>
    </sheetView>
  </sheetViews>
  <sheetFormatPr baseColWidth="10" defaultRowHeight="14.5" x14ac:dyDescent="0.35"/>
  <sheetData>
    <row r="2" spans="2:13" ht="15.5" x14ac:dyDescent="0.35">
      <c r="B2" s="195" t="s">
        <v>40</v>
      </c>
      <c r="C2" s="195"/>
      <c r="D2" s="195"/>
      <c r="E2" s="195"/>
      <c r="F2" s="195"/>
      <c r="G2" s="195"/>
      <c r="H2" s="195"/>
      <c r="I2" s="195"/>
      <c r="J2" s="195"/>
      <c r="K2" s="195"/>
      <c r="L2" s="63"/>
      <c r="M2" s="63"/>
    </row>
    <row r="3" spans="2:13" ht="15.5" x14ac:dyDescent="0.35">
      <c r="B3" s="197" t="s">
        <v>44</v>
      </c>
      <c r="C3" s="197"/>
      <c r="D3" s="197"/>
      <c r="E3" s="197"/>
      <c r="F3" s="197"/>
      <c r="G3" s="197"/>
      <c r="H3" s="197"/>
      <c r="I3" s="197"/>
      <c r="J3" s="197"/>
      <c r="K3" s="197"/>
      <c r="L3" s="63"/>
      <c r="M3" s="63"/>
    </row>
    <row r="4" spans="2:13" ht="15.5" x14ac:dyDescent="0.35">
      <c r="B4" s="195" t="s">
        <v>41</v>
      </c>
      <c r="C4" s="195"/>
      <c r="D4" s="195"/>
      <c r="E4" s="195"/>
      <c r="F4" s="195"/>
      <c r="G4" s="195"/>
      <c r="H4" s="195"/>
      <c r="I4" s="195"/>
      <c r="J4" s="195"/>
      <c r="K4" s="195"/>
      <c r="L4" s="132" t="s">
        <v>92</v>
      </c>
      <c r="M4" s="63"/>
    </row>
    <row r="5" spans="2:13" ht="15.5" x14ac:dyDescent="0.35">
      <c r="B5" s="195" t="s">
        <v>42</v>
      </c>
      <c r="C5" s="195"/>
      <c r="D5" s="195"/>
      <c r="E5" s="195"/>
      <c r="F5" s="195"/>
      <c r="G5" s="195"/>
      <c r="H5" s="195"/>
      <c r="I5" s="195"/>
      <c r="J5" s="195"/>
      <c r="K5" s="195"/>
      <c r="L5" s="132" t="s">
        <v>117</v>
      </c>
      <c r="M5" s="63"/>
    </row>
    <row r="6" spans="2:13" ht="15.5" x14ac:dyDescent="0.35">
      <c r="B6" s="194" t="s">
        <v>43</v>
      </c>
      <c r="C6" s="194"/>
      <c r="D6" s="194"/>
      <c r="E6" s="194"/>
      <c r="F6" s="194"/>
      <c r="G6" s="194"/>
      <c r="H6" s="194"/>
      <c r="I6" s="194"/>
      <c r="J6" s="194"/>
      <c r="K6" s="194"/>
      <c r="L6" s="63"/>
      <c r="M6" s="63"/>
    </row>
    <row r="7" spans="2:13" ht="15.5" x14ac:dyDescent="0.35">
      <c r="B7" s="194"/>
      <c r="C7" s="194"/>
      <c r="D7" s="194"/>
      <c r="E7" s="194"/>
      <c r="F7" s="194"/>
      <c r="G7" s="194"/>
      <c r="H7" s="194"/>
      <c r="I7" s="194"/>
      <c r="J7" s="194"/>
      <c r="K7" s="194"/>
      <c r="L7" s="63"/>
      <c r="M7" s="63"/>
    </row>
    <row r="8" spans="2:13" ht="15.5" x14ac:dyDescent="0.35">
      <c r="B8" s="195" t="s">
        <v>45</v>
      </c>
      <c r="C8" s="195"/>
      <c r="D8" s="195"/>
      <c r="E8" s="195"/>
      <c r="F8" s="195"/>
      <c r="G8" s="195"/>
      <c r="H8" s="195"/>
      <c r="I8" s="195"/>
      <c r="J8" s="195"/>
      <c r="K8" s="195"/>
      <c r="L8" s="63"/>
      <c r="M8" s="63"/>
    </row>
    <row r="9" spans="2:13" ht="15.5" x14ac:dyDescent="0.35">
      <c r="B9" s="195" t="s">
        <v>53</v>
      </c>
      <c r="C9" s="195"/>
      <c r="D9" s="195"/>
      <c r="E9" s="195"/>
      <c r="F9" s="195"/>
      <c r="G9" s="195"/>
      <c r="H9" s="195"/>
      <c r="I9" s="195"/>
      <c r="J9" s="195"/>
      <c r="K9" s="195"/>
      <c r="L9" s="63"/>
      <c r="M9" s="63"/>
    </row>
    <row r="10" spans="2:13" ht="15.5" x14ac:dyDescent="0.35">
      <c r="B10" s="195" t="s">
        <v>59</v>
      </c>
      <c r="C10" s="195"/>
      <c r="D10" s="195"/>
      <c r="E10" s="195"/>
      <c r="F10" s="195"/>
      <c r="G10" s="195"/>
      <c r="H10" s="195"/>
      <c r="I10" s="195"/>
      <c r="J10" s="195"/>
      <c r="K10" s="195"/>
      <c r="L10" s="63"/>
      <c r="M10" s="63"/>
    </row>
    <row r="11" spans="2:13" s="78" customFormat="1" ht="15.65" customHeight="1" x14ac:dyDescent="0.35">
      <c r="B11" s="196"/>
      <c r="C11" s="196"/>
      <c r="D11" s="196"/>
      <c r="E11" s="196"/>
      <c r="F11" s="196"/>
      <c r="G11" s="196"/>
      <c r="H11" s="196"/>
      <c r="I11" s="196"/>
      <c r="J11" s="196"/>
      <c r="K11" s="196"/>
    </row>
    <row r="12" spans="2:13" ht="15.5" x14ac:dyDescent="0.35">
      <c r="B12" s="195" t="s">
        <v>57</v>
      </c>
      <c r="C12" s="195"/>
      <c r="D12" s="195"/>
      <c r="E12" s="195"/>
      <c r="F12" s="195"/>
      <c r="G12" s="195"/>
      <c r="H12" s="195"/>
      <c r="I12" s="195"/>
      <c r="J12" s="195"/>
      <c r="K12" s="195"/>
      <c r="L12" s="63"/>
      <c r="M12" s="63"/>
    </row>
    <row r="13" spans="2:13" ht="15.5" x14ac:dyDescent="0.35">
      <c r="B13" s="84" t="s">
        <v>47</v>
      </c>
      <c r="C13" s="84"/>
      <c r="D13" s="84"/>
      <c r="E13" s="84"/>
      <c r="F13" s="84"/>
      <c r="G13" s="84"/>
      <c r="H13" s="84"/>
      <c r="I13" s="84"/>
      <c r="J13" s="84"/>
      <c r="K13" s="84"/>
      <c r="L13" s="63"/>
      <c r="M13" s="63"/>
    </row>
    <row r="14" spans="2:13" ht="15.5" x14ac:dyDescent="0.35">
      <c r="B14" s="84" t="s">
        <v>48</v>
      </c>
      <c r="C14" s="84"/>
      <c r="D14" s="84"/>
      <c r="E14" s="84"/>
      <c r="F14" s="84"/>
      <c r="G14" s="84"/>
      <c r="H14" s="84"/>
      <c r="I14" s="84"/>
      <c r="J14" s="84"/>
      <c r="K14" s="84"/>
      <c r="L14" s="63"/>
      <c r="M14" s="63"/>
    </row>
    <row r="15" spans="2:13" ht="15.5" x14ac:dyDescent="0.35">
      <c r="B15" s="84" t="s">
        <v>58</v>
      </c>
      <c r="C15" s="84"/>
      <c r="D15" s="84"/>
      <c r="E15" s="84"/>
      <c r="F15" s="84"/>
      <c r="G15" s="84"/>
      <c r="H15" s="84"/>
      <c r="I15" s="84"/>
      <c r="J15" s="84"/>
      <c r="K15" s="84"/>
      <c r="L15" s="63"/>
      <c r="M15" s="63"/>
    </row>
    <row r="16" spans="2:13" ht="15.5" x14ac:dyDescent="0.35">
      <c r="B16" s="195"/>
      <c r="C16" s="195"/>
      <c r="D16" s="195"/>
      <c r="E16" s="195"/>
      <c r="F16" s="195"/>
      <c r="G16" s="195"/>
      <c r="H16" s="195"/>
      <c r="I16" s="195"/>
      <c r="J16" s="195"/>
      <c r="K16" s="195"/>
      <c r="L16" s="63"/>
      <c r="M16" s="63"/>
    </row>
    <row r="17" spans="2:13" ht="15.5" x14ac:dyDescent="0.35">
      <c r="B17" s="84" t="s">
        <v>56</v>
      </c>
      <c r="C17" s="84"/>
      <c r="D17" s="84"/>
      <c r="E17" s="84"/>
      <c r="F17" s="84"/>
      <c r="G17" s="84"/>
      <c r="H17" s="84"/>
      <c r="I17" s="84"/>
      <c r="J17" s="84"/>
      <c r="K17" s="84"/>
      <c r="L17" s="63"/>
      <c r="M17" s="63"/>
    </row>
    <row r="18" spans="2:13" ht="15.5" x14ac:dyDescent="0.35">
      <c r="B18" s="84" t="s">
        <v>46</v>
      </c>
      <c r="C18" s="84"/>
      <c r="D18" s="84"/>
      <c r="E18" s="84"/>
      <c r="F18" s="84"/>
      <c r="G18" s="84"/>
      <c r="H18" s="84"/>
      <c r="I18" s="84"/>
      <c r="J18" s="84"/>
      <c r="K18" s="84"/>
      <c r="L18" s="63"/>
      <c r="M18" s="63"/>
    </row>
    <row r="19" spans="2:13" ht="15.5" x14ac:dyDescent="0.35">
      <c r="B19" s="195"/>
      <c r="C19" s="195"/>
      <c r="D19" s="195"/>
      <c r="E19" s="195"/>
      <c r="F19" s="195"/>
      <c r="G19" s="195"/>
      <c r="H19" s="195"/>
      <c r="I19" s="195"/>
      <c r="J19" s="195"/>
      <c r="K19" s="195"/>
      <c r="L19" s="63"/>
      <c r="M19" s="63"/>
    </row>
    <row r="20" spans="2:13" ht="15.5" x14ac:dyDescent="0.35">
      <c r="B20" s="195" t="s">
        <v>49</v>
      </c>
      <c r="C20" s="195"/>
      <c r="D20" s="195"/>
      <c r="E20" s="195"/>
      <c r="F20" s="195"/>
      <c r="G20" s="195"/>
      <c r="H20" s="195"/>
      <c r="I20" s="195"/>
      <c r="J20" s="195"/>
      <c r="K20" s="195"/>
      <c r="L20" s="63"/>
      <c r="M20" s="63"/>
    </row>
    <row r="21" spans="2:13" ht="15.5" x14ac:dyDescent="0.35">
      <c r="B21" s="195" t="s">
        <v>50</v>
      </c>
      <c r="C21" s="195"/>
      <c r="D21" s="195"/>
      <c r="E21" s="195"/>
      <c r="F21" s="195"/>
      <c r="G21" s="195"/>
      <c r="H21" s="195"/>
      <c r="I21" s="195"/>
      <c r="J21" s="195"/>
      <c r="K21" s="195"/>
      <c r="L21" s="63"/>
      <c r="M21" s="63"/>
    </row>
    <row r="22" spans="2:13" ht="15.5" x14ac:dyDescent="0.35">
      <c r="B22" s="194"/>
      <c r="C22" s="194"/>
      <c r="D22" s="194"/>
      <c r="E22" s="194"/>
      <c r="F22" s="194"/>
      <c r="G22" s="194"/>
      <c r="H22" s="194"/>
      <c r="I22" s="194"/>
      <c r="J22" s="194"/>
      <c r="K22" s="194"/>
      <c r="L22" s="63"/>
      <c r="M22" s="63"/>
    </row>
    <row r="23" spans="2:13" ht="15.5" x14ac:dyDescent="0.35">
      <c r="B23" s="195" t="s">
        <v>51</v>
      </c>
      <c r="C23" s="195"/>
      <c r="D23" s="195"/>
      <c r="E23" s="195"/>
      <c r="F23" s="195"/>
      <c r="G23" s="195"/>
      <c r="H23" s="195"/>
      <c r="I23" s="195"/>
      <c r="J23" s="195"/>
      <c r="K23" s="195"/>
      <c r="L23" s="63"/>
      <c r="M23" s="63"/>
    </row>
    <row r="24" spans="2:13" ht="15.5" x14ac:dyDescent="0.35">
      <c r="B24" s="195" t="s">
        <v>61</v>
      </c>
      <c r="C24" s="195"/>
      <c r="D24" s="195"/>
      <c r="E24" s="195"/>
      <c r="F24" s="195"/>
      <c r="G24" s="195"/>
      <c r="H24" s="195"/>
      <c r="I24" s="195"/>
      <c r="J24" s="195"/>
      <c r="K24" s="195"/>
      <c r="L24" s="63"/>
      <c r="M24" s="63"/>
    </row>
    <row r="25" spans="2:13" ht="15.5" x14ac:dyDescent="0.35">
      <c r="B25" s="195" t="s">
        <v>52</v>
      </c>
      <c r="C25" s="195"/>
      <c r="D25" s="195"/>
      <c r="E25" s="195"/>
      <c r="F25" s="195"/>
      <c r="G25" s="195"/>
      <c r="H25" s="195"/>
      <c r="I25" s="195"/>
      <c r="J25" s="195"/>
      <c r="K25" s="195"/>
      <c r="L25" s="63"/>
      <c r="M25" s="63"/>
    </row>
    <row r="26" spans="2:13" ht="15.5" x14ac:dyDescent="0.35">
      <c r="B26" s="195" t="s">
        <v>62</v>
      </c>
      <c r="C26" s="195"/>
      <c r="D26" s="195"/>
      <c r="E26" s="195"/>
      <c r="F26" s="195"/>
      <c r="G26" s="195"/>
      <c r="H26" s="195"/>
      <c r="I26" s="195"/>
      <c r="J26" s="195"/>
      <c r="K26" s="195"/>
      <c r="L26" s="63"/>
      <c r="M26" s="63"/>
    </row>
    <row r="27" spans="2:13" x14ac:dyDescent="0.35">
      <c r="B27" s="63"/>
      <c r="C27" s="63"/>
      <c r="D27" s="63"/>
      <c r="E27" s="63"/>
      <c r="F27" s="63"/>
      <c r="G27" s="63"/>
      <c r="H27" s="63"/>
      <c r="I27" s="63"/>
      <c r="J27" s="63"/>
      <c r="K27" s="63"/>
      <c r="L27" s="63"/>
      <c r="M27" s="63"/>
    </row>
    <row r="28" spans="2:13" x14ac:dyDescent="0.35">
      <c r="B28" s="63"/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63"/>
    </row>
  </sheetData>
  <mergeCells count="20">
    <mergeCell ref="B7:K7"/>
    <mergeCell ref="B8:K8"/>
    <mergeCell ref="B2:K2"/>
    <mergeCell ref="B3:K3"/>
    <mergeCell ref="B4:K4"/>
    <mergeCell ref="B5:K5"/>
    <mergeCell ref="B6:K6"/>
    <mergeCell ref="B20:K20"/>
    <mergeCell ref="B19:K19"/>
    <mergeCell ref="B21:K21"/>
    <mergeCell ref="B16:K16"/>
    <mergeCell ref="B9:K9"/>
    <mergeCell ref="B10:K10"/>
    <mergeCell ref="B12:K12"/>
    <mergeCell ref="B11:K11"/>
    <mergeCell ref="B22:K22"/>
    <mergeCell ref="B23:K23"/>
    <mergeCell ref="B24:K24"/>
    <mergeCell ref="B25:K25"/>
    <mergeCell ref="B26:K2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B4396-4F34-4FD0-A006-1E14A4A7F270}">
  <sheetPr codeName="Feuil1"/>
  <dimension ref="A1:V27"/>
  <sheetViews>
    <sheetView zoomScale="81" zoomScaleNormal="100" workbookViewId="0">
      <selection activeCell="H10" sqref="H10"/>
    </sheetView>
  </sheetViews>
  <sheetFormatPr baseColWidth="10" defaultRowHeight="14.5" x14ac:dyDescent="0.35"/>
  <cols>
    <col min="1" max="1" width="12.81640625" customWidth="1"/>
    <col min="3" max="3" width="12" customWidth="1"/>
    <col min="5" max="5" width="13.54296875" customWidth="1"/>
    <col min="6" max="6" width="15" customWidth="1"/>
    <col min="7" max="7" width="8.81640625" customWidth="1"/>
    <col min="8" max="8" width="9.54296875" customWidth="1"/>
    <col min="9" max="9" width="15.81640625" customWidth="1"/>
    <col min="10" max="10" width="16.54296875" customWidth="1"/>
    <col min="11" max="11" width="11.81640625" customWidth="1"/>
    <col min="12" max="12" width="12.1796875" customWidth="1"/>
    <col min="13" max="13" width="11.453125" customWidth="1"/>
    <col min="14" max="14" width="12.453125" customWidth="1"/>
    <col min="15" max="15" width="19" customWidth="1"/>
    <col min="16" max="16" width="18" customWidth="1"/>
    <col min="17" max="17" width="11.54296875" customWidth="1"/>
    <col min="18" max="18" width="9.453125" customWidth="1"/>
    <col min="19" max="21" width="9.1796875" customWidth="1"/>
    <col min="22" max="22" width="13.81640625" customWidth="1"/>
  </cols>
  <sheetData>
    <row r="1" spans="1:19" x14ac:dyDescent="0.35">
      <c r="A1" s="8" t="s">
        <v>38</v>
      </c>
      <c r="B1" s="9"/>
      <c r="C1" s="9"/>
      <c r="D1" s="9"/>
      <c r="E1" s="9"/>
      <c r="F1" s="10"/>
      <c r="G1" s="1"/>
      <c r="H1" s="13" t="s">
        <v>10</v>
      </c>
      <c r="I1" s="14" t="s">
        <v>11</v>
      </c>
      <c r="J1" s="18" t="s">
        <v>12</v>
      </c>
      <c r="K1" s="15" t="s">
        <v>13</v>
      </c>
      <c r="L1" s="16" t="s">
        <v>14</v>
      </c>
      <c r="M1" s="17" t="s">
        <v>15</v>
      </c>
      <c r="N1" s="13" t="s">
        <v>33</v>
      </c>
      <c r="O1" s="14" t="s">
        <v>25</v>
      </c>
      <c r="P1" s="18" t="s">
        <v>0</v>
      </c>
      <c r="Q1" s="31"/>
      <c r="R1" s="31"/>
    </row>
    <row r="2" spans="1:19" x14ac:dyDescent="0.35">
      <c r="A2" s="52" t="s">
        <v>1</v>
      </c>
      <c r="B2" s="53" t="s">
        <v>9</v>
      </c>
      <c r="C2" s="53" t="s">
        <v>3</v>
      </c>
      <c r="D2" s="155" t="s">
        <v>4</v>
      </c>
      <c r="E2" s="54" t="s">
        <v>5</v>
      </c>
      <c r="F2" s="157" t="s">
        <v>114</v>
      </c>
      <c r="G2" s="1"/>
      <c r="H2" s="7">
        <v>40</v>
      </c>
      <c r="I2" s="86">
        <f>(ACOS((($B$11)*COS((H2*PI()/180))+(K2))/(J2)))*180/PI()</f>
        <v>23.979613817216826</v>
      </c>
      <c r="J2" s="87">
        <f>(SQRT((($B$11)*SIN((H2*PI()/180)))^2+((K2)+($B$11)*COS((H2*PI()/180)))^2))</f>
        <v>20.030387135571878</v>
      </c>
      <c r="K2" s="150">
        <v>8.6</v>
      </c>
      <c r="L2" s="151">
        <v>3.6666666666666665</v>
      </c>
      <c r="M2" s="152">
        <v>6</v>
      </c>
      <c r="N2" s="35">
        <v>1.7613177010190801</v>
      </c>
      <c r="O2" s="122">
        <v>7.8151147668646503E-2</v>
      </c>
      <c r="P2" s="168">
        <f>Résistance!$B$16*K2^4+Résistance!$C$16*K2^3+Résistance!$D$16*K2^2+Résistance!$E$16*K2+Résistance!$F$16</f>
        <v>2.0811687783530994E-3</v>
      </c>
      <c r="Q2" s="1"/>
      <c r="R2" s="1"/>
    </row>
    <row r="3" spans="1:19" x14ac:dyDescent="0.35">
      <c r="A3" s="55">
        <v>24.149899999999999</v>
      </c>
      <c r="B3" s="56">
        <v>3385</v>
      </c>
      <c r="C3" s="56">
        <v>134.66499999999999</v>
      </c>
      <c r="D3" s="156">
        <v>31.682860816288407</v>
      </c>
      <c r="E3" s="56">
        <v>11675500</v>
      </c>
      <c r="F3" s="158">
        <v>4282.8</v>
      </c>
      <c r="G3" s="1"/>
      <c r="H3" s="7">
        <v>50</v>
      </c>
      <c r="I3" s="86">
        <f>(ACOS((($B$11)*COS((H3*PI()/180))+(K3))/(J3)))*180/PI()</f>
        <v>50.000000000000014</v>
      </c>
      <c r="J3" s="87">
        <f>(SQRT((($B$11)*SIN((H3*PI()/180)))^2+((K3)+($B$11)*COS((H3*PI()/180)))^2))</f>
        <v>12.664496029938588</v>
      </c>
      <c r="K3" s="150"/>
      <c r="L3" s="151"/>
      <c r="M3" s="152"/>
      <c r="N3" s="35">
        <v>1.7191940780478911</v>
      </c>
      <c r="O3" s="122">
        <v>0.32241559329232095</v>
      </c>
      <c r="P3" s="169">
        <f>Résistance!$B$16*K3^4+Résistance!$C$16*K3^3+Résistance!$D$16*K3^2+Résistance!$E$16*K3+Résistance!$F$16</f>
        <v>5.0725455655615068E-3</v>
      </c>
      <c r="Q3" s="122"/>
      <c r="R3" s="1"/>
    </row>
    <row r="4" spans="1:19" x14ac:dyDescent="0.35">
      <c r="A4" s="6" t="s">
        <v>38</v>
      </c>
      <c r="B4" s="5"/>
      <c r="C4" s="5"/>
      <c r="D4" s="5"/>
      <c r="E4" s="5"/>
      <c r="F4" s="159"/>
      <c r="G4" s="1" t="s">
        <v>115</v>
      </c>
      <c r="H4" s="7">
        <v>60</v>
      </c>
      <c r="I4" s="86">
        <f t="shared" ref="I4:I11" si="0">(ACOS((($B$11)*COS((H4*PI()/180))+(K4))/(J4)))*180/PI()</f>
        <v>59.999999999999986</v>
      </c>
      <c r="J4" s="87">
        <f>(SQRT((($B$11)*SIN((H4*PI()/180)))^2+((K4)+($B$11)*COS((H4*PI()/180)))^2))</f>
        <v>12.664496029938588</v>
      </c>
      <c r="K4" s="150"/>
      <c r="L4" s="151"/>
      <c r="M4" s="152"/>
      <c r="N4" s="35">
        <v>1.6007565060163875</v>
      </c>
      <c r="O4" s="122">
        <v>0.54601019729847922</v>
      </c>
      <c r="P4" s="169">
        <f>Résistance!$B$16*K4^4+Résistance!$C$16*K4^3+Résistance!$D$16*K4^2+Résistance!$E$16*K4+Résistance!$F$16</f>
        <v>5.0725455655615068E-3</v>
      </c>
      <c r="Q4" s="122"/>
      <c r="R4" s="1"/>
    </row>
    <row r="5" spans="1:19" ht="30" customHeight="1" x14ac:dyDescent="0.35">
      <c r="A5" s="75" t="s">
        <v>6</v>
      </c>
      <c r="B5" s="76" t="s">
        <v>7</v>
      </c>
      <c r="C5" s="57" t="s">
        <v>8</v>
      </c>
      <c r="D5" s="58" t="s">
        <v>34</v>
      </c>
      <c r="E5" s="53" t="s">
        <v>2</v>
      </c>
      <c r="F5" s="160" t="s">
        <v>116</v>
      </c>
      <c r="G5" s="1"/>
      <c r="H5" s="7">
        <v>70</v>
      </c>
      <c r="I5" s="86">
        <f t="shared" si="0"/>
        <v>70</v>
      </c>
      <c r="J5" s="87">
        <f t="shared" ref="J5:J11" si="1">(SQRT((($B$11)*SIN((H5*PI()/180)))^2+((K5)+($B$11)*COS((H5*PI()/180)))^2))</f>
        <v>12.664496029938586</v>
      </c>
      <c r="K5" s="150"/>
      <c r="L5" s="151"/>
      <c r="M5" s="152"/>
      <c r="N5" s="35">
        <v>1.43763383352061</v>
      </c>
      <c r="O5" s="122">
        <v>0.72749180642707656</v>
      </c>
      <c r="P5" s="169">
        <f>Résistance!$B$16*K5^4+Résistance!$C$16*K5^3+Résistance!$D$16*K5^2+Résistance!$E$16*K5+Résistance!$F$16</f>
        <v>5.0725455655615068E-3</v>
      </c>
      <c r="Q5" s="122"/>
      <c r="R5" s="1"/>
    </row>
    <row r="6" spans="1:19" x14ac:dyDescent="0.35">
      <c r="A6" s="77">
        <v>1.2250000000000001</v>
      </c>
      <c r="B6" s="74">
        <v>1023.6</v>
      </c>
      <c r="C6" s="59">
        <v>1.9488000000000001</v>
      </c>
      <c r="D6" s="56">
        <v>13.925000000000001</v>
      </c>
      <c r="E6" s="56">
        <v>5.9592000000000001</v>
      </c>
      <c r="F6" s="161">
        <v>52.253500000000003</v>
      </c>
      <c r="G6" s="1"/>
      <c r="H6" s="27">
        <v>80</v>
      </c>
      <c r="I6" s="88">
        <f t="shared" si="0"/>
        <v>80</v>
      </c>
      <c r="J6" s="87">
        <f t="shared" si="1"/>
        <v>12.664496029938586</v>
      </c>
      <c r="K6" s="150"/>
      <c r="L6" s="151"/>
      <c r="M6" s="152"/>
      <c r="N6" s="35">
        <v>1.3305210178132296</v>
      </c>
      <c r="O6" s="122">
        <v>0.81358116406316872</v>
      </c>
      <c r="P6" s="169">
        <f>Résistance!$B$16*K6^4+Résistance!$C$16*K6^3+Résistance!$D$16*K6^2+Résistance!$E$16*K6+Résistance!$F$16</f>
        <v>5.0725455655615068E-3</v>
      </c>
      <c r="Q6" s="122"/>
      <c r="R6" s="1"/>
    </row>
    <row r="7" spans="1:19" x14ac:dyDescent="0.35">
      <c r="A7" s="36" t="s">
        <v>39</v>
      </c>
      <c r="B7" s="37"/>
      <c r="C7" s="37"/>
      <c r="D7" s="37"/>
      <c r="E7" s="37"/>
      <c r="F7" s="38"/>
      <c r="G7" s="1"/>
      <c r="H7" s="27">
        <v>90</v>
      </c>
      <c r="I7" s="88">
        <f t="shared" si="0"/>
        <v>90</v>
      </c>
      <c r="J7" s="87">
        <f t="shared" si="1"/>
        <v>12.664496029938588</v>
      </c>
      <c r="K7" s="150"/>
      <c r="L7" s="151"/>
      <c r="M7" s="152"/>
      <c r="N7" s="35">
        <v>1.3141473842303522</v>
      </c>
      <c r="O7" s="122">
        <v>0.82516510520578135</v>
      </c>
      <c r="P7" s="169">
        <f>Résistance!$B$16*K7^4+Résistance!$C$16*K7^3+Résistance!$D$16*K7^2+Résistance!$E$16*K7+Résistance!$F$16</f>
        <v>5.0725455655615068E-3</v>
      </c>
      <c r="Q7" s="122"/>
      <c r="R7" s="1"/>
    </row>
    <row r="8" spans="1:19" x14ac:dyDescent="0.35">
      <c r="A8" s="64" t="s">
        <v>29</v>
      </c>
      <c r="B8" s="65" t="s">
        <v>30</v>
      </c>
      <c r="C8" s="66" t="s">
        <v>31</v>
      </c>
      <c r="D8" s="65" t="s">
        <v>27</v>
      </c>
      <c r="E8" s="67" t="s">
        <v>32</v>
      </c>
      <c r="F8" s="68" t="s">
        <v>28</v>
      </c>
      <c r="G8" s="1"/>
      <c r="H8" s="7">
        <v>100</v>
      </c>
      <c r="I8" s="86">
        <f t="shared" si="0"/>
        <v>100</v>
      </c>
      <c r="J8" s="87">
        <f t="shared" si="1"/>
        <v>12.664496029938586</v>
      </c>
      <c r="K8" s="150"/>
      <c r="L8" s="151"/>
      <c r="M8" s="152"/>
      <c r="N8" s="35">
        <v>1.3400900160578244</v>
      </c>
      <c r="O8" s="122">
        <v>0.80663662298153516</v>
      </c>
      <c r="P8" s="169">
        <f>Résistance!$B$16*K8^4+Résistance!$C$16*K8^3+Résistance!$D$16*K8^2+Résistance!$E$16*K8+Résistance!$F$16</f>
        <v>5.0725455655615068E-3</v>
      </c>
      <c r="Q8" s="122"/>
      <c r="R8" s="1"/>
    </row>
    <row r="9" spans="1:19" ht="15" thickBot="1" x14ac:dyDescent="0.4">
      <c r="A9" s="69">
        <v>1</v>
      </c>
      <c r="B9" s="70">
        <v>20</v>
      </c>
      <c r="C9" s="71">
        <v>0</v>
      </c>
      <c r="D9" s="72">
        <v>10</v>
      </c>
      <c r="E9" s="72">
        <v>0</v>
      </c>
      <c r="F9" s="73">
        <v>15</v>
      </c>
      <c r="G9" s="1"/>
      <c r="H9" s="7">
        <v>120</v>
      </c>
      <c r="I9" s="86">
        <f t="shared" si="0"/>
        <v>119.99999999999999</v>
      </c>
      <c r="J9" s="87">
        <f t="shared" si="1"/>
        <v>12.664496029938588</v>
      </c>
      <c r="K9" s="150"/>
      <c r="L9" s="151"/>
      <c r="M9" s="152"/>
      <c r="N9" s="35">
        <v>1.0796739791584828</v>
      </c>
      <c r="O9" s="122">
        <v>0.9580441497941139</v>
      </c>
      <c r="P9" s="169">
        <f>Résistance!$B$16*K9^4+Résistance!$C$16*K9^3+Résistance!$D$16*K9^2+Résistance!$E$16*K9+Résistance!$F$16</f>
        <v>5.0725455655615068E-3</v>
      </c>
      <c r="Q9" s="1"/>
      <c r="R9" s="1"/>
    </row>
    <row r="10" spans="1:19" ht="15" thickBot="1" x14ac:dyDescent="0.4">
      <c r="A10" s="198" t="s">
        <v>60</v>
      </c>
      <c r="B10" s="198"/>
      <c r="C10" s="1"/>
      <c r="D10" s="1"/>
      <c r="E10" s="1"/>
      <c r="F10" s="1"/>
      <c r="G10" s="2"/>
      <c r="H10" s="126">
        <v>140</v>
      </c>
      <c r="I10" s="127">
        <f t="shared" si="0"/>
        <v>140</v>
      </c>
      <c r="J10" s="128">
        <f t="shared" si="1"/>
        <v>12.664496029938588</v>
      </c>
      <c r="K10" s="153"/>
      <c r="L10" s="151"/>
      <c r="M10" s="152"/>
      <c r="N10" s="35">
        <v>0.66353067647275155</v>
      </c>
      <c r="O10" s="122">
        <v>1.1360704691154022</v>
      </c>
      <c r="P10" s="169">
        <f>Résistance!$B$16*K10^4+Résistance!$C$16*K10^3+Résistance!$D$16*K10^2+Résistance!$E$16*K10+Résistance!$F$16</f>
        <v>5.0725455655615068E-3</v>
      </c>
      <c r="Q10" s="1"/>
      <c r="R10" s="1"/>
    </row>
    <row r="11" spans="1:19" ht="14.5" customHeight="1" thickBot="1" x14ac:dyDescent="0.4">
      <c r="A11" s="83" t="s">
        <v>54</v>
      </c>
      <c r="B11" s="176">
        <v>12.664496029938588</v>
      </c>
      <c r="D11" s="32" t="s">
        <v>55</v>
      </c>
      <c r="E11" s="144">
        <f>F11*($F$6/10)^(1/7)</f>
        <v>12.664496029938588</v>
      </c>
      <c r="F11" s="85">
        <v>10</v>
      </c>
      <c r="G11" s="33"/>
      <c r="H11" s="129">
        <v>160</v>
      </c>
      <c r="I11" s="130">
        <f t="shared" si="0"/>
        <v>160.00000000000003</v>
      </c>
      <c r="J11" s="131">
        <f t="shared" si="1"/>
        <v>12.664496029938588</v>
      </c>
      <c r="K11" s="154"/>
      <c r="L11" s="187"/>
      <c r="M11" s="188"/>
      <c r="N11" s="162">
        <v>0.35777819054834192</v>
      </c>
      <c r="O11" s="124">
        <v>1.2032697984368932</v>
      </c>
      <c r="P11" s="183">
        <f>Résistance!$B$16*K11^4+Résistance!$C$16*K11^3+Résistance!$D$16*K11^2+Résistance!$E$16*K11+Résistance!$F$16</f>
        <v>5.0725455655615068E-3</v>
      </c>
      <c r="Q11" s="1"/>
      <c r="R11" s="1"/>
    </row>
    <row r="12" spans="1:19" x14ac:dyDescent="0.35">
      <c r="B12" s="31"/>
      <c r="D12" s="1"/>
      <c r="E12" s="145">
        <f t="shared" ref="E12:E15" si="2">F12*($F$6/10)^(1/7)</f>
        <v>15.197395235926304</v>
      </c>
      <c r="F12" s="79">
        <v>12</v>
      </c>
      <c r="P12" s="1"/>
      <c r="Q12" s="1"/>
    </row>
    <row r="13" spans="1:19" ht="15" thickBot="1" x14ac:dyDescent="0.4">
      <c r="B13" s="31"/>
      <c r="E13" s="145">
        <f>F13*($F$6/10)^(1/7)</f>
        <v>18.996744044907881</v>
      </c>
      <c r="F13" s="79">
        <v>15</v>
      </c>
      <c r="H13" s="40" t="s">
        <v>35</v>
      </c>
      <c r="Q13" s="19"/>
    </row>
    <row r="14" spans="1:19" ht="15" thickBot="1" x14ac:dyDescent="0.4">
      <c r="B14" s="31"/>
      <c r="D14" s="2"/>
      <c r="E14" s="145">
        <f t="shared" si="2"/>
        <v>25.328992059877177</v>
      </c>
      <c r="F14" s="79">
        <v>20</v>
      </c>
      <c r="H14" s="13" t="s">
        <v>10</v>
      </c>
      <c r="I14" s="60" t="s">
        <v>63</v>
      </c>
      <c r="J14" s="61" t="s">
        <v>64</v>
      </c>
      <c r="K14" s="62" t="s">
        <v>23</v>
      </c>
      <c r="L14" s="60" t="s">
        <v>65</v>
      </c>
      <c r="M14" s="61" t="s">
        <v>66</v>
      </c>
      <c r="N14" s="98" t="s">
        <v>23</v>
      </c>
      <c r="O14" s="96" t="s">
        <v>67</v>
      </c>
      <c r="P14" s="97" t="s">
        <v>68</v>
      </c>
      <c r="Q14" s="100" t="s">
        <v>23</v>
      </c>
      <c r="R14" s="26"/>
      <c r="S14" s="26"/>
    </row>
    <row r="15" spans="1:19" x14ac:dyDescent="0.35">
      <c r="B15" s="31"/>
      <c r="E15" s="145">
        <f t="shared" si="2"/>
        <v>31.661240074846468</v>
      </c>
      <c r="F15" s="79">
        <v>25</v>
      </c>
      <c r="H15" s="7">
        <v>40</v>
      </c>
      <c r="I15" s="89">
        <f>(((0.5*P2*$B$6*(K2/1.944)^2*$B$3))+Résistance!E20)/1000</f>
        <v>75.575565393869354</v>
      </c>
      <c r="J15" s="90">
        <f>(0.5*O2*$A$6*(J2/1.944)^2*$F$3)/1000</f>
        <v>21.764836664093799</v>
      </c>
      <c r="K15" s="91">
        <f>(I15-J15)</f>
        <v>53.810728729775555</v>
      </c>
      <c r="L15" s="89">
        <f>(($C$6*SIN((L2*PI()/180))*$E$3*9.81))/1000</f>
        <v>14274.604630534708</v>
      </c>
      <c r="M15" s="90">
        <f>(((0.5*N2*$A$6*(J2/1.944)^2*$F$3)*$D$3))/1000</f>
        <v>15541.11382884643</v>
      </c>
      <c r="N15" s="89">
        <f>(L15-M15)</f>
        <v>-1266.5091983117218</v>
      </c>
      <c r="O15" s="191">
        <f>(Appendices!J10)/1000</f>
        <v>148.92337138875877</v>
      </c>
      <c r="P15" s="192">
        <f>((0.5*N2*$A$6*(J2/1.944)^2*$F$3))/1000</f>
        <v>490.521165969224</v>
      </c>
      <c r="Q15" s="95">
        <f>(O15-P15)</f>
        <v>-341.59779458046523</v>
      </c>
      <c r="R15" s="193">
        <f>ABS(K15)+ABS(N15)+ABS(Q15)</f>
        <v>1661.9177216219625</v>
      </c>
    </row>
    <row r="16" spans="1:19" ht="15" thickBot="1" x14ac:dyDescent="0.4">
      <c r="B16" s="31"/>
      <c r="E16" s="146">
        <f>F16*($F$6/10)^(1/7)</f>
        <v>35.460588883828045</v>
      </c>
      <c r="F16" s="80">
        <v>28</v>
      </c>
      <c r="H16" s="7">
        <v>50</v>
      </c>
      <c r="I16" s="89" t="e">
        <f>(((0.5*P3*$B$6*(K3/1.944)^2*$B$3))+Résistance!E21)/1000</f>
        <v>#DIV/0!</v>
      </c>
      <c r="J16" s="90">
        <f>(0.5*O3*$A$6*(J3/1.944)^2*$F$3)/1000</f>
        <v>35.894939697805192</v>
      </c>
      <c r="K16" s="91" t="e">
        <f t="shared" ref="K16:K24" si="3">(I16-J16)</f>
        <v>#DIV/0!</v>
      </c>
      <c r="L16" s="89">
        <f>(($C$6*SIN((L3*PI()/180))*$E$3*9.81))/1000</f>
        <v>0</v>
      </c>
      <c r="M16" s="90">
        <f>(((0.5*N3*$A$6*(J3/1.944)^2*$F$3)*$D$3))/1000</f>
        <v>6064.1018404484139</v>
      </c>
      <c r="N16" s="89">
        <f t="shared" ref="N16:N24" si="4">(L16-M16)</f>
        <v>-6064.1018404484139</v>
      </c>
      <c r="O16" s="89">
        <f>(Appendices!J11)/1000</f>
        <v>0</v>
      </c>
      <c r="P16" s="90">
        <f>((0.5*N3*$A$6*(J3/1.944)^2*$F$3))/1000</f>
        <v>191.40007196985229</v>
      </c>
      <c r="Q16" s="95">
        <f t="shared" ref="Q16:Q24" si="5">(O16-P16)</f>
        <v>-191.40007196985229</v>
      </c>
    </row>
    <row r="17" spans="8:22" ht="24" customHeight="1" x14ac:dyDescent="0.35">
      <c r="H17" s="7">
        <v>60</v>
      </c>
      <c r="I17" s="89" t="e">
        <f>(((0.5*P4*$B$6*(K4/1.944)^2*$B$3))+Résistance!E22)/1000</f>
        <v>#DIV/0!</v>
      </c>
      <c r="J17" s="90" t="s">
        <v>115</v>
      </c>
      <c r="K17" s="91" t="e">
        <f>(I17-J17)</f>
        <v>#DIV/0!</v>
      </c>
      <c r="L17" s="89">
        <f t="shared" ref="L17:L24" si="6">(($C$6*SIN((L4*PI()/180))*$E$3*9.81))/1000</f>
        <v>0</v>
      </c>
      <c r="M17" s="90">
        <f t="shared" ref="M17:M24" si="7">(((0.5*N4*$A$6*(J4/1.944)^2*$F$3)*$D$3))/1000</f>
        <v>5646.3377801219585</v>
      </c>
      <c r="N17" s="89">
        <f t="shared" si="4"/>
        <v>-5646.3377801219585</v>
      </c>
      <c r="O17" s="89">
        <f>(Appendices!J12)/1000</f>
        <v>0</v>
      </c>
      <c r="P17" s="90">
        <f t="shared" ref="P17:P24" si="8">((0.5*N4*$A$6*(J4/1.944)^2*$F$3))/1000</f>
        <v>178.21426584114312</v>
      </c>
      <c r="Q17" s="95">
        <f t="shared" si="5"/>
        <v>-178.21426584114312</v>
      </c>
    </row>
    <row r="18" spans="8:22" x14ac:dyDescent="0.35">
      <c r="H18" s="7">
        <v>70</v>
      </c>
      <c r="I18" s="89" t="e">
        <f>(((0.5*P5*$B$6*(K5/1.944)^2*$B$3))+Résistance!E23)/1000</f>
        <v>#DIV/0!</v>
      </c>
      <c r="J18" s="90">
        <f t="shared" ref="J18:J24" si="9">(0.5*O5*$A$6*(J5/1.944)^2*$F$3)/1000</f>
        <v>80.992591753065284</v>
      </c>
      <c r="K18" s="91" t="e">
        <f t="shared" si="3"/>
        <v>#DIV/0!</v>
      </c>
      <c r="L18" s="89">
        <f t="shared" si="6"/>
        <v>0</v>
      </c>
      <c r="M18" s="90">
        <f t="shared" si="7"/>
        <v>5070.956262042444</v>
      </c>
      <c r="N18" s="89">
        <f t="shared" si="4"/>
        <v>-5070.956262042444</v>
      </c>
      <c r="O18" s="89">
        <f>(Appendices!J13)/1000</f>
        <v>0</v>
      </c>
      <c r="P18" s="90">
        <f t="shared" si="8"/>
        <v>160.05361041877333</v>
      </c>
      <c r="Q18" s="95">
        <f t="shared" si="5"/>
        <v>-160.05361041877333</v>
      </c>
      <c r="U18" s="1"/>
    </row>
    <row r="19" spans="8:22" x14ac:dyDescent="0.35">
      <c r="H19" s="7">
        <v>80</v>
      </c>
      <c r="I19" s="89" t="e">
        <f>(((0.5*P6*$B$6*(K6/1.944)^2*$B$3))+Résistance!E24)/1000</f>
        <v>#DIV/0!</v>
      </c>
      <c r="J19" s="90">
        <f t="shared" si="9"/>
        <v>90.577029867286939</v>
      </c>
      <c r="K19" s="91" t="e">
        <f t="shared" si="3"/>
        <v>#DIV/0!</v>
      </c>
      <c r="L19" s="89">
        <f t="shared" si="6"/>
        <v>0</v>
      </c>
      <c r="M19" s="90">
        <f t="shared" si="7"/>
        <v>4693.1379393989182</v>
      </c>
      <c r="N19" s="89">
        <f t="shared" si="4"/>
        <v>-4693.1379393989182</v>
      </c>
      <c r="O19" s="89">
        <f>(Appendices!J14)/1000</f>
        <v>0</v>
      </c>
      <c r="P19" s="90">
        <f t="shared" si="8"/>
        <v>148.1286038723542</v>
      </c>
      <c r="Q19" s="95">
        <f t="shared" si="5"/>
        <v>-148.1286038723542</v>
      </c>
      <c r="U19" s="1"/>
    </row>
    <row r="20" spans="8:22" x14ac:dyDescent="0.35">
      <c r="H20" s="7">
        <v>90</v>
      </c>
      <c r="I20" s="89" t="e">
        <f>(((0.5*P7*$B$6*(K7/1.944)^2*$B$3))+Résistance!E25)/1000</f>
        <v>#DIV/0!</v>
      </c>
      <c r="J20" s="90">
        <f t="shared" si="9"/>
        <v>91.86668482637576</v>
      </c>
      <c r="K20" s="91" t="e">
        <f t="shared" si="3"/>
        <v>#DIV/0!</v>
      </c>
      <c r="L20" s="89">
        <f t="shared" si="6"/>
        <v>0</v>
      </c>
      <c r="M20" s="90">
        <f t="shared" si="7"/>
        <v>4635.3833305315475</v>
      </c>
      <c r="N20" s="89">
        <f t="shared" si="4"/>
        <v>-4635.3833305315475</v>
      </c>
      <c r="O20" s="89">
        <f>(Appendices!J15)/1000</f>
        <v>0</v>
      </c>
      <c r="P20" s="90">
        <f t="shared" si="8"/>
        <v>146.30570633787153</v>
      </c>
      <c r="Q20" s="95">
        <f t="shared" si="5"/>
        <v>-146.30570633787153</v>
      </c>
      <c r="U20" s="1"/>
    </row>
    <row r="21" spans="8:22" x14ac:dyDescent="0.35">
      <c r="H21" s="7">
        <v>100</v>
      </c>
      <c r="I21" s="89" t="e">
        <f>(((0.5*P8*$B$6*(K8/1.944)^2*$B$3))+Résistance!E26)/1000</f>
        <v>#DIV/0!</v>
      </c>
      <c r="J21" s="90">
        <f t="shared" si="9"/>
        <v>89.803885241095855</v>
      </c>
      <c r="K21" s="91" t="e">
        <f t="shared" si="3"/>
        <v>#DIV/0!</v>
      </c>
      <c r="L21" s="89">
        <f t="shared" si="6"/>
        <v>0</v>
      </c>
      <c r="M21" s="90">
        <f t="shared" si="7"/>
        <v>4726.8906032820923</v>
      </c>
      <c r="N21" s="89">
        <f t="shared" si="4"/>
        <v>-4726.8906032820923</v>
      </c>
      <c r="O21" s="89">
        <f>(Appendices!J16)/1000</f>
        <v>0</v>
      </c>
      <c r="P21" s="90">
        <f t="shared" si="8"/>
        <v>149.19393266570046</v>
      </c>
      <c r="Q21" s="95">
        <f t="shared" si="5"/>
        <v>-149.19393266570046</v>
      </c>
    </row>
    <row r="22" spans="8:22" x14ac:dyDescent="0.35">
      <c r="H22" s="7">
        <v>120</v>
      </c>
      <c r="I22" s="89" t="e">
        <f>(((0.5*P9*$B$6*(K9/1.944)^2*$B$3))+Résistance!E27)/1000</f>
        <v>#DIV/0!</v>
      </c>
      <c r="J22" s="90">
        <f t="shared" si="9"/>
        <v>106.66027853533663</v>
      </c>
      <c r="K22" s="91" t="e">
        <f t="shared" si="3"/>
        <v>#DIV/0!</v>
      </c>
      <c r="L22" s="89">
        <f t="shared" si="6"/>
        <v>0</v>
      </c>
      <c r="M22" s="90">
        <f t="shared" si="7"/>
        <v>3808.326847852737</v>
      </c>
      <c r="N22" s="89">
        <f t="shared" si="4"/>
        <v>-3808.326847852737</v>
      </c>
      <c r="O22" s="89">
        <f>(Appendices!J17)/1000</f>
        <v>0</v>
      </c>
      <c r="P22" s="90">
        <f t="shared" si="8"/>
        <v>120.20148274914766</v>
      </c>
      <c r="Q22" s="95">
        <f t="shared" si="5"/>
        <v>-120.20148274914766</v>
      </c>
    </row>
    <row r="23" spans="8:22" x14ac:dyDescent="0.35">
      <c r="H23" s="27">
        <v>140</v>
      </c>
      <c r="I23" s="89" t="e">
        <f>(((0.5*P10*$B$6*(K10/1.944)^2*$B$3))+Résistance!E28)/1000</f>
        <v>#DIV/0!</v>
      </c>
      <c r="J23" s="90">
        <f t="shared" si="9"/>
        <v>126.48017598944669</v>
      </c>
      <c r="K23" s="91" t="e">
        <f t="shared" si="3"/>
        <v>#DIV/0!</v>
      </c>
      <c r="L23" s="89">
        <f t="shared" si="6"/>
        <v>0</v>
      </c>
      <c r="M23" s="90">
        <f t="shared" si="7"/>
        <v>2340.4673432572786</v>
      </c>
      <c r="N23" s="89">
        <f t="shared" si="4"/>
        <v>-2340.4673432572786</v>
      </c>
      <c r="O23" s="89">
        <f>(Appendices!J18)/1000</f>
        <v>0</v>
      </c>
      <c r="P23" s="90">
        <f t="shared" si="8"/>
        <v>73.871717482470075</v>
      </c>
      <c r="Q23" s="95">
        <f t="shared" si="5"/>
        <v>-73.871717482470075</v>
      </c>
    </row>
    <row r="24" spans="8:22" ht="15" thickBot="1" x14ac:dyDescent="0.4">
      <c r="H24" s="28">
        <v>160</v>
      </c>
      <c r="I24" s="92" t="e">
        <f>(((0.5*P11*$B$6*(K11/1.944)^2*$B$3))+Résistance!E29)/1000</f>
        <v>#DIV/0!</v>
      </c>
      <c r="J24" s="93">
        <f t="shared" si="9"/>
        <v>133.96156313048644</v>
      </c>
      <c r="K24" s="94" t="e">
        <f t="shared" si="3"/>
        <v>#DIV/0!</v>
      </c>
      <c r="L24" s="92">
        <f t="shared" si="6"/>
        <v>0</v>
      </c>
      <c r="M24" s="93">
        <f t="shared" si="7"/>
        <v>1261.9886326272383</v>
      </c>
      <c r="N24" s="99">
        <f t="shared" si="4"/>
        <v>-1261.9886326272383</v>
      </c>
      <c r="O24" s="92">
        <f>(Appendices!J19)/1000</f>
        <v>0</v>
      </c>
      <c r="P24" s="93">
        <f t="shared" si="8"/>
        <v>39.831902805268136</v>
      </c>
      <c r="Q24" s="101">
        <f t="shared" si="5"/>
        <v>-39.831902805268136</v>
      </c>
    </row>
    <row r="27" spans="8:22" x14ac:dyDescent="0.35">
      <c r="V27" s="1"/>
    </row>
  </sheetData>
  <mergeCells count="1">
    <mergeCell ref="A10:B10"/>
  </mergeCell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8" r:id="rId4" name="Button 44">
              <controlPr defaultSize="0" print="0" autoFill="0" autoPict="0" macro="[0]!Used_Grid_Voiles.Used_Grid_Voiles">
                <anchor moveWithCells="1" sizeWithCells="1">
                  <from>
                    <xdr:col>0</xdr:col>
                    <xdr:colOff>438150</xdr:colOff>
                    <xdr:row>12</xdr:row>
                    <xdr:rowOff>12700</xdr:rowOff>
                  </from>
                  <to>
                    <xdr:col>1</xdr:col>
                    <xdr:colOff>666750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utton 46">
              <controlPr defaultSize="0" print="0" autoFill="0" autoPict="0" macro="[0]!Used_Grid_Flettner.Used_Grid_Flettner">
                <anchor moveWithCells="1" sizeWithCells="1">
                  <from>
                    <xdr:col>2</xdr:col>
                    <xdr:colOff>114300</xdr:colOff>
                    <xdr:row>12</xdr:row>
                    <xdr:rowOff>12700</xdr:rowOff>
                  </from>
                  <to>
                    <xdr:col>3</xdr:col>
                    <xdr:colOff>400050</xdr:colOff>
                    <xdr:row>15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72914-B6EE-49A2-85A8-CF36BA6996A3}">
  <sheetPr codeName="Feuil2"/>
  <dimension ref="A1:Q39"/>
  <sheetViews>
    <sheetView zoomScale="74" zoomScaleNormal="100" workbookViewId="0">
      <selection activeCell="C22" sqref="C22"/>
    </sheetView>
  </sheetViews>
  <sheetFormatPr baseColWidth="10" defaultRowHeight="14.5" x14ac:dyDescent="0.35"/>
  <cols>
    <col min="1" max="1" width="15" customWidth="1"/>
    <col min="2" max="2" width="17.453125" customWidth="1"/>
    <col min="3" max="3" width="17.81640625" customWidth="1"/>
    <col min="4" max="4" width="15" customWidth="1"/>
    <col min="7" max="7" width="12" bestFit="1" customWidth="1"/>
    <col min="11" max="11" width="21.1796875" customWidth="1"/>
    <col min="12" max="12" width="6.26953125" customWidth="1"/>
  </cols>
  <sheetData>
    <row r="1" spans="1:17" x14ac:dyDescent="0.35">
      <c r="A1" s="47" t="s">
        <v>21</v>
      </c>
      <c r="B1" s="50" t="s">
        <v>22</v>
      </c>
    </row>
    <row r="2" spans="1:17" ht="15" thickBot="1" x14ac:dyDescent="0.4">
      <c r="A2" s="22"/>
      <c r="B2" s="22"/>
    </row>
    <row r="3" spans="1:17" ht="30" customHeight="1" x14ac:dyDescent="0.35">
      <c r="B3" s="25" t="s">
        <v>19</v>
      </c>
      <c r="C3" s="20"/>
      <c r="D3" s="21"/>
      <c r="K3" s="149" t="s">
        <v>124</v>
      </c>
      <c r="M3" s="199" t="s">
        <v>36</v>
      </c>
      <c r="N3" s="199"/>
      <c r="O3" s="199"/>
      <c r="P3" s="199"/>
      <c r="Q3" s="199"/>
    </row>
    <row r="4" spans="1:17" x14ac:dyDescent="0.35">
      <c r="B4" s="48" t="s">
        <v>16</v>
      </c>
      <c r="C4" s="49" t="s">
        <v>17</v>
      </c>
      <c r="D4" s="51" t="s">
        <v>18</v>
      </c>
      <c r="K4">
        <v>10.07</v>
      </c>
      <c r="M4" s="199"/>
      <c r="N4" s="199"/>
      <c r="O4" s="199"/>
      <c r="P4" s="199"/>
      <c r="Q4" s="199"/>
    </row>
    <row r="5" spans="1:17" x14ac:dyDescent="0.35">
      <c r="B5" s="102">
        <v>61.97</v>
      </c>
      <c r="C5" s="103">
        <v>8</v>
      </c>
      <c r="D5" s="110">
        <f>B5*1000/(0.5*1023.6*(C5/1.944)^2*VPP!$B$3)</f>
        <v>2.1122002455492045E-3</v>
      </c>
      <c r="M5" s="199"/>
      <c r="N5" s="199"/>
      <c r="O5" s="199"/>
      <c r="P5" s="199"/>
      <c r="Q5" s="199"/>
    </row>
    <row r="6" spans="1:17" x14ac:dyDescent="0.35">
      <c r="B6" s="102">
        <v>95.19</v>
      </c>
      <c r="C6" s="103">
        <v>10</v>
      </c>
      <c r="D6" s="110">
        <f>B6*1000/(0.5*1023.6*(C6/1.944)^2*VPP!$B$3)</f>
        <v>2.0764663301476582E-3</v>
      </c>
      <c r="M6" s="199"/>
      <c r="N6" s="199"/>
      <c r="O6" s="199"/>
      <c r="P6" s="199"/>
      <c r="Q6" s="199"/>
    </row>
    <row r="7" spans="1:17" x14ac:dyDescent="0.35">
      <c r="B7" s="102">
        <v>142.69999999999999</v>
      </c>
      <c r="C7" s="103">
        <v>12</v>
      </c>
      <c r="D7" s="110">
        <f>B7*1000/(0.5*1023.6*(C7/1.944)^2*VPP!$B$3)</f>
        <v>2.1616981337914147E-3</v>
      </c>
      <c r="M7" s="199"/>
      <c r="N7" s="199"/>
      <c r="O7" s="199"/>
      <c r="P7" s="199"/>
      <c r="Q7" s="199"/>
    </row>
    <row r="8" spans="1:17" x14ac:dyDescent="0.35">
      <c r="B8" s="102">
        <v>180.02</v>
      </c>
      <c r="C8" s="103">
        <v>13</v>
      </c>
      <c r="D8" s="110">
        <f>B8*1000/(0.5*1023.6*(C8/1.944)^2*VPP!$B$3)</f>
        <v>2.3236334478547202E-3</v>
      </c>
      <c r="G8" s="1"/>
      <c r="H8" s="1"/>
      <c r="M8" s="199"/>
      <c r="N8" s="199"/>
      <c r="O8" s="199"/>
      <c r="P8" s="199"/>
      <c r="Q8" s="199"/>
    </row>
    <row r="9" spans="1:17" x14ac:dyDescent="0.35">
      <c r="B9" s="102">
        <v>214.25</v>
      </c>
      <c r="C9" s="103">
        <v>14</v>
      </c>
      <c r="D9" s="110">
        <f>B9*1000/(0.5*1023.6*(C9/1.944)^2*VPP!$B$3)</f>
        <v>2.384505485453024E-3</v>
      </c>
      <c r="F9" s="1"/>
      <c r="G9" s="1"/>
      <c r="M9" s="199"/>
      <c r="N9" s="199"/>
      <c r="O9" s="199"/>
      <c r="P9" s="199"/>
      <c r="Q9" s="199"/>
    </row>
    <row r="10" spans="1:17" x14ac:dyDescent="0.35">
      <c r="B10" s="102">
        <v>263.45999999999998</v>
      </c>
      <c r="C10" s="103">
        <v>15</v>
      </c>
      <c r="D10" s="110">
        <f>B10*1000/(0.5*1023.6*(C10/1.944)^2*VPP!$B$3)</f>
        <v>2.5542637267719627E-3</v>
      </c>
      <c r="M10" s="199"/>
      <c r="N10" s="199"/>
      <c r="O10" s="199"/>
      <c r="P10" s="199"/>
      <c r="Q10" s="199"/>
    </row>
    <row r="11" spans="1:17" x14ac:dyDescent="0.35">
      <c r="B11" s="102"/>
      <c r="C11" s="103"/>
      <c r="D11" s="110"/>
      <c r="M11" s="199"/>
      <c r="N11" s="199"/>
      <c r="O11" s="199"/>
      <c r="P11" s="199"/>
      <c r="Q11" s="199"/>
    </row>
    <row r="12" spans="1:17" x14ac:dyDescent="0.35">
      <c r="B12" s="102"/>
      <c r="C12" s="103"/>
      <c r="D12" s="110"/>
      <c r="M12" s="199"/>
      <c r="N12" s="199"/>
      <c r="O12" s="199"/>
      <c r="P12" s="199"/>
      <c r="Q12" s="199"/>
    </row>
    <row r="13" spans="1:17" x14ac:dyDescent="0.35">
      <c r="B13" s="102"/>
      <c r="C13" s="103"/>
      <c r="D13" s="110"/>
    </row>
    <row r="14" spans="1:17" ht="15" thickBot="1" x14ac:dyDescent="0.4">
      <c r="B14" s="102"/>
      <c r="C14" s="103"/>
      <c r="D14" s="110"/>
    </row>
    <row r="15" spans="1:17" x14ac:dyDescent="0.35">
      <c r="B15" s="163" t="s">
        <v>20</v>
      </c>
      <c r="C15" s="164"/>
      <c r="D15" s="164"/>
      <c r="E15" s="29"/>
      <c r="F15" s="29"/>
      <c r="G15" s="30"/>
    </row>
    <row r="16" spans="1:17" ht="15" thickBot="1" x14ac:dyDescent="0.4">
      <c r="B16" s="23">
        <f t="array" ref="B16:F16">LINEST(D5:D10,C5:C10^{1,2,3,4})</f>
        <v>2.4665517068751595E-8</v>
      </c>
      <c r="C16" s="24">
        <v>-2.0383815856941082E-6</v>
      </c>
      <c r="D16" s="24">
        <v>6.5610506244994862E-5</v>
      </c>
      <c r="E16" s="11">
        <v>-7.7701481189421388E-4</v>
      </c>
      <c r="F16" s="11">
        <v>5.0725455655615068E-3</v>
      </c>
      <c r="G16" s="12"/>
      <c r="I16" t="s">
        <v>172</v>
      </c>
    </row>
    <row r="17" spans="1:11" ht="15" thickBot="1" x14ac:dyDescent="0.4">
      <c r="A17" s="1"/>
    </row>
    <row r="18" spans="1:11" x14ac:dyDescent="0.35">
      <c r="A18" s="1"/>
      <c r="B18" s="167" t="s">
        <v>165</v>
      </c>
      <c r="C18" s="112"/>
      <c r="D18" s="112"/>
      <c r="E18" s="189"/>
    </row>
    <row r="19" spans="1:11" x14ac:dyDescent="0.35">
      <c r="A19" s="27"/>
      <c r="B19" s="7" t="s">
        <v>168</v>
      </c>
      <c r="C19" s="1" t="s">
        <v>169</v>
      </c>
      <c r="D19" s="1" t="s">
        <v>170</v>
      </c>
      <c r="E19" s="116" t="s">
        <v>123</v>
      </c>
    </row>
    <row r="20" spans="1:11" x14ac:dyDescent="0.35">
      <c r="A20" s="27"/>
      <c r="B20" s="7">
        <f>Appendices!G23^2/(PI()*Appendices!$C$29*COS(VPP!L2*PI()/180)*Appendices!$C$32)</f>
        <v>20858271.135043845</v>
      </c>
      <c r="C20" s="1">
        <f>Appendices!D10^2/(PI()*Appendices!$B$4*COS(VPP!L2*PI()/180)*Appendices!$C$12)</f>
        <v>28690.799784673818</v>
      </c>
      <c r="D20" s="1">
        <f>Appendices!G10^2/(0.8^2*PI()*Appendices!$B$7*COS(VPP!L2*PI()/180)*Appendices!$F$10)</f>
        <v>29330502.544228014</v>
      </c>
      <c r="E20" s="116">
        <f>(2/(VPP!$B$6*(VPP!K2/1.944)^2))*(Résistance!B20+Résistance!C20+Résistance!D20)</f>
        <v>5013.6050390218597</v>
      </c>
      <c r="F20">
        <f>2/(VPP!$B$6*(VPP!K2/1.944)^2)</f>
        <v>9.9837876942449185E-5</v>
      </c>
    </row>
    <row r="21" spans="1:11" x14ac:dyDescent="0.35">
      <c r="B21" s="7">
        <f>Appendices!G24^2/(PI()*Appendices!$C$29*COS(VPP!L3*PI()/180)*Appendices!$C$32)</f>
        <v>0</v>
      </c>
      <c r="C21" s="1">
        <f>Appendices!D11^2/(PI()*Appendices!$B$4*COS(VPP!L3*PI()/180)*Appendices!$C$12)</f>
        <v>0</v>
      </c>
      <c r="D21" s="1">
        <f>Appendices!G11^2/(0.8^2*PI()*Appendices!$B$7*COS(VPP!L3*PI()/180)*Appendices!$F$10)</f>
        <v>0</v>
      </c>
      <c r="E21" s="116" t="e">
        <f>(2/(VPP!$B$6*(VPP!K3/1.944)^2))*(Résistance!B21+Résistance!C21+Résistance!D21)</f>
        <v>#DIV/0!</v>
      </c>
      <c r="K21" s="1"/>
    </row>
    <row r="22" spans="1:11" x14ac:dyDescent="0.35">
      <c r="B22" s="7">
        <f>Appendices!G25^2/(PI()*Appendices!$C$29*COS(VPP!L4*PI()/180)*Appendices!$C$32)</f>
        <v>0</v>
      </c>
      <c r="C22" s="1">
        <f>Appendices!D12^2/(PI()*Appendices!$B$4*COS(VPP!L4*PI()/180)*Appendices!$C$12)</f>
        <v>0</v>
      </c>
      <c r="D22" s="1">
        <f>Appendices!G12^2/(0.8^2*PI()*Appendices!$B$7*COS(VPP!L4*PI()/180)*Appendices!$F$10)</f>
        <v>0</v>
      </c>
      <c r="E22" s="116" t="e">
        <f>(2/(VPP!$B$6*(VPP!K4/1.944)^2))*(Résistance!B22+Résistance!C22+Résistance!D22)</f>
        <v>#DIV/0!</v>
      </c>
    </row>
    <row r="23" spans="1:11" x14ac:dyDescent="0.35">
      <c r="B23" s="7">
        <f>Appendices!G26^2/(PI()*Appendices!$C$29*COS(VPP!L5*PI()/180)*Appendices!$C$32)</f>
        <v>0</v>
      </c>
      <c r="C23" s="1">
        <f>Appendices!D13^2/(PI()*Appendices!$B$4*COS(VPP!L5*PI()/180)*Appendices!$C$12)</f>
        <v>0</v>
      </c>
      <c r="D23" s="1">
        <f>Appendices!G13^2/(0.8^2*PI()*Appendices!$B$7*COS(VPP!L5*PI()/180)*Appendices!$F$10)</f>
        <v>0</v>
      </c>
      <c r="E23" s="116" t="e">
        <f>(2/(VPP!$B$6*(VPP!K5/1.944)^2))*(Résistance!B23+Résistance!C23+Résistance!D23)</f>
        <v>#DIV/0!</v>
      </c>
    </row>
    <row r="24" spans="1:11" x14ac:dyDescent="0.35">
      <c r="B24" s="7">
        <f>Appendices!G27^2/(PI()*Appendices!$C$29*COS(VPP!L6*PI()/180)*Appendices!$C$32)</f>
        <v>0</v>
      </c>
      <c r="C24" s="1">
        <f>Appendices!D14^2/(PI()*Appendices!$B$4*COS(VPP!L6*PI()/180)*Appendices!$C$12)</f>
        <v>0</v>
      </c>
      <c r="D24" s="1">
        <f>Appendices!G14^2/(0.8^2*PI()*Appendices!$B$7*COS(VPP!L6*PI()/180)*Appendices!$F$10)</f>
        <v>0</v>
      </c>
      <c r="E24" s="116" t="e">
        <f>(2/(VPP!$B$6*(VPP!K6/1.944)^2))*(Résistance!B24+Résistance!C24+Résistance!D24)</f>
        <v>#DIV/0!</v>
      </c>
    </row>
    <row r="25" spans="1:11" x14ac:dyDescent="0.35">
      <c r="B25" s="7">
        <f>Appendices!G28^2/(PI()*Appendices!$C$29*COS(VPP!L7*PI()/180)*Appendices!$C$32)</f>
        <v>0</v>
      </c>
      <c r="C25" s="1">
        <f>Appendices!D15^2/(PI()*Appendices!$B$4*COS(VPP!L7*PI()/180)*Appendices!$C$12)</f>
        <v>0</v>
      </c>
      <c r="D25" s="1">
        <f>Appendices!G15^2/(0.8^2*PI()*Appendices!$B$7*COS(VPP!L7*PI()/180)*Appendices!$F$10)</f>
        <v>0</v>
      </c>
      <c r="E25" s="116" t="e">
        <f>(2/(VPP!$B$6*(VPP!K7/1.944)^2))*(Résistance!B25+Résistance!C25+Résistance!D25)</f>
        <v>#DIV/0!</v>
      </c>
    </row>
    <row r="26" spans="1:11" x14ac:dyDescent="0.35">
      <c r="B26" s="7">
        <f>Appendices!G29^2/(PI()*Appendices!$C$29*COS(VPP!L8*PI()/180)*Appendices!$C$32)</f>
        <v>0</v>
      </c>
      <c r="C26" s="1">
        <f>Appendices!D16^2/(PI()*Appendices!$B$4*COS(VPP!L8*PI()/180)*Appendices!$C$12)</f>
        <v>0</v>
      </c>
      <c r="D26" s="1">
        <f>Appendices!G16^2/(0.8^2*PI()*Appendices!$B$7*COS(VPP!L8*PI()/180)*Appendices!$F$10)</f>
        <v>0</v>
      </c>
      <c r="E26" s="116" t="e">
        <f>(2/(VPP!$B$6*(VPP!K8/1.944)^2))*(Résistance!B26+Résistance!C26+Résistance!D26)</f>
        <v>#DIV/0!</v>
      </c>
    </row>
    <row r="27" spans="1:11" x14ac:dyDescent="0.35">
      <c r="B27" s="7">
        <f>Appendices!G30^2/(PI()*Appendices!$C$29*COS(VPP!L9*PI()/180)*Appendices!$C$32)</f>
        <v>0</v>
      </c>
      <c r="C27" s="1">
        <f>Appendices!D17^2/(PI()*Appendices!$B$4*COS(VPP!L9*PI()/180)*Appendices!$C$12)</f>
        <v>0</v>
      </c>
      <c r="D27" s="1">
        <f>Appendices!G17^2/(0.8^2*PI()*Appendices!$B$7*COS(VPP!L9*PI()/180)*Appendices!$F$10)</f>
        <v>0</v>
      </c>
      <c r="E27" s="116" t="e">
        <f>(2/(VPP!$B$6*(VPP!K9/1.944)^2))*(Résistance!B27+Résistance!C27+Résistance!D27)</f>
        <v>#DIV/0!</v>
      </c>
    </row>
    <row r="28" spans="1:11" x14ac:dyDescent="0.35">
      <c r="B28" s="7">
        <f>Appendices!G31^2/(PI()*Appendices!$C$29*COS(VPP!L10*PI()/180)*Appendices!$C$32)</f>
        <v>0</v>
      </c>
      <c r="C28" s="1">
        <f>Appendices!D18^2/(PI()*Appendices!$B$4*COS(VPP!L10*PI()/180)*Appendices!$C$12)</f>
        <v>0</v>
      </c>
      <c r="D28" s="1">
        <f>Appendices!G18^2/(0.8^2*PI()*Appendices!$B$7*COS(VPP!L10*PI()/180)*Appendices!$F$10)</f>
        <v>0</v>
      </c>
      <c r="E28" s="116" t="e">
        <f>(2/(VPP!$B$6*(VPP!K10/1.944)^2))*(Résistance!B28+Résistance!C28+Résistance!D28)</f>
        <v>#DIV/0!</v>
      </c>
    </row>
    <row r="29" spans="1:11" ht="15" thickBot="1" x14ac:dyDescent="0.4">
      <c r="B29" s="114">
        <f>Appendices!G32^2/(PI()*Appendices!$C$29*COS(VPP!L11*PI()/180)*Appendices!$C$32)</f>
        <v>0</v>
      </c>
      <c r="C29" s="3">
        <f>Appendices!D19^2/(PI()*Appendices!$B$4*COS(VPP!L11*PI()/180)*Appendices!$C$12)</f>
        <v>0</v>
      </c>
      <c r="D29" s="3">
        <f>Appendices!G19^2/(0.8^2*PI()*Appendices!$B$7*COS(VPP!L11*PI()/180)*Appendices!$F$10)</f>
        <v>0</v>
      </c>
      <c r="E29" s="117" t="e">
        <f>(2/(VPP!$B$6*(VPP!K11/1.944)^2))*(Résistance!B29+Résistance!C29+Résistance!D29)</f>
        <v>#DIV/0!</v>
      </c>
    </row>
    <row r="30" spans="1:11" x14ac:dyDescent="0.35">
      <c r="B30" s="1"/>
    </row>
    <row r="31" spans="1:11" x14ac:dyDescent="0.35">
      <c r="B31" s="1"/>
    </row>
    <row r="37" spans="2:2" x14ac:dyDescent="0.35">
      <c r="B37" s="1"/>
    </row>
    <row r="39" spans="2:2" x14ac:dyDescent="0.35">
      <c r="B39" s="1"/>
    </row>
  </sheetData>
  <mergeCells count="1">
    <mergeCell ref="M3:Q12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238C5B-B292-4DEE-90E0-E1C238D3304A}">
  <sheetPr codeName="Feuil8"/>
  <dimension ref="B1:M35"/>
  <sheetViews>
    <sheetView topLeftCell="A4" zoomScale="74" zoomScaleNormal="100" workbookViewId="0">
      <selection activeCell="N16" sqref="N16"/>
    </sheetView>
  </sheetViews>
  <sheetFormatPr baseColWidth="10" defaultRowHeight="14.5" x14ac:dyDescent="0.35"/>
  <cols>
    <col min="2" max="2" width="12" bestFit="1" customWidth="1"/>
    <col min="4" max="4" width="12" bestFit="1" customWidth="1"/>
    <col min="5" max="5" width="13" bestFit="1" customWidth="1"/>
    <col min="6" max="6" width="12" bestFit="1" customWidth="1"/>
    <col min="7" max="7" width="13.7265625" customWidth="1"/>
    <col min="8" max="8" width="12.26953125" bestFit="1" customWidth="1"/>
    <col min="9" max="9" width="12.453125" bestFit="1" customWidth="1"/>
    <col min="10" max="10" width="12.26953125" bestFit="1" customWidth="1"/>
  </cols>
  <sheetData>
    <row r="1" spans="2:13" ht="15" thickBot="1" x14ac:dyDescent="0.4"/>
    <row r="2" spans="2:13" x14ac:dyDescent="0.35">
      <c r="B2" s="167" t="s">
        <v>134</v>
      </c>
      <c r="C2" s="112"/>
      <c r="D2" s="112"/>
      <c r="E2" s="112"/>
      <c r="F2" s="112"/>
      <c r="G2" s="112"/>
      <c r="H2" s="112"/>
      <c r="I2" s="112"/>
      <c r="J2" s="113"/>
    </row>
    <row r="3" spans="2:13" ht="43.5" customHeight="1" x14ac:dyDescent="0.35">
      <c r="B3" s="171" t="s">
        <v>145</v>
      </c>
      <c r="C3" s="172" t="s">
        <v>136</v>
      </c>
      <c r="D3" s="172" t="s">
        <v>137</v>
      </c>
      <c r="E3" s="172" t="s">
        <v>138</v>
      </c>
      <c r="F3" s="172" t="s">
        <v>139</v>
      </c>
      <c r="G3" s="172" t="s">
        <v>150</v>
      </c>
      <c r="H3" s="172" t="s">
        <v>152</v>
      </c>
      <c r="I3" s="172" t="s">
        <v>153</v>
      </c>
      <c r="J3" s="138" t="s">
        <v>157</v>
      </c>
    </row>
    <row r="4" spans="2:13" ht="15" thickBot="1" x14ac:dyDescent="0.4">
      <c r="B4" s="7">
        <v>3.05</v>
      </c>
      <c r="C4" s="1">
        <v>41.02</v>
      </c>
      <c r="D4" s="1">
        <v>0.2</v>
      </c>
      <c r="E4" s="1">
        <v>0.5</v>
      </c>
      <c r="F4" s="1">
        <v>7.0000000000000007E-2</v>
      </c>
      <c r="G4" s="1">
        <v>0.4</v>
      </c>
      <c r="H4" s="1">
        <v>0</v>
      </c>
      <c r="I4" s="1">
        <v>1</v>
      </c>
      <c r="J4" s="2">
        <v>1</v>
      </c>
    </row>
    <row r="5" spans="2:13" x14ac:dyDescent="0.35">
      <c r="B5" s="167" t="s">
        <v>159</v>
      </c>
      <c r="C5" s="112"/>
      <c r="D5" s="112"/>
      <c r="E5" s="112"/>
      <c r="F5" s="112"/>
      <c r="G5" s="112"/>
      <c r="H5" s="112"/>
      <c r="I5" s="112"/>
      <c r="J5" s="112"/>
      <c r="K5" s="112"/>
      <c r="L5" s="113"/>
    </row>
    <row r="6" spans="2:13" ht="43.5" x14ac:dyDescent="0.35">
      <c r="B6" s="171" t="s">
        <v>135</v>
      </c>
      <c r="C6" s="172" t="s">
        <v>136</v>
      </c>
      <c r="D6" s="172" t="s">
        <v>137</v>
      </c>
      <c r="E6" s="172" t="s">
        <v>138</v>
      </c>
      <c r="F6" s="172" t="s">
        <v>139</v>
      </c>
      <c r="G6" s="172" t="s">
        <v>140</v>
      </c>
      <c r="H6" s="172" t="s">
        <v>141</v>
      </c>
      <c r="I6" s="172" t="s">
        <v>142</v>
      </c>
      <c r="J6" s="172" t="s">
        <v>143</v>
      </c>
      <c r="K6" s="172" t="s">
        <v>144</v>
      </c>
      <c r="L6" s="138" t="s">
        <v>157</v>
      </c>
    </row>
    <row r="7" spans="2:13" ht="15" thickBot="1" x14ac:dyDescent="0.4">
      <c r="B7" s="173">
        <v>15</v>
      </c>
      <c r="C7" s="174">
        <v>41.02</v>
      </c>
      <c r="D7" s="174">
        <v>0</v>
      </c>
      <c r="E7" s="174">
        <v>0.5</v>
      </c>
      <c r="F7" s="174">
        <v>7.0000000000000007E-2</v>
      </c>
      <c r="G7" s="174">
        <v>1</v>
      </c>
      <c r="H7" s="174">
        <v>5.9592000000000001</v>
      </c>
      <c r="I7" s="174">
        <v>13.925000000000001</v>
      </c>
      <c r="J7" s="174">
        <v>5</v>
      </c>
      <c r="K7" s="174">
        <v>2.3199999999999998</v>
      </c>
      <c r="L7" s="175">
        <v>1</v>
      </c>
    </row>
    <row r="8" spans="2:13" ht="15" thickBot="1" x14ac:dyDescent="0.4"/>
    <row r="9" spans="2:13" ht="29" x14ac:dyDescent="0.35">
      <c r="B9" s="167" t="s">
        <v>149</v>
      </c>
      <c r="C9" s="112"/>
      <c r="D9" s="170" t="s">
        <v>156</v>
      </c>
      <c r="E9" s="167" t="s">
        <v>146</v>
      </c>
      <c r="F9" s="112"/>
      <c r="G9" s="170" t="s">
        <v>156</v>
      </c>
      <c r="J9" s="177" t="s">
        <v>158</v>
      </c>
      <c r="K9" s="1"/>
      <c r="L9" s="1"/>
      <c r="M9" s="1"/>
    </row>
    <row r="10" spans="2:13" x14ac:dyDescent="0.35">
      <c r="B10" s="7" t="s">
        <v>151</v>
      </c>
      <c r="C10" s="1">
        <f>((2.24-5.42*$G$4+12.3*$G$4^2)/(10*(1-0.878*$G$4)))*$F$4</f>
        <v>2.2009864364981511E-2</v>
      </c>
      <c r="D10" s="2">
        <f>(0.5*VPP!$B$6*(VPP!K2/1.944)*(Appendices!$C$13*Appendices!$I$4+Appendices!$C$14*Appendices!$H$4)*(VPP!M2*PI()/180)*Appendices!$B$4*COS(VPP!L2*PI()/180))</f>
        <v>211.85628420742842</v>
      </c>
      <c r="E10" s="7" t="s">
        <v>80</v>
      </c>
      <c r="F10" s="1">
        <f>(2*($I$7-$H$7)^2*COS(VPP!L2*PI()/180))/$B$7</f>
        <v>8.443210520682852</v>
      </c>
      <c r="G10" s="2">
        <f>(0.5*VPP!$B$6*(0.8*VPP!K2/1.944)^2*Appendices!$F$12*((VPP!M2*PI()/180)+Appendices!$G$7*PI()/180)*(1+Appendices!$H$7/Appendices!$I$7)^2*Appendices!$B$7*COS((VPP!L2)*PI()/180))</f>
        <v>86333.461959095614</v>
      </c>
      <c r="J10" s="178">
        <f>(D10*$J$4+G10*$L$7)+(($D$35*VPP!K2^5+$E$35*VPP!K2^4+$F$35*VPP!K2^3+$G$35*VPP!K2^2+$H$35*VPP!K2+$I$35)*0.5*1023.6*(VPP!K2/1.944)^2*$C$29*(VPP!M2*PI()/180)*COS(VPP!L2*PI()/180))</f>
        <v>148923.37138875877</v>
      </c>
      <c r="K10" s="1"/>
      <c r="L10" s="1"/>
      <c r="M10" s="1"/>
    </row>
    <row r="11" spans="2:13" x14ac:dyDescent="0.35">
      <c r="B11" s="7" t="s">
        <v>147</v>
      </c>
      <c r="C11" s="1">
        <f>1+0.82*$F$4-$C$10*(0.117/$F$4+3.2*$F$4+3.9*$F$4^2)</f>
        <v>1.0152612657213316</v>
      </c>
      <c r="D11" s="2">
        <f>(0.5*VPP!$B$6*(VPP!K3/1.944)*(Appendices!$C$13*Appendices!$I$4+Appendices!$C$14*Appendices!$H$4)*(VPP!M3*PI()/180)*Appendices!$B$4*COS(VPP!L3*PI()/180))</f>
        <v>0</v>
      </c>
      <c r="E11" s="7" t="s">
        <v>147</v>
      </c>
      <c r="F11" s="1">
        <f>1+0.82*$F$7-TAN($J$7*PI()/180)*(0.117/$F$7+3.2*$F$7+3.9*$F$7^2)</f>
        <v>0.88989957911688244</v>
      </c>
      <c r="G11" s="2">
        <f>(0.5*VPP!$B$6*(0.8*VPP!K3/1.944)^2*Appendices!$F$12*((VPP!M3*PI()/180)+Appendices!$G$7*PI()/180)*(1+Appendices!$H$7/Appendices!$I$7)^2*Appendices!$B$7*COS((VPP!L3)*PI()/180))</f>
        <v>0</v>
      </c>
      <c r="J11" s="178">
        <f>(D11*$J$4+G11*$L$7)+(($D$35*VPP!K3^5+$E$35*VPP!K3^4+$F$35*VPP!K3^3+$G$35*VPP!K3^2+$H$35*VPP!K3+$I$35)*0.5*1023.6*(VPP!K3/1.944)^2*$C$29*(VPP!M3*PI()/180)*COS(VPP!L3*PI()/180))</f>
        <v>0</v>
      </c>
      <c r="K11" s="1"/>
      <c r="L11" s="1"/>
      <c r="M11" s="1"/>
    </row>
    <row r="12" spans="2:13" x14ac:dyDescent="0.35">
      <c r="B12" s="7" t="s">
        <v>80</v>
      </c>
      <c r="C12" s="1">
        <f>(2*$E$4^2/$B$4)*COS(VPP!L2*PI()/180)</f>
        <v>0.16359885127311599</v>
      </c>
      <c r="D12" s="2">
        <f>(0.5*VPP!$B$6*(VPP!K4/1.944)*(Appendices!$C$13*Appendices!$I$4+Appendices!$C$14*Appendices!$H$4)*(VPP!M4*PI()/180)*Appendices!$B$4*COS(VPP!L4*PI()/180))</f>
        <v>0</v>
      </c>
      <c r="E12" s="7" t="s">
        <v>148</v>
      </c>
      <c r="F12" s="1">
        <f>(2*PI()*$F$11*$F$10*(1+$D$7/$E$7)^2)/(2*$F$11+COS($C$7*PI()/180)*SQRT((($F$10^2)/(COS($C$7*PI()/180))^4)+4))</f>
        <v>3.6115358498197487</v>
      </c>
      <c r="G12" s="2">
        <f>(0.5*VPP!$B$6*(0.8*VPP!K4/1.944)^2*Appendices!$F$12*((VPP!M4*PI()/180)+Appendices!$G$7*PI()/180)*(1+Appendices!$H$7/Appendices!$I$7)^2*Appendices!$B$7*COS((VPP!L4)*PI()/180))</f>
        <v>0</v>
      </c>
      <c r="J12" s="178">
        <f>(D12*$J$4+G12*$L$7)+(($D$35*VPP!K4^5+$E$35*VPP!K4^4+$F$35*VPP!K4^3+$G$35*VPP!K4^2+$H$35*VPP!K4+$I$35)*0.5*1023.6*(VPP!K4/1.944)^2*$C$29*(VPP!M4*PI()/180)*COS(VPP!L4*PI()/180))</f>
        <v>0</v>
      </c>
      <c r="L12" s="1"/>
      <c r="M12" s="1"/>
    </row>
    <row r="13" spans="2:13" x14ac:dyDescent="0.35">
      <c r="B13" s="7" t="s">
        <v>155</v>
      </c>
      <c r="C13" s="1">
        <f>((2*PI()*$C$11*$C$12)/(2*$C$11+COS($C$4*PI()/180)*SQRT(($C$12^2/(COS($C$4*PI()/180))^4+4))*$I$4))</f>
        <v>0.29356233700448603</v>
      </c>
      <c r="D13" s="2">
        <f>(0.5*VPP!$B$6*(VPP!K5/1.944)*(Appendices!$C$13*Appendices!$I$4+Appendices!$C$14*Appendices!$H$4)*(VPP!M5*PI()/180)*Appendices!$B$4*COS(VPP!L5*PI()/180))</f>
        <v>0</v>
      </c>
      <c r="E13" s="7"/>
      <c r="F13" s="1"/>
      <c r="G13" s="2">
        <f>(0.5*VPP!$B$6*(0.8*VPP!K5/1.944)^2*Appendices!$F$12*((VPP!M5*PI()/180)+Appendices!$G$7*PI()/180)*(1+Appendices!$H$7/Appendices!$I$7)^2*Appendices!$B$7*COS((VPP!L5)*PI()/180))</f>
        <v>0</v>
      </c>
      <c r="J13" s="178">
        <f>(D13*$J$4+G13*$L$7)+(($D$35*VPP!K5^5+$E$35*VPP!K5^4+$F$35*VPP!K5^3+$G$35*VPP!K5^2+$H$35*VPP!K5+$I$35)*0.5*1023.6*(VPP!K5/1.944)^2*$C$29*(VPP!M5*PI()/180)*COS(VPP!L5*PI()/180))</f>
        <v>0</v>
      </c>
      <c r="L13" s="1"/>
    </row>
    <row r="14" spans="2:13" x14ac:dyDescent="0.35">
      <c r="B14" s="7" t="s">
        <v>154</v>
      </c>
      <c r="C14" s="1">
        <f>(1+$D$4/$E$4)^2*$C$13</f>
        <v>0.57538218052879253</v>
      </c>
      <c r="D14" s="2">
        <f>(0.5*VPP!$B$6*(VPP!K6/1.944)*(Appendices!$C$13*Appendices!$I$4+Appendices!$C$14*Appendices!$H$4)*(VPP!M6*PI()/180)*Appendices!$B$4*COS(VPP!L6*PI()/180))</f>
        <v>0</v>
      </c>
      <c r="E14" s="7"/>
      <c r="F14" s="1"/>
      <c r="G14" s="2">
        <f>(0.5*VPP!$B$6*(0.8*VPP!K6/1.944)^2*Appendices!$F$12*((VPP!M6*PI()/180)+Appendices!$G$7*PI()/180)*(1+Appendices!$H$7/Appendices!$I$7)^2*Appendices!$B$7*COS((VPP!L6)*PI()/180))</f>
        <v>0</v>
      </c>
      <c r="J14" s="178">
        <f>(D14*$J$4+G14*$L$7)+(($D$35*VPP!K6^5+$E$35*VPP!K6^4+$F$35*VPP!K6^3+$G$35*VPP!K6^2+$H$35*VPP!K6+$I$35)*0.5*1023.6*(VPP!K6/1.944)^2*$C$29*(VPP!M6*PI()/180)*COS(VPP!L6*PI()/180))</f>
        <v>0</v>
      </c>
      <c r="L14" s="1"/>
    </row>
    <row r="15" spans="2:13" x14ac:dyDescent="0.35">
      <c r="B15" s="7"/>
      <c r="C15" s="1"/>
      <c r="D15" s="2">
        <f>(0.5*VPP!$B$6*(VPP!K7/1.944)*(Appendices!$C$13*Appendices!$I$4+Appendices!$C$14*Appendices!$H$4)*(VPP!M7*PI()/180)*Appendices!$B$4*COS(VPP!L7*PI()/180))</f>
        <v>0</v>
      </c>
      <c r="E15" s="7"/>
      <c r="F15" s="1"/>
      <c r="G15" s="2">
        <f>(0.5*VPP!$B$6*(0.8*VPP!K7/1.944)^2*Appendices!$F$12*((VPP!M7*PI()/180)+Appendices!$G$7*PI()/180)*(1+Appendices!$H$7/Appendices!$I$7)^2*Appendices!$B$7*COS((VPP!L7)*PI()/180))</f>
        <v>0</v>
      </c>
      <c r="J15" s="178">
        <f>(D15*$J$4+G15*$L$7)+(($D$35*VPP!K7^5+$E$35*VPP!K7^4+$F$35*VPP!K7^3+$G$35*VPP!K7^2+$H$35*VPP!K7+$I$35)*0.5*1023.6*(VPP!K7/1.944)^2*$C$29*(VPP!M7*PI()/180)*COS(VPP!L7*PI()/180))</f>
        <v>0</v>
      </c>
      <c r="L15" s="1"/>
    </row>
    <row r="16" spans="2:13" x14ac:dyDescent="0.35">
      <c r="B16" s="7"/>
      <c r="C16" s="1"/>
      <c r="D16" s="2">
        <f>(0.5*VPP!$B$6*(VPP!K8/1.944)*(Appendices!$C$13*Appendices!$I$4+Appendices!$C$14*Appendices!$H$4)*(VPP!M8*PI()/180)*Appendices!$B$4*COS(VPP!L8*PI()/180))</f>
        <v>0</v>
      </c>
      <c r="E16" s="7"/>
      <c r="F16" s="1"/>
      <c r="G16" s="2">
        <f>(0.5*VPP!$B$6*(0.8*VPP!K8/1.944)^2*Appendices!$F$12*((VPP!M8*PI()/180)+Appendices!$G$7*PI()/180)*(1+Appendices!$H$7/Appendices!$I$7)^2*Appendices!$B$7*COS((VPP!L8)*PI()/180))</f>
        <v>0</v>
      </c>
      <c r="J16" s="178">
        <f>(D16*$J$4+G16*$L$7)+(($D$35*VPP!K8^5+$E$35*VPP!K8^4+$F$35*VPP!K8^3+$G$35*VPP!K8^2+$H$35*VPP!K8+$I$35)*0.5*1023.6*(VPP!K8/1.944)^2*$C$29*(VPP!M8*PI()/180)*COS(VPP!L8*PI()/180))</f>
        <v>0</v>
      </c>
      <c r="L16" s="1"/>
    </row>
    <row r="17" spans="2:12" x14ac:dyDescent="0.35">
      <c r="B17" s="7"/>
      <c r="C17" s="1"/>
      <c r="D17" s="2">
        <f>(0.5*VPP!$B$6*(VPP!K9/1.944)*(Appendices!$C$13*Appendices!$I$4+Appendices!$C$14*Appendices!$H$4)*(VPP!M9*PI()/180)*Appendices!$B$4*COS(VPP!L9*PI()/180))</f>
        <v>0</v>
      </c>
      <c r="E17" s="7"/>
      <c r="F17" s="1"/>
      <c r="G17" s="2">
        <f>(0.5*VPP!$B$6*(0.8*VPP!K9/1.944)^2*Appendices!$F$12*((VPP!M9*PI()/180)+Appendices!$G$7*PI()/180)*(1+Appendices!$H$7/Appendices!$I$7)^2*Appendices!$B$7*COS((VPP!L9)*PI()/180))</f>
        <v>0</v>
      </c>
      <c r="J17" s="178">
        <f>(D17*$J$4+G17*$L$7)+(($D$35*VPP!K9^5+$E$35*VPP!K9^4+$F$35*VPP!K9^3+$G$35*VPP!K9^2+$H$35*VPP!K9+$I$35)*0.5*1023.6*(VPP!K9/1.944)^2*$C$29*(VPP!M9*PI()/180)*COS(VPP!L9*PI()/180))</f>
        <v>0</v>
      </c>
      <c r="L17" s="1"/>
    </row>
    <row r="18" spans="2:12" x14ac:dyDescent="0.35">
      <c r="B18" s="7"/>
      <c r="C18" s="1"/>
      <c r="D18" s="2">
        <f>(0.5*VPP!$B$6*(VPP!K10/1.944)*(Appendices!$C$13*Appendices!$I$4+Appendices!$C$14*Appendices!$H$4)*(VPP!M10*PI()/180)*Appendices!$B$4*COS(VPP!L10*PI()/180))</f>
        <v>0</v>
      </c>
      <c r="E18" s="7"/>
      <c r="F18" s="1"/>
      <c r="G18" s="2">
        <f>(0.5*VPP!$B$6*(0.8*VPP!K10/1.944)^2*Appendices!$F$12*((VPP!M10*PI()/180)+Appendices!$G$7*PI()/180)*(1+Appendices!$H$7/Appendices!$I$7)^2*Appendices!$B$7*COS((VPP!L10)*PI()/180))</f>
        <v>0</v>
      </c>
      <c r="J18" s="178">
        <f>(D18*$J$4+G18*$L$7)+(($D$35*VPP!K10^5+$E$35*VPP!K10^4+$F$35*VPP!K10^3+$G$35*VPP!K10^2+$H$35*VPP!K10+$I$35)*0.5*1023.6*(VPP!K10/1.944)^2*$C$29*(VPP!M10*PI()/180)*COS(VPP!L10*PI()/180))</f>
        <v>0</v>
      </c>
      <c r="L18" s="1"/>
    </row>
    <row r="19" spans="2:12" ht="15" thickBot="1" x14ac:dyDescent="0.4">
      <c r="B19" s="114"/>
      <c r="C19" s="3"/>
      <c r="D19" s="4">
        <f>(0.5*VPP!$B$6*(VPP!K11/1.944)*(Appendices!$C$13*Appendices!$I$4+Appendices!$C$14*Appendices!$H$4)*(VPP!M11*PI()/180)*Appendices!$B$4*COS(VPP!L11*PI()/180))</f>
        <v>0</v>
      </c>
      <c r="E19" s="114"/>
      <c r="F19" s="3"/>
      <c r="G19" s="4">
        <f>(0.5*VPP!$B$6*(0.8*VPP!K11/1.944)^2*Appendices!$F$12*((VPP!M11*PI()/180)+Appendices!$G$7*PI()/180)*(1+Appendices!$H$7/Appendices!$I$7)^2*Appendices!$B$7*COS((VPP!L11)*PI()/180))</f>
        <v>0</v>
      </c>
      <c r="J19" s="179">
        <f>(D19*$J$4+G19*$L$7)+(($D$35*VPP!K11^5+$E$35*VPP!K11^4+$F$35*VPP!K11^3+$G$35*VPP!K11^2+$H$35*VPP!K11+$I$35)*0.5*1023.6*(VPP!K11/1.944)^2*$C$29*(VPP!M11*PI()/180)*COS(VPP!L11*PI()/180))</f>
        <v>0</v>
      </c>
      <c r="L19" s="1"/>
    </row>
    <row r="20" spans="2:12" ht="15" thickBot="1" x14ac:dyDescent="0.4"/>
    <row r="21" spans="2:12" x14ac:dyDescent="0.35">
      <c r="B21" s="111" t="s">
        <v>160</v>
      </c>
      <c r="C21" s="112"/>
      <c r="D21" s="111" t="s">
        <v>73</v>
      </c>
      <c r="E21" s="112"/>
      <c r="F21" s="113"/>
      <c r="G21" s="189"/>
    </row>
    <row r="22" spans="2:12" x14ac:dyDescent="0.35">
      <c r="B22" s="166" t="s">
        <v>161</v>
      </c>
      <c r="C22" s="39" t="s">
        <v>162</v>
      </c>
      <c r="D22" s="184" t="s">
        <v>161</v>
      </c>
      <c r="E22" s="185" t="s">
        <v>162</v>
      </c>
      <c r="F22" s="2"/>
      <c r="G22" s="190" t="s">
        <v>171</v>
      </c>
    </row>
    <row r="23" spans="2:12" x14ac:dyDescent="0.35">
      <c r="B23" s="7">
        <v>8</v>
      </c>
      <c r="C23" s="1">
        <v>45.9</v>
      </c>
      <c r="D23" s="27">
        <v>3</v>
      </c>
      <c r="E23" s="1">
        <f>(_xll.SRS1Splines.Functions25.OneWay_Spline($B$23:$B$28,$C$23:$C$28,D23))</f>
        <v>-6.2499999999992902E-2</v>
      </c>
      <c r="F23" s="2">
        <f>(E23*1000)/(0.5*1023.6*(D23/1.944)^2*$C$29*($C$30*PI()/180))</f>
        <v>-4.1004940420484424E-4</v>
      </c>
      <c r="G23" s="116">
        <f>(($D$35*VPP!K2^5+$E$35*VPP!K2^4+$F$35*VPP!K2^3+$G$35*VPP!K2^2+$H$35*VPP!K2+$I$35)*0.5*1023.6*(VPP!K2/1.944)^2*$C$29*(VPP!M2*PI()/180)*COS(VPP!L2*PI()/180))</f>
        <v>62378.053145455728</v>
      </c>
    </row>
    <row r="24" spans="2:12" x14ac:dyDescent="0.35">
      <c r="B24" s="7">
        <v>10</v>
      </c>
      <c r="C24" s="1">
        <v>71.36</v>
      </c>
      <c r="D24" s="7">
        <v>4</v>
      </c>
      <c r="E24" s="1">
        <f>(_xll.SRS1Splines.Functions25.OneWay_Spline($B$23:$B$28,$C$23:$C$28,D24))</f>
        <v>9.1300000000000008</v>
      </c>
      <c r="F24" s="2">
        <f>(E24*1000)/(0.5*1023.6*(D24/1.944)^2*$C$29*($C$30*PI()/180))</f>
        <v>3.3693759543515889E-2</v>
      </c>
      <c r="G24" s="116">
        <f>(($D$35*VPP!K3^5+$E$35*VPP!K3^4+$F$35*VPP!K3^3+$G$35*VPP!K3^2+$H$35*VPP!K3+$I$35)*0.5*1023.6*(VPP!K3/1.944)^2*$C$29*(VPP!M3*PI()/180)*COS(VPP!L3*PI()/180))</f>
        <v>0</v>
      </c>
    </row>
    <row r="25" spans="2:12" x14ac:dyDescent="0.35">
      <c r="B25" s="7">
        <v>12</v>
      </c>
      <c r="C25" s="1">
        <v>110.97</v>
      </c>
      <c r="D25" s="7">
        <v>6</v>
      </c>
      <c r="E25" s="1">
        <f>(_xll.SRS1Splines.Functions25.OneWay_Spline($B$23:$B$28,$C$23:$C$28,D25))</f>
        <v>27.515000000000001</v>
      </c>
      <c r="F25" s="2">
        <f t="shared" ref="F25:F33" si="0">(E25*1000)/(0.5*1023.6*(D25/1.944)^2*$C$29*($C$30*PI()/180))</f>
        <v>4.5130037426790288E-2</v>
      </c>
      <c r="G25" s="116">
        <f>(($D$35*VPP!K4^5+$E$35*VPP!K4^4+$F$35*VPP!K4^3+$G$35*VPP!K4^2+$H$35*VPP!K4+$I$35)*0.5*1023.6*(VPP!K4/1.944)^2*$C$29*(VPP!M4*PI()/180)*COS(VPP!L4*PI()/180))</f>
        <v>0</v>
      </c>
    </row>
    <row r="26" spans="2:12" x14ac:dyDescent="0.35">
      <c r="B26" s="7">
        <v>13</v>
      </c>
      <c r="C26" s="1">
        <v>138.31</v>
      </c>
      <c r="D26" s="7">
        <v>8</v>
      </c>
      <c r="E26" s="1">
        <f>(_xll.SRS1Splines.Functions25.OneWay_Spline($B$23:$B$28,$C$23:$C$28,D26))</f>
        <v>45.9</v>
      </c>
      <c r="F26" s="2">
        <f t="shared" si="0"/>
        <v>4.2347852219260115E-2</v>
      </c>
      <c r="G26" s="116">
        <f>(($D$35*VPP!K5^5+$E$35*VPP!K5^4+$F$35*VPP!K5^3+$G$35*VPP!K5^2+$H$35*VPP!K5+$I$35)*0.5*1023.6*(VPP!K5/1.944)^2*$C$29*(VPP!M5*PI()/180)*COS(VPP!L5*PI()/180))</f>
        <v>0</v>
      </c>
    </row>
    <row r="27" spans="2:12" x14ac:dyDescent="0.35">
      <c r="B27" s="7">
        <v>14</v>
      </c>
      <c r="C27" s="1">
        <v>169.89</v>
      </c>
      <c r="D27" s="7">
        <v>10</v>
      </c>
      <c r="E27" s="1">
        <f>(_xll.SRS1Splines.Functions25.OneWay_Spline($B$23:$B$28,$C$23:$C$28,D27))</f>
        <v>71.36</v>
      </c>
      <c r="F27" s="2">
        <f t="shared" si="0"/>
        <v>4.213602069704786E-2</v>
      </c>
      <c r="G27" s="116">
        <f>(($D$35*VPP!K6^5+$E$35*VPP!K6^4+$F$35*VPP!K6^3+$G$35*VPP!K6^2+$H$35*VPP!K6+$I$35)*0.5*1023.6*(VPP!K6/1.944)^2*$C$29*(VPP!M6*PI()/180)*COS(VPP!L6*PI()/180))</f>
        <v>0</v>
      </c>
    </row>
    <row r="28" spans="2:12" ht="15" thickBot="1" x14ac:dyDescent="0.4">
      <c r="B28" s="114">
        <v>15</v>
      </c>
      <c r="C28" s="3">
        <v>203.58</v>
      </c>
      <c r="D28" s="7">
        <v>12</v>
      </c>
      <c r="E28" s="1">
        <f>(_xll.SRS1Splines.Functions25.OneWay_Spline($B$23:$B$28,$C$23:$C$28,D28))</f>
        <v>110.97</v>
      </c>
      <c r="F28" s="2">
        <f t="shared" si="0"/>
        <v>4.5503182384616737E-2</v>
      </c>
      <c r="G28" s="116">
        <f>(($D$35*VPP!K7^5+$E$35*VPP!K7^4+$F$35*VPP!K7^3+$G$35*VPP!K7^2+$H$35*VPP!K7+$I$35)*0.5*1023.6*(VPP!K7/1.944)^2*$C$29*(VPP!M7*PI()/180)*COS(VPP!L7*PI()/180))</f>
        <v>0</v>
      </c>
    </row>
    <row r="29" spans="2:12" x14ac:dyDescent="0.35">
      <c r="B29" s="111" t="s">
        <v>163</v>
      </c>
      <c r="C29" s="186">
        <v>1433</v>
      </c>
      <c r="D29" s="7">
        <v>13</v>
      </c>
      <c r="E29" s="1">
        <f>(_xll.SRS1Splines.Functions25.OneWay_Spline($B$23:$B$28,$C$23:$C$28,D29))</f>
        <v>138.31</v>
      </c>
      <c r="F29" s="2">
        <f t="shared" si="0"/>
        <v>4.8324298022268036E-2</v>
      </c>
      <c r="G29" s="116">
        <f>(($D$35*VPP!K8^5+$E$35*VPP!K8^4+$F$35*VPP!K8^3+$G$35*VPP!K8^2+$H$35*VPP!K8+$I$35)*0.5*1023.6*(VPP!K8/1.944)^2*$C$29*(VPP!M8*PI()/180)*COS(VPP!L8*PI()/180))</f>
        <v>0</v>
      </c>
    </row>
    <row r="30" spans="2:12" x14ac:dyDescent="0.35">
      <c r="B30" s="7" t="s">
        <v>164</v>
      </c>
      <c r="C30" s="115">
        <v>5</v>
      </c>
      <c r="D30" s="7">
        <v>14</v>
      </c>
      <c r="E30" s="1">
        <f>(_xll.SRS1Splines.Functions25.OneWay_Spline($B$23:$B$28,$C$23:$C$28,D30))</f>
        <v>169.89</v>
      </c>
      <c r="F30" s="2">
        <f t="shared" si="0"/>
        <v>5.1181195063128175E-2</v>
      </c>
      <c r="G30" s="116">
        <f>(($D$35*VPP!K9^5+$E$35*VPP!K9^4+$F$35*VPP!K9^3+$G$35*VPP!K9^2+$H$35*VPP!K9+$I$35)*0.5*1023.6*(VPP!K9/1.944)^2*$C$29*(VPP!M9*PI()/180)*COS(VPP!L9*PI()/180))</f>
        <v>0</v>
      </c>
    </row>
    <row r="31" spans="2:12" x14ac:dyDescent="0.35">
      <c r="B31" s="7" t="s">
        <v>167</v>
      </c>
      <c r="C31" s="2">
        <v>5.46</v>
      </c>
      <c r="D31" s="7">
        <v>15</v>
      </c>
      <c r="E31" s="1">
        <f>(_xll.SRS1Splines.Functions25.OneWay_Spline($B$23:$B$28,$C$23:$C$28,D31))</f>
        <v>203.58</v>
      </c>
      <c r="F31" s="2">
        <f t="shared" si="0"/>
        <v>5.3425828933140275E-2</v>
      </c>
      <c r="G31" s="116">
        <f>(($D$35*VPP!K10^5+$E$35*VPP!K10^4+$F$35*VPP!K10^3+$G$35*VPP!K10^2+$H$35*VPP!K10+$I$35)*0.5*1023.6*(VPP!K10/1.944)^2*$C$29*(VPP!M10*PI()/180)*COS(VPP!L10*PI()/180))</f>
        <v>0</v>
      </c>
    </row>
    <row r="32" spans="2:12" ht="15" thickBot="1" x14ac:dyDescent="0.4">
      <c r="B32" s="28" t="s">
        <v>166</v>
      </c>
      <c r="C32" s="4">
        <f>(2*$C$31^2*COS(VPP!L2*PI()/180))/Appendices!$C$29</f>
        <v>4.1522087144651929E-2</v>
      </c>
      <c r="D32" s="7">
        <v>17</v>
      </c>
      <c r="E32" s="1">
        <f>(_xll.SRS1Splines.Functions25.OneWay_Spline($B$23:$B$28,$C$23:$C$28,D32))</f>
        <v>273.07</v>
      </c>
      <c r="F32" s="2">
        <f t="shared" si="0"/>
        <v>5.5792371889609185E-2</v>
      </c>
      <c r="G32" s="116">
        <f>(($D$35*VPP!K11^5+$E$35*VPP!K11^4+$F$35*VPP!K11^3+$G$35*VPP!K11^2+$H$35*VPP!K11+$I$35)*0.5*1023.6*(VPP!K11/1.944)^2*$C$29*(VPP!M11*PI()/180)*COS(VPP!L11*PI()/180))</f>
        <v>0</v>
      </c>
    </row>
    <row r="33" spans="4:10" ht="15" thickBot="1" x14ac:dyDescent="0.4">
      <c r="D33" s="114">
        <v>20</v>
      </c>
      <c r="E33" s="3">
        <f>(_xll.SRS1Splines.Functions25.OneWay_Spline($B$23:$B$28,$C$23:$C$28,D33))</f>
        <v>377.30500000000001</v>
      </c>
      <c r="F33" s="4">
        <f t="shared" si="0"/>
        <v>5.5696928563269486E-2</v>
      </c>
      <c r="G33" s="117"/>
    </row>
    <row r="34" spans="4:10" x14ac:dyDescent="0.35">
      <c r="D34" s="111" t="s">
        <v>112</v>
      </c>
      <c r="E34" s="112"/>
      <c r="F34" s="112"/>
      <c r="G34" s="112"/>
      <c r="H34" s="112"/>
      <c r="I34" s="113"/>
    </row>
    <row r="35" spans="4:10" ht="17.25" customHeight="1" thickBot="1" x14ac:dyDescent="0.4">
      <c r="D35" s="180">
        <f t="array" ref="D35:I35">LINEST(F23:F33,D23:D33^{1,2,3,4,5})</f>
        <v>1.9020765424981761E-6</v>
      </c>
      <c r="E35" s="181">
        <v>-1.2037056999849007E-4</v>
      </c>
      <c r="F35" s="181">
        <v>2.8873739251539222E-3</v>
      </c>
      <c r="G35" s="181">
        <v>-3.2437752209039751E-2</v>
      </c>
      <c r="H35" s="181">
        <v>0.16943104776357537</v>
      </c>
      <c r="I35" s="182">
        <v>-0.28399881428246654</v>
      </c>
      <c r="J35" s="149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E07D4-71FC-4B19-AD09-A7A900B14855}">
  <sheetPr codeName="Feuil6"/>
  <dimension ref="B1:V47"/>
  <sheetViews>
    <sheetView tabSelected="1" zoomScale="67" zoomScaleNormal="90" workbookViewId="0">
      <selection activeCell="W1" sqref="W1:Y11"/>
    </sheetView>
  </sheetViews>
  <sheetFormatPr baseColWidth="10" defaultRowHeight="14.5" x14ac:dyDescent="0.35"/>
  <cols>
    <col min="2" max="4" width="11" bestFit="1" customWidth="1"/>
    <col min="5" max="5" width="13.1796875" customWidth="1"/>
    <col min="6" max="6" width="15.453125" customWidth="1"/>
    <col min="7" max="7" width="13.1796875" customWidth="1"/>
    <col min="8" max="8" width="11" bestFit="1" customWidth="1"/>
    <col min="9" max="9" width="16.81640625" customWidth="1"/>
    <col min="11" max="11" width="13" customWidth="1"/>
    <col min="12" max="12" width="12.1796875" customWidth="1"/>
    <col min="13" max="13" width="11.81640625" customWidth="1"/>
    <col min="14" max="14" width="11" bestFit="1" customWidth="1"/>
    <col min="15" max="15" width="12.54296875" bestFit="1" customWidth="1"/>
    <col min="16" max="17" width="13.1796875" bestFit="1" customWidth="1"/>
    <col min="18" max="18" width="12.54296875" bestFit="1" customWidth="1"/>
    <col min="19" max="21" width="11" bestFit="1" customWidth="1"/>
  </cols>
  <sheetData>
    <row r="1" spans="2:22" x14ac:dyDescent="0.35">
      <c r="U1" s="136" t="s">
        <v>33</v>
      </c>
      <c r="V1" s="137" t="s">
        <v>25</v>
      </c>
    </row>
    <row r="2" spans="2:22" ht="15" thickBot="1" x14ac:dyDescent="0.4">
      <c r="U2" s="140">
        <f>(Voiles!$O$26*((ACOS(((VPP!$B$11)*COS((VPP!H2*PI()/180))+(VPP!K2))/((SQRT((VPP!$B$11)^2+(VPP!K2)^2-2*(VPP!$B$11)*(VPP!K2)*COS(PI()-(VPP!H2*PI()/180)))))))*180/PI())^6+Voiles!$P$26*((ACOS(((VPP!$B$11)*COS((VPP!H2*PI()/180))+(VPP!K2))/((SQRT((VPP!$B$11)^2+(VPP!K2)^2-2*(VPP!$B$11)*(VPP!K2)*COS(PI()-(VPP!H2*PI()/180)))))))*180/PI())^5+Voiles!$Q$26*((ACOS(((VPP!$B$11)*COS((VPP!H2*PI()/180))+(VPP!K2))/((SQRT((VPP!$B$11)^2+(VPP!K2)^2-2*(VPP!$B$11)*(VPP!K2)*COS(PI()-(VPP!H2*PI()/180)))))))*180/PI())^4+Voiles!$R$26*((ACOS(((VPP!$B$11)*COS((VPP!H2*PI()/180))+(VPP!K2))/((SQRT((VPP!$B$11)^2+(VPP!K2)^2-2*(VPP!$B$11)*(VPP!K2)*COS(PI()-(VPP!H2*PI()/180)))))))*180/PI())^3+Voiles!$S$26*((ACOS(((VPP!$B$11)*COS((VPP!H2*PI()/180))+(VPP!K2))/((SQRT((VPP!$B$11)^2+(VPP!K2)^2-2*(VPP!$B$11)*(VPP!K2)*COS(PI()-(VPP!H2*PI()/180)))))))*180/PI())^2+Voiles!$T$26*((ACOS(((VPP!$B$11)*COS((VPP!H2*PI()/180))+(VPP!K2))/((SQRT((VPP!$B$11)^2+(VPP!K2)^2-2*(VPP!$B$11)*(VPP!K2)*COS(PI()-(VPP!H2*PI()/180)))))))*180/PI())+Voiles!$U$26)*COS(((ACOS(((VPP!$B$11)*COS((VPP!H2*PI()/180))+(VPP!K2))/((SQRT((VPP!$B$11)^2+(VPP!K2)^2-2*(VPP!$B$11)*(VPP!K2)*COS(PI()-(VPP!H2*PI()/180)))))))*180/PI())*PI()/180)+(Voiles!$O$27*((ACOS(((VPP!$B$11)*COS((VPP!H2*PI()/180))+(VPP!K2))/((SQRT((VPP!$B$11)^2+(VPP!K2)^2-2*(VPP!$B$11)*(VPP!K2)*COS(PI()-(VPP!H2*PI()/180)))))))*180/PI())^6+Voiles!$P$27*((ACOS(((VPP!$B$11)*COS((VPP!H2*PI()/180))+(VPP!K2))/((SQRT((VPP!$B$11)^2+(VPP!K2)^2-2*(VPP!$B$11)*(VPP!K2)*COS(PI()-(VPP!H2*PI()/180)))))))*180/PI())^5+Voiles!$Q$27*((ACOS(((VPP!$B$11)*COS((VPP!H2*PI()/180))+(VPP!K2))/((SQRT((VPP!$B$11)^2+(VPP!K2)^2-2*(VPP!$B$11)*(VPP!K2)*COS(PI()-(VPP!H2*PI()/180)))))))*180/PI())^4+Voiles!$R$27*((ACOS(((VPP!$B$11)*COS((VPP!H2*PI()/180))+(VPP!K2))/((SQRT((VPP!$B$11)^2+(VPP!K2)^2-2*(VPP!$B$11)*(VPP!K2)*COS(PI()-(VPP!H2*PI()/180)))))))*180/PI())^3+Voiles!$S$27*((ACOS(((VPP!$B$11)*COS((VPP!H2*PI()/180))+(VPP!K2))/((SQRT((VPP!$B$11)^2+(VPP!K2)^2-2*(VPP!$B$11)*(VPP!K2)*COS(PI()-(VPP!H2*PI()/180)))))))*180/PI())^2+Voiles!$T$27*((ACOS(((VPP!$B$11)*COS((VPP!H2*PI()/180))+(VPP!K2))/((SQRT((VPP!$B$11)^2+(VPP!K2)^2-2*(VPP!$B$11)*(VPP!K2)*COS(PI()-(VPP!H2*PI()/180)))))))*180/PI())+Voiles!$U$27)*SIN(((ACOS(((VPP!$B$11)*COS((VPP!H2*PI()/180))+(VPP!K2))/((SQRT((VPP!$B$11)^2+(VPP!K2)^2-2*(VPP!$B$11)*(VPP!K2)*COS(PI()-(VPP!H2*PI()/180)))))))*180/PI())*PI()/180)</f>
        <v>1.6209627519978294</v>
      </c>
      <c r="V2" s="141">
        <f>(Voiles!$O$26*((ACOS(((VPP!$B$11)*COS((VPP!H2*PI()/180))+(VPP!K2))/((SQRT((VPP!$B$11)^2+(VPP!K2)^2-2*(VPP!$B$11)*(VPP!K2)*COS(PI()-(VPP!H2*PI()/180)))))))*180/PI())^6+Voiles!$P$26*((ACOS(((VPP!$B$11)*COS((VPP!H2*PI()/180))+(VPP!K2))/((SQRT((VPP!$B$11)^2+(VPP!K2)^2-2*(VPP!$B$11)*(VPP!K2)*COS(PI()-(VPP!H2*PI()/180)))))))*180/PI())^5+Voiles!$Q$26*((ACOS(((VPP!$B$11)*COS((VPP!H2*PI()/180))+(VPP!K2))/((SQRT((VPP!$B$11)^2+(VPP!K2)^2-2*(VPP!$B$11)*(VPP!K2)*COS(PI()-(VPP!H2*PI()/180)))))))*180/PI())^4+Voiles!$R$26*((ACOS(((VPP!$B$11)*COS((VPP!H2*PI()/180))+(VPP!K2))/((SQRT((VPP!$B$11)^2+(VPP!K2)^2-2*(VPP!$B$11)*(VPP!K2)*COS(PI()-(VPP!H2*PI()/180)))))))*180/PI())^3+Voiles!$S$26*((ACOS(((VPP!$B$11)*COS((VPP!H2*PI()/180))+(VPP!K2))/((SQRT((VPP!$B$11)^2+(VPP!K2)^2-2*(VPP!$B$11)*(VPP!K2)*COS(PI()-(VPP!H2*PI()/180)))))))*180/PI())^2+Voiles!$T$26*((ACOS(((VPP!$B$11)*COS((VPP!H2*PI()/180))+(VPP!K2))/((SQRT((VPP!$B$11)^2+(VPP!K2)^2-2*(VPP!$B$11)*(VPP!K2)*COS(PI()-(VPP!H2*PI()/180)))))))*180/PI())+Voiles!$U$26)*SIN(((ACOS(((VPP!$B$11)*COS((VPP!H2*PI()/180))+(VPP!K2))/((SQRT((VPP!$B$11)^2+(VPP!K2)^2-2*(VPP!$B$11)*(VPP!K2)*COS(PI()-(VPP!H2*PI()/180)))))))*180/PI())*PI()/180)-(Voiles!$O$27*((ACOS(((VPP!$B$11)*COS((VPP!H2*PI()/180))+(VPP!K2))/((SQRT((VPP!$B$11)^2+(VPP!K2)^2-2*(VPP!$B$11)*(VPP!K2)*COS(PI()-(VPP!H2*PI()/180)))))))*180/PI())^6+Voiles!$P$27*((ACOS(((VPP!$B$11)*COS((VPP!H2*PI()/180))+(VPP!K2))/((SQRT((VPP!$B$11)^2+(VPP!K2)^2-2*(VPP!$B$11)*(VPP!K2)*COS(PI()-(VPP!H2*PI()/180)))))))*180/PI())^5+Voiles!$Q$27*((ACOS(((VPP!$B$11)*COS((VPP!H2*PI()/180))+(VPP!K2))/((SQRT((VPP!$B$11)^2+(VPP!K2)^2-2*(VPP!$B$11)*(VPP!K2)*COS(PI()-(VPP!H2*PI()/180)))))))*180/PI())^4+Voiles!$R$27*((ACOS(((VPP!$B$11)*COS((VPP!H2*PI()/180))+(VPP!K2))/((SQRT((VPP!$B$11)^2+(VPP!K2)^2-2*(VPP!$B$11)*(VPP!K2)*COS(PI()-(VPP!H2*PI()/180)))))))*180/PI())^3+Voiles!$S$27*((ACOS(((VPP!$B$11)*COS((VPP!H2*PI()/180))+(VPP!K2))/((SQRT((VPP!$B$11)^2+(VPP!K2)^2-2*(VPP!$B$11)*(VPP!K2)*COS(PI()-(VPP!H2*PI()/180)))))))*180/PI())^2+Voiles!$T$27*((ACOS(((VPP!$B$11)*COS((VPP!H2*PI()/180))+(VPP!K2))/((SQRT((VPP!$B$11)^2+(VPP!K2)^2-2*(VPP!$B$11)*(VPP!K2)*COS(PI()-(VPP!H2*PI()/180)))))))*180/PI())+Voiles!$U$27)*COS(((ACOS(((VPP!$B$11)*COS((VPP!H2*PI()/180))+(VPP!K2))/((SQRT((VPP!$B$11)^2+(VPP!K2)^2-2*(VPP!$B$11)*(VPP!K2)*COS(PI()-(VPP!H2*PI()/180)))))))*180/PI())*PI()/180)</f>
        <v>-0.25057455317423238</v>
      </c>
    </row>
    <row r="3" spans="2:22" x14ac:dyDescent="0.35">
      <c r="B3" s="111" t="s">
        <v>83</v>
      </c>
      <c r="C3" s="112" t="s">
        <v>82</v>
      </c>
      <c r="D3" s="112" t="s">
        <v>84</v>
      </c>
      <c r="E3" s="112" t="s">
        <v>85</v>
      </c>
      <c r="F3" s="112" t="s">
        <v>89</v>
      </c>
      <c r="G3" s="111" t="s">
        <v>80</v>
      </c>
      <c r="H3" s="112"/>
      <c r="I3" s="113"/>
      <c r="K3" s="111" t="s">
        <v>94</v>
      </c>
      <c r="L3" s="113">
        <v>1</v>
      </c>
      <c r="N3" t="s">
        <v>97</v>
      </c>
      <c r="P3" t="s">
        <v>98</v>
      </c>
      <c r="U3" s="140">
        <f>(Voiles!$O$26*((ACOS(((VPP!$B$11)*COS((VPP!H3*PI()/180))+(VPP!K3))/((SQRT((VPP!$B$11)^2+(VPP!K3)^2-2*(VPP!$B$11)*(VPP!K3)*COS(PI()-(VPP!H3*PI()/180)))))))*180/PI())^6+Voiles!$P$26*((ACOS(((VPP!$B$11)*COS((VPP!H3*PI()/180))+(VPP!K3))/((SQRT((VPP!$B$11)^2+(VPP!K3)^2-2*(VPP!$B$11)*(VPP!K3)*COS(PI()-(VPP!H3*PI()/180)))))))*180/PI())^5+Voiles!$Q$26*((ACOS(((VPP!$B$11)*COS((VPP!H3*PI()/180))+(VPP!K3))/((SQRT((VPP!$B$11)^2+(VPP!K3)^2-2*(VPP!$B$11)*(VPP!K3)*COS(PI()-(VPP!H3*PI()/180)))))))*180/PI())^4+Voiles!$R$26*((ACOS(((VPP!$B$11)*COS((VPP!H3*PI()/180))+(VPP!K3))/((SQRT((VPP!$B$11)^2+(VPP!K3)^2-2*(VPP!$B$11)*(VPP!K3)*COS(PI()-(VPP!H3*PI()/180)))))))*180/PI())^3+Voiles!$S$26*((ACOS(((VPP!$B$11)*COS((VPP!H3*PI()/180))+(VPP!K3))/((SQRT((VPP!$B$11)^2+(VPP!K3)^2-2*(VPP!$B$11)*(VPP!K3)*COS(PI()-(VPP!H3*PI()/180)))))))*180/PI())^2+Voiles!$T$26*((ACOS(((VPP!$B$11)*COS((VPP!H3*PI()/180))+(VPP!K3))/((SQRT((VPP!$B$11)^2+(VPP!K3)^2-2*(VPP!$B$11)*(VPP!K3)*COS(PI()-(VPP!H3*PI()/180)))))))*180/PI())+Voiles!$U$26)*COS(((ACOS(((VPP!$B$11)*COS((VPP!H3*PI()/180))+(VPP!K3))/((SQRT((VPP!$B$11)^2+(VPP!K3)^2-2*(VPP!$B$11)*(VPP!K3)*COS(PI()-(VPP!H3*PI()/180)))))))*180/PI())*PI()/180)+(Voiles!$O$27*((ACOS(((VPP!$B$11)*COS((VPP!H3*PI()/180))+(VPP!K3))/((SQRT((VPP!$B$11)^2+(VPP!K3)^2-2*(VPP!$B$11)*(VPP!K3)*COS(PI()-(VPP!H3*PI()/180)))))))*180/PI())^6+Voiles!$P$27*((ACOS(((VPP!$B$11)*COS((VPP!H3*PI()/180))+(VPP!K3))/((SQRT((VPP!$B$11)^2+(VPP!K3)^2-2*(VPP!$B$11)*(VPP!K3)*COS(PI()-(VPP!H3*PI()/180)))))))*180/PI())^5+Voiles!$Q$27*((ACOS(((VPP!$B$11)*COS((VPP!H3*PI()/180))+(VPP!K3))/((SQRT((VPP!$B$11)^2+(VPP!K3)^2-2*(VPP!$B$11)*(VPP!K3)*COS(PI()-(VPP!H3*PI()/180)))))))*180/PI())^4+Voiles!$R$27*((ACOS(((VPP!$B$11)*COS((VPP!H3*PI()/180))+(VPP!K3))/((SQRT((VPP!$B$11)^2+(VPP!K3)^2-2*(VPP!$B$11)*(VPP!K3)*COS(PI()-(VPP!H3*PI()/180)))))))*180/PI())^3+Voiles!$S$27*((ACOS(((VPP!$B$11)*COS((VPP!H3*PI()/180))+(VPP!K3))/((SQRT((VPP!$B$11)^2+(VPP!K3)^2-2*(VPP!$B$11)*(VPP!K3)*COS(PI()-(VPP!H3*PI()/180)))))))*180/PI())^2+Voiles!$T$27*((ACOS(((VPP!$B$11)*COS((VPP!H3*PI()/180))+(VPP!K3))/((SQRT((VPP!$B$11)^2+(VPP!K3)^2-2*(VPP!$B$11)*(VPP!K3)*COS(PI()-(VPP!H3*PI()/180)))))))*180/PI())+Voiles!$U$27)*SIN(((ACOS(((VPP!$B$11)*COS((VPP!H3*PI()/180))+(VPP!K3))/((SQRT((VPP!$B$11)^2+(VPP!K3)^2-2*(VPP!$B$11)*(VPP!K3)*COS(PI()-(VPP!H3*PI()/180)))))))*180/PI())*PI()/180)</f>
        <v>1.7080580329939976</v>
      </c>
      <c r="V3" s="141">
        <f>(Voiles!$O$26*((ACOS(((VPP!$B$11)*COS((VPP!H3*PI()/180))+(VPP!K3))/((SQRT((VPP!$B$11)^2+(VPP!K3)^2-2*(VPP!$B$11)*(VPP!K3)*COS(PI()-(VPP!H3*PI()/180)))))))*180/PI())^6+Voiles!$P$26*((ACOS(((VPP!$B$11)*COS((VPP!H3*PI()/180))+(VPP!K3))/((SQRT((VPP!$B$11)^2+(VPP!K3)^2-2*(VPP!$B$11)*(VPP!K3)*COS(PI()-(VPP!H3*PI()/180)))))))*180/PI())^5+Voiles!$Q$26*((ACOS(((VPP!$B$11)*COS((VPP!H3*PI()/180))+(VPP!K3))/((SQRT((VPP!$B$11)^2+(VPP!K3)^2-2*(VPP!$B$11)*(VPP!K3)*COS(PI()-(VPP!H3*PI()/180)))))))*180/PI())^4+Voiles!$R$26*((ACOS(((VPP!$B$11)*COS((VPP!H3*PI()/180))+(VPP!K3))/((SQRT((VPP!$B$11)^2+(VPP!K3)^2-2*(VPP!$B$11)*(VPP!K3)*COS(PI()-(VPP!H3*PI()/180)))))))*180/PI())^3+Voiles!$S$26*((ACOS(((VPP!$B$11)*COS((VPP!H3*PI()/180))+(VPP!K3))/((SQRT((VPP!$B$11)^2+(VPP!K3)^2-2*(VPP!$B$11)*(VPP!K3)*COS(PI()-(VPP!H3*PI()/180)))))))*180/PI())^2+Voiles!$T$26*((ACOS(((VPP!$B$11)*COS((VPP!H3*PI()/180))+(VPP!K3))/((SQRT((VPP!$B$11)^2+(VPP!K3)^2-2*(VPP!$B$11)*(VPP!K3)*COS(PI()-(VPP!H3*PI()/180)))))))*180/PI())+Voiles!$U$26)*SIN(((ACOS(((VPP!$B$11)*COS((VPP!H3*PI()/180))+(VPP!K3))/((SQRT((VPP!$B$11)^2+(VPP!K3)^2-2*(VPP!$B$11)*(VPP!K3)*COS(PI()-(VPP!H3*PI()/180)))))))*180/PI())*PI()/180)-(Voiles!$O$27*((ACOS(((VPP!$B$11)*COS((VPP!H3*PI()/180))+(VPP!K3))/((SQRT((VPP!$B$11)^2+(VPP!K3)^2-2*(VPP!$B$11)*(VPP!K3)*COS(PI()-(VPP!H3*PI()/180)))))))*180/PI())^6+Voiles!$P$27*((ACOS(((VPP!$B$11)*COS((VPP!H3*PI()/180))+(VPP!K3))/((SQRT((VPP!$B$11)^2+(VPP!K3)^2-2*(VPP!$B$11)*(VPP!K3)*COS(PI()-(VPP!H3*PI()/180)))))))*180/PI())^5+Voiles!$Q$27*((ACOS(((VPP!$B$11)*COS((VPP!H3*PI()/180))+(VPP!K3))/((SQRT((VPP!$B$11)^2+(VPP!K3)^2-2*(VPP!$B$11)*(VPP!K3)*COS(PI()-(VPP!H3*PI()/180)))))))*180/PI())^4+Voiles!$R$27*((ACOS(((VPP!$B$11)*COS((VPP!H3*PI()/180))+(VPP!K3))/((SQRT((VPP!$B$11)^2+(VPP!K3)^2-2*(VPP!$B$11)*(VPP!K3)*COS(PI()-(VPP!H3*PI()/180)))))))*180/PI())^3+Voiles!$S$27*((ACOS(((VPP!$B$11)*COS((VPP!H3*PI()/180))+(VPP!K3))/((SQRT((VPP!$B$11)^2+(VPP!K3)^2-2*(VPP!$B$11)*(VPP!K3)*COS(PI()-(VPP!H3*PI()/180)))))))*180/PI())^2+Voiles!$T$27*((ACOS(((VPP!$B$11)*COS((VPP!H3*PI()/180))+(VPP!K3))/((SQRT((VPP!$B$11)^2+(VPP!K3)^2-2*(VPP!$B$11)*(VPP!K3)*COS(PI()-(VPP!H3*PI()/180)))))))*180/PI())+Voiles!$U$27)*COS(((ACOS(((VPP!$B$11)*COS((VPP!H3*PI()/180))+(VPP!K3))/((SQRT((VPP!$B$11)^2+(VPP!K3)^2-2*(VPP!$B$11)*(VPP!K3)*COS(PI()-(VPP!H3*PI()/180)))))))*180/PI())*PI()/180)</f>
        <v>0.35179787370943982</v>
      </c>
    </row>
    <row r="4" spans="2:22" ht="15" thickBot="1" x14ac:dyDescent="0.4">
      <c r="B4" s="114">
        <v>1.8414999999999999</v>
      </c>
      <c r="C4" s="3">
        <v>50.411999999999999</v>
      </c>
      <c r="D4" s="3">
        <v>24.199000000000002</v>
      </c>
      <c r="E4" s="3">
        <v>0.92300000000000004</v>
      </c>
      <c r="F4" s="3">
        <v>4</v>
      </c>
      <c r="G4" s="7" t="s">
        <v>88</v>
      </c>
      <c r="H4" s="1">
        <f>(1.1*($C$4+$B$4))^2/($L$7*$M$7+$L$8*$M$8+$L$9*$M$9)</f>
        <v>0.77141547523174114</v>
      </c>
      <c r="I4" s="2" t="s">
        <v>96</v>
      </c>
      <c r="K4" s="114" t="s">
        <v>95</v>
      </c>
      <c r="L4" s="4">
        <v>1</v>
      </c>
      <c r="U4" s="140">
        <f>(Voiles!$O$26*((ACOS(((VPP!$B$11)*COS((VPP!H4*PI()/180))+(VPP!K4))/((SQRT((VPP!$B$11)^2+(VPP!K4)^2-2*(VPP!$B$11)*(VPP!K4)*COS(PI()-(VPP!H4*PI()/180)))))))*180/PI())^6+Voiles!$P$26*((ACOS(((VPP!$B$11)*COS((VPP!H4*PI()/180))+(VPP!K4))/((SQRT((VPP!$B$11)^2+(VPP!K4)^2-2*(VPP!$B$11)*(VPP!K4)*COS(PI()-(VPP!H4*PI()/180)))))))*180/PI())^5+Voiles!$Q$26*((ACOS(((VPP!$B$11)*COS((VPP!H4*PI()/180))+(VPP!K4))/((SQRT((VPP!$B$11)^2+(VPP!K4)^2-2*(VPP!$B$11)*(VPP!K4)*COS(PI()-(VPP!H4*PI()/180)))))))*180/PI())^4+Voiles!$R$26*((ACOS(((VPP!$B$11)*COS((VPP!H4*PI()/180))+(VPP!K4))/((SQRT((VPP!$B$11)^2+(VPP!K4)^2-2*(VPP!$B$11)*(VPP!K4)*COS(PI()-(VPP!H4*PI()/180)))))))*180/PI())^3+Voiles!$S$26*((ACOS(((VPP!$B$11)*COS((VPP!H4*PI()/180))+(VPP!K4))/((SQRT((VPP!$B$11)^2+(VPP!K4)^2-2*(VPP!$B$11)*(VPP!K4)*COS(PI()-(VPP!H4*PI()/180)))))))*180/PI())^2+Voiles!$T$26*((ACOS(((VPP!$B$11)*COS((VPP!H4*PI()/180))+(VPP!K4))/((SQRT((VPP!$B$11)^2+(VPP!K4)^2-2*(VPP!$B$11)*(VPP!K4)*COS(PI()-(VPP!H4*PI()/180)))))))*180/PI())+Voiles!$U$26)*COS(((ACOS(((VPP!$B$11)*COS((VPP!H4*PI()/180))+(VPP!K4))/((SQRT((VPP!$B$11)^2+(VPP!K4)^2-2*(VPP!$B$11)*(VPP!K4)*COS(PI()-(VPP!H4*PI()/180)))))))*180/PI())*PI()/180)+(Voiles!$O$27*((ACOS(((VPP!$B$11)*COS((VPP!H4*PI()/180))+(VPP!K4))/((SQRT((VPP!$B$11)^2+(VPP!K4)^2-2*(VPP!$B$11)*(VPP!K4)*COS(PI()-(VPP!H4*PI()/180)))))))*180/PI())^6+Voiles!$P$27*((ACOS(((VPP!$B$11)*COS((VPP!H4*PI()/180))+(VPP!K4))/((SQRT((VPP!$B$11)^2+(VPP!K4)^2-2*(VPP!$B$11)*(VPP!K4)*COS(PI()-(VPP!H4*PI()/180)))))))*180/PI())^5+Voiles!$Q$27*((ACOS(((VPP!$B$11)*COS((VPP!H4*PI()/180))+(VPP!K4))/((SQRT((VPP!$B$11)^2+(VPP!K4)^2-2*(VPP!$B$11)*(VPP!K4)*COS(PI()-(VPP!H4*PI()/180)))))))*180/PI())^4+Voiles!$R$27*((ACOS(((VPP!$B$11)*COS((VPP!H4*PI()/180))+(VPP!K4))/((SQRT((VPP!$B$11)^2+(VPP!K4)^2-2*(VPP!$B$11)*(VPP!K4)*COS(PI()-(VPP!H4*PI()/180)))))))*180/PI())^3+Voiles!$S$27*((ACOS(((VPP!$B$11)*COS((VPP!H4*PI()/180))+(VPP!K4))/((SQRT((VPP!$B$11)^2+(VPP!K4)^2-2*(VPP!$B$11)*(VPP!K4)*COS(PI()-(VPP!H4*PI()/180)))))))*180/PI())^2+Voiles!$T$27*((ACOS(((VPP!$B$11)*COS((VPP!H4*PI()/180))+(VPP!K4))/((SQRT((VPP!$B$11)^2+(VPP!K4)^2-2*(VPP!$B$11)*(VPP!K4)*COS(PI()-(VPP!H4*PI()/180)))))))*180/PI())+Voiles!$U$27)*SIN(((ACOS(((VPP!$B$11)*COS((VPP!H4*PI()/180))+(VPP!K4))/((SQRT((VPP!$B$11)^2+(VPP!K4)^2-2*(VPP!$B$11)*(VPP!K4)*COS(PI()-(VPP!H4*PI()/180)))))))*180/PI())*PI()/180)</f>
        <v>1.5798744210996447</v>
      </c>
      <c r="V4" s="141">
        <f>(Voiles!$O$26*((ACOS(((VPP!$B$11)*COS((VPP!H4*PI()/180))+(VPP!K4))/((SQRT((VPP!$B$11)^2+(VPP!K4)^2-2*(VPP!$B$11)*(VPP!K4)*COS(PI()-(VPP!H4*PI()/180)))))))*180/PI())^6+Voiles!$P$26*((ACOS(((VPP!$B$11)*COS((VPP!H4*PI()/180))+(VPP!K4))/((SQRT((VPP!$B$11)^2+(VPP!K4)^2-2*(VPP!$B$11)*(VPP!K4)*COS(PI()-(VPP!H4*PI()/180)))))))*180/PI())^5+Voiles!$Q$26*((ACOS(((VPP!$B$11)*COS((VPP!H4*PI()/180))+(VPP!K4))/((SQRT((VPP!$B$11)^2+(VPP!K4)^2-2*(VPP!$B$11)*(VPP!K4)*COS(PI()-(VPP!H4*PI()/180)))))))*180/PI())^4+Voiles!$R$26*((ACOS(((VPP!$B$11)*COS((VPP!H4*PI()/180))+(VPP!K4))/((SQRT((VPP!$B$11)^2+(VPP!K4)^2-2*(VPP!$B$11)*(VPP!K4)*COS(PI()-(VPP!H4*PI()/180)))))))*180/PI())^3+Voiles!$S$26*((ACOS(((VPP!$B$11)*COS((VPP!H4*PI()/180))+(VPP!K4))/((SQRT((VPP!$B$11)^2+(VPP!K4)^2-2*(VPP!$B$11)*(VPP!K4)*COS(PI()-(VPP!H4*PI()/180)))))))*180/PI())^2+Voiles!$T$26*((ACOS(((VPP!$B$11)*COS((VPP!H4*PI()/180))+(VPP!K4))/((SQRT((VPP!$B$11)^2+(VPP!K4)^2-2*(VPP!$B$11)*(VPP!K4)*COS(PI()-(VPP!H4*PI()/180)))))))*180/PI())+Voiles!$U$26)*SIN(((ACOS(((VPP!$B$11)*COS((VPP!H4*PI()/180))+(VPP!K4))/((SQRT((VPP!$B$11)^2+(VPP!K4)^2-2*(VPP!$B$11)*(VPP!K4)*COS(PI()-(VPP!H4*PI()/180)))))))*180/PI())*PI()/180)-(Voiles!$O$27*((ACOS(((VPP!$B$11)*COS((VPP!H4*PI()/180))+(VPP!K4))/((SQRT((VPP!$B$11)^2+(VPP!K4)^2-2*(VPP!$B$11)*(VPP!K4)*COS(PI()-(VPP!H4*PI()/180)))))))*180/PI())^6+Voiles!$P$27*((ACOS(((VPP!$B$11)*COS((VPP!H4*PI()/180))+(VPP!K4))/((SQRT((VPP!$B$11)^2+(VPP!K4)^2-2*(VPP!$B$11)*(VPP!K4)*COS(PI()-(VPP!H4*PI()/180)))))))*180/PI())^5+Voiles!$Q$27*((ACOS(((VPP!$B$11)*COS((VPP!H4*PI()/180))+(VPP!K4))/((SQRT((VPP!$B$11)^2+(VPP!K4)^2-2*(VPP!$B$11)*(VPP!K4)*COS(PI()-(VPP!H4*PI()/180)))))))*180/PI())^4+Voiles!$R$27*((ACOS(((VPP!$B$11)*COS((VPP!H4*PI()/180))+(VPP!K4))/((SQRT((VPP!$B$11)^2+(VPP!K4)^2-2*(VPP!$B$11)*(VPP!K4)*COS(PI()-(VPP!H4*PI()/180)))))))*180/PI())^3+Voiles!$S$27*((ACOS(((VPP!$B$11)*COS((VPP!H4*PI()/180))+(VPP!K4))/((SQRT((VPP!$B$11)^2+(VPP!K4)^2-2*(VPP!$B$11)*(VPP!K4)*COS(PI()-(VPP!H4*PI()/180)))))))*180/PI())^2+Voiles!$T$27*((ACOS(((VPP!$B$11)*COS((VPP!H4*PI()/180))+(VPP!K4))/((SQRT((VPP!$B$11)^2+(VPP!K4)^2-2*(VPP!$B$11)*(VPP!K4)*COS(PI()-(VPP!H4*PI()/180)))))))*180/PI())+Voiles!$U$27)*COS(((ACOS(((VPP!$B$11)*COS((VPP!H4*PI()/180))+(VPP!K4))/((SQRT((VPP!$B$11)^2+(VPP!K4)^2-2*(VPP!$B$11)*(VPP!K4)*COS(PI()-(VPP!H4*PI()/180)))))))*180/PI())*PI()/180)</f>
        <v>0.57424090687375429</v>
      </c>
    </row>
    <row r="5" spans="2:22" ht="15" thickBot="1" x14ac:dyDescent="0.4">
      <c r="B5" s="111" t="s">
        <v>119</v>
      </c>
      <c r="C5" s="112" t="s">
        <v>120</v>
      </c>
      <c r="D5" s="112" t="s">
        <v>121</v>
      </c>
      <c r="E5" s="112" t="s">
        <v>130</v>
      </c>
      <c r="F5" s="113"/>
      <c r="G5" s="3" t="s">
        <v>81</v>
      </c>
      <c r="H5" s="3">
        <f>(1.1*($C$4))^2/($L$7*$M$7+$L$8*$M$8+$L$9*$M$9)</f>
        <v>0.71800163216587276</v>
      </c>
      <c r="I5" s="4"/>
      <c r="U5" s="140">
        <f>(Voiles!$O$26*((ACOS(((VPP!$B$11)*COS((VPP!H5*PI()/180))+(VPP!K5))/((SQRT((VPP!$B$11)^2+(VPP!K5)^2-2*(VPP!$B$11)*(VPP!K5)*COS(PI()-(VPP!H5*PI()/180)))))))*180/PI())^6+Voiles!$P$26*((ACOS(((VPP!$B$11)*COS((VPP!H5*PI()/180))+(VPP!K5))/((SQRT((VPP!$B$11)^2+(VPP!K5)^2-2*(VPP!$B$11)*(VPP!K5)*COS(PI()-(VPP!H5*PI()/180)))))))*180/PI())^5+Voiles!$Q$26*((ACOS(((VPP!$B$11)*COS((VPP!H5*PI()/180))+(VPP!K5))/((SQRT((VPP!$B$11)^2+(VPP!K5)^2-2*(VPP!$B$11)*(VPP!K5)*COS(PI()-(VPP!H5*PI()/180)))))))*180/PI())^4+Voiles!$R$26*((ACOS(((VPP!$B$11)*COS((VPP!H5*PI()/180))+(VPP!K5))/((SQRT((VPP!$B$11)^2+(VPP!K5)^2-2*(VPP!$B$11)*(VPP!K5)*COS(PI()-(VPP!H5*PI()/180)))))))*180/PI())^3+Voiles!$S$26*((ACOS(((VPP!$B$11)*COS((VPP!H5*PI()/180))+(VPP!K5))/((SQRT((VPP!$B$11)^2+(VPP!K5)^2-2*(VPP!$B$11)*(VPP!K5)*COS(PI()-(VPP!H5*PI()/180)))))))*180/PI())^2+Voiles!$T$26*((ACOS(((VPP!$B$11)*COS((VPP!H5*PI()/180))+(VPP!K5))/((SQRT((VPP!$B$11)^2+(VPP!K5)^2-2*(VPP!$B$11)*(VPP!K5)*COS(PI()-(VPP!H5*PI()/180)))))))*180/PI())+Voiles!$U$26)*COS(((ACOS(((VPP!$B$11)*COS((VPP!H5*PI()/180))+(VPP!K5))/((SQRT((VPP!$B$11)^2+(VPP!K5)^2-2*(VPP!$B$11)*(VPP!K5)*COS(PI()-(VPP!H5*PI()/180)))))))*180/PI())*PI()/180)+(Voiles!$O$27*((ACOS(((VPP!$B$11)*COS((VPP!H5*PI()/180))+(VPP!K5))/((SQRT((VPP!$B$11)^2+(VPP!K5)^2-2*(VPP!$B$11)*(VPP!K5)*COS(PI()-(VPP!H5*PI()/180)))))))*180/PI())^6+Voiles!$P$27*((ACOS(((VPP!$B$11)*COS((VPP!H5*PI()/180))+(VPP!K5))/((SQRT((VPP!$B$11)^2+(VPP!K5)^2-2*(VPP!$B$11)*(VPP!K5)*COS(PI()-(VPP!H5*PI()/180)))))))*180/PI())^5+Voiles!$Q$27*((ACOS(((VPP!$B$11)*COS((VPP!H5*PI()/180))+(VPP!K5))/((SQRT((VPP!$B$11)^2+(VPP!K5)^2-2*(VPP!$B$11)*(VPP!K5)*COS(PI()-(VPP!H5*PI()/180)))))))*180/PI())^4+Voiles!$R$27*((ACOS(((VPP!$B$11)*COS((VPP!H5*PI()/180))+(VPP!K5))/((SQRT((VPP!$B$11)^2+(VPP!K5)^2-2*(VPP!$B$11)*(VPP!K5)*COS(PI()-(VPP!H5*PI()/180)))))))*180/PI())^3+Voiles!$S$27*((ACOS(((VPP!$B$11)*COS((VPP!H5*PI()/180))+(VPP!K5))/((SQRT((VPP!$B$11)^2+(VPP!K5)^2-2*(VPP!$B$11)*(VPP!K5)*COS(PI()-(VPP!H5*PI()/180)))))))*180/PI())^2+Voiles!$T$27*((ACOS(((VPP!$B$11)*COS((VPP!H5*PI()/180))+(VPP!K5))/((SQRT((VPP!$B$11)^2+(VPP!K5)^2-2*(VPP!$B$11)*(VPP!K5)*COS(PI()-(VPP!H5*PI()/180)))))))*180/PI())+Voiles!$U$27)*SIN(((ACOS(((VPP!$B$11)*COS((VPP!H5*PI()/180))+(VPP!K5))/((SQRT((VPP!$B$11)^2+(VPP!K5)^2-2*(VPP!$B$11)*(VPP!K5)*COS(PI()-(VPP!H5*PI()/180)))))))*180/PI())*PI()/180)</f>
        <v>1.4109548599444597</v>
      </c>
      <c r="V5" s="141">
        <f>(Voiles!$O$26*((ACOS(((VPP!$B$11)*COS((VPP!H5*PI()/180))+(VPP!K5))/((SQRT((VPP!$B$11)^2+(VPP!K5)^2-2*(VPP!$B$11)*(VPP!K5)*COS(PI()-(VPP!H5*PI()/180)))))))*180/PI())^6+Voiles!$P$26*((ACOS(((VPP!$B$11)*COS((VPP!H5*PI()/180))+(VPP!K5))/((SQRT((VPP!$B$11)^2+(VPP!K5)^2-2*(VPP!$B$11)*(VPP!K5)*COS(PI()-(VPP!H5*PI()/180)))))))*180/PI())^5+Voiles!$Q$26*((ACOS(((VPP!$B$11)*COS((VPP!H5*PI()/180))+(VPP!K5))/((SQRT((VPP!$B$11)^2+(VPP!K5)^2-2*(VPP!$B$11)*(VPP!K5)*COS(PI()-(VPP!H5*PI()/180)))))))*180/PI())^4+Voiles!$R$26*((ACOS(((VPP!$B$11)*COS((VPP!H5*PI()/180))+(VPP!K5))/((SQRT((VPP!$B$11)^2+(VPP!K5)^2-2*(VPP!$B$11)*(VPP!K5)*COS(PI()-(VPP!H5*PI()/180)))))))*180/PI())^3+Voiles!$S$26*((ACOS(((VPP!$B$11)*COS((VPP!H5*PI()/180))+(VPP!K5))/((SQRT((VPP!$B$11)^2+(VPP!K5)^2-2*(VPP!$B$11)*(VPP!K5)*COS(PI()-(VPP!H5*PI()/180)))))))*180/PI())^2+Voiles!$T$26*((ACOS(((VPP!$B$11)*COS((VPP!H5*PI()/180))+(VPP!K5))/((SQRT((VPP!$B$11)^2+(VPP!K5)^2-2*(VPP!$B$11)*(VPP!K5)*COS(PI()-(VPP!H5*PI()/180)))))))*180/PI())+Voiles!$U$26)*SIN(((ACOS(((VPP!$B$11)*COS((VPP!H5*PI()/180))+(VPP!K5))/((SQRT((VPP!$B$11)^2+(VPP!K5)^2-2*(VPP!$B$11)*(VPP!K5)*COS(PI()-(VPP!H5*PI()/180)))))))*180/PI())*PI()/180)-(Voiles!$O$27*((ACOS(((VPP!$B$11)*COS((VPP!H5*PI()/180))+(VPP!K5))/((SQRT((VPP!$B$11)^2+(VPP!K5)^2-2*(VPP!$B$11)*(VPP!K5)*COS(PI()-(VPP!H5*PI()/180)))))))*180/PI())^6+Voiles!$P$27*((ACOS(((VPP!$B$11)*COS((VPP!H5*PI()/180))+(VPP!K5))/((SQRT((VPP!$B$11)^2+(VPP!K5)^2-2*(VPP!$B$11)*(VPP!K5)*COS(PI()-(VPP!H5*PI()/180)))))))*180/PI())^5+Voiles!$Q$27*((ACOS(((VPP!$B$11)*COS((VPP!H5*PI()/180))+(VPP!K5))/((SQRT((VPP!$B$11)^2+(VPP!K5)^2-2*(VPP!$B$11)*(VPP!K5)*COS(PI()-(VPP!H5*PI()/180)))))))*180/PI())^4+Voiles!$R$27*((ACOS(((VPP!$B$11)*COS((VPP!H5*PI()/180))+(VPP!K5))/((SQRT((VPP!$B$11)^2+(VPP!K5)^2-2*(VPP!$B$11)*(VPP!K5)*COS(PI()-(VPP!H5*PI()/180)))))))*180/PI())^3+Voiles!$S$27*((ACOS(((VPP!$B$11)*COS((VPP!H5*PI()/180))+(VPP!K5))/((SQRT((VPP!$B$11)^2+(VPP!K5)^2-2*(VPP!$B$11)*(VPP!K5)*COS(PI()-(VPP!H5*PI()/180)))))))*180/PI())^2+Voiles!$T$27*((ACOS(((VPP!$B$11)*COS((VPP!H5*PI()/180))+(VPP!K5))/((SQRT((VPP!$B$11)^2+(VPP!K5)^2-2*(VPP!$B$11)*(VPP!K5)*COS(PI()-(VPP!H5*PI()/180)))))))*180/PI())+Voiles!$U$27)*COS(((ACOS(((VPP!$B$11)*COS((VPP!H5*PI()/180))+(VPP!K5))/((SQRT((VPP!$B$11)^2+(VPP!K5)^2-2*(VPP!$B$11)*(VPP!K5)*COS(PI()-(VPP!H5*PI()/180)))))))*180/PI())*PI()/180)</f>
        <v>0.75078488978980951</v>
      </c>
    </row>
    <row r="6" spans="2:22" ht="15" thickBot="1" x14ac:dyDescent="0.4">
      <c r="B6" s="114">
        <v>3.5</v>
      </c>
      <c r="C6" s="3">
        <v>50.411999999999999</v>
      </c>
      <c r="D6" s="3">
        <v>50.411999999999999</v>
      </c>
      <c r="E6" s="3">
        <f>C4+B4</f>
        <v>52.253500000000003</v>
      </c>
      <c r="F6" s="4"/>
      <c r="G6" s="1"/>
      <c r="H6" s="1"/>
      <c r="I6" s="1"/>
      <c r="K6" s="118" t="s">
        <v>74</v>
      </c>
      <c r="L6" s="119"/>
      <c r="M6" s="44" t="s">
        <v>77</v>
      </c>
      <c r="N6" s="44" t="s">
        <v>122</v>
      </c>
      <c r="U6" s="140">
        <f>(Voiles!$O$26*((ACOS(((VPP!$B$11)*COS((VPP!H6*PI()/180))+(VPP!K6))/((SQRT((VPP!$B$11)^2+(VPP!K6)^2-2*(VPP!$B$11)*(VPP!K6)*COS(PI()-(VPP!H6*PI()/180)))))))*180/PI())^6+Voiles!$P$26*((ACOS(((VPP!$B$11)*COS((VPP!H6*PI()/180))+(VPP!K6))/((SQRT((VPP!$B$11)^2+(VPP!K6)^2-2*(VPP!$B$11)*(VPP!K6)*COS(PI()-(VPP!H6*PI()/180)))))))*180/PI())^5+Voiles!$Q$26*((ACOS(((VPP!$B$11)*COS((VPP!H6*PI()/180))+(VPP!K6))/((SQRT((VPP!$B$11)^2+(VPP!K6)^2-2*(VPP!$B$11)*(VPP!K6)*COS(PI()-(VPP!H6*PI()/180)))))))*180/PI())^4+Voiles!$R$26*((ACOS(((VPP!$B$11)*COS((VPP!H6*PI()/180))+(VPP!K6))/((SQRT((VPP!$B$11)^2+(VPP!K6)^2-2*(VPP!$B$11)*(VPP!K6)*COS(PI()-(VPP!H6*PI()/180)))))))*180/PI())^3+Voiles!$S$26*((ACOS(((VPP!$B$11)*COS((VPP!H6*PI()/180))+(VPP!K6))/((SQRT((VPP!$B$11)^2+(VPP!K6)^2-2*(VPP!$B$11)*(VPP!K6)*COS(PI()-(VPP!H6*PI()/180)))))))*180/PI())^2+Voiles!$T$26*((ACOS(((VPP!$B$11)*COS((VPP!H6*PI()/180))+(VPP!K6))/((SQRT((VPP!$B$11)^2+(VPP!K6)^2-2*(VPP!$B$11)*(VPP!K6)*COS(PI()-(VPP!H6*PI()/180)))))))*180/PI())+Voiles!$U$26)*COS(((ACOS(((VPP!$B$11)*COS((VPP!H6*PI()/180))+(VPP!K6))/((SQRT((VPP!$B$11)^2+(VPP!K6)^2-2*(VPP!$B$11)*(VPP!K6)*COS(PI()-(VPP!H6*PI()/180)))))))*180/PI())*PI()/180)+(Voiles!$O$27*((ACOS(((VPP!$B$11)*COS((VPP!H6*PI()/180))+(VPP!K6))/((SQRT((VPP!$B$11)^2+(VPP!K6)^2-2*(VPP!$B$11)*(VPP!K6)*COS(PI()-(VPP!H6*PI()/180)))))))*180/PI())^6+Voiles!$P$27*((ACOS(((VPP!$B$11)*COS((VPP!H6*PI()/180))+(VPP!K6))/((SQRT((VPP!$B$11)^2+(VPP!K6)^2-2*(VPP!$B$11)*(VPP!K6)*COS(PI()-(VPP!H6*PI()/180)))))))*180/PI())^5+Voiles!$Q$27*((ACOS(((VPP!$B$11)*COS((VPP!H6*PI()/180))+(VPP!K6))/((SQRT((VPP!$B$11)^2+(VPP!K6)^2-2*(VPP!$B$11)*(VPP!K6)*COS(PI()-(VPP!H6*PI()/180)))))))*180/PI())^4+Voiles!$R$27*((ACOS(((VPP!$B$11)*COS((VPP!H6*PI()/180))+(VPP!K6))/((SQRT((VPP!$B$11)^2+(VPP!K6)^2-2*(VPP!$B$11)*(VPP!K6)*COS(PI()-(VPP!H6*PI()/180)))))))*180/PI())^3+Voiles!$S$27*((ACOS(((VPP!$B$11)*COS((VPP!H6*PI()/180))+(VPP!K6))/((SQRT((VPP!$B$11)^2+(VPP!K6)^2-2*(VPP!$B$11)*(VPP!K6)*COS(PI()-(VPP!H6*PI()/180)))))))*180/PI())^2+Voiles!$T$27*((ACOS(((VPP!$B$11)*COS((VPP!H6*PI()/180))+(VPP!K6))/((SQRT((VPP!$B$11)^2+(VPP!K6)^2-2*(VPP!$B$11)*(VPP!K6)*COS(PI()-(VPP!H6*PI()/180)))))))*180/PI())+Voiles!$U$27)*SIN(((ACOS(((VPP!$B$11)*COS((VPP!H6*PI()/180))+(VPP!K6))/((SQRT((VPP!$B$11)^2+(VPP!K6)^2-2*(VPP!$B$11)*(VPP!K6)*COS(PI()-(VPP!H6*PI()/180)))))))*180/PI())*PI()/180)</f>
        <v>1.2329767150425888</v>
      </c>
      <c r="V6" s="141">
        <f>(Voiles!$O$26*((ACOS(((VPP!$B$11)*COS((VPP!H6*PI()/180))+(VPP!K6))/((SQRT((VPP!$B$11)^2+(VPP!K6)^2-2*(VPP!$B$11)*(VPP!K6)*COS(PI()-(VPP!H6*PI()/180)))))))*180/PI())^6+Voiles!$P$26*((ACOS(((VPP!$B$11)*COS((VPP!H6*PI()/180))+(VPP!K6))/((SQRT((VPP!$B$11)^2+(VPP!K6)^2-2*(VPP!$B$11)*(VPP!K6)*COS(PI()-(VPP!H6*PI()/180)))))))*180/PI())^5+Voiles!$Q$26*((ACOS(((VPP!$B$11)*COS((VPP!H6*PI()/180))+(VPP!K6))/((SQRT((VPP!$B$11)^2+(VPP!K6)^2-2*(VPP!$B$11)*(VPP!K6)*COS(PI()-(VPP!H6*PI()/180)))))))*180/PI())^4+Voiles!$R$26*((ACOS(((VPP!$B$11)*COS((VPP!H6*PI()/180))+(VPP!K6))/((SQRT((VPP!$B$11)^2+(VPP!K6)^2-2*(VPP!$B$11)*(VPP!K6)*COS(PI()-(VPP!H6*PI()/180)))))))*180/PI())^3+Voiles!$S$26*((ACOS(((VPP!$B$11)*COS((VPP!H6*PI()/180))+(VPP!K6))/((SQRT((VPP!$B$11)^2+(VPP!K6)^2-2*(VPP!$B$11)*(VPP!K6)*COS(PI()-(VPP!H6*PI()/180)))))))*180/PI())^2+Voiles!$T$26*((ACOS(((VPP!$B$11)*COS((VPP!H6*PI()/180))+(VPP!K6))/((SQRT((VPP!$B$11)^2+(VPP!K6)^2-2*(VPP!$B$11)*(VPP!K6)*COS(PI()-(VPP!H6*PI()/180)))))))*180/PI())+Voiles!$U$26)*SIN(((ACOS(((VPP!$B$11)*COS((VPP!H6*PI()/180))+(VPP!K6))/((SQRT((VPP!$B$11)^2+(VPP!K6)^2-2*(VPP!$B$11)*(VPP!K6)*COS(PI()-(VPP!H6*PI()/180)))))))*180/PI())*PI()/180)-(Voiles!$O$27*((ACOS(((VPP!$B$11)*COS((VPP!H6*PI()/180))+(VPP!K6))/((SQRT((VPP!$B$11)^2+(VPP!K6)^2-2*(VPP!$B$11)*(VPP!K6)*COS(PI()-(VPP!H6*PI()/180)))))))*180/PI())^6+Voiles!$P$27*((ACOS(((VPP!$B$11)*COS((VPP!H6*PI()/180))+(VPP!K6))/((SQRT((VPP!$B$11)^2+(VPP!K6)^2-2*(VPP!$B$11)*(VPP!K6)*COS(PI()-(VPP!H6*PI()/180)))))))*180/PI())^5+Voiles!$Q$27*((ACOS(((VPP!$B$11)*COS((VPP!H6*PI()/180))+(VPP!K6))/((SQRT((VPP!$B$11)^2+(VPP!K6)^2-2*(VPP!$B$11)*(VPP!K6)*COS(PI()-(VPP!H6*PI()/180)))))))*180/PI())^4+Voiles!$R$27*((ACOS(((VPP!$B$11)*COS((VPP!H6*PI()/180))+(VPP!K6))/((SQRT((VPP!$B$11)^2+(VPP!K6)^2-2*(VPP!$B$11)*(VPP!K6)*COS(PI()-(VPP!H6*PI()/180)))))))*180/PI())^3+Voiles!$S$27*((ACOS(((VPP!$B$11)*COS((VPP!H6*PI()/180))+(VPP!K6))/((SQRT((VPP!$B$11)^2+(VPP!K6)^2-2*(VPP!$B$11)*(VPP!K6)*COS(PI()-(VPP!H6*PI()/180)))))))*180/PI())^2+Voiles!$T$27*((ACOS(((VPP!$B$11)*COS((VPP!H6*PI()/180))+(VPP!K6))/((SQRT((VPP!$B$11)^2+(VPP!K6)^2-2*(VPP!$B$11)*(VPP!K6)*COS(PI()-(VPP!H6*PI()/180)))))))*180/PI())+Voiles!$U$27)*COS(((ACOS(((VPP!$B$11)*COS((VPP!H6*PI()/180))+(VPP!K6))/((SQRT((VPP!$B$11)^2+(VPP!K6)^2-2*(VPP!$B$11)*(VPP!K6)*COS(PI()-(VPP!H6*PI()/180)))))))*180/PI())*PI()/180)</f>
        <v>0.87753460824326979</v>
      </c>
    </row>
    <row r="7" spans="2:22" ht="15" thickBot="1" x14ac:dyDescent="0.4">
      <c r="K7" s="7" t="s">
        <v>70</v>
      </c>
      <c r="L7" s="1">
        <v>4</v>
      </c>
      <c r="M7" s="116">
        <v>597.20000000000005</v>
      </c>
      <c r="N7" s="116">
        <f>0.39*$C$6+$B$6</f>
        <v>23.160679999999999</v>
      </c>
      <c r="U7" s="140">
        <f>(Voiles!$O$26*((ACOS(((VPP!$B$11)*COS((VPP!H7*PI()/180))+(VPP!K7))/((SQRT((VPP!$B$11)^2+(VPP!K7)^2-2*(VPP!$B$11)*(VPP!K7)*COS(PI()-(VPP!H7*PI()/180)))))))*180/PI())^6+Voiles!$P$26*((ACOS(((VPP!$B$11)*COS((VPP!H7*PI()/180))+(VPP!K7))/((SQRT((VPP!$B$11)^2+(VPP!K7)^2-2*(VPP!$B$11)*(VPP!K7)*COS(PI()-(VPP!H7*PI()/180)))))))*180/PI())^5+Voiles!$Q$26*((ACOS(((VPP!$B$11)*COS((VPP!H7*PI()/180))+(VPP!K7))/((SQRT((VPP!$B$11)^2+(VPP!K7)^2-2*(VPP!$B$11)*(VPP!K7)*COS(PI()-(VPP!H7*PI()/180)))))))*180/PI())^4+Voiles!$R$26*((ACOS(((VPP!$B$11)*COS((VPP!H7*PI()/180))+(VPP!K7))/((SQRT((VPP!$B$11)^2+(VPP!K7)^2-2*(VPP!$B$11)*(VPP!K7)*COS(PI()-(VPP!H7*PI()/180)))))))*180/PI())^3+Voiles!$S$26*((ACOS(((VPP!$B$11)*COS((VPP!H7*PI()/180))+(VPP!K7))/((SQRT((VPP!$B$11)^2+(VPP!K7)^2-2*(VPP!$B$11)*(VPP!K7)*COS(PI()-(VPP!H7*PI()/180)))))))*180/PI())^2+Voiles!$T$26*((ACOS(((VPP!$B$11)*COS((VPP!H7*PI()/180))+(VPP!K7))/((SQRT((VPP!$B$11)^2+(VPP!K7)^2-2*(VPP!$B$11)*(VPP!K7)*COS(PI()-(VPP!H7*PI()/180)))))))*180/PI())+Voiles!$U$26)*COS(((ACOS(((VPP!$B$11)*COS((VPP!H7*PI()/180))+(VPP!K7))/((SQRT((VPP!$B$11)^2+(VPP!K7)^2-2*(VPP!$B$11)*(VPP!K7)*COS(PI()-(VPP!H7*PI()/180)))))))*180/PI())*PI()/180)+(Voiles!$O$27*((ACOS(((VPP!$B$11)*COS((VPP!H7*PI()/180))+(VPP!K7))/((SQRT((VPP!$B$11)^2+(VPP!K7)^2-2*(VPP!$B$11)*(VPP!K7)*COS(PI()-(VPP!H7*PI()/180)))))))*180/PI())^6+Voiles!$P$27*((ACOS(((VPP!$B$11)*COS((VPP!H7*PI()/180))+(VPP!K7))/((SQRT((VPP!$B$11)^2+(VPP!K7)^2-2*(VPP!$B$11)*(VPP!K7)*COS(PI()-(VPP!H7*PI()/180)))))))*180/PI())^5+Voiles!$Q$27*((ACOS(((VPP!$B$11)*COS((VPP!H7*PI()/180))+(VPP!K7))/((SQRT((VPP!$B$11)^2+(VPP!K7)^2-2*(VPP!$B$11)*(VPP!K7)*COS(PI()-(VPP!H7*PI()/180)))))))*180/PI())^4+Voiles!$R$27*((ACOS(((VPP!$B$11)*COS((VPP!H7*PI()/180))+(VPP!K7))/((SQRT((VPP!$B$11)^2+(VPP!K7)^2-2*(VPP!$B$11)*(VPP!K7)*COS(PI()-(VPP!H7*PI()/180)))))))*180/PI())^3+Voiles!$S$27*((ACOS(((VPP!$B$11)*COS((VPP!H7*PI()/180))+(VPP!K7))/((SQRT((VPP!$B$11)^2+(VPP!K7)^2-2*(VPP!$B$11)*(VPP!K7)*COS(PI()-(VPP!H7*PI()/180)))))))*180/PI())^2+Voiles!$T$27*((ACOS(((VPP!$B$11)*COS((VPP!H7*PI()/180))+(VPP!K7))/((SQRT((VPP!$B$11)^2+(VPP!K7)^2-2*(VPP!$B$11)*(VPP!K7)*COS(PI()-(VPP!H7*PI()/180)))))))*180/PI())+Voiles!$U$27)*SIN(((ACOS(((VPP!$B$11)*COS((VPP!H7*PI()/180))+(VPP!K7))/((SQRT((VPP!$B$11)^2+(VPP!K7)^2-2*(VPP!$B$11)*(VPP!K7)*COS(PI()-(VPP!H7*PI()/180)))))))*180/PI())*PI()/180)</f>
        <v>1.0691310153216982</v>
      </c>
      <c r="V7" s="141">
        <f>(Voiles!$O$26*((ACOS(((VPP!$B$11)*COS((VPP!H7*PI()/180))+(VPP!K7))/((SQRT((VPP!$B$11)^2+(VPP!K7)^2-2*(VPP!$B$11)*(VPP!K7)*COS(PI()-(VPP!H7*PI()/180)))))))*180/PI())^6+Voiles!$P$26*((ACOS(((VPP!$B$11)*COS((VPP!H7*PI()/180))+(VPP!K7))/((SQRT((VPP!$B$11)^2+(VPP!K7)^2-2*(VPP!$B$11)*(VPP!K7)*COS(PI()-(VPP!H7*PI()/180)))))))*180/PI())^5+Voiles!$Q$26*((ACOS(((VPP!$B$11)*COS((VPP!H7*PI()/180))+(VPP!K7))/((SQRT((VPP!$B$11)^2+(VPP!K7)^2-2*(VPP!$B$11)*(VPP!K7)*COS(PI()-(VPP!H7*PI()/180)))))))*180/PI())^4+Voiles!$R$26*((ACOS(((VPP!$B$11)*COS((VPP!H7*PI()/180))+(VPP!K7))/((SQRT((VPP!$B$11)^2+(VPP!K7)^2-2*(VPP!$B$11)*(VPP!K7)*COS(PI()-(VPP!H7*PI()/180)))))))*180/PI())^3+Voiles!$S$26*((ACOS(((VPP!$B$11)*COS((VPP!H7*PI()/180))+(VPP!K7))/((SQRT((VPP!$B$11)^2+(VPP!K7)^2-2*(VPP!$B$11)*(VPP!K7)*COS(PI()-(VPP!H7*PI()/180)))))))*180/PI())^2+Voiles!$T$26*((ACOS(((VPP!$B$11)*COS((VPP!H7*PI()/180))+(VPP!K7))/((SQRT((VPP!$B$11)^2+(VPP!K7)^2-2*(VPP!$B$11)*(VPP!K7)*COS(PI()-(VPP!H7*PI()/180)))))))*180/PI())+Voiles!$U$26)*SIN(((ACOS(((VPP!$B$11)*COS((VPP!H7*PI()/180))+(VPP!K7))/((SQRT((VPP!$B$11)^2+(VPP!K7)^2-2*(VPP!$B$11)*(VPP!K7)*COS(PI()-(VPP!H7*PI()/180)))))))*180/PI())*PI()/180)-(Voiles!$O$27*((ACOS(((VPP!$B$11)*COS((VPP!H7*PI()/180))+(VPP!K7))/((SQRT((VPP!$B$11)^2+(VPP!K7)^2-2*(VPP!$B$11)*(VPP!K7)*COS(PI()-(VPP!H7*PI()/180)))))))*180/PI())^6+Voiles!$P$27*((ACOS(((VPP!$B$11)*COS((VPP!H7*PI()/180))+(VPP!K7))/((SQRT((VPP!$B$11)^2+(VPP!K7)^2-2*(VPP!$B$11)*(VPP!K7)*COS(PI()-(VPP!H7*PI()/180)))))))*180/PI())^5+Voiles!$Q$27*((ACOS(((VPP!$B$11)*COS((VPP!H7*PI()/180))+(VPP!K7))/((SQRT((VPP!$B$11)^2+(VPP!K7)^2-2*(VPP!$B$11)*(VPP!K7)*COS(PI()-(VPP!H7*PI()/180)))))))*180/PI())^4+Voiles!$R$27*((ACOS(((VPP!$B$11)*COS((VPP!H7*PI()/180))+(VPP!K7))/((SQRT((VPP!$B$11)^2+(VPP!K7)^2-2*(VPP!$B$11)*(VPP!K7)*COS(PI()-(VPP!H7*PI()/180)))))))*180/PI())^3+Voiles!$S$27*((ACOS(((VPP!$B$11)*COS((VPP!H7*PI()/180))+(VPP!K7))/((SQRT((VPP!$B$11)^2+(VPP!K7)^2-2*(VPP!$B$11)*(VPP!K7)*COS(PI()-(VPP!H7*PI()/180)))))))*180/PI())^2+Voiles!$T$27*((ACOS(((VPP!$B$11)*COS((VPP!H7*PI()/180))+(VPP!K7))/((SQRT((VPP!$B$11)^2+(VPP!K7)^2-2*(VPP!$B$11)*(VPP!K7)*COS(PI()-(VPP!H7*PI()/180)))))))*180/PI())+Voiles!$U$27)*COS(((ACOS(((VPP!$B$11)*COS((VPP!H7*PI()/180))+(VPP!K7))/((SQRT((VPP!$B$11)^2+(VPP!K7)^2-2*(VPP!$B$11)*(VPP!K7)*COS(PI()-(VPP!H7*PI()/180)))))))*180/PI())*PI()/180)</f>
        <v>0.96289274467620023</v>
      </c>
    </row>
    <row r="8" spans="2:22" x14ac:dyDescent="0.35">
      <c r="B8" s="111" t="s">
        <v>69</v>
      </c>
      <c r="C8" s="112"/>
      <c r="D8" s="112"/>
      <c r="E8" s="113"/>
      <c r="F8" s="111" t="s">
        <v>73</v>
      </c>
      <c r="G8" s="112"/>
      <c r="H8" s="112"/>
      <c r="I8" s="113"/>
      <c r="K8" s="7" t="s">
        <v>71</v>
      </c>
      <c r="L8" s="1">
        <v>4</v>
      </c>
      <c r="M8" s="116">
        <v>473.5</v>
      </c>
      <c r="N8" s="116">
        <f>0.39*$D$6</f>
        <v>19.660679999999999</v>
      </c>
      <c r="U8" s="140">
        <f>(Voiles!$O$26*((ACOS(((VPP!$B$11)*COS((VPP!H8*PI()/180))+(VPP!K8))/((SQRT((VPP!$B$11)^2+(VPP!K8)^2-2*(VPP!$B$11)*(VPP!K8)*COS(PI()-(VPP!H8*PI()/180)))))))*180/PI())^6+Voiles!$P$26*((ACOS(((VPP!$B$11)*COS((VPP!H8*PI()/180))+(VPP!K8))/((SQRT((VPP!$B$11)^2+(VPP!K8)^2-2*(VPP!$B$11)*(VPP!K8)*COS(PI()-(VPP!H8*PI()/180)))))))*180/PI())^5+Voiles!$Q$26*((ACOS(((VPP!$B$11)*COS((VPP!H8*PI()/180))+(VPP!K8))/((SQRT((VPP!$B$11)^2+(VPP!K8)^2-2*(VPP!$B$11)*(VPP!K8)*COS(PI()-(VPP!H8*PI()/180)))))))*180/PI())^4+Voiles!$R$26*((ACOS(((VPP!$B$11)*COS((VPP!H8*PI()/180))+(VPP!K8))/((SQRT((VPP!$B$11)^2+(VPP!K8)^2-2*(VPP!$B$11)*(VPP!K8)*COS(PI()-(VPP!H8*PI()/180)))))))*180/PI())^3+Voiles!$S$26*((ACOS(((VPP!$B$11)*COS((VPP!H8*PI()/180))+(VPP!K8))/((SQRT((VPP!$B$11)^2+(VPP!K8)^2-2*(VPP!$B$11)*(VPP!K8)*COS(PI()-(VPP!H8*PI()/180)))))))*180/PI())^2+Voiles!$T$26*((ACOS(((VPP!$B$11)*COS((VPP!H8*PI()/180))+(VPP!K8))/((SQRT((VPP!$B$11)^2+(VPP!K8)^2-2*(VPP!$B$11)*(VPP!K8)*COS(PI()-(VPP!H8*PI()/180)))))))*180/PI())+Voiles!$U$26)*COS(((ACOS(((VPP!$B$11)*COS((VPP!H8*PI()/180))+(VPP!K8))/((SQRT((VPP!$B$11)^2+(VPP!K8)^2-2*(VPP!$B$11)*(VPP!K8)*COS(PI()-(VPP!H8*PI()/180)))))))*180/PI())*PI()/180)+(Voiles!$O$27*((ACOS(((VPP!$B$11)*COS((VPP!H8*PI()/180))+(VPP!K8))/((SQRT((VPP!$B$11)^2+(VPP!K8)^2-2*(VPP!$B$11)*(VPP!K8)*COS(PI()-(VPP!H8*PI()/180)))))))*180/PI())^6+Voiles!$P$27*((ACOS(((VPP!$B$11)*COS((VPP!H8*PI()/180))+(VPP!K8))/((SQRT((VPP!$B$11)^2+(VPP!K8)^2-2*(VPP!$B$11)*(VPP!K8)*COS(PI()-(VPP!H8*PI()/180)))))))*180/PI())^5+Voiles!$Q$27*((ACOS(((VPP!$B$11)*COS((VPP!H8*PI()/180))+(VPP!K8))/((SQRT((VPP!$B$11)^2+(VPP!K8)^2-2*(VPP!$B$11)*(VPP!K8)*COS(PI()-(VPP!H8*PI()/180)))))))*180/PI())^4+Voiles!$R$27*((ACOS(((VPP!$B$11)*COS((VPP!H8*PI()/180))+(VPP!K8))/((SQRT((VPP!$B$11)^2+(VPP!K8)^2-2*(VPP!$B$11)*(VPP!K8)*COS(PI()-(VPP!H8*PI()/180)))))))*180/PI())^3+Voiles!$S$27*((ACOS(((VPP!$B$11)*COS((VPP!H8*PI()/180))+(VPP!K8))/((SQRT((VPP!$B$11)^2+(VPP!K8)^2-2*(VPP!$B$11)*(VPP!K8)*COS(PI()-(VPP!H8*PI()/180)))))))*180/PI())^2+Voiles!$T$27*((ACOS(((VPP!$B$11)*COS((VPP!H8*PI()/180))+(VPP!K8))/((SQRT((VPP!$B$11)^2+(VPP!K8)^2-2*(VPP!$B$11)*(VPP!K8)*COS(PI()-(VPP!H8*PI()/180)))))))*180/PI())+Voiles!$U$27)*SIN(((ACOS(((VPP!$B$11)*COS((VPP!H8*PI()/180))+(VPP!K8))/((SQRT((VPP!$B$11)^2+(VPP!K8)^2-2*(VPP!$B$11)*(VPP!K8)*COS(PI()-(VPP!H8*PI()/180)))))))*180/PI())*PI()/180)</f>
        <v>0.93080648922481124</v>
      </c>
      <c r="V8" s="141">
        <f>(Voiles!$O$26*((ACOS(((VPP!$B$11)*COS((VPP!H8*PI()/180))+(VPP!K8))/((SQRT((VPP!$B$11)^2+(VPP!K8)^2-2*(VPP!$B$11)*(VPP!K8)*COS(PI()-(VPP!H8*PI()/180)))))))*180/PI())^6+Voiles!$P$26*((ACOS(((VPP!$B$11)*COS((VPP!H8*PI()/180))+(VPP!K8))/((SQRT((VPP!$B$11)^2+(VPP!K8)^2-2*(VPP!$B$11)*(VPP!K8)*COS(PI()-(VPP!H8*PI()/180)))))))*180/PI())^5+Voiles!$Q$26*((ACOS(((VPP!$B$11)*COS((VPP!H8*PI()/180))+(VPP!K8))/((SQRT((VPP!$B$11)^2+(VPP!K8)^2-2*(VPP!$B$11)*(VPP!K8)*COS(PI()-(VPP!H8*PI()/180)))))))*180/PI())^4+Voiles!$R$26*((ACOS(((VPP!$B$11)*COS((VPP!H8*PI()/180))+(VPP!K8))/((SQRT((VPP!$B$11)^2+(VPP!K8)^2-2*(VPP!$B$11)*(VPP!K8)*COS(PI()-(VPP!H8*PI()/180)))))))*180/PI())^3+Voiles!$S$26*((ACOS(((VPP!$B$11)*COS((VPP!H8*PI()/180))+(VPP!K8))/((SQRT((VPP!$B$11)^2+(VPP!K8)^2-2*(VPP!$B$11)*(VPP!K8)*COS(PI()-(VPP!H8*PI()/180)))))))*180/PI())^2+Voiles!$T$26*((ACOS(((VPP!$B$11)*COS((VPP!H8*PI()/180))+(VPP!K8))/((SQRT((VPP!$B$11)^2+(VPP!K8)^2-2*(VPP!$B$11)*(VPP!K8)*COS(PI()-(VPP!H8*PI()/180)))))))*180/PI())+Voiles!$U$26)*SIN(((ACOS(((VPP!$B$11)*COS((VPP!H8*PI()/180))+(VPP!K8))/((SQRT((VPP!$B$11)^2+(VPP!K8)^2-2*(VPP!$B$11)*(VPP!K8)*COS(PI()-(VPP!H8*PI()/180)))))))*180/PI())*PI()/180)-(Voiles!$O$27*((ACOS(((VPP!$B$11)*COS((VPP!H8*PI()/180))+(VPP!K8))/((SQRT((VPP!$B$11)^2+(VPP!K8)^2-2*(VPP!$B$11)*(VPP!K8)*COS(PI()-(VPP!H8*PI()/180)))))))*180/PI())^6+Voiles!$P$27*((ACOS(((VPP!$B$11)*COS((VPP!H8*PI()/180))+(VPP!K8))/((SQRT((VPP!$B$11)^2+(VPP!K8)^2-2*(VPP!$B$11)*(VPP!K8)*COS(PI()-(VPP!H8*PI()/180)))))))*180/PI())^5+Voiles!$Q$27*((ACOS(((VPP!$B$11)*COS((VPP!H8*PI()/180))+(VPP!K8))/((SQRT((VPP!$B$11)^2+(VPP!K8)^2-2*(VPP!$B$11)*(VPP!K8)*COS(PI()-(VPP!H8*PI()/180)))))))*180/PI())^4+Voiles!$R$27*((ACOS(((VPP!$B$11)*COS((VPP!H8*PI()/180))+(VPP!K8))/((SQRT((VPP!$B$11)^2+(VPP!K8)^2-2*(VPP!$B$11)*(VPP!K8)*COS(PI()-(VPP!H8*PI()/180)))))))*180/PI())^3+Voiles!$S$27*((ACOS(((VPP!$B$11)*COS((VPP!H8*PI()/180))+(VPP!K8))/((SQRT((VPP!$B$11)^2+(VPP!K8)^2-2*(VPP!$B$11)*(VPP!K8)*COS(PI()-(VPP!H8*PI()/180)))))))*180/PI())^2+Voiles!$T$27*((ACOS(((VPP!$B$11)*COS((VPP!H8*PI()/180))+(VPP!K8))/((SQRT((VPP!$B$11)^2+(VPP!K8)^2-2*(VPP!$B$11)*(VPP!K8)*COS(PI()-(VPP!H8*PI()/180)))))))*180/PI())+Voiles!$U$27)*COS(((ACOS(((VPP!$B$11)*COS((VPP!H8*PI()/180))+(VPP!K8))/((SQRT((VPP!$B$11)^2+(VPP!K8)^2-2*(VPP!$B$11)*(VPP!K8)*COS(PI()-(VPP!H8*PI()/180)))))))*180/PI())*PI()/180)</f>
        <v>1.0215180749112314</v>
      </c>
    </row>
    <row r="9" spans="2:22" ht="15" thickBot="1" x14ac:dyDescent="0.4">
      <c r="B9" s="7" t="s">
        <v>11</v>
      </c>
      <c r="C9" s="1" t="s">
        <v>70</v>
      </c>
      <c r="D9" s="1" t="s">
        <v>71</v>
      </c>
      <c r="E9" s="2" t="s">
        <v>72</v>
      </c>
      <c r="F9" s="27" t="s">
        <v>11</v>
      </c>
      <c r="G9" s="19" t="s">
        <v>70</v>
      </c>
      <c r="H9" s="19" t="s">
        <v>71</v>
      </c>
      <c r="I9" s="115" t="s">
        <v>72</v>
      </c>
      <c r="K9" s="114" t="s">
        <v>72</v>
      </c>
      <c r="L9" s="3">
        <v>0</v>
      </c>
      <c r="M9" s="117">
        <v>0</v>
      </c>
      <c r="N9" s="117">
        <f>0.59*$D$6</f>
        <v>29.743079999999999</v>
      </c>
      <c r="U9" s="140">
        <f>(Voiles!$O$26*((ACOS(((VPP!$B$11)*COS((VPP!H9*PI()/180))+(VPP!K9))/((SQRT((VPP!$B$11)^2+(VPP!K9)^2-2*(VPP!$B$11)*(VPP!K9)*COS(PI()-(VPP!H9*PI()/180)))))))*180/PI())^6+Voiles!$P$26*((ACOS(((VPP!$B$11)*COS((VPP!H9*PI()/180))+(VPP!K9))/((SQRT((VPP!$B$11)^2+(VPP!K9)^2-2*(VPP!$B$11)*(VPP!K9)*COS(PI()-(VPP!H9*PI()/180)))))))*180/PI())^5+Voiles!$Q$26*((ACOS(((VPP!$B$11)*COS((VPP!H9*PI()/180))+(VPP!K9))/((SQRT((VPP!$B$11)^2+(VPP!K9)^2-2*(VPP!$B$11)*(VPP!K9)*COS(PI()-(VPP!H9*PI()/180)))))))*180/PI())^4+Voiles!$R$26*((ACOS(((VPP!$B$11)*COS((VPP!H9*PI()/180))+(VPP!K9))/((SQRT((VPP!$B$11)^2+(VPP!K9)^2-2*(VPP!$B$11)*(VPP!K9)*COS(PI()-(VPP!H9*PI()/180)))))))*180/PI())^3+Voiles!$S$26*((ACOS(((VPP!$B$11)*COS((VPP!H9*PI()/180))+(VPP!K9))/((SQRT((VPP!$B$11)^2+(VPP!K9)^2-2*(VPP!$B$11)*(VPP!K9)*COS(PI()-(VPP!H9*PI()/180)))))))*180/PI())^2+Voiles!$T$26*((ACOS(((VPP!$B$11)*COS((VPP!H9*PI()/180))+(VPP!K9))/((SQRT((VPP!$B$11)^2+(VPP!K9)^2-2*(VPP!$B$11)*(VPP!K9)*COS(PI()-(VPP!H9*PI()/180)))))))*180/PI())+Voiles!$U$26)*COS(((ACOS(((VPP!$B$11)*COS((VPP!H9*PI()/180))+(VPP!K9))/((SQRT((VPP!$B$11)^2+(VPP!K9)^2-2*(VPP!$B$11)*(VPP!K9)*COS(PI()-(VPP!H9*PI()/180)))))))*180/PI())*PI()/180)+(Voiles!$O$27*((ACOS(((VPP!$B$11)*COS((VPP!H9*PI()/180))+(VPP!K9))/((SQRT((VPP!$B$11)^2+(VPP!K9)^2-2*(VPP!$B$11)*(VPP!K9)*COS(PI()-(VPP!H9*PI()/180)))))))*180/PI())^6+Voiles!$P$27*((ACOS(((VPP!$B$11)*COS((VPP!H9*PI()/180))+(VPP!K9))/((SQRT((VPP!$B$11)^2+(VPP!K9)^2-2*(VPP!$B$11)*(VPP!K9)*COS(PI()-(VPP!H9*PI()/180)))))))*180/PI())^5+Voiles!$Q$27*((ACOS(((VPP!$B$11)*COS((VPP!H9*PI()/180))+(VPP!K9))/((SQRT((VPP!$B$11)^2+(VPP!K9)^2-2*(VPP!$B$11)*(VPP!K9)*COS(PI()-(VPP!H9*PI()/180)))))))*180/PI())^4+Voiles!$R$27*((ACOS(((VPP!$B$11)*COS((VPP!H9*PI()/180))+(VPP!K9))/((SQRT((VPP!$B$11)^2+(VPP!K9)^2-2*(VPP!$B$11)*(VPP!K9)*COS(PI()-(VPP!H9*PI()/180)))))))*180/PI())^3+Voiles!$S$27*((ACOS(((VPP!$B$11)*COS((VPP!H9*PI()/180))+(VPP!K9))/((SQRT((VPP!$B$11)^2+(VPP!K9)^2-2*(VPP!$B$11)*(VPP!K9)*COS(PI()-(VPP!H9*PI()/180)))))))*180/PI())^2+Voiles!$T$27*((ACOS(((VPP!$B$11)*COS((VPP!H9*PI()/180))+(VPP!K9))/((SQRT((VPP!$B$11)^2+(VPP!K9)^2-2*(VPP!$B$11)*(VPP!K9)*COS(PI()-(VPP!H9*PI()/180)))))))*180/PI())+Voiles!$U$27)*SIN(((ACOS(((VPP!$B$11)*COS((VPP!H9*PI()/180))+(VPP!K9))/((SQRT((VPP!$B$11)^2+(VPP!K9)^2-2*(VPP!$B$11)*(VPP!K9)*COS(PI()-(VPP!H9*PI()/180)))))))*180/PI())*PI()/180)</f>
        <v>0.72066928530752106</v>
      </c>
      <c r="V9" s="141">
        <f>(Voiles!$O$26*((ACOS(((VPP!$B$11)*COS((VPP!H9*PI()/180))+(VPP!K9))/((SQRT((VPP!$B$11)^2+(VPP!K9)^2-2*(VPP!$B$11)*(VPP!K9)*COS(PI()-(VPP!H9*PI()/180)))))))*180/PI())^6+Voiles!$P$26*((ACOS(((VPP!$B$11)*COS((VPP!H9*PI()/180))+(VPP!K9))/((SQRT((VPP!$B$11)^2+(VPP!K9)^2-2*(VPP!$B$11)*(VPP!K9)*COS(PI()-(VPP!H9*PI()/180)))))))*180/PI())^5+Voiles!$Q$26*((ACOS(((VPP!$B$11)*COS((VPP!H9*PI()/180))+(VPP!K9))/((SQRT((VPP!$B$11)^2+(VPP!K9)^2-2*(VPP!$B$11)*(VPP!K9)*COS(PI()-(VPP!H9*PI()/180)))))))*180/PI())^4+Voiles!$R$26*((ACOS(((VPP!$B$11)*COS((VPP!H9*PI()/180))+(VPP!K9))/((SQRT((VPP!$B$11)^2+(VPP!K9)^2-2*(VPP!$B$11)*(VPP!K9)*COS(PI()-(VPP!H9*PI()/180)))))))*180/PI())^3+Voiles!$S$26*((ACOS(((VPP!$B$11)*COS((VPP!H9*PI()/180))+(VPP!K9))/((SQRT((VPP!$B$11)^2+(VPP!K9)^2-2*(VPP!$B$11)*(VPP!K9)*COS(PI()-(VPP!H9*PI()/180)))))))*180/PI())^2+Voiles!$T$26*((ACOS(((VPP!$B$11)*COS((VPP!H9*PI()/180))+(VPP!K9))/((SQRT((VPP!$B$11)^2+(VPP!K9)^2-2*(VPP!$B$11)*(VPP!K9)*COS(PI()-(VPP!H9*PI()/180)))))))*180/PI())+Voiles!$U$26)*SIN(((ACOS(((VPP!$B$11)*COS((VPP!H9*PI()/180))+(VPP!K9))/((SQRT((VPP!$B$11)^2+(VPP!K9)^2-2*(VPP!$B$11)*(VPP!K9)*COS(PI()-(VPP!H9*PI()/180)))))))*180/PI())*PI()/180)-(Voiles!$O$27*((ACOS(((VPP!$B$11)*COS((VPP!H9*PI()/180))+(VPP!K9))/((SQRT((VPP!$B$11)^2+(VPP!K9)^2-2*(VPP!$B$11)*(VPP!K9)*COS(PI()-(VPP!H9*PI()/180)))))))*180/PI())^6+Voiles!$P$27*((ACOS(((VPP!$B$11)*COS((VPP!H9*PI()/180))+(VPP!K9))/((SQRT((VPP!$B$11)^2+(VPP!K9)^2-2*(VPP!$B$11)*(VPP!K9)*COS(PI()-(VPP!H9*PI()/180)))))))*180/PI())^5+Voiles!$Q$27*((ACOS(((VPP!$B$11)*COS((VPP!H9*PI()/180))+(VPP!K9))/((SQRT((VPP!$B$11)^2+(VPP!K9)^2-2*(VPP!$B$11)*(VPP!K9)*COS(PI()-(VPP!H9*PI()/180)))))))*180/PI())^4+Voiles!$R$27*((ACOS(((VPP!$B$11)*COS((VPP!H9*PI()/180))+(VPP!K9))/((SQRT((VPP!$B$11)^2+(VPP!K9)^2-2*(VPP!$B$11)*(VPP!K9)*COS(PI()-(VPP!H9*PI()/180)))))))*180/PI())^3+Voiles!$S$27*((ACOS(((VPP!$B$11)*COS((VPP!H9*PI()/180))+(VPP!K9))/((SQRT((VPP!$B$11)^2+(VPP!K9)^2-2*(VPP!$B$11)*(VPP!K9)*COS(PI()-(VPP!H9*PI()/180)))))))*180/PI())^2+Voiles!$T$27*((ACOS(((VPP!$B$11)*COS((VPP!H9*PI()/180))+(VPP!K9))/((SQRT((VPP!$B$11)^2+(VPP!K9)^2-2*(VPP!$B$11)*(VPP!K9)*COS(PI()-(VPP!H9*PI()/180)))))))*180/PI())+Voiles!$U$27)*COS(((ACOS(((VPP!$B$11)*COS((VPP!H9*PI()/180))+(VPP!K9))/((SQRT((VPP!$B$11)^2+(VPP!K9)^2-2*(VPP!$B$11)*(VPP!K9)*COS(PI()-(VPP!H9*PI()/180)))))))*180/PI())*PI()/180)</f>
        <v>1.1106097415111669</v>
      </c>
    </row>
    <row r="10" spans="2:22" ht="15" thickBot="1" x14ac:dyDescent="0.4">
      <c r="B10" s="7">
        <v>27</v>
      </c>
      <c r="C10" s="1">
        <v>1.36</v>
      </c>
      <c r="D10" s="1">
        <v>1.5</v>
      </c>
      <c r="E10" s="2">
        <v>0</v>
      </c>
      <c r="F10" s="27">
        <v>30</v>
      </c>
      <c r="G10" s="86">
        <f>_xll.SRS1Splines.Functions25.OneWay_Spline($B$10:$B$15,$C$10:$C$15,F10)</f>
        <v>1.3617355371900799</v>
      </c>
      <c r="H10" s="86" cm="1">
        <f t="array" ref="H10">_xll.SRS1Splines.Functions25.OneWay_Spline($B$10:$B$15,$D$10:$D$15,F10)</f>
        <v>1.4943290043290001</v>
      </c>
      <c r="I10" s="87" cm="1">
        <f t="array" ref="I10">_xll.SRS1Splines.Functions25.OneWay_Spline($B$10:$B$15,$E$10:$E$15,F10)</f>
        <v>0.13950842545883901</v>
      </c>
      <c r="K10" s="1"/>
      <c r="L10" s="118" t="s">
        <v>123</v>
      </c>
      <c r="M10" s="119">
        <f>$L$7*$M$7+$L$9*$M$9+$L$8*$M$8</f>
        <v>4282.8</v>
      </c>
      <c r="N10" s="148">
        <f>(($L$7*$M$7*$N$7+$L$8*$M$8*$N$8+$L$9*$M$9*$N$9)/($M$10))*$L$3</f>
        <v>21.612860816288407</v>
      </c>
      <c r="U10" s="140">
        <f>(Voiles!$O$26*((ACOS(((VPP!$B$11)*COS((VPP!H10*PI()/180))+(VPP!K10))/((SQRT((VPP!$B$11)^2+(VPP!K10)^2-2*(VPP!$B$11)*(VPP!K10)*COS(PI()-(VPP!H10*PI()/180)))))))*180/PI())^6+Voiles!$P$26*((ACOS(((VPP!$B$11)*COS((VPP!H10*PI()/180))+(VPP!K10))/((SQRT((VPP!$B$11)^2+(VPP!K10)^2-2*(VPP!$B$11)*(VPP!K10)*COS(PI()-(VPP!H10*PI()/180)))))))*180/PI())^5+Voiles!$Q$26*((ACOS(((VPP!$B$11)*COS((VPP!H10*PI()/180))+(VPP!K10))/((SQRT((VPP!$B$11)^2+(VPP!K10)^2-2*(VPP!$B$11)*(VPP!K10)*COS(PI()-(VPP!H10*PI()/180)))))))*180/PI())^4+Voiles!$R$26*((ACOS(((VPP!$B$11)*COS((VPP!H10*PI()/180))+(VPP!K10))/((SQRT((VPP!$B$11)^2+(VPP!K10)^2-2*(VPP!$B$11)*(VPP!K10)*COS(PI()-(VPP!H10*PI()/180)))))))*180/PI())^3+Voiles!$S$26*((ACOS(((VPP!$B$11)*COS((VPP!H10*PI()/180))+(VPP!K10))/((SQRT((VPP!$B$11)^2+(VPP!K10)^2-2*(VPP!$B$11)*(VPP!K10)*COS(PI()-(VPP!H10*PI()/180)))))))*180/PI())^2+Voiles!$T$26*((ACOS(((VPP!$B$11)*COS((VPP!H10*PI()/180))+(VPP!K10))/((SQRT((VPP!$B$11)^2+(VPP!K10)^2-2*(VPP!$B$11)*(VPP!K10)*COS(PI()-(VPP!H10*PI()/180)))))))*180/PI())+Voiles!$U$26)*COS(((ACOS(((VPP!$B$11)*COS((VPP!H10*PI()/180))+(VPP!K10))/((SQRT((VPP!$B$11)^2+(VPP!K10)^2-2*(VPP!$B$11)*(VPP!K10)*COS(PI()-(VPP!H10*PI()/180)))))))*180/PI())*PI()/180)+(Voiles!$O$27*((ACOS(((VPP!$B$11)*COS((VPP!H10*PI()/180))+(VPP!K10))/((SQRT((VPP!$B$11)^2+(VPP!K10)^2-2*(VPP!$B$11)*(VPP!K10)*COS(PI()-(VPP!H10*PI()/180)))))))*180/PI())^6+Voiles!$P$27*((ACOS(((VPP!$B$11)*COS((VPP!H10*PI()/180))+(VPP!K10))/((SQRT((VPP!$B$11)^2+(VPP!K10)^2-2*(VPP!$B$11)*(VPP!K10)*COS(PI()-(VPP!H10*PI()/180)))))))*180/PI())^5+Voiles!$Q$27*((ACOS(((VPP!$B$11)*COS((VPP!H10*PI()/180))+(VPP!K10))/((SQRT((VPP!$B$11)^2+(VPP!K10)^2-2*(VPP!$B$11)*(VPP!K10)*COS(PI()-(VPP!H10*PI()/180)))))))*180/PI())^4+Voiles!$R$27*((ACOS(((VPP!$B$11)*COS((VPP!H10*PI()/180))+(VPP!K10))/((SQRT((VPP!$B$11)^2+(VPP!K10)^2-2*(VPP!$B$11)*(VPP!K10)*COS(PI()-(VPP!H10*PI()/180)))))))*180/PI())^3+Voiles!$S$27*((ACOS(((VPP!$B$11)*COS((VPP!H10*PI()/180))+(VPP!K10))/((SQRT((VPP!$B$11)^2+(VPP!K10)^2-2*(VPP!$B$11)*(VPP!K10)*COS(PI()-(VPP!H10*PI()/180)))))))*180/PI())^2+Voiles!$T$27*((ACOS(((VPP!$B$11)*COS((VPP!H10*PI()/180))+(VPP!K10))/((SQRT((VPP!$B$11)^2+(VPP!K10)^2-2*(VPP!$B$11)*(VPP!K10)*COS(PI()-(VPP!H10*PI()/180)))))))*180/PI())+Voiles!$U$27)*SIN(((ACOS(((VPP!$B$11)*COS((VPP!H10*PI()/180))+(VPP!K10))/((SQRT((VPP!$B$11)^2+(VPP!K10)^2-2*(VPP!$B$11)*(VPP!K10)*COS(PI()-(VPP!H10*PI()/180)))))))*180/PI())*PI()/180)</f>
        <v>0.52810156821502496</v>
      </c>
      <c r="V10" s="141">
        <f>(Voiles!$O$26*((ACOS(((VPP!$B$11)*COS((VPP!H10*PI()/180))+(VPP!K10))/((SQRT((VPP!$B$11)^2+(VPP!K10)^2-2*(VPP!$B$11)*(VPP!K10)*COS(PI()-(VPP!H10*PI()/180)))))))*180/PI())^6+Voiles!$P$26*((ACOS(((VPP!$B$11)*COS((VPP!H10*PI()/180))+(VPP!K10))/((SQRT((VPP!$B$11)^2+(VPP!K10)^2-2*(VPP!$B$11)*(VPP!K10)*COS(PI()-(VPP!H10*PI()/180)))))))*180/PI())^5+Voiles!$Q$26*((ACOS(((VPP!$B$11)*COS((VPP!H10*PI()/180))+(VPP!K10))/((SQRT((VPP!$B$11)^2+(VPP!K10)^2-2*(VPP!$B$11)*(VPP!K10)*COS(PI()-(VPP!H10*PI()/180)))))))*180/PI())^4+Voiles!$R$26*((ACOS(((VPP!$B$11)*COS((VPP!H10*PI()/180))+(VPP!K10))/((SQRT((VPP!$B$11)^2+(VPP!K10)^2-2*(VPP!$B$11)*(VPP!K10)*COS(PI()-(VPP!H10*PI()/180)))))))*180/PI())^3+Voiles!$S$26*((ACOS(((VPP!$B$11)*COS((VPP!H10*PI()/180))+(VPP!K10))/((SQRT((VPP!$B$11)^2+(VPP!K10)^2-2*(VPP!$B$11)*(VPP!K10)*COS(PI()-(VPP!H10*PI()/180)))))))*180/PI())^2+Voiles!$T$26*((ACOS(((VPP!$B$11)*COS((VPP!H10*PI()/180))+(VPP!K10))/((SQRT((VPP!$B$11)^2+(VPP!K10)^2-2*(VPP!$B$11)*(VPP!K10)*COS(PI()-(VPP!H10*PI()/180)))))))*180/PI())+Voiles!$U$26)*SIN(((ACOS(((VPP!$B$11)*COS((VPP!H10*PI()/180))+(VPP!K10))/((SQRT((VPP!$B$11)^2+(VPP!K10)^2-2*(VPP!$B$11)*(VPP!K10)*COS(PI()-(VPP!H10*PI()/180)))))))*180/PI())*PI()/180)-(Voiles!$O$27*((ACOS(((VPP!$B$11)*COS((VPP!H10*PI()/180))+(VPP!K10))/((SQRT((VPP!$B$11)^2+(VPP!K10)^2-2*(VPP!$B$11)*(VPP!K10)*COS(PI()-(VPP!H10*PI()/180)))))))*180/PI())^6+Voiles!$P$27*((ACOS(((VPP!$B$11)*COS((VPP!H10*PI()/180))+(VPP!K10))/((SQRT((VPP!$B$11)^2+(VPP!K10)^2-2*(VPP!$B$11)*(VPP!K10)*COS(PI()-(VPP!H10*PI()/180)))))))*180/PI())^5+Voiles!$Q$27*((ACOS(((VPP!$B$11)*COS((VPP!H10*PI()/180))+(VPP!K10))/((SQRT((VPP!$B$11)^2+(VPP!K10)^2-2*(VPP!$B$11)*(VPP!K10)*COS(PI()-(VPP!H10*PI()/180)))))))*180/PI())^4+Voiles!$R$27*((ACOS(((VPP!$B$11)*COS((VPP!H10*PI()/180))+(VPP!K10))/((SQRT((VPP!$B$11)^2+(VPP!K10)^2-2*(VPP!$B$11)*(VPP!K10)*COS(PI()-(VPP!H10*PI()/180)))))))*180/PI())^3+Voiles!$S$27*((ACOS(((VPP!$B$11)*COS((VPP!H10*PI()/180))+(VPP!K10))/((SQRT((VPP!$B$11)^2+(VPP!K10)^2-2*(VPP!$B$11)*(VPP!K10)*COS(PI()-(VPP!H10*PI()/180)))))))*180/PI())^2+Voiles!$T$27*((ACOS(((VPP!$B$11)*COS((VPP!H10*PI()/180))+(VPP!K10))/((SQRT((VPP!$B$11)^2+(VPP!K10)^2-2*(VPP!$B$11)*(VPP!K10)*COS(PI()-(VPP!H10*PI()/180)))))))*180/PI())+Voiles!$U$27)*COS(((ACOS(((VPP!$B$11)*COS((VPP!H10*PI()/180))+(VPP!K10))/((SQRT((VPP!$B$11)^2+(VPP!K10)^2-2*(VPP!$B$11)*(VPP!K10)*COS(PI()-(VPP!H10*PI()/180)))))))*180/PI())*PI()/180)</f>
        <v>1.1835032051931833</v>
      </c>
    </row>
    <row r="11" spans="2:22" ht="15" thickBot="1" x14ac:dyDescent="0.4">
      <c r="B11" s="7">
        <v>60</v>
      </c>
      <c r="C11" s="1">
        <v>1.37</v>
      </c>
      <c r="D11" s="1">
        <v>1.22</v>
      </c>
      <c r="E11" s="2">
        <v>1</v>
      </c>
      <c r="F11" s="27">
        <v>40</v>
      </c>
      <c r="G11" s="86">
        <f>_xll.SRS1Splines.Functions25.OneWay_Spline($B$10:$B$15,$C$10:$C$15,F11)</f>
        <v>1.36632690541781</v>
      </c>
      <c r="H11" s="86" cm="1">
        <f t="array" ref="H11">_xll.SRS1Splines.Functions25.OneWay_Spline($B$10:$B$15,$D$10:$D$15,F11)</f>
        <v>1.4468494468494499</v>
      </c>
      <c r="I11" s="87" cm="1">
        <f t="array" ref="I11">_xll.SRS1Splines.Functions25.OneWay_Spline($B$10:$B$15,$E$10:$E$15,F11)</f>
        <v>0.56712182827885305</v>
      </c>
      <c r="U11" s="142">
        <f>(Voiles!$O$26*((ACOS(((VPP!$B$11)*COS((VPP!H11*PI()/180))+(VPP!K11))/((SQRT((VPP!$B$11)^2+(VPP!K11)^2-2*(VPP!$B$11)*(VPP!K11)*COS(PI()-(VPP!H11*PI()/180)))))))*180/PI())^6+Voiles!$P$26*((ACOS(((VPP!$B$11)*COS((VPP!H11*PI()/180))+(VPP!K11))/((SQRT((VPP!$B$11)^2+(VPP!K11)^2-2*(VPP!$B$11)*(VPP!K11)*COS(PI()-(VPP!H11*PI()/180)))))))*180/PI())^5+Voiles!$Q$26*((ACOS(((VPP!$B$11)*COS((VPP!H11*PI()/180))+(VPP!K11))/((SQRT((VPP!$B$11)^2+(VPP!K11)^2-2*(VPP!$B$11)*(VPP!K11)*COS(PI()-(VPP!H11*PI()/180)))))))*180/PI())^4+Voiles!$R$26*((ACOS(((VPP!$B$11)*COS((VPP!H11*PI()/180))+(VPP!K11))/((SQRT((VPP!$B$11)^2+(VPP!K11)^2-2*(VPP!$B$11)*(VPP!K11)*COS(PI()-(VPP!H11*PI()/180)))))))*180/PI())^3+Voiles!$S$26*((ACOS(((VPP!$B$11)*COS((VPP!H11*PI()/180))+(VPP!K11))/((SQRT((VPP!$B$11)^2+(VPP!K11)^2-2*(VPP!$B$11)*(VPP!K11)*COS(PI()-(VPP!H11*PI()/180)))))))*180/PI())^2+Voiles!$T$26*((ACOS(((VPP!$B$11)*COS((VPP!H11*PI()/180))+(VPP!K11))/((SQRT((VPP!$B$11)^2+(VPP!K11)^2-2*(VPP!$B$11)*(VPP!K11)*COS(PI()-(VPP!H11*PI()/180)))))))*180/PI())+Voiles!$U$26)*COS(((ACOS(((VPP!$B$11)*COS((VPP!H11*PI()/180))+(VPP!K11))/((SQRT((VPP!$B$11)^2+(VPP!K11)^2-2*(VPP!$B$11)*(VPP!K11)*COS(PI()-(VPP!H11*PI()/180)))))))*180/PI())*PI()/180)+(Voiles!$O$27*((ACOS(((VPP!$B$11)*COS((VPP!H11*PI()/180))+(VPP!K11))/((SQRT((VPP!$B$11)^2+(VPP!K11)^2-2*(VPP!$B$11)*(VPP!K11)*COS(PI()-(VPP!H11*PI()/180)))))))*180/PI())^6+Voiles!$P$27*((ACOS(((VPP!$B$11)*COS((VPP!H11*PI()/180))+(VPP!K11))/((SQRT((VPP!$B$11)^2+(VPP!K11)^2-2*(VPP!$B$11)*(VPP!K11)*COS(PI()-(VPP!H11*PI()/180)))))))*180/PI())^5+Voiles!$Q$27*((ACOS(((VPP!$B$11)*COS((VPP!H11*PI()/180))+(VPP!K11))/((SQRT((VPP!$B$11)^2+(VPP!K11)^2-2*(VPP!$B$11)*(VPP!K11)*COS(PI()-(VPP!H11*PI()/180)))))))*180/PI())^4+Voiles!$R$27*((ACOS(((VPP!$B$11)*COS((VPP!H11*PI()/180))+(VPP!K11))/((SQRT((VPP!$B$11)^2+(VPP!K11)^2-2*(VPP!$B$11)*(VPP!K11)*COS(PI()-(VPP!H11*PI()/180)))))))*180/PI())^3+Voiles!$S$27*((ACOS(((VPP!$B$11)*COS((VPP!H11*PI()/180))+(VPP!K11))/((SQRT((VPP!$B$11)^2+(VPP!K11)^2-2*(VPP!$B$11)*(VPP!K11)*COS(PI()-(VPP!H11*PI()/180)))))))*180/PI())^2+Voiles!$T$27*((ACOS(((VPP!$B$11)*COS((VPP!H11*PI()/180))+(VPP!K11))/((SQRT((VPP!$B$11)^2+(VPP!K11)^2-2*(VPP!$B$11)*(VPP!K11)*COS(PI()-(VPP!H11*PI()/180)))))))*180/PI())+Voiles!$U$27)*SIN(((ACOS(((VPP!$B$11)*COS((VPP!H11*PI()/180))+(VPP!K11))/((SQRT((VPP!$B$11)^2+(VPP!K11)^2-2*(VPP!$B$11)*(VPP!K11)*COS(PI()-(VPP!H11*PI()/180)))))))*180/PI())*PI()/180)</f>
        <v>0.29502512169067158</v>
      </c>
      <c r="V11" s="143">
        <f>(Voiles!$O$26*((ACOS(((VPP!$B$11)*COS((VPP!H11*PI()/180))+(VPP!K11))/((SQRT((VPP!$B$11)^2+(VPP!K11)^2-2*(VPP!$B$11)*(VPP!K11)*COS(PI()-(VPP!H11*PI()/180)))))))*180/PI())^6+Voiles!$P$26*((ACOS(((VPP!$B$11)*COS((VPP!H11*PI()/180))+(VPP!K11))/((SQRT((VPP!$B$11)^2+(VPP!K11)^2-2*(VPP!$B$11)*(VPP!K11)*COS(PI()-(VPP!H11*PI()/180)))))))*180/PI())^5+Voiles!$Q$26*((ACOS(((VPP!$B$11)*COS((VPP!H11*PI()/180))+(VPP!K11))/((SQRT((VPP!$B$11)^2+(VPP!K11)^2-2*(VPP!$B$11)*(VPP!K11)*COS(PI()-(VPP!H11*PI()/180)))))))*180/PI())^4+Voiles!$R$26*((ACOS(((VPP!$B$11)*COS((VPP!H11*PI()/180))+(VPP!K11))/((SQRT((VPP!$B$11)^2+(VPP!K11)^2-2*(VPP!$B$11)*(VPP!K11)*COS(PI()-(VPP!H11*PI()/180)))))))*180/PI())^3+Voiles!$S$26*((ACOS(((VPP!$B$11)*COS((VPP!H11*PI()/180))+(VPP!K11))/((SQRT((VPP!$B$11)^2+(VPP!K11)^2-2*(VPP!$B$11)*(VPP!K11)*COS(PI()-(VPP!H11*PI()/180)))))))*180/PI())^2+Voiles!$T$26*((ACOS(((VPP!$B$11)*COS((VPP!H11*PI()/180))+(VPP!K11))/((SQRT((VPP!$B$11)^2+(VPP!K11)^2-2*(VPP!$B$11)*(VPP!K11)*COS(PI()-(VPP!H11*PI()/180)))))))*180/PI())+Voiles!$U$26)*SIN(((ACOS(((VPP!$B$11)*COS((VPP!H11*PI()/180))+(VPP!K11))/((SQRT((VPP!$B$11)^2+(VPP!K11)^2-2*(VPP!$B$11)*(VPP!K11)*COS(PI()-(VPP!H11*PI()/180)))))))*180/PI())*PI()/180)-(Voiles!$O$27*((ACOS(((VPP!$B$11)*COS((VPP!H11*PI()/180))+(VPP!K11))/((SQRT((VPP!$B$11)^2+(VPP!K11)^2-2*(VPP!$B$11)*(VPP!K11)*COS(PI()-(VPP!H11*PI()/180)))))))*180/PI())^6+Voiles!$P$27*((ACOS(((VPP!$B$11)*COS((VPP!H11*PI()/180))+(VPP!K11))/((SQRT((VPP!$B$11)^2+(VPP!K11)^2-2*(VPP!$B$11)*(VPP!K11)*COS(PI()-(VPP!H11*PI()/180)))))))*180/PI())^5+Voiles!$Q$27*((ACOS(((VPP!$B$11)*COS((VPP!H11*PI()/180))+(VPP!K11))/((SQRT((VPP!$B$11)^2+(VPP!K11)^2-2*(VPP!$B$11)*(VPP!K11)*COS(PI()-(VPP!H11*PI()/180)))))))*180/PI())^4+Voiles!$R$27*((ACOS(((VPP!$B$11)*COS((VPP!H11*PI()/180))+(VPP!K11))/((SQRT((VPP!$B$11)^2+(VPP!K11)^2-2*(VPP!$B$11)*(VPP!K11)*COS(PI()-(VPP!H11*PI()/180)))))))*180/PI())^3+Voiles!$S$27*((ACOS(((VPP!$B$11)*COS((VPP!H11*PI()/180))+(VPP!K11))/((SQRT((VPP!$B$11)^2+(VPP!K11)^2-2*(VPP!$B$11)*(VPP!K11)*COS(PI()-(VPP!H11*PI()/180)))))))*180/PI())^2+Voiles!$T$27*((ACOS(((VPP!$B$11)*COS((VPP!H11*PI()/180))+(VPP!K11))/((SQRT((VPP!$B$11)^2+(VPP!K11)^2-2*(VPP!$B$11)*(VPP!K11)*COS(PI()-(VPP!H11*PI()/180)))))))*180/PI())+Voiles!$U$27)*COS(((ACOS(((VPP!$B$11)*COS((VPP!H11*PI()/180))+(VPP!K11))/((SQRT((VPP!$B$11)^2+(VPP!K11)^2-2*(VPP!$B$11)*(VPP!K11)*COS(PI()-(VPP!H11*PI()/180)))))))*180/PI())*PI()/180)</f>
        <v>1.2021193681573754</v>
      </c>
    </row>
    <row r="12" spans="2:22" x14ac:dyDescent="0.35">
      <c r="B12" s="7">
        <v>90</v>
      </c>
      <c r="C12" s="1">
        <v>1.25</v>
      </c>
      <c r="D12" s="1">
        <v>0.55000000000000004</v>
      </c>
      <c r="E12" s="2">
        <v>0.96</v>
      </c>
      <c r="F12" s="27">
        <v>50</v>
      </c>
      <c r="G12" s="86" cm="1">
        <f t="array" ref="G12">_xll.SRS1Splines.Functions25.OneWay_Spline($B$10:$B$15,$C$10:$C$15,F12)</f>
        <v>1.3690817263544499</v>
      </c>
      <c r="H12" s="86" cm="1">
        <f t="array" ref="H12">_xll.SRS1Splines.Functions25.OneWay_Spline($B$10:$B$15,$D$10:$D$15,F12)</f>
        <v>1.3554064454064501</v>
      </c>
      <c r="I12" s="87" cm="1">
        <f t="array" ref="I12">_xll.SRS1Splines.Functions25.OneWay_Spline($B$10:$B$15,$E$10:$E$15,F12)</f>
        <v>0.87917108908844399</v>
      </c>
      <c r="K12" s="111" t="s">
        <v>11</v>
      </c>
      <c r="L12" s="112" t="s">
        <v>75</v>
      </c>
      <c r="M12" s="113" t="s">
        <v>76</v>
      </c>
    </row>
    <row r="13" spans="2:22" x14ac:dyDescent="0.35">
      <c r="B13" s="7">
        <v>120</v>
      </c>
      <c r="C13" s="1">
        <v>0.96</v>
      </c>
      <c r="D13" s="1">
        <v>0.2</v>
      </c>
      <c r="E13" s="2">
        <v>0.72</v>
      </c>
      <c r="F13" s="27">
        <v>60</v>
      </c>
      <c r="G13" s="86" cm="1">
        <f t="array" ref="G13">_xll.SRS1Splines.Functions25.OneWay_Spline($B$10:$B$15,$C$10:$C$15,F13)</f>
        <v>1.37</v>
      </c>
      <c r="H13" s="86" cm="1">
        <f t="array" ref="H13">_xll.SRS1Splines.Functions25.OneWay_Spline($B$10:$B$15,$D$10:$D$15,F13)</f>
        <v>1.22</v>
      </c>
      <c r="I13" s="87" cm="1">
        <f t="array" ref="I13">_xll.SRS1Splines.Functions25.OneWay_Spline($B$10:$B$15,$E$10:$E$15,F13)</f>
        <v>1</v>
      </c>
      <c r="K13" s="7">
        <v>30</v>
      </c>
      <c r="L13" s="122">
        <f>$L$4*$L$3^2*(($L$7*G10*$M$7+$L$8*H10*$M$8+$L$9*I10*$M$9)/($L$7*$M$7+$L$8*$M$8+$L$9*$M$9))</f>
        <v>1.4203728834964948</v>
      </c>
      <c r="M13" s="123">
        <f>K31+L31+N31+M31</f>
        <v>0.97829720176662782</v>
      </c>
    </row>
    <row r="14" spans="2:22" x14ac:dyDescent="0.35">
      <c r="B14" s="7">
        <v>150</v>
      </c>
      <c r="C14" s="1">
        <v>0.4</v>
      </c>
      <c r="D14" s="1">
        <v>0</v>
      </c>
      <c r="E14" s="2">
        <v>0.3</v>
      </c>
      <c r="F14" s="27">
        <v>70</v>
      </c>
      <c r="G14" s="86" cm="1">
        <f t="array" ref="G14">_xll.SRS1Splines.Functions25.OneWay_Spline($B$10:$B$15,$C$10:$C$15,F14)</f>
        <v>1.35407407407407</v>
      </c>
      <c r="H14" s="86" cm="1">
        <f t="array" ref="H14">_xll.SRS1Splines.Functions25.OneWay_Spline($B$10:$B$15,$D$10:$D$15,F14)</f>
        <v>1.0141237774571099</v>
      </c>
      <c r="I14" s="87" cm="1">
        <f t="array" ref="I14">_xll.SRS1Splines.Functions25.OneWay_Spline($B$10:$B$15,$E$10:$E$15,F14)</f>
        <v>0.99555555555555597</v>
      </c>
      <c r="K14" s="7">
        <v>40</v>
      </c>
      <c r="L14" s="122">
        <f t="shared" ref="L14:L28" si="0">$L$4*$L$3^2*(($L$7*G11*$M$7+$L$8*H11*$M$8+$L$9*I11*$M$9)/($L$7*$M$7+$L$8*$M$8+$L$9*$M$9))</f>
        <v>1.4019367152318396</v>
      </c>
      <c r="M14" s="123">
        <f>K32+L32+N32+M32</f>
        <v>1.0360061369671698</v>
      </c>
    </row>
    <row r="15" spans="2:22" ht="15" thickBot="1" x14ac:dyDescent="0.4">
      <c r="B15" s="28">
        <v>180</v>
      </c>
      <c r="C15" s="133">
        <v>0</v>
      </c>
      <c r="D15" s="133">
        <v>0</v>
      </c>
      <c r="E15" s="134">
        <v>0</v>
      </c>
      <c r="F15" s="27">
        <v>80</v>
      </c>
      <c r="G15" s="86" cm="1">
        <f t="array" ref="G15">_xll.SRS1Splines.Functions25.OneWay_Spline($B$10:$B$15,$C$10:$C$15,F15)</f>
        <v>1.3114814814814799</v>
      </c>
      <c r="H15" s="86" cm="1">
        <f t="array" ref="H15">_xll.SRS1Splines.Functions25.OneWay_Spline($B$10:$B$15,$D$10:$D$15,F15)</f>
        <v>0.76428411095077797</v>
      </c>
      <c r="I15" s="87" cm="1">
        <f t="array" ref="I15">_xll.SRS1Splines.Functions25.OneWay_Spline($B$10:$B$15,$E$10:$E$15,F15)</f>
        <v>0.982222222222222</v>
      </c>
      <c r="K15" s="7">
        <v>50</v>
      </c>
      <c r="L15" s="122">
        <f t="shared" si="0"/>
        <v>1.3630340514418899</v>
      </c>
      <c r="M15" s="123">
        <f t="shared" ref="M15:M28" si="1">K33+L33+N33+M33</f>
        <v>1.0771666270987554</v>
      </c>
    </row>
    <row r="16" spans="2:22" x14ac:dyDescent="0.35">
      <c r="F16" s="27">
        <v>90</v>
      </c>
      <c r="G16" s="86" cm="1">
        <f t="array" ref="G16">_xll.SRS1Splines.Functions25.OneWay_Spline($B$10:$B$15,$C$10:$C$15,F16)</f>
        <v>1.25</v>
      </c>
      <c r="H16" s="86" cm="1">
        <f t="array" ref="H16">_xll.SRS1Splines.Functions25.OneWay_Spline($B$10:$B$15,$D$10:$D$15,F16)</f>
        <v>0.55000000000000004</v>
      </c>
      <c r="I16" s="87" cm="1">
        <f t="array" ref="I16">_xll.SRS1Splines.Functions25.OneWay_Spline($B$10:$B$15,$E$10:$E$15,F16)</f>
        <v>0.96</v>
      </c>
      <c r="K16" s="7">
        <v>60</v>
      </c>
      <c r="L16" s="122">
        <f t="shared" si="0"/>
        <v>1.303664892126646</v>
      </c>
      <c r="M16" s="123">
        <f t="shared" si="1"/>
        <v>1.1020434110691049</v>
      </c>
    </row>
    <row r="17" spans="2:21" x14ac:dyDescent="0.35">
      <c r="F17" s="27">
        <v>100</v>
      </c>
      <c r="G17" s="86" cm="1">
        <f t="array" ref="G17">_xll.SRS1Splines.Functions25.OneWay_Spline($B$10:$B$15,$C$10:$C$15,F17)</f>
        <v>1.17592592592593</v>
      </c>
      <c r="H17" s="86" cm="1">
        <f t="array" ref="H17">_xll.SRS1Splines.Functions25.OneWay_Spline($B$10:$B$15,$D$10:$D$15,F17)</f>
        <v>0.40407407407407397</v>
      </c>
      <c r="I17" s="87" cm="1">
        <f t="array" ref="I17">_xll.SRS1Splines.Functions25.OneWay_Spline($B$10:$B$15,$E$10:$E$15,F17)</f>
        <v>0.91037037037037005</v>
      </c>
      <c r="K17" s="7">
        <v>70</v>
      </c>
      <c r="L17" s="122">
        <f t="shared" si="0"/>
        <v>1.2037364767563052</v>
      </c>
      <c r="M17" s="123">
        <f t="shared" si="1"/>
        <v>1.0874944089676439</v>
      </c>
    </row>
    <row r="18" spans="2:21" x14ac:dyDescent="0.35">
      <c r="F18" s="27">
        <v>110</v>
      </c>
      <c r="G18" s="86" cm="1">
        <f t="array" ref="G18">_xll.SRS1Splines.Functions25.OneWay_Spline($B$10:$B$15,$C$10:$C$15,F18)</f>
        <v>1.08296296296296</v>
      </c>
      <c r="H18" s="86" cm="1">
        <f t="array" ref="H18">_xll.SRS1Splines.Functions25.OneWay_Spline($B$10:$B$15,$D$10:$D$15,F18)</f>
        <v>0.29370370370370402</v>
      </c>
      <c r="I18" s="87" cm="1">
        <f t="array" ref="I18">_xll.SRS1Splines.Functions25.OneWay_Spline($B$10:$B$15,$E$10:$E$15,F18)</f>
        <v>0.82518518518518502</v>
      </c>
      <c r="K18" s="7">
        <v>80</v>
      </c>
      <c r="L18" s="122">
        <f t="shared" si="0"/>
        <v>1.0694921708003486</v>
      </c>
      <c r="M18" s="123">
        <f t="shared" si="1"/>
        <v>1.0494860522301381</v>
      </c>
    </row>
    <row r="19" spans="2:21" x14ac:dyDescent="0.35">
      <c r="F19" s="27">
        <v>120</v>
      </c>
      <c r="G19" s="86">
        <f>_xll.SRS1Splines.Functions25.OneWay_Spline($B$10:$B$15,$C$10:$C$15,F19)</f>
        <v>0.96</v>
      </c>
      <c r="H19" s="86" cm="1">
        <f t="array" ref="H19">_xll.SRS1Splines.Functions25.OneWay_Spline($B$10:$B$15,$D$10:$D$15,F19)</f>
        <v>0.2</v>
      </c>
      <c r="I19" s="87" cm="1">
        <f t="array" ref="I19">_xll.SRS1Splines.Functions25.OneWay_Spline($B$10:$B$15,$E$10:$E$15,F19)</f>
        <v>0.72</v>
      </c>
      <c r="K19" s="7">
        <v>90</v>
      </c>
      <c r="L19" s="122">
        <f t="shared" si="0"/>
        <v>0.94043616325768176</v>
      </c>
      <c r="M19" s="123">
        <f t="shared" si="1"/>
        <v>1.0397436762952081</v>
      </c>
    </row>
    <row r="20" spans="2:21" x14ac:dyDescent="0.35">
      <c r="F20" s="27">
        <v>130</v>
      </c>
      <c r="G20" s="86" cm="1">
        <f t="array" ref="G20">_xll.SRS1Splines.Functions25.OneWay_Spline($B$10:$B$15,$C$10:$C$15,F20)</f>
        <v>0.787407407407407</v>
      </c>
      <c r="H20" s="86">
        <f>_xll.SRS1Splines.Functions25.OneWay_Spline($B$10:$B$15,$D$10:$D$15,F20)</f>
        <v>0.10740740740740699</v>
      </c>
      <c r="I20" s="87" cm="1">
        <f t="array" ref="I20">_xll.SRS1Splines.Functions25.OneWay_Spline($B$10:$B$15,$E$10:$E$15,F20)</f>
        <v>0.58888888888888902</v>
      </c>
      <c r="K20" s="7">
        <v>100</v>
      </c>
      <c r="L20" s="122">
        <f t="shared" si="0"/>
        <v>0.83458675356032452</v>
      </c>
      <c r="M20" s="123">
        <f t="shared" si="1"/>
        <v>1.0848699123289962</v>
      </c>
    </row>
    <row r="21" spans="2:21" x14ac:dyDescent="0.35">
      <c r="F21" s="27">
        <v>140</v>
      </c>
      <c r="G21" s="86" cm="1">
        <f t="array" ref="G21">_xll.SRS1Splines.Functions25.OneWay_Spline($B$10:$B$15,$C$10:$C$15,F21)</f>
        <v>0.58481481481481501</v>
      </c>
      <c r="H21" s="86">
        <f>_xll.SRS1Splines.Functions25.OneWay_Spline($B$10:$B$15,$D$10:$D$15,F21)</f>
        <v>3.1481481481481402E-2</v>
      </c>
      <c r="I21" s="87" cm="1">
        <f t="array" ref="I21">_xll.SRS1Splines.Functions25.OneWay_Spline($B$10:$B$15,$E$10:$E$15,F21)</f>
        <v>0.43777777777777799</v>
      </c>
      <c r="K21" s="7">
        <v>110</v>
      </c>
      <c r="L21" s="122">
        <f t="shared" si="0"/>
        <v>0.73392564227625257</v>
      </c>
      <c r="M21" s="123">
        <f t="shared" si="1"/>
        <v>1.1534539669628587</v>
      </c>
    </row>
    <row r="22" spans="2:21" x14ac:dyDescent="0.35">
      <c r="F22" s="27">
        <v>150</v>
      </c>
      <c r="G22" s="86" cm="1">
        <f t="array" ref="G22">_xll.SRS1Splines.Functions25.OneWay_Spline($B$10:$B$15,$C$10:$C$15,F22)</f>
        <v>0.4</v>
      </c>
      <c r="H22" s="86" cm="1">
        <f t="array" ref="H22">_xll.SRS1Splines.Functions25.OneWay_Spline($B$10:$B$15,$D$10:$D$15,F22)</f>
        <v>0</v>
      </c>
      <c r="I22" s="87" cm="1">
        <f t="array" ref="I22">_xll.SRS1Splines.Functions25.OneWay_Spline($B$10:$B$15,$E$10:$E$15,F22)</f>
        <v>0.3</v>
      </c>
      <c r="K22" s="7">
        <v>120</v>
      </c>
      <c r="L22" s="122">
        <f t="shared" si="0"/>
        <v>0.62390212010834034</v>
      </c>
      <c r="M22" s="123">
        <f t="shared" si="1"/>
        <v>1.202468025285985</v>
      </c>
    </row>
    <row r="23" spans="2:21" x14ac:dyDescent="0.35">
      <c r="F23" s="27">
        <v>160</v>
      </c>
      <c r="G23" s="86" cm="1">
        <f t="array" ref="G23">_xll.SRS1Splines.Functions25.OneWay_Spline($B$10:$B$15,$C$10:$C$15,F23)</f>
        <v>0.24888888888888899</v>
      </c>
      <c r="H23" s="86" cm="1">
        <f t="array" ref="H23">_xll.SRS1Splines.Functions25.OneWay_Spline($B$10:$B$15,$D$10:$D$15,F23)</f>
        <v>0</v>
      </c>
      <c r="I23" s="87" cm="1">
        <f t="array" ref="I23">_xll.SRS1Splines.Functions25.OneWay_Spline($B$10:$B$15,$E$10:$E$15,F23)</f>
        <v>0.18666666666666701</v>
      </c>
      <c r="K23" s="7">
        <v>130</v>
      </c>
      <c r="L23" s="122">
        <f t="shared" si="0"/>
        <v>0.48668825171486946</v>
      </c>
      <c r="M23" s="123">
        <f t="shared" si="1"/>
        <v>1.220360865507536</v>
      </c>
    </row>
    <row r="24" spans="2:21" x14ac:dyDescent="0.35">
      <c r="F24" s="27">
        <v>170</v>
      </c>
      <c r="G24" s="86" cm="1">
        <f t="array" ref="G24">_xll.SRS1Splines.Functions25.OneWay_Spline($B$10:$B$15,$C$10:$C$15,F24)</f>
        <v>0.115555555555555</v>
      </c>
      <c r="H24" s="86" cm="1">
        <f t="array" ref="H24">_xll.SRS1Splines.Functions25.OneWay_Spline($B$10:$B$15,$D$10:$D$15,F24)</f>
        <v>0</v>
      </c>
      <c r="I24" s="87" cm="1">
        <f t="array" ref="I24">_xll.SRS1Splines.Functions25.OneWay_Spline($B$10:$B$15,$E$10:$E$15,F24)</f>
        <v>8.6666666666666697E-2</v>
      </c>
      <c r="K24" s="7">
        <v>140</v>
      </c>
      <c r="L24" s="122">
        <f t="shared" si="0"/>
        <v>0.34011197243755392</v>
      </c>
      <c r="M24" s="123">
        <f t="shared" si="1"/>
        <v>1.2319889280948559</v>
      </c>
    </row>
    <row r="25" spans="2:21" ht="15" thickBot="1" x14ac:dyDescent="0.4">
      <c r="F25" s="28">
        <v>180</v>
      </c>
      <c r="G25" s="120" cm="1">
        <f t="array" ref="G25">_xll.SRS1Splines.Functions25.OneWay_Spline($B$10:$B$15,$C$10:$C$15,F25)</f>
        <v>0</v>
      </c>
      <c r="H25" s="120" cm="1">
        <f t="array" ref="H25">_xll.SRS1Splines.Functions25.OneWay_Spline($B$10:$B$15,$D$10:$D$15,F25)</f>
        <v>0</v>
      </c>
      <c r="I25" s="121" cm="1">
        <f t="array" ref="I25">_xll.SRS1Splines.Functions25.OneWay_Spline($B$10:$B$15,$E$10:$E$15,F25)</f>
        <v>0</v>
      </c>
      <c r="K25" s="7">
        <v>150</v>
      </c>
      <c r="L25" s="122">
        <f t="shared" si="0"/>
        <v>0.22310637900438968</v>
      </c>
      <c r="M25" s="123">
        <f t="shared" si="1"/>
        <v>1.23645216670934</v>
      </c>
    </row>
    <row r="26" spans="2:21" x14ac:dyDescent="0.35">
      <c r="K26" s="7">
        <v>160</v>
      </c>
      <c r="L26" s="122">
        <f t="shared" si="0"/>
        <v>0.13882174693606475</v>
      </c>
      <c r="M26" s="123">
        <f t="shared" si="1"/>
        <v>1.2312302906768917</v>
      </c>
      <c r="N26" s="111" t="s">
        <v>90</v>
      </c>
      <c r="O26" s="112">
        <f t="array" ref="O26:U26">LINEST(L13:L28,K13:K28^{1,2,3,4,5,6})</f>
        <v>-3.0137960969336749E-14</v>
      </c>
      <c r="P26" s="112">
        <v>9.3856332733136576E-11</v>
      </c>
      <c r="Q26" s="112">
        <v>-4.4826843587250842E-8</v>
      </c>
      <c r="R26" s="112">
        <v>9.2317160315692793E-6</v>
      </c>
      <c r="S26" s="112">
        <v>-9.8346736725254047E-4</v>
      </c>
      <c r="T26" s="112">
        <v>4.1963177359251667E-2</v>
      </c>
      <c r="U26" s="113">
        <v>0.82526496679425865</v>
      </c>
    </row>
    <row r="27" spans="2:21" ht="15" thickBot="1" x14ac:dyDescent="0.4">
      <c r="K27" s="7">
        <v>170</v>
      </c>
      <c r="L27" s="122">
        <f t="shared" si="0"/>
        <v>6.445295393460114E-2</v>
      </c>
      <c r="M27" s="123">
        <f t="shared" si="1"/>
        <v>1.2237354623105008</v>
      </c>
      <c r="N27" s="114" t="s">
        <v>91</v>
      </c>
      <c r="O27" s="3" cm="1">
        <f t="array" ref="O27:U27">LINEST(M13:M28,K13:K28^{1,2,3,4,5,6})</f>
        <v>1.2733841622690302E-12</v>
      </c>
      <c r="P27" s="3">
        <v>-6.266058708365055E-10</v>
      </c>
      <c r="Q27" s="3">
        <v>1.0056188527635923E-7</v>
      </c>
      <c r="R27" s="3">
        <v>-4.0373016637995611E-6</v>
      </c>
      <c r="S27" s="3">
        <v>-3.9156911906832186E-4</v>
      </c>
      <c r="T27" s="3">
        <v>3.7404411842259414E-2</v>
      </c>
      <c r="U27" s="4">
        <v>0.24308788802177439</v>
      </c>
    </row>
    <row r="28" spans="2:21" ht="15" thickBot="1" x14ac:dyDescent="0.4">
      <c r="B28" s="111" t="s">
        <v>78</v>
      </c>
      <c r="C28" s="112"/>
      <c r="D28" s="112"/>
      <c r="E28" s="113"/>
      <c r="F28" s="111" t="s">
        <v>73</v>
      </c>
      <c r="G28" s="112"/>
      <c r="H28" s="112"/>
      <c r="I28" s="113"/>
      <c r="K28" s="114">
        <v>180</v>
      </c>
      <c r="L28" s="124">
        <f t="shared" si="0"/>
        <v>0</v>
      </c>
      <c r="M28" s="125">
        <f t="shared" si="1"/>
        <v>1.2118596305279257</v>
      </c>
    </row>
    <row r="29" spans="2:21" ht="15" thickBot="1" x14ac:dyDescent="0.4">
      <c r="B29" s="7" t="s">
        <v>11</v>
      </c>
      <c r="C29" s="1" t="s">
        <v>70</v>
      </c>
      <c r="D29" s="1" t="s">
        <v>79</v>
      </c>
      <c r="E29" s="2" t="s">
        <v>72</v>
      </c>
      <c r="F29" s="7" t="s">
        <v>11</v>
      </c>
      <c r="G29" s="1" t="s">
        <v>70</v>
      </c>
      <c r="H29" s="1" t="s">
        <v>71</v>
      </c>
      <c r="I29" s="2" t="s">
        <v>72</v>
      </c>
      <c r="K29" s="1"/>
      <c r="L29" s="122"/>
      <c r="M29" s="122"/>
    </row>
    <row r="30" spans="2:21" x14ac:dyDescent="0.35">
      <c r="B30" s="7">
        <v>27</v>
      </c>
      <c r="C30" s="1">
        <v>0</v>
      </c>
      <c r="D30" s="1">
        <v>0.02</v>
      </c>
      <c r="E30" s="2">
        <v>0.19</v>
      </c>
      <c r="F30" s="7">
        <v>30</v>
      </c>
      <c r="G30" s="122" cm="1">
        <f t="array" ref="G30">_xll.SRS1Splines.Functions25.OneWay_Spline($B$30:$B$35,$C$30:$C$35,F30)</f>
        <v>3.24675324675324E-3</v>
      </c>
      <c r="H30" s="122" cm="1">
        <f t="array" ref="H30">_xll.SRS1Splines.Functions25.OneWay_Spline($B$30:$B$35,$D$30:$D$35,F30)</f>
        <v>5.1731601731601698E-2</v>
      </c>
      <c r="I30" s="123" cm="1">
        <f t="array" ref="I30">_xll.SRS1Splines.Functions25.OneWay_Spline($B$30:$B$35,$E$30:$E$35,F30)</f>
        <v>0.21056277056277101</v>
      </c>
      <c r="K30" s="111" t="s">
        <v>86</v>
      </c>
      <c r="L30" s="112" t="s">
        <v>87</v>
      </c>
      <c r="M30" s="112" t="s">
        <v>93</v>
      </c>
      <c r="N30" s="113" t="s">
        <v>132</v>
      </c>
      <c r="O30" s="19"/>
      <c r="P30" s="111" t="s">
        <v>133</v>
      </c>
      <c r="Q30" s="113"/>
    </row>
    <row r="31" spans="2:21" x14ac:dyDescent="0.35">
      <c r="B31" s="7">
        <v>60</v>
      </c>
      <c r="C31" s="1">
        <v>0.12</v>
      </c>
      <c r="D31" s="1">
        <v>0.37</v>
      </c>
      <c r="E31" s="2">
        <v>0.4</v>
      </c>
      <c r="F31" s="7">
        <v>40</v>
      </c>
      <c r="G31" s="122" cm="1">
        <f t="array" ref="G31">_xll.SRS1Splines.Functions25.OneWay_Spline($B$30:$B$35,$C$30:$C$35,F31)</f>
        <v>2.51370851370851E-2</v>
      </c>
      <c r="H31" s="122" cm="1">
        <f t="array" ref="H31">_xll.SRS1Splines.Functions25.OneWay_Spline($B$30:$B$35,$D$30:$D$35,F31)</f>
        <v>0.15762866762866801</v>
      </c>
      <c r="I31" s="123" cm="1">
        <f t="array" ref="I31">_xll.SRS1Splines.Functions25.OneWay_Spline($B$30:$B$35,$E$30:$E$35,F31)</f>
        <v>0.27697931697931699</v>
      </c>
      <c r="K31" s="35">
        <f>$L$3^2*(($L$7*G30*$M$7+$L$8*H30*$M$8+$L$9*I30*$M$9)/($L$7*$M$7+$L$8*$M$8+$L$9*$M$9))</f>
        <v>2.4688404276524179E-2</v>
      </c>
      <c r="L31" s="122">
        <f>L13^2*(1/(PI()*(((-0.0014*F30+1.131)*(Voiles!$C$4+Voiles!$B$4))^2/Voiles!$M$10))+0.005)</f>
        <v>0.85945576772727583</v>
      </c>
      <c r="M31" s="122">
        <f>((0.016*$L$7+0.017*$L$8+0.018*$L$9)/($L$7+$L$8+$L$9))*(L13)^2</f>
        <v>3.3288075614840429E-2</v>
      </c>
      <c r="N31" s="123">
        <f t="shared" ref="N31:N46" si="2">1.13*($D$4*$B$4+$F$4*$C$4*$E$4)/($L$7*$M$7+$L$8*$M$8+$L$9*$M$9)</f>
        <v>6.0864954147987288E-2</v>
      </c>
      <c r="P31" s="7">
        <v>15</v>
      </c>
      <c r="Q31" s="2">
        <v>1.1000000000000001</v>
      </c>
    </row>
    <row r="32" spans="2:21" x14ac:dyDescent="0.35">
      <c r="B32" s="7">
        <v>90</v>
      </c>
      <c r="C32" s="1">
        <v>0.39</v>
      </c>
      <c r="D32" s="1">
        <v>0.69</v>
      </c>
      <c r="E32" s="2">
        <v>0.56000000000000005</v>
      </c>
      <c r="F32" s="7">
        <v>50</v>
      </c>
      <c r="G32" s="122" cm="1">
        <f t="array" ref="G32">_xll.SRS1Splines.Functions25.OneWay_Spline($B$30:$B$35,$C$30:$C$35,F32)</f>
        <v>6.4054834054834003E-2</v>
      </c>
      <c r="H32" s="122" cm="1">
        <f t="array" ref="H32">_xll.SRS1Splines.Functions25.OneWay_Spline($B$30:$B$35,$D$30:$D$35,F32)</f>
        <v>0.26371813371813402</v>
      </c>
      <c r="I32" s="123" cm="1">
        <f t="array" ref="I32">_xll.SRS1Splines.Functions25.OneWay_Spline($B$30:$B$35,$E$30:$E$35,F32)</f>
        <v>0.34012506012506</v>
      </c>
      <c r="K32" s="35">
        <f>$L$3^2*(($L$7*G31*$M$7+$L$8*H31*$M$8+$L$9*I31*$M$9)/($L$7*$M$7+$L$8*$M$8+$L$9*$M$9))</f>
        <v>8.3729374583021876E-2</v>
      </c>
      <c r="L32" s="122">
        <f>L14^2*(1/(PI()*(((-0.0014*F31+1.131)*(Voiles!$C$4+Voiles!$B$4))^2/Voiles!$M$10))+0.005)</f>
        <v>0.85898227010316242</v>
      </c>
      <c r="M32" s="122">
        <f t="shared" ref="M32:M46" si="3">((0.016*$L$7+0.017*$L$8+0.018*$L$9)/($L$7+$L$8+$L$9))*(L14)^2</f>
        <v>3.2429538132998162E-2</v>
      </c>
      <c r="N32" s="123">
        <f t="shared" si="2"/>
        <v>6.0864954147987288E-2</v>
      </c>
      <c r="P32" s="7">
        <v>30</v>
      </c>
      <c r="Q32" s="2">
        <v>1.1000000000000001</v>
      </c>
    </row>
    <row r="33" spans="2:17" ht="15" thickBot="1" x14ac:dyDescent="0.4">
      <c r="B33" s="7">
        <v>120</v>
      </c>
      <c r="C33" s="1">
        <v>0.99</v>
      </c>
      <c r="D33" s="1">
        <v>0.84</v>
      </c>
      <c r="E33" s="2">
        <v>0.61</v>
      </c>
      <c r="F33" s="7">
        <v>60</v>
      </c>
      <c r="G33" s="122" cm="1">
        <f t="array" ref="G33">_xll.SRS1Splines.Functions25.OneWay_Spline($B$30:$B$35,$C$30:$C$35,F33)</f>
        <v>0.12</v>
      </c>
      <c r="H33" s="122" cm="1">
        <f t="array" ref="H33">_xll.SRS1Splines.Functions25.OneWay_Spline($B$30:$B$35,$D$30:$D$35,F33)</f>
        <v>0.37</v>
      </c>
      <c r="I33" s="123" cm="1">
        <f t="array" ref="I33">_xll.SRS1Splines.Functions25.OneWay_Spline($B$30:$B$35,$E$30:$E$35,F33)</f>
        <v>0.4</v>
      </c>
      <c r="K33" s="35">
        <f t="shared" ref="K33:K41" si="4">$L$3^2*(($L$7*G32*$M$7+$L$8*H32*$M$8+$L$9*I32*$M$9)/($L$7*$M$7+$L$8*$M$8+$L$9*$M$9))</f>
        <v>0.15235274419826594</v>
      </c>
      <c r="L33" s="122">
        <f>L15^2*(1/(PI()*(((-0.0014*F32+1.131)*(Voiles!$C$4+Voiles!$B$4))^2/Voiles!$M$10))+0.005)</f>
        <v>0.83329420863356574</v>
      </c>
      <c r="M33" s="122">
        <f t="shared" si="3"/>
        <v>3.0654720118936531E-2</v>
      </c>
      <c r="N33" s="123">
        <f t="shared" si="2"/>
        <v>6.0864954147987288E-2</v>
      </c>
      <c r="P33" s="114">
        <v>90</v>
      </c>
      <c r="Q33" s="4">
        <v>1</v>
      </c>
    </row>
    <row r="34" spans="2:17" x14ac:dyDescent="0.35">
      <c r="B34" s="7">
        <v>150</v>
      </c>
      <c r="C34" s="1">
        <v>1.3</v>
      </c>
      <c r="D34" s="1">
        <v>0.95</v>
      </c>
      <c r="E34" s="2">
        <v>0.62</v>
      </c>
      <c r="F34" s="7">
        <v>70</v>
      </c>
      <c r="G34" s="122" cm="1">
        <f t="array" ref="G34">_xll.SRS1Splines.Functions25.OneWay_Spline($B$30:$B$35,$C$30:$C$35,F34)</f>
        <v>0.186426166426166</v>
      </c>
      <c r="H34" s="122" cm="1">
        <f t="array" ref="H34">_xll.SRS1Splines.Functions25.OneWay_Spline($B$30:$B$35,$D$30:$D$35,F34)</f>
        <v>0.48283469616802899</v>
      </c>
      <c r="I34" s="123" cm="1">
        <f t="array" ref="I34">_xll.SRS1Splines.Functions25.OneWay_Spline($B$30:$B$35,$E$30:$E$35,F34)</f>
        <v>0.45995831329164699</v>
      </c>
      <c r="K34" s="35">
        <f t="shared" si="4"/>
        <v>0.23055851312225645</v>
      </c>
      <c r="L34" s="122">
        <f>L16^2*(1/(PI()*(((-0.0014*F33+1.131)*(Voiles!$C$4+Voiles!$B$4))^2/Voiles!$M$10))+0.005)</f>
        <v>0.78257749830796208</v>
      </c>
      <c r="M34" s="122">
        <f t="shared" si="3"/>
        <v>2.8042445490899067E-2</v>
      </c>
      <c r="N34" s="123">
        <f>1.13*($D$4*$B$4+$F$4*$C$4*$E$4)/($L$7*$M$7+$L$8*$M$8+$L$9*$M$9)</f>
        <v>6.0864954147987288E-2</v>
      </c>
    </row>
    <row r="35" spans="2:17" ht="15" thickBot="1" x14ac:dyDescent="0.4">
      <c r="B35" s="28">
        <v>180</v>
      </c>
      <c r="C35" s="133">
        <v>1.35</v>
      </c>
      <c r="D35" s="133">
        <v>0.9</v>
      </c>
      <c r="E35" s="134">
        <v>0.62</v>
      </c>
      <c r="F35" s="7">
        <v>80</v>
      </c>
      <c r="G35" s="122" cm="1">
        <f t="array" ref="G35">_xll.SRS1Splines.Functions25.OneWay_Spline($B$30:$B$35,$C$30:$C$35,F35)</f>
        <v>0.26987974987975</v>
      </c>
      <c r="H35" s="122" cm="1">
        <f t="array" ref="H35">_xll.SRS1Splines.Functions25.OneWay_Spline($B$30:$B$35,$D$30:$D$35,F35)</f>
        <v>0.59586179252845906</v>
      </c>
      <c r="I35" s="123" cm="1">
        <f t="array" ref="I35">_xll.SRS1Splines.Functions25.OneWay_Spline($B$30:$B$35,$E$30:$E$35,F35)</f>
        <v>0.51664582331248998</v>
      </c>
      <c r="K35" s="35">
        <f t="shared" si="4"/>
        <v>0.31750811172622401</v>
      </c>
      <c r="L35" s="122">
        <f>L17^2*(1/(PI()*(((-0.0014*F34+1.131)*(Voiles!$C$4+Voiles!$B$4))^2/Voiles!$M$10))+0.005)</f>
        <v>0.68521314825311697</v>
      </c>
      <c r="M35" s="122">
        <f t="shared" si="3"/>
        <v>2.3908194840315769E-2</v>
      </c>
      <c r="N35" s="123">
        <f t="shared" si="2"/>
        <v>6.0864954147987288E-2</v>
      </c>
    </row>
    <row r="36" spans="2:17" x14ac:dyDescent="0.35">
      <c r="F36" s="7">
        <v>90</v>
      </c>
      <c r="G36" s="122" cm="1">
        <f t="array" ref="G36">_xll.SRS1Splines.Functions25.OneWay_Spline($B$30:$B$35,$C$30:$C$35,F36)</f>
        <v>0.39</v>
      </c>
      <c r="H36" s="122" cm="1">
        <f t="array" ref="H36">_xll.SRS1Splines.Functions25.OneWay_Spline($B$30:$B$35,$D$30:$D$35,F36)</f>
        <v>0.69</v>
      </c>
      <c r="I36" s="123" cm="1">
        <f t="array" ref="I36">_xll.SRS1Splines.Functions25.OneWay_Spline($B$30:$B$35,$E$30:$E$35,F36)</f>
        <v>0.56000000000000005</v>
      </c>
      <c r="K36" s="35">
        <f t="shared" si="4"/>
        <v>0.414040109638939</v>
      </c>
      <c r="L36" s="122">
        <f>L18^2*(1/(PI()*(((-0.0014*F35+1.131)*(Voiles!$C$4+Voiles!$B$4))^2/Voiles!$M$10))+0.005)</f>
        <v>0.55570806563705843</v>
      </c>
      <c r="M36" s="122">
        <f t="shared" si="3"/>
        <v>1.8872922806153498E-2</v>
      </c>
      <c r="N36" s="123">
        <f t="shared" si="2"/>
        <v>6.0864954147987288E-2</v>
      </c>
    </row>
    <row r="37" spans="2:17" x14ac:dyDescent="0.35">
      <c r="F37" s="7">
        <v>100</v>
      </c>
      <c r="G37" s="122" cm="1">
        <f t="array" ref="G37">_xll.SRS1Splines.Functions25.OneWay_Spline($B$30:$B$35,$C$30:$C$35,F37)</f>
        <v>0.57629629629629597</v>
      </c>
      <c r="H37" s="122" cm="1">
        <f t="array" ref="H37">_xll.SRS1Splines.Functions25.OneWay_Spline($B$30:$B$35,$D$30:$D$35,F37)</f>
        <v>0.75407407407407401</v>
      </c>
      <c r="I37" s="123" cm="1">
        <f t="array" ref="I37">_xll.SRS1Splines.Functions25.OneWay_Spline($B$30:$B$35,$E$30:$E$35,F37)</f>
        <v>0.58629629629629598</v>
      </c>
      <c r="K37" s="35">
        <f t="shared" si="4"/>
        <v>0.5226702157467078</v>
      </c>
      <c r="L37" s="122">
        <f>L19^2*(1/(PI()*(((-0.0014*F36+1.131)*(Voiles!$C$4+Voiles!$B$4))^2/Voiles!$M$10))+0.005)</f>
        <v>0.4416155734773265</v>
      </c>
      <c r="M37" s="122">
        <f t="shared" si="3"/>
        <v>1.4592932923186679E-2</v>
      </c>
      <c r="N37" s="123">
        <f t="shared" si="2"/>
        <v>6.0864954147987288E-2</v>
      </c>
    </row>
    <row r="38" spans="2:17" x14ac:dyDescent="0.35">
      <c r="F38" s="7">
        <v>110</v>
      </c>
      <c r="G38" s="122" cm="1">
        <f t="array" ref="G38">_xll.SRS1Splines.Functions25.OneWay_Spline($B$30:$B$35,$C$30:$C$35,F38)</f>
        <v>0.799259259259259</v>
      </c>
      <c r="H38" s="122" cm="1">
        <f t="array" ref="H38">_xll.SRS1Splines.Functions25.OneWay_Spline($B$30:$B$35,$D$30:$D$35,F38)</f>
        <v>0.799259259259259</v>
      </c>
      <c r="I38" s="123" cm="1">
        <f t="array" ref="I38">_xll.SRS1Splines.Functions25.OneWay_Spline($B$30:$B$35,$E$30:$E$35,F38)</f>
        <v>0.60148148148148095</v>
      </c>
      <c r="K38" s="35">
        <f t="shared" si="4"/>
        <v>0.65491568340545625</v>
      </c>
      <c r="L38" s="122">
        <f>L20^2*(1/(PI()*(((-0.0014*F37+1.131)*(Voiles!$C$4+Voiles!$B$4))^2/Voiles!$M$10))+0.005)</f>
        <v>0.35759644646344957</v>
      </c>
      <c r="M38" s="122">
        <f t="shared" si="3"/>
        <v>1.149282831210297E-2</v>
      </c>
      <c r="N38" s="123">
        <f t="shared" si="2"/>
        <v>6.0864954147987288E-2</v>
      </c>
    </row>
    <row r="39" spans="2:17" x14ac:dyDescent="0.35">
      <c r="F39" s="7">
        <v>120</v>
      </c>
      <c r="G39" s="122" cm="1">
        <f t="array" ref="G39">_xll.SRS1Splines.Functions25.OneWay_Spline($B$30:$B$35,$C$30:$C$35,F39)</f>
        <v>0.99</v>
      </c>
      <c r="H39" s="122" cm="1">
        <f t="array" ref="H39">_xll.SRS1Splines.Functions25.OneWay_Spline($B$30:$B$35,$D$30:$D$35,F39)</f>
        <v>0.84</v>
      </c>
      <c r="I39" s="123" cm="1">
        <f t="array" ref="I39">_xll.SRS1Splines.Functions25.OneWay_Spline($B$30:$B$35,$E$30:$E$35,F39)</f>
        <v>0.61</v>
      </c>
      <c r="K39" s="35">
        <f t="shared" si="4"/>
        <v>0.799259259259259</v>
      </c>
      <c r="L39" s="122">
        <f>L21^2*(1/(PI()*(((-0.0014*F38+1.131)*(Voiles!$C$4+Voiles!$B$4))^2/Voiles!$M$10))+0.005)</f>
        <v>0.28444208055716741</v>
      </c>
      <c r="M39" s="122">
        <f t="shared" si="3"/>
        <v>8.887672998445062E-3</v>
      </c>
      <c r="N39" s="123">
        <f t="shared" si="2"/>
        <v>6.0864954147987288E-2</v>
      </c>
    </row>
    <row r="40" spans="2:17" x14ac:dyDescent="0.35">
      <c r="F40" s="7">
        <v>130</v>
      </c>
      <c r="G40" s="122" cm="1">
        <f t="array" ref="G40">_xll.SRS1Splines.Functions25.OneWay_Spline($B$30:$B$35,$C$30:$C$35,F40)</f>
        <v>1.13037037037037</v>
      </c>
      <c r="H40" s="122" cm="1">
        <f t="array" ref="H40">_xll.SRS1Splines.Functions25.OneWay_Spline($B$30:$B$35,$D$30:$D$35,F40)</f>
        <v>0.887777777777778</v>
      </c>
      <c r="I40" s="123" cm="1">
        <f t="array" ref="I40">_xll.SRS1Splines.Functions25.OneWay_Spline($B$30:$B$35,$E$30:$E$35,F40)</f>
        <v>0.61555555555555597</v>
      </c>
      <c r="K40" s="35">
        <f t="shared" si="4"/>
        <v>0.92366489212664615</v>
      </c>
      <c r="L40" s="122">
        <f>L22^2*(1/(PI()*(((-0.0014*F39+1.131)*(Voiles!$C$4+Voiles!$B$4))^2/Voiles!$M$10))+0.005)</f>
        <v>0.21151549039600273</v>
      </c>
      <c r="M40" s="122">
        <f t="shared" si="3"/>
        <v>6.4226886153487522E-3</v>
      </c>
      <c r="N40" s="123">
        <f t="shared" si="2"/>
        <v>6.0864954147987288E-2</v>
      </c>
    </row>
    <row r="41" spans="2:17" x14ac:dyDescent="0.35">
      <c r="F41" s="7">
        <v>140</v>
      </c>
      <c r="G41" s="122" cm="1">
        <f t="array" ref="G41">_xll.SRS1Splines.Functions25.OneWay_Spline($B$30:$B$35,$C$30:$C$35,F41)</f>
        <v>1.2385185185185199</v>
      </c>
      <c r="H41" s="122" cm="1">
        <f t="array" ref="H41">_xll.SRS1Splines.Functions25.OneWay_Spline($B$30:$B$35,$D$30:$D$35,F41)</f>
        <v>0.931111111111111</v>
      </c>
      <c r="I41" s="123" cm="1">
        <f t="array" ref="I41">_xll.SRS1Splines.Functions25.OneWay_Spline($B$30:$B$35,$E$30:$E$35,F41)</f>
        <v>0.61888888888888904</v>
      </c>
      <c r="K41" s="35">
        <f t="shared" si="4"/>
        <v>1.0230876650443288</v>
      </c>
      <c r="L41" s="122">
        <f>L23^2*(1/(PI()*(((-0.0014*F40+1.131)*(Voiles!$C$4+Voiles!$B$4))^2/Voiles!$M$10))+0.005)</f>
        <v>0.13249996631832481</v>
      </c>
      <c r="M41" s="122">
        <f t="shared" si="3"/>
        <v>3.9082799968950567E-3</v>
      </c>
      <c r="N41" s="123">
        <f t="shared" si="2"/>
        <v>6.0864954147987288E-2</v>
      </c>
    </row>
    <row r="42" spans="2:17" x14ac:dyDescent="0.35">
      <c r="F42" s="7">
        <v>150</v>
      </c>
      <c r="G42" s="122" cm="1">
        <f t="array" ref="G42">_xll.SRS1Splines.Functions25.OneWay_Spline($B$30:$B$35,$C$30:$C$35,F42)</f>
        <v>1.3</v>
      </c>
      <c r="H42" s="122" cm="1">
        <f t="array" ref="H42">_xll.SRS1Splines.Functions25.OneWay_Spline($B$30:$B$35,$D$30:$D$35,F42)</f>
        <v>0.95</v>
      </c>
      <c r="I42" s="123" cm="1">
        <f t="array" ref="I42">_xll.SRS1Splines.Functions25.OneWay_Spline($B$30:$B$35,$E$30:$E$35,F42)</f>
        <v>0.62</v>
      </c>
      <c r="K42" s="35">
        <f>($L$3^2*(($L$7*G41*$M$7+$L$8*H41*$M$8+$L$9*I41*$M$9)/($L$7*$M$7+$L$8*$M$8+$L$9*$M$9)))*(1-(($M$8*$L$8-$M$8*$L$8*$L$3^2)/$L$8*$M$8)*(F21-135)/45)</f>
        <v>1.1025724949755966</v>
      </c>
      <c r="L42" s="122">
        <f>L24^2*(1/(PI()*(((-0.0014*F41+1.131)*(Voiles!$C$4+Voiles!$B$4))^2/Voiles!$M$10))+0.005)</f>
        <v>6.6642822433648552E-2</v>
      </c>
      <c r="M42" s="122">
        <f t="shared" si="3"/>
        <v>1.908656537623497E-3</v>
      </c>
      <c r="N42" s="123">
        <f t="shared" si="2"/>
        <v>6.0864954147987288E-2</v>
      </c>
    </row>
    <row r="43" spans="2:17" x14ac:dyDescent="0.35">
      <c r="F43" s="7">
        <v>160</v>
      </c>
      <c r="G43" s="122" cm="1">
        <f t="array" ref="G43">_xll.SRS1Splines.Functions25.OneWay_Spline($B$30:$B$35,$C$30:$C$35,F43)</f>
        <v>1.3277777777777799</v>
      </c>
      <c r="H43" s="122" cm="1">
        <f t="array" ref="H43">_xll.SRS1Splines.Functions25.OneWay_Spline($B$30:$B$35,$D$30:$D$35,F43)</f>
        <v>0.94444444444444398</v>
      </c>
      <c r="I43" s="123" cm="1">
        <f t="array" ref="I43">_xll.SRS1Splines.Functions25.OneWay_Spline($B$30:$B$35,$E$30:$E$35,F43)</f>
        <v>0.62</v>
      </c>
      <c r="K43" s="35">
        <f>($L$3^2*(($L$7*G42*$M$7+$L$8*H42*$M$8+$L$9*I42*$M$9)/($L$7*$M$7+$L$8*$M$8+$L$9*$M$9)))*(1-(($M$8*$L$8-$M$8*$L$8*$L$3^2)/$L$8*$M$8)*(F22-135)/45)</f>
        <v>1.1452180816288411</v>
      </c>
      <c r="L43" s="122">
        <f>L25^2*(1/(PI()*(((-0.0014*F42+1.131)*(Voiles!$C$4+Voiles!$B$4))^2/Voiles!$M$10))+0.005)</f>
        <v>2.9547819402696063E-2</v>
      </c>
      <c r="M43" s="122">
        <f t="shared" si="3"/>
        <v>8.2131152981543114E-4</v>
      </c>
      <c r="N43" s="123">
        <f t="shared" si="2"/>
        <v>6.0864954147987288E-2</v>
      </c>
    </row>
    <row r="44" spans="2:17" x14ac:dyDescent="0.35">
      <c r="F44" s="7">
        <v>170</v>
      </c>
      <c r="G44" s="122" cm="1">
        <f t="array" ref="G44">_xll.SRS1Splines.Functions25.OneWay_Spline($B$30:$B$35,$C$30:$C$35,F44)</f>
        <v>1.3444444444444399</v>
      </c>
      <c r="H44" s="122" cm="1">
        <f t="array" ref="H44">_xll.SRS1Splines.Functions25.OneWay_Spline($B$30:$B$35,$D$30:$D$35,F44)</f>
        <v>0.92777777777777803</v>
      </c>
      <c r="I44" s="123" cm="1">
        <f t="array" ref="I44">_xll.SRS1Splines.Functions25.OneWay_Spline($B$30:$B$35,$E$30:$E$35,F44)</f>
        <v>0.62</v>
      </c>
      <c r="K44" s="35">
        <f>($L$3^2*(($L$7*G43*$M$7+$L$8*H43*$M$8+$L$9*I43*$M$9)/($L$7*$M$7+$L$8*$M$8+$L$9*$M$9)))*(1-(($M$8*$L$8-$M$8*$L$8*$L$3^2)/$L$8*$M$8)*(F23-135)/45)</f>
        <v>1.1582547243236521</v>
      </c>
      <c r="L44" s="122">
        <f>L26^2*(1/(PI()*(((-0.0014*F43+1.131)*(Voiles!$C$4+Voiles!$B$4))^2/Voiles!$M$10))+0.005)</f>
        <v>1.1792632827782984E-2</v>
      </c>
      <c r="M44" s="122">
        <f t="shared" si="3"/>
        <v>3.1797937746928323E-4</v>
      </c>
      <c r="N44" s="123">
        <f t="shared" si="2"/>
        <v>6.0864954147987288E-2</v>
      </c>
    </row>
    <row r="45" spans="2:17" ht="15" thickBot="1" x14ac:dyDescent="0.4">
      <c r="F45" s="114">
        <v>180</v>
      </c>
      <c r="G45" s="124" cm="1">
        <f t="array" ref="G45">_xll.SRS1Splines.Functions25.OneWay_Spline($B$30:$B$35,$C$30:$C$35,F45)</f>
        <v>1.35</v>
      </c>
      <c r="H45" s="124" cm="1">
        <f t="array" ref="H45">_xll.SRS1Splines.Functions25.OneWay_Spline($B$30:$B$35,$D$30:$D$35,F45)</f>
        <v>0.9</v>
      </c>
      <c r="I45" s="125" cm="1">
        <f t="array" ref="I45">_xll.SRS1Splines.Functions25.OneWay_Spline($B$30:$B$35,$E$30:$E$35,F45)</f>
        <v>0.62</v>
      </c>
      <c r="K45" s="35">
        <f>($L$3^2*(($L$7*G44*$M$7+$L$8*H44*$M$8+$L$9*I44*$M$9)/($L$7*$M$7+$L$8*$M$8+$L$9*$M$9)))*(1-(($M$8*$L$8-$M$8*$L$8*$L$3^2)/$L$8*$M$8)*(F24-135)/45)</f>
        <v>1.160180255907348</v>
      </c>
      <c r="L45" s="122">
        <f>L27^2*(1/(PI()*(((-0.0014*F44+1.131)*(Voiles!$C$4+Voiles!$B$4))^2/Voiles!$M$10))+0.005)</f>
        <v>2.6217082311957118E-3</v>
      </c>
      <c r="M45" s="122">
        <f t="shared" si="3"/>
        <v>6.854402396978098E-5</v>
      </c>
      <c r="N45" s="123">
        <f t="shared" si="2"/>
        <v>6.0864954147987288E-2</v>
      </c>
    </row>
    <row r="46" spans="2:17" ht="15" thickBot="1" x14ac:dyDescent="0.4">
      <c r="K46" s="162">
        <f>($L$3^2*(($L$7*G45*$M$7+$L$8*H45*$M$8+$L$9*I45*$M$9)/($L$7*$M$7+$L$8*$M$8+$L$9*$M$9)))*(1-(($M$8*$L$8-$M$8*$L$8*$L$3^2)/$L$8*$M$8)*(F25-135)/45)</f>
        <v>1.1509946763799384</v>
      </c>
      <c r="L46" s="124">
        <f>L28^2*(1/(PI()*(((-0.0014*F45+1.131)*(Voiles!$C$4+Voiles!$B$4))^2/Voiles!$M$10))+0.005)</f>
        <v>0</v>
      </c>
      <c r="M46" s="124">
        <f t="shared" si="3"/>
        <v>0</v>
      </c>
      <c r="N46" s="125">
        <f t="shared" si="2"/>
        <v>6.0864954147987288E-2</v>
      </c>
    </row>
    <row r="47" spans="2:17" x14ac:dyDescent="0.35">
      <c r="L47" s="122"/>
      <c r="M47" s="135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6DC0DD-4E5C-4599-AD2C-3D0BB3DA8BB3}">
  <sheetPr codeName="Feuil7"/>
  <dimension ref="B1:Q31"/>
  <sheetViews>
    <sheetView zoomScale="67" zoomScaleNormal="90" workbookViewId="0">
      <selection activeCell="M3" sqref="M3"/>
    </sheetView>
  </sheetViews>
  <sheetFormatPr baseColWidth="10" defaultRowHeight="14.5" x14ac:dyDescent="0.35"/>
  <cols>
    <col min="2" max="2" width="12" customWidth="1"/>
    <col min="4" max="4" width="12.26953125" customWidth="1"/>
    <col min="6" max="6" width="13.26953125" customWidth="1"/>
    <col min="8" max="8" width="16.1796875" customWidth="1"/>
    <col min="12" max="13" width="12.453125" bestFit="1" customWidth="1"/>
  </cols>
  <sheetData>
    <row r="1" spans="2:17" ht="15" thickBot="1" x14ac:dyDescent="0.4">
      <c r="L1" s="111" t="s">
        <v>90</v>
      </c>
      <c r="M1" s="112" t="s">
        <v>91</v>
      </c>
      <c r="N1" s="112" t="s">
        <v>126</v>
      </c>
      <c r="O1" s="112" t="s">
        <v>127</v>
      </c>
      <c r="P1" s="112" t="s">
        <v>25</v>
      </c>
      <c r="Q1" s="113" t="s">
        <v>26</v>
      </c>
    </row>
    <row r="2" spans="2:17" x14ac:dyDescent="0.35">
      <c r="B2" s="111" t="s">
        <v>104</v>
      </c>
      <c r="C2" s="112"/>
      <c r="D2" s="112"/>
      <c r="E2" s="112"/>
      <c r="F2" s="112"/>
      <c r="G2" s="112"/>
      <c r="H2" s="113"/>
      <c r="L2" s="7">
        <f>$G$18*($H$4*1.944/VPP!J2)^5+$H$18*($H$4*1.944/VPP!J2)^4+$I$18*($H$4*1.944/VPP!J2)^3+$J$18*($H$4*1.944/VPP!J2)^2+$K$18*($H$4*1.944/VPP!J2)+$L$18</f>
        <v>1.9326776715664016</v>
      </c>
      <c r="M2" s="1">
        <f>$G$19*($H$4*1.944/VPP!J2)^5+$H$19*($H$4*1.944/VPP!J2)^4+$I$19*($H$4*1.944/VPP!J2)^3+$J$19*($H$4*1.944/VPP!J2)^2+$K$19*($H$4*1.944/VPP!J2)+$L$19</f>
        <v>0.62262997599962411</v>
      </c>
      <c r="N2" s="1">
        <f>COS((VPP!I2)*PI()/180)</f>
        <v>0.91369011915576703</v>
      </c>
      <c r="O2" s="1">
        <f>SIN((VPP!I2)*PI()/180)</f>
        <v>0.40641157237106351</v>
      </c>
      <c r="P2" s="1">
        <f>L2*O2-M2*N2</f>
        <v>0.2165717144266982</v>
      </c>
      <c r="Q2" s="2">
        <f>L2*N2+M2*O2</f>
        <v>2.0189125195745605</v>
      </c>
    </row>
    <row r="3" spans="2:17" ht="26.5" customHeight="1" x14ac:dyDescent="0.35">
      <c r="B3" s="139" t="s">
        <v>108</v>
      </c>
      <c r="C3" s="1" t="s">
        <v>109</v>
      </c>
      <c r="D3" s="1" t="s">
        <v>83</v>
      </c>
      <c r="E3" s="1" t="s">
        <v>105</v>
      </c>
      <c r="F3" s="1" t="s">
        <v>106</v>
      </c>
      <c r="G3" s="1" t="s">
        <v>107</v>
      </c>
      <c r="H3" s="138" t="s">
        <v>113</v>
      </c>
      <c r="I3" s="147" t="s">
        <v>118</v>
      </c>
      <c r="J3" t="s">
        <v>77</v>
      </c>
      <c r="L3" s="7">
        <f>$G$18*($H$4*1.944/VPP!J3)^5+$H$18*($H$4*1.944/VPP!J3)^4+$I$18*($H$4*1.944/VPP!J3)^3+$J$18*($H$4*1.944/VPP!J3)^2+$K$18*($H$4*1.944/VPP!J3)+$L$18</f>
        <v>4.422621950232859</v>
      </c>
      <c r="M3" s="1">
        <f>$G$19*($H$4*1.944/VPP!J3)^5+$H$19*($H$4*1.944/VPP!J3)^4+$I$19*($H$4*1.944/VPP!J3)^3+$J$19*($H$4*1.944/VPP!J3)^2+$K$19*($H$4*1.944/VPP!J3)+$L$19</f>
        <v>1.4426044969990552</v>
      </c>
      <c r="N3" s="1">
        <f>COS((VPP!I3)*PI()/180)</f>
        <v>0.64278760968653914</v>
      </c>
      <c r="O3" s="1">
        <f>SIN((VPP!I3)*PI()/180)</f>
        <v>0.76604444311897812</v>
      </c>
      <c r="P3" s="1">
        <f t="shared" ref="P3:P11" si="0">L3*O3-M3*N3</f>
        <v>2.4606366726428246</v>
      </c>
      <c r="Q3" s="2">
        <f t="shared" ref="Q3:Q11" si="1">L3*N3+M3*O3</f>
        <v>3.9479057504819743</v>
      </c>
    </row>
    <row r="4" spans="2:17" ht="15" thickBot="1" x14ac:dyDescent="0.4">
      <c r="B4" s="114">
        <v>3</v>
      </c>
      <c r="C4" s="3">
        <v>18</v>
      </c>
      <c r="D4" s="3">
        <v>1.8420000000000001</v>
      </c>
      <c r="E4" s="3">
        <v>2</v>
      </c>
      <c r="F4" s="3">
        <v>1</v>
      </c>
      <c r="G4" s="3">
        <v>0</v>
      </c>
      <c r="H4" s="4">
        <v>14</v>
      </c>
      <c r="I4">
        <f>$C$4/2+$D$4</f>
        <v>10.842000000000001</v>
      </c>
      <c r="J4">
        <f>$B$4*$C$4*$E$4</f>
        <v>108</v>
      </c>
      <c r="L4" s="7">
        <f>$G$18*($H$4*1.944/VPP!J4)^5+$H$18*($H$4*1.944/VPP!J4)^4+$I$18*($H$4*1.944/VPP!J4)^3+$J$18*($H$4*1.944/VPP!J4)^2+$K$18*($H$4*1.944/VPP!J4)+$L$18</f>
        <v>4.422621950232859</v>
      </c>
      <c r="M4" s="1">
        <f>$G$19*($H$4*1.944/VPP!J4)^5+$H$19*($H$4*1.944/VPP!J4)^4+$I$19*($H$4*1.944/VPP!J4)^3+$J$19*($H$4*1.944/VPP!J4)^2+$K$19*($H$4*1.944/VPP!J4)+$L$19</f>
        <v>1.4426044969990552</v>
      </c>
      <c r="N4" s="1">
        <f>COS((VPP!I4)*PI()/180)</f>
        <v>0.50000000000000033</v>
      </c>
      <c r="O4" s="1">
        <f>SIN((VPP!I4)*PI()/180)</f>
        <v>0.86602540378443849</v>
      </c>
      <c r="P4" s="1">
        <f t="shared" si="0"/>
        <v>3.1088007117368042</v>
      </c>
      <c r="Q4" s="2">
        <f t="shared" si="1"/>
        <v>3.4606431171312844</v>
      </c>
    </row>
    <row r="5" spans="2:17" ht="15" thickBot="1" x14ac:dyDescent="0.4">
      <c r="L5" s="7">
        <f>$G$18*($H$4*1.944/VPP!J5)^5+$H$18*($H$4*1.944/VPP!J5)^4+$I$18*($H$4*1.944/VPP!J5)^3+$J$18*($H$4*1.944/VPP!J5)^2+$K$18*($H$4*1.944/VPP!J5)+$L$18</f>
        <v>4.4226219502328545</v>
      </c>
      <c r="M5" s="1">
        <f>$G$19*($H$4*1.944/VPP!J5)^5+$H$19*($H$4*1.944/VPP!J5)^4+$I$19*($H$4*1.944/VPP!J5)^3+$J$19*($H$4*1.944/VPP!J5)^2+$K$19*($H$4*1.944/VPP!J5)+$L$19</f>
        <v>1.4426044969990572</v>
      </c>
      <c r="N5" s="1">
        <f>COS((VPP!I5)*PI()/180)</f>
        <v>0.34202014332566882</v>
      </c>
      <c r="O5" s="1">
        <f>SIN((VPP!I5)*PI()/180)</f>
        <v>0.93969262078590832</v>
      </c>
      <c r="P5" s="1">
        <f t="shared" si="0"/>
        <v>3.6625054143337241</v>
      </c>
      <c r="Q5" s="2">
        <f t="shared" si="1"/>
        <v>2.8682305938364712</v>
      </c>
    </row>
    <row r="6" spans="2:17" x14ac:dyDescent="0.35">
      <c r="B6" s="111" t="s">
        <v>102</v>
      </c>
      <c r="C6" s="112"/>
      <c r="D6" s="113"/>
      <c r="F6" s="111" t="s">
        <v>103</v>
      </c>
      <c r="G6" s="112"/>
      <c r="H6" s="113"/>
      <c r="J6" t="s">
        <v>131</v>
      </c>
      <c r="L6" s="7">
        <f>$G$18*($H$4*1.944/VPP!J6)^5+$H$18*($H$4*1.944/VPP!J6)^4+$I$18*($H$4*1.944/VPP!J6)^3+$J$18*($H$4*1.944/VPP!J6)^2+$K$18*($H$4*1.944/VPP!J6)+$L$18</f>
        <v>4.4226219502328545</v>
      </c>
      <c r="M6" s="1">
        <f>$G$19*($H$4*1.944/VPP!J6)^5+$H$19*($H$4*1.944/VPP!J6)^4+$I$19*($H$4*1.944/VPP!J6)^3+$J$19*($H$4*1.944/VPP!J6)^2+$K$19*($H$4*1.944/VPP!J6)+$L$19</f>
        <v>1.4426044969990572</v>
      </c>
      <c r="N6" s="1">
        <f>COS((VPP!I6)*PI()/180)</f>
        <v>0.17364817766693041</v>
      </c>
      <c r="O6" s="1">
        <f>SIN((VPP!I6)*PI()/180)</f>
        <v>0.98480775301220802</v>
      </c>
      <c r="P6" s="1">
        <f t="shared" si="0"/>
        <v>4.104926743233281</v>
      </c>
      <c r="Q6" s="2">
        <f t="shared" si="1"/>
        <v>2.188668335342649</v>
      </c>
    </row>
    <row r="7" spans="2:17" x14ac:dyDescent="0.35">
      <c r="B7" s="7" t="s">
        <v>99</v>
      </c>
      <c r="C7" s="1" t="s">
        <v>101</v>
      </c>
      <c r="D7" s="2" t="s">
        <v>100</v>
      </c>
      <c r="F7" s="7" t="s">
        <v>99</v>
      </c>
      <c r="G7" s="1" t="s">
        <v>101</v>
      </c>
      <c r="H7" s="2" t="s">
        <v>100</v>
      </c>
      <c r="J7">
        <f>C4+D4</f>
        <v>19.841999999999999</v>
      </c>
      <c r="L7" s="7">
        <f>$G$18*($H$4*1.944/VPP!J7)^5+$H$18*($H$4*1.944/VPP!J7)^4+$I$18*($H$4*1.944/VPP!J7)^3+$J$18*($H$4*1.944/VPP!J7)^2+$K$18*($H$4*1.944/VPP!J7)+$L$18</f>
        <v>4.422621950232859</v>
      </c>
      <c r="M7" s="1">
        <f>$G$19*($H$4*1.944/VPP!J7)^5+$H$19*($H$4*1.944/VPP!J7)^4+$I$19*($H$4*1.944/VPP!J7)^3+$J$19*($H$4*1.944/VPP!J7)^2+$K$19*($H$4*1.944/VPP!J7)+$L$19</f>
        <v>1.4426044969990552</v>
      </c>
      <c r="N7" s="1">
        <f>COS((VPP!I7)*PI()/180)</f>
        <v>6.1257422745431001E-17</v>
      </c>
      <c r="O7" s="1">
        <f>SIN((VPP!I7)*PI()/180)</f>
        <v>1</v>
      </c>
      <c r="P7" s="1">
        <f t="shared" si="0"/>
        <v>4.422621950232859</v>
      </c>
      <c r="Q7" s="2">
        <f t="shared" si="1"/>
        <v>1.4426044969990555</v>
      </c>
    </row>
    <row r="8" spans="2:17" x14ac:dyDescent="0.35">
      <c r="B8" s="7">
        <v>0</v>
      </c>
      <c r="C8" s="1">
        <v>0</v>
      </c>
      <c r="D8" s="2">
        <v>0.8</v>
      </c>
      <c r="F8" s="7">
        <v>0</v>
      </c>
      <c r="G8" s="1">
        <v>0</v>
      </c>
      <c r="H8" s="2">
        <v>0.8</v>
      </c>
      <c r="L8" s="7">
        <f>$G$18*($H$4*1.944/VPP!J8)^5+$H$18*($H$4*1.944/VPP!J8)^4+$I$18*($H$4*1.944/VPP!J8)^3+$J$18*($H$4*1.944/VPP!J8)^2+$K$18*($H$4*1.944/VPP!J8)+$L$18</f>
        <v>4.4226219502328545</v>
      </c>
      <c r="M8" s="1">
        <f>$G$19*($H$4*1.944/VPP!J8)^5+$H$19*($H$4*1.944/VPP!J8)^4+$I$19*($H$4*1.944/VPP!J8)^3+$J$19*($H$4*1.944/VPP!J8)^2+$K$19*($H$4*1.944/VPP!J8)+$L$19</f>
        <v>1.4426044969990572</v>
      </c>
      <c r="N8" s="1">
        <f>COS((VPP!I8)*PI()/180)</f>
        <v>-0.1736481776669303</v>
      </c>
      <c r="O8" s="1">
        <f>SIN((VPP!I8)*PI()/180)</f>
        <v>0.98480775301220802</v>
      </c>
      <c r="P8" s="1">
        <f t="shared" si="0"/>
        <v>4.6059380272292909</v>
      </c>
      <c r="Q8" s="2">
        <f t="shared" si="1"/>
        <v>0.6527078510072476</v>
      </c>
    </row>
    <row r="9" spans="2:17" x14ac:dyDescent="0.35">
      <c r="B9" s="7">
        <v>0.5</v>
      </c>
      <c r="C9" s="1">
        <v>0.5</v>
      </c>
      <c r="D9" s="2">
        <v>0.7</v>
      </c>
      <c r="F9" s="7">
        <v>0.5</v>
      </c>
      <c r="G9" s="86">
        <v>0.5</v>
      </c>
      <c r="H9" s="87">
        <v>0.7</v>
      </c>
      <c r="L9" s="7">
        <f>$G$18*($H$4*1.944/VPP!J9)^5+$H$18*($H$4*1.944/VPP!J9)^4+$I$18*($H$4*1.944/VPP!J9)^3+$J$18*($H$4*1.944/VPP!J9)^2+$K$18*($H$4*1.944/VPP!J9)+$L$18</f>
        <v>4.422621950232859</v>
      </c>
      <c r="M9" s="1">
        <f>$G$19*($H$4*1.944/VPP!J9)^5+$H$19*($H$4*1.944/VPP!J9)^4+$I$19*($H$4*1.944/VPP!J9)^3+$J$19*($H$4*1.944/VPP!J9)^2+$K$19*($H$4*1.944/VPP!J9)+$L$19</f>
        <v>1.4426044969990552</v>
      </c>
      <c r="N9" s="1">
        <f>COS((VPP!I9)*PI()/180)</f>
        <v>-0.49999999999999978</v>
      </c>
      <c r="O9" s="1">
        <f>SIN((VPP!I9)*PI()/180)</f>
        <v>0.86602540378443871</v>
      </c>
      <c r="P9" s="1">
        <f t="shared" si="0"/>
        <v>4.5514052087358614</v>
      </c>
      <c r="Q9" s="2">
        <f t="shared" si="1"/>
        <v>-0.96197883310157462</v>
      </c>
    </row>
    <row r="10" spans="2:17" x14ac:dyDescent="0.35">
      <c r="B10" s="7">
        <v>1</v>
      </c>
      <c r="C10" s="1">
        <v>1.2</v>
      </c>
      <c r="D10" s="2">
        <v>0.6</v>
      </c>
      <c r="F10" s="7">
        <v>1</v>
      </c>
      <c r="G10" s="1">
        <v>1.2</v>
      </c>
      <c r="H10" s="2">
        <v>0.6</v>
      </c>
      <c r="L10" s="7">
        <f>$G$18*($H$4*1.944/VPP!J10)^5+$H$18*($H$4*1.944/VPP!J10)^4+$I$18*($H$4*1.944/VPP!J10)^3+$J$18*($H$4*1.944/VPP!J10)^2+$K$18*($H$4*1.944/VPP!J10)+$L$18</f>
        <v>4.422621950232859</v>
      </c>
      <c r="M10" s="1">
        <f>$G$19*($H$4*1.944/VPP!J10)^5+$H$19*($H$4*1.944/VPP!J10)^4+$I$19*($H$4*1.944/VPP!J10)^3+$J$19*($H$4*1.944/VPP!J10)^2+$K$19*($H$4*1.944/VPP!J10)+$L$19</f>
        <v>1.4426044969990552</v>
      </c>
      <c r="N10" s="1">
        <f>COS((VPP!I10)*PI()/180)</f>
        <v>-0.7660444431189779</v>
      </c>
      <c r="O10" s="1">
        <f>SIN((VPP!I10)*PI()/180)</f>
        <v>0.64278760968653947</v>
      </c>
      <c r="P10" s="1">
        <f t="shared" si="0"/>
        <v>3.9479057504819752</v>
      </c>
      <c r="Q10" s="2">
        <f>L10*N10+M10*O10</f>
        <v>-2.4606366726428233</v>
      </c>
    </row>
    <row r="11" spans="2:17" ht="15" thickBot="1" x14ac:dyDescent="0.4">
      <c r="B11" s="7">
        <v>1.5</v>
      </c>
      <c r="C11" s="1">
        <v>2.2999999999999998</v>
      </c>
      <c r="D11" s="2">
        <v>0.7</v>
      </c>
      <c r="F11" s="7">
        <v>1.5</v>
      </c>
      <c r="G11" s="1">
        <v>2.2999999999999998</v>
      </c>
      <c r="H11" s="2">
        <v>0.7</v>
      </c>
      <c r="L11" s="114">
        <f>$G$18*($H$4*1.944/VPP!J11)^5+$H$18*($H$4*1.944/VPP!J11)^4+$I$18*($H$4*1.944/VPP!J11)^3+$J$18*($H$4*1.944/VPP!J11)^2+$K$18*($H$4*1.944/VPP!J11)+$L$18</f>
        <v>4.422621950232859</v>
      </c>
      <c r="M11" s="3">
        <f>$G$19*($H$4*1.944/VPP!J11)^5+$H$19*($H$4*1.944/VPP!J11)^4+$I$19*($H$4*1.944/VPP!J11)^3+$J$19*($H$4*1.944/VPP!J11)^2+$K$19*($H$4*1.944/VPP!J11)+$L$19</f>
        <v>1.4426044969990552</v>
      </c>
      <c r="N11" s="3">
        <f>COS((VPP!I11)*PI()/180)</f>
        <v>-0.93969262078590865</v>
      </c>
      <c r="O11" s="3">
        <f>SIN((VPP!I11)*PI()/180)</f>
        <v>0.34202014332566805</v>
      </c>
      <c r="P11" s="3">
        <f t="shared" si="0"/>
        <v>2.8682305938364676</v>
      </c>
      <c r="Q11" s="4">
        <f t="shared" si="1"/>
        <v>-3.6625054143337312</v>
      </c>
    </row>
    <row r="12" spans="2:17" x14ac:dyDescent="0.35">
      <c r="B12" s="7">
        <v>2</v>
      </c>
      <c r="C12" s="1">
        <v>3.9</v>
      </c>
      <c r="D12" s="2">
        <v>1.2</v>
      </c>
      <c r="F12" s="7">
        <v>2</v>
      </c>
      <c r="G12" s="1">
        <v>3.9</v>
      </c>
      <c r="H12" s="2">
        <v>1.2</v>
      </c>
    </row>
    <row r="13" spans="2:17" x14ac:dyDescent="0.35">
      <c r="B13" s="7">
        <v>2.5</v>
      </c>
      <c r="C13" s="1">
        <v>5.5</v>
      </c>
      <c r="D13" s="2">
        <v>2</v>
      </c>
      <c r="F13" s="7">
        <v>2.5</v>
      </c>
      <c r="G13" s="1">
        <v>5.5</v>
      </c>
      <c r="H13" s="2">
        <v>2</v>
      </c>
      <c r="M13" t="s">
        <v>129</v>
      </c>
      <c r="N13">
        <f>$G$18*(($H$4*1.944)/VPP!J2)^5</f>
        <v>0.44647588153228074</v>
      </c>
    </row>
    <row r="14" spans="2:17" x14ac:dyDescent="0.35">
      <c r="B14" s="7">
        <v>3</v>
      </c>
      <c r="C14" s="1">
        <v>6.4</v>
      </c>
      <c r="D14" s="2">
        <v>2.8</v>
      </c>
      <c r="F14" s="7">
        <v>3</v>
      </c>
      <c r="G14" s="1">
        <v>6.4</v>
      </c>
      <c r="H14" s="2">
        <v>2.8</v>
      </c>
      <c r="M14" t="s">
        <v>128</v>
      </c>
      <c r="N14">
        <f>$G$19*($H$4*1.944/VPP!J2)^5+$H$19*($H$4*1.944/VPP!J2)^4+$I$19*($H$4*1.944/VPP!J2)^3+$J$19*($H$4*1.944/VPP!J2)^2+$K$19*($H$4*1.944/VPP!J2)+$L$19</f>
        <v>0.62262997599962411</v>
      </c>
    </row>
    <row r="15" spans="2:17" x14ac:dyDescent="0.35">
      <c r="B15" s="7">
        <v>3.5</v>
      </c>
      <c r="C15" s="1">
        <v>6.7</v>
      </c>
      <c r="D15" s="2">
        <v>3.3</v>
      </c>
      <c r="F15" s="7">
        <v>3.5</v>
      </c>
      <c r="G15" s="1">
        <v>6.7</v>
      </c>
      <c r="H15" s="2">
        <v>3.3</v>
      </c>
    </row>
    <row r="16" spans="2:17" ht="15" thickBot="1" x14ac:dyDescent="0.4">
      <c r="B16" s="114">
        <v>4</v>
      </c>
      <c r="C16" s="3">
        <v>7</v>
      </c>
      <c r="D16" s="4">
        <v>3.6</v>
      </c>
      <c r="F16" s="114">
        <v>4</v>
      </c>
      <c r="G16" s="3">
        <v>7</v>
      </c>
      <c r="H16" s="4">
        <v>3.6</v>
      </c>
    </row>
    <row r="17" spans="6:12" ht="15" thickBot="1" x14ac:dyDescent="0.4">
      <c r="F17" s="111" t="s">
        <v>112</v>
      </c>
      <c r="G17" s="112"/>
      <c r="H17" s="112"/>
      <c r="I17" s="112"/>
      <c r="J17" s="112"/>
      <c r="K17" s="112"/>
      <c r="L17" s="113"/>
    </row>
    <row r="18" spans="6:12" x14ac:dyDescent="0.35">
      <c r="F18" s="111" t="s">
        <v>110</v>
      </c>
      <c r="G18" s="112" cm="1">
        <f t="array" ref="G18:L18">LINEST(G8:G16,F8:F16^{1,2,3,4,5})</f>
        <v>9.6410256410262657E-2</v>
      </c>
      <c r="H18" s="112">
        <v>-0.94731934731941758</v>
      </c>
      <c r="I18" s="112">
        <v>2.9452214452217285</v>
      </c>
      <c r="J18" s="112">
        <v>-2.825641025641517</v>
      </c>
      <c r="K18" s="112">
        <v>1.8777156177159384</v>
      </c>
      <c r="L18" s="113">
        <v>-7.6923076923272049E-3</v>
      </c>
    </row>
    <row r="19" spans="6:12" ht="15" thickBot="1" x14ac:dyDescent="0.4">
      <c r="F19" s="114" t="s">
        <v>111</v>
      </c>
      <c r="G19" s="3" cm="1">
        <f t="array" ref="G19:L19">LINEST(H8:H16,F8:F16^{1,2,3,4,5})</f>
        <v>3.1794871794875099E-2</v>
      </c>
      <c r="H19" s="3">
        <v>-0.38275058275061974</v>
      </c>
      <c r="I19" s="3">
        <v>1.4968531468532942</v>
      </c>
      <c r="J19" s="3">
        <v>-1.8383449883452387</v>
      </c>
      <c r="K19" s="3">
        <v>0.46039627039642833</v>
      </c>
      <c r="L19" s="4">
        <v>0.79347319347319001</v>
      </c>
    </row>
    <row r="20" spans="6:12" ht="15" thickBot="1" x14ac:dyDescent="0.4"/>
    <row r="21" spans="6:12" ht="29" x14ac:dyDescent="0.35">
      <c r="H21" s="165" t="s">
        <v>113</v>
      </c>
      <c r="I21" s="113" t="s">
        <v>125</v>
      </c>
    </row>
    <row r="22" spans="6:12" x14ac:dyDescent="0.35">
      <c r="H22" s="7">
        <v>14</v>
      </c>
      <c r="I22" s="2">
        <f>(H22*1.944)/VPP!J2</f>
        <v>1.3587355958621101</v>
      </c>
    </row>
    <row r="23" spans="6:12" x14ac:dyDescent="0.35">
      <c r="H23" s="7">
        <v>14</v>
      </c>
      <c r="I23" s="2">
        <f>(H23*1.944)/VPP!J3</f>
        <v>2.1489998445782588</v>
      </c>
    </row>
    <row r="24" spans="6:12" x14ac:dyDescent="0.35">
      <c r="H24" s="7">
        <v>14</v>
      </c>
      <c r="I24" s="2">
        <f>(H24*1.944)/VPP!J4</f>
        <v>2.1489998445782588</v>
      </c>
    </row>
    <row r="25" spans="6:12" x14ac:dyDescent="0.35">
      <c r="H25" s="7">
        <v>14</v>
      </c>
      <c r="I25" s="2">
        <f>(H25*1.944)/VPP!J5</f>
        <v>2.1489998445782592</v>
      </c>
    </row>
    <row r="26" spans="6:12" x14ac:dyDescent="0.35">
      <c r="H26" s="7">
        <v>14</v>
      </c>
      <c r="I26" s="2">
        <f>(H26*1.944)/VPP!J6</f>
        <v>2.1489998445782592</v>
      </c>
    </row>
    <row r="27" spans="6:12" x14ac:dyDescent="0.35">
      <c r="H27" s="7">
        <v>14</v>
      </c>
      <c r="I27" s="2">
        <f>(H27*1.944)/VPP!J7</f>
        <v>2.1489998445782588</v>
      </c>
    </row>
    <row r="28" spans="6:12" x14ac:dyDescent="0.35">
      <c r="H28" s="7">
        <v>14</v>
      </c>
      <c r="I28" s="2">
        <f>(H28*1.944)/VPP!J8</f>
        <v>2.1489998445782592</v>
      </c>
    </row>
    <row r="29" spans="6:12" x14ac:dyDescent="0.35">
      <c r="H29" s="7">
        <v>14</v>
      </c>
      <c r="I29" s="2">
        <f>(H29*1.944)/VPP!J9</f>
        <v>2.1489998445782588</v>
      </c>
    </row>
    <row r="30" spans="6:12" x14ac:dyDescent="0.35">
      <c r="H30" s="7">
        <v>14</v>
      </c>
      <c r="I30" s="2">
        <f>(H30*1.944)/VPP!J10</f>
        <v>2.1489998445782588</v>
      </c>
    </row>
    <row r="31" spans="6:12" ht="15" thickBot="1" x14ac:dyDescent="0.4">
      <c r="H31" s="114">
        <v>14</v>
      </c>
      <c r="I31" s="4">
        <f>(H31*1.944)/VPP!J11</f>
        <v>2.1489998445782588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92E5D-C15A-4AE2-AD72-E14058805F61}">
  <sheetPr codeName="Feuil3"/>
  <dimension ref="A1:J37"/>
  <sheetViews>
    <sheetView zoomScale="71" zoomScaleNormal="100" workbookViewId="0">
      <selection activeCell="M23" sqref="M23"/>
    </sheetView>
  </sheetViews>
  <sheetFormatPr baseColWidth="10" defaultRowHeight="14.5" x14ac:dyDescent="0.35"/>
  <cols>
    <col min="1" max="1" width="15.54296875" customWidth="1"/>
  </cols>
  <sheetData>
    <row r="1" spans="1:10" x14ac:dyDescent="0.35">
      <c r="A1" s="81"/>
      <c r="B1" s="82"/>
      <c r="C1" s="82"/>
      <c r="D1" s="82"/>
      <c r="E1" s="82"/>
      <c r="F1" s="82"/>
      <c r="G1" s="82"/>
      <c r="H1" s="82"/>
      <c r="I1" s="82"/>
      <c r="J1" s="82"/>
    </row>
    <row r="3" spans="1:10" ht="15" thickBot="1" x14ac:dyDescent="0.4"/>
    <row r="4" spans="1:10" x14ac:dyDescent="0.35">
      <c r="B4" s="42" t="s">
        <v>24</v>
      </c>
      <c r="C4" s="20">
        <f>VPP!$F$11</f>
        <v>10</v>
      </c>
      <c r="D4" s="20">
        <f>VPP!F12</f>
        <v>12</v>
      </c>
      <c r="E4" s="20">
        <f>VPP!F13</f>
        <v>15</v>
      </c>
      <c r="F4" s="20">
        <f>VPP!F14</f>
        <v>20</v>
      </c>
      <c r="G4" s="20">
        <f>VPP!F15</f>
        <v>25</v>
      </c>
      <c r="H4" s="21">
        <f>VPP!F16</f>
        <v>28</v>
      </c>
    </row>
    <row r="5" spans="1:10" x14ac:dyDescent="0.35">
      <c r="B5" s="34">
        <v>0</v>
      </c>
      <c r="C5" s="1"/>
      <c r="D5" s="1"/>
      <c r="E5" s="1"/>
      <c r="F5" s="1"/>
      <c r="G5" s="1"/>
      <c r="H5" s="2"/>
    </row>
    <row r="6" spans="1:10" x14ac:dyDescent="0.35">
      <c r="B6" s="34">
        <v>10</v>
      </c>
      <c r="C6" s="1"/>
      <c r="D6" s="1"/>
      <c r="E6" s="1"/>
      <c r="F6" s="1"/>
      <c r="G6" s="1"/>
      <c r="H6" s="2"/>
      <c r="J6" s="1"/>
    </row>
    <row r="7" spans="1:10" x14ac:dyDescent="0.35">
      <c r="B7" s="34">
        <v>20</v>
      </c>
      <c r="C7" s="1"/>
      <c r="D7" s="1"/>
      <c r="E7" s="1"/>
      <c r="F7" s="1"/>
      <c r="G7" s="1"/>
      <c r="H7" s="2"/>
      <c r="I7" s="201"/>
      <c r="J7" s="1"/>
    </row>
    <row r="8" spans="1:10" x14ac:dyDescent="0.35">
      <c r="B8" s="34">
        <v>30</v>
      </c>
      <c r="C8" s="1"/>
      <c r="D8" s="1"/>
      <c r="E8" s="1"/>
      <c r="F8" s="1"/>
      <c r="G8" s="1"/>
      <c r="H8" s="2"/>
    </row>
    <row r="9" spans="1:10" x14ac:dyDescent="0.35">
      <c r="B9" s="46">
        <v>40</v>
      </c>
      <c r="C9" s="104">
        <v>8.6</v>
      </c>
      <c r="D9" s="104">
        <v>11.45</v>
      </c>
      <c r="E9" s="104">
        <v>13.35</v>
      </c>
      <c r="F9" s="104">
        <v>8.2833333333333332</v>
      </c>
      <c r="G9" s="104">
        <v>1</v>
      </c>
      <c r="H9" s="105">
        <v>1</v>
      </c>
    </row>
    <row r="10" spans="1:10" x14ac:dyDescent="0.35">
      <c r="B10" s="43">
        <v>50</v>
      </c>
      <c r="C10" s="106">
        <v>9.8666666666666671</v>
      </c>
      <c r="D10" s="106">
        <v>11.133333333333333</v>
      </c>
      <c r="E10" s="106">
        <v>13.666666666666666</v>
      </c>
      <c r="F10" s="106">
        <v>8.6</v>
      </c>
      <c r="G10" s="106">
        <v>1</v>
      </c>
      <c r="H10" s="107">
        <v>1</v>
      </c>
    </row>
    <row r="11" spans="1:10" x14ac:dyDescent="0.35">
      <c r="B11" s="43">
        <v>60</v>
      </c>
      <c r="C11" s="106">
        <v>8.9166666666666679</v>
      </c>
      <c r="D11" s="106">
        <v>11.133333333333333</v>
      </c>
      <c r="E11" s="106">
        <v>13.666666666666666</v>
      </c>
      <c r="F11" s="106">
        <v>10.183333333333334</v>
      </c>
      <c r="G11" s="106">
        <v>2.2666666666666666</v>
      </c>
      <c r="H11" s="107">
        <v>1</v>
      </c>
    </row>
    <row r="12" spans="1:10" x14ac:dyDescent="0.35">
      <c r="B12" s="43">
        <v>70</v>
      </c>
      <c r="C12" s="106">
        <v>9.5500000000000007</v>
      </c>
      <c r="D12" s="106">
        <v>9.5500000000000007</v>
      </c>
      <c r="E12" s="106">
        <v>12.716666666666667</v>
      </c>
      <c r="F12" s="106">
        <v>12.716666666666667</v>
      </c>
      <c r="G12" s="106">
        <v>5.1166666666666663</v>
      </c>
      <c r="H12" s="107">
        <v>1</v>
      </c>
    </row>
    <row r="13" spans="1:10" x14ac:dyDescent="0.35">
      <c r="B13" s="43">
        <v>80</v>
      </c>
      <c r="C13" s="106">
        <v>7.333333333333333</v>
      </c>
      <c r="D13" s="106">
        <v>9.8666666666666671</v>
      </c>
      <c r="E13" s="106">
        <v>11.133333333333333</v>
      </c>
      <c r="F13" s="106">
        <v>14.933333333333334</v>
      </c>
      <c r="G13" s="106">
        <v>8.9166666666666679</v>
      </c>
      <c r="H13" s="107">
        <v>3.85</v>
      </c>
    </row>
    <row r="14" spans="1:10" x14ac:dyDescent="0.35">
      <c r="B14" s="43">
        <v>90</v>
      </c>
      <c r="C14" s="106">
        <v>7.65</v>
      </c>
      <c r="D14" s="106">
        <v>9.2333333333333325</v>
      </c>
      <c r="E14" s="106">
        <v>11.766666666666667</v>
      </c>
      <c r="F14" s="106">
        <v>15.566666666666666</v>
      </c>
      <c r="G14" s="106">
        <v>13.983333333333333</v>
      </c>
      <c r="H14" s="107">
        <v>9.2333333333333325</v>
      </c>
    </row>
    <row r="15" spans="1:10" x14ac:dyDescent="0.35">
      <c r="B15" s="43">
        <v>100</v>
      </c>
      <c r="C15" s="106">
        <v>8.2833333333333332</v>
      </c>
      <c r="D15" s="106">
        <v>10.5</v>
      </c>
      <c r="E15" s="106">
        <v>13.033333333333333</v>
      </c>
      <c r="F15" s="106">
        <v>15.883333333333333</v>
      </c>
      <c r="G15" s="106">
        <v>18.733333333333334</v>
      </c>
      <c r="H15" s="107">
        <v>16.2</v>
      </c>
    </row>
    <row r="16" spans="1:10" x14ac:dyDescent="0.35">
      <c r="B16" s="43">
        <v>120</v>
      </c>
      <c r="C16" s="106">
        <v>4.8</v>
      </c>
      <c r="D16" s="106">
        <v>6.7</v>
      </c>
      <c r="E16" s="106">
        <v>8.2833333333333332</v>
      </c>
      <c r="F16" s="106">
        <v>12.083333333333334</v>
      </c>
      <c r="G16" s="106">
        <v>15.566666666666666</v>
      </c>
      <c r="H16" s="107">
        <v>17.466666666666665</v>
      </c>
    </row>
    <row r="17" spans="2:8" x14ac:dyDescent="0.35">
      <c r="B17" s="43">
        <v>140</v>
      </c>
      <c r="C17" s="106">
        <v>7.0166666666666666</v>
      </c>
      <c r="D17" s="106">
        <v>8.6</v>
      </c>
      <c r="E17" s="106">
        <v>13.033333333333333</v>
      </c>
      <c r="F17" s="106">
        <v>8.2833333333333332</v>
      </c>
      <c r="G17" s="106">
        <v>7.333333333333333</v>
      </c>
      <c r="H17" s="107">
        <v>10.183333333333334</v>
      </c>
    </row>
    <row r="18" spans="2:8" x14ac:dyDescent="0.35">
      <c r="B18" s="45">
        <v>160</v>
      </c>
      <c r="C18" s="108">
        <v>5.1166666666666663</v>
      </c>
      <c r="D18" s="108">
        <v>1.95</v>
      </c>
      <c r="E18" s="108">
        <v>3.2166666666666668</v>
      </c>
      <c r="F18" s="108">
        <v>5.75</v>
      </c>
      <c r="G18" s="108">
        <v>6.3833333333333337</v>
      </c>
      <c r="H18" s="109">
        <v>7.333333333333333</v>
      </c>
    </row>
    <row r="19" spans="2:8" x14ac:dyDescent="0.35">
      <c r="B19" s="34">
        <v>170</v>
      </c>
      <c r="C19" s="1"/>
      <c r="D19" s="1"/>
      <c r="E19" s="1"/>
      <c r="F19" s="1"/>
      <c r="G19" s="1"/>
      <c r="H19" s="2"/>
    </row>
    <row r="20" spans="2:8" x14ac:dyDescent="0.35">
      <c r="B20" s="34">
        <v>180</v>
      </c>
      <c r="C20" s="1"/>
      <c r="D20" s="1"/>
      <c r="E20" s="1"/>
      <c r="F20" s="1"/>
      <c r="G20" s="1"/>
      <c r="H20" s="2"/>
    </row>
    <row r="21" spans="2:8" x14ac:dyDescent="0.35">
      <c r="B21" s="34">
        <v>190</v>
      </c>
      <c r="C21" s="1"/>
      <c r="D21" s="1"/>
      <c r="E21" s="1"/>
      <c r="F21" s="1"/>
      <c r="G21" s="1"/>
      <c r="H21" s="2"/>
    </row>
    <row r="22" spans="2:8" x14ac:dyDescent="0.35">
      <c r="B22" s="34">
        <v>200</v>
      </c>
      <c r="C22" s="1"/>
      <c r="D22" s="1"/>
      <c r="E22" s="1"/>
      <c r="F22" s="1"/>
      <c r="G22" s="1"/>
      <c r="H22" s="2"/>
    </row>
    <row r="23" spans="2:8" x14ac:dyDescent="0.35">
      <c r="B23" s="34">
        <v>210</v>
      </c>
      <c r="C23" s="1"/>
      <c r="D23" s="1"/>
      <c r="E23" s="1"/>
      <c r="F23" s="1"/>
      <c r="G23" s="1"/>
      <c r="H23" s="2"/>
    </row>
    <row r="24" spans="2:8" x14ac:dyDescent="0.35">
      <c r="B24" s="34">
        <v>220</v>
      </c>
      <c r="C24" s="1"/>
      <c r="D24" s="1"/>
      <c r="E24" s="1"/>
      <c r="F24" s="1"/>
      <c r="G24" s="1"/>
      <c r="H24" s="2"/>
    </row>
    <row r="25" spans="2:8" x14ac:dyDescent="0.35">
      <c r="B25" s="34">
        <v>230</v>
      </c>
      <c r="C25" s="1"/>
      <c r="D25" s="1"/>
      <c r="E25" s="1"/>
      <c r="F25" s="1"/>
      <c r="G25" s="1"/>
      <c r="H25" s="2"/>
    </row>
    <row r="26" spans="2:8" x14ac:dyDescent="0.35">
      <c r="B26" s="34">
        <v>240</v>
      </c>
      <c r="C26" s="1"/>
      <c r="D26" s="1"/>
      <c r="E26" s="1"/>
      <c r="F26" s="1"/>
      <c r="G26" s="1"/>
      <c r="H26" s="2"/>
    </row>
    <row r="27" spans="2:8" x14ac:dyDescent="0.35">
      <c r="B27" s="34">
        <v>250</v>
      </c>
      <c r="C27" s="1"/>
      <c r="D27" s="1"/>
      <c r="E27" s="1"/>
      <c r="F27" s="1"/>
      <c r="G27" s="1"/>
      <c r="H27" s="2"/>
    </row>
    <row r="28" spans="2:8" x14ac:dyDescent="0.35">
      <c r="B28" s="34">
        <v>260</v>
      </c>
      <c r="C28" s="1"/>
      <c r="D28" s="1"/>
      <c r="E28" s="1"/>
      <c r="F28" s="1"/>
      <c r="G28" s="1"/>
      <c r="H28" s="2"/>
    </row>
    <row r="29" spans="2:8" x14ac:dyDescent="0.35">
      <c r="B29" s="34">
        <v>270</v>
      </c>
      <c r="C29" s="1"/>
      <c r="D29" s="1"/>
      <c r="E29" s="1"/>
      <c r="F29" s="1"/>
      <c r="G29" s="1"/>
      <c r="H29" s="2"/>
    </row>
    <row r="30" spans="2:8" x14ac:dyDescent="0.35">
      <c r="B30" s="34">
        <v>280</v>
      </c>
      <c r="C30" s="1"/>
      <c r="D30" s="1"/>
      <c r="E30" s="1"/>
      <c r="F30" s="1"/>
      <c r="G30" s="1"/>
      <c r="H30" s="2"/>
    </row>
    <row r="31" spans="2:8" x14ac:dyDescent="0.35">
      <c r="B31" s="34">
        <v>290</v>
      </c>
      <c r="C31" s="1"/>
      <c r="D31" s="1"/>
      <c r="E31" s="1"/>
      <c r="F31" s="1"/>
      <c r="G31" s="1"/>
      <c r="H31" s="2"/>
    </row>
    <row r="32" spans="2:8" x14ac:dyDescent="0.35">
      <c r="B32" s="34">
        <v>300</v>
      </c>
      <c r="C32" s="1"/>
      <c r="D32" s="1"/>
      <c r="E32" s="1"/>
      <c r="F32" s="1"/>
      <c r="G32" s="1"/>
      <c r="H32" s="2"/>
    </row>
    <row r="33" spans="2:8" x14ac:dyDescent="0.35">
      <c r="B33" s="34">
        <v>310</v>
      </c>
      <c r="C33" s="1"/>
      <c r="D33" s="1"/>
      <c r="E33" s="1"/>
      <c r="F33" s="1"/>
      <c r="G33" s="1"/>
      <c r="H33" s="2"/>
    </row>
    <row r="34" spans="2:8" x14ac:dyDescent="0.35">
      <c r="B34" s="34">
        <v>320</v>
      </c>
      <c r="C34" s="1"/>
      <c r="D34" s="1"/>
      <c r="E34" s="1"/>
      <c r="F34" s="1"/>
      <c r="G34" s="1"/>
      <c r="H34" s="2"/>
    </row>
    <row r="35" spans="2:8" x14ac:dyDescent="0.35">
      <c r="B35" s="34">
        <v>330</v>
      </c>
      <c r="C35" s="1"/>
      <c r="D35" s="1"/>
      <c r="E35" s="1"/>
      <c r="F35" s="1"/>
      <c r="G35" s="1"/>
      <c r="H35" s="2"/>
    </row>
    <row r="36" spans="2:8" x14ac:dyDescent="0.35">
      <c r="B36" s="34">
        <v>340</v>
      </c>
      <c r="C36" s="1"/>
      <c r="D36" s="1"/>
      <c r="E36" s="1"/>
      <c r="F36" s="1"/>
      <c r="G36" s="1"/>
      <c r="H36" s="2"/>
    </row>
    <row r="37" spans="2:8" ht="15" thickBot="1" x14ac:dyDescent="0.4">
      <c r="B37" s="41">
        <v>350</v>
      </c>
      <c r="C37" s="3"/>
      <c r="D37" s="3"/>
      <c r="E37" s="3"/>
      <c r="F37" s="3"/>
      <c r="G37" s="3"/>
      <c r="H37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6E99D8-1AC7-44EF-83D2-C1027A4899C4}">
  <sheetPr codeName="Feuil4"/>
  <dimension ref="A5:C13"/>
  <sheetViews>
    <sheetView zoomScale="77" workbookViewId="0">
      <selection activeCell="H50" sqref="H50"/>
    </sheetView>
  </sheetViews>
  <sheetFormatPr baseColWidth="10" defaultRowHeight="14.5" x14ac:dyDescent="0.35"/>
  <sheetData>
    <row r="5" spans="1:3" x14ac:dyDescent="0.35">
      <c r="A5" s="200" t="s">
        <v>37</v>
      </c>
      <c r="B5" s="200"/>
      <c r="C5" s="200"/>
    </row>
    <row r="6" spans="1:3" x14ac:dyDescent="0.35">
      <c r="A6" s="200"/>
      <c r="B6" s="200"/>
      <c r="C6" s="200"/>
    </row>
    <row r="7" spans="1:3" x14ac:dyDescent="0.35">
      <c r="A7" s="200"/>
      <c r="B7" s="200"/>
      <c r="C7" s="200"/>
    </row>
    <row r="8" spans="1:3" x14ac:dyDescent="0.35">
      <c r="A8" s="200"/>
      <c r="B8" s="200"/>
      <c r="C8" s="200"/>
    </row>
    <row r="9" spans="1:3" x14ac:dyDescent="0.35">
      <c r="A9" s="200"/>
      <c r="B9" s="200"/>
      <c r="C9" s="200"/>
    </row>
    <row r="10" spans="1:3" x14ac:dyDescent="0.35">
      <c r="A10" s="200"/>
      <c r="B10" s="200"/>
      <c r="C10" s="200"/>
    </row>
    <row r="11" spans="1:3" x14ac:dyDescent="0.35">
      <c r="A11" s="200"/>
      <c r="B11" s="200"/>
      <c r="C11" s="200"/>
    </row>
    <row r="12" spans="1:3" x14ac:dyDescent="0.35">
      <c r="A12" s="200"/>
      <c r="B12" s="200"/>
      <c r="C12" s="200"/>
    </row>
    <row r="13" spans="1:3" x14ac:dyDescent="0.35">
      <c r="A13" s="200"/>
      <c r="B13" s="200"/>
      <c r="C13" s="200"/>
    </row>
  </sheetData>
  <mergeCells count="1">
    <mergeCell ref="A5:C1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User_Guide</vt:lpstr>
      <vt:lpstr>VPP</vt:lpstr>
      <vt:lpstr>Résistance</vt:lpstr>
      <vt:lpstr>Appendices</vt:lpstr>
      <vt:lpstr>Voiles</vt:lpstr>
      <vt:lpstr>Flettner</vt:lpstr>
      <vt:lpstr>Résultats</vt:lpstr>
      <vt:lpstr>Polar</vt:lpstr>
      <vt:lpstr>Draugth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Philippine Sentenac</dc:creator>
  <cp:lastModifiedBy>Philippine Sentenac</cp:lastModifiedBy>
  <dcterms:created xsi:type="dcterms:W3CDTF">2020-04-02T10:29:24Z</dcterms:created>
  <dcterms:modified xsi:type="dcterms:W3CDTF">2020-06-23T08:54:02Z</dcterms:modified>
</cp:coreProperties>
</file>