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202402\OneDrive - GROUP DIGITAL WORKPLACE\Desktop\"/>
    </mc:Choice>
  </mc:AlternateContent>
  <xr:revisionPtr revIDLastSave="11" documentId="8_{B1B7BE2D-3643-4759-AB46-E6F83877FE6A}" xr6:coauthVersionLast="45" xr6:coauthVersionMax="45" xr10:uidLastSave="{E2E1D170-DCC8-48A1-A198-854279CA18BF}"/>
  <bookViews>
    <workbookView xWindow="-120" yWindow="-120" windowWidth="20730" windowHeight="11160" firstSheet="1" activeTab="1" xr2:uid="{00000000-000D-0000-FFFF-FFFF00000000}"/>
  </bookViews>
  <sheets>
    <sheet name="SYNTHESIS" sheetId="11" state="hidden" r:id="rId1"/>
    <sheet name="SECURITY MEASURES" sheetId="2" r:id="rId2"/>
    <sheet name="CALCULATION" sheetId="19" state="hidden" r:id="rId3"/>
    <sheet name="DATA" sheetId="1" state="hidden" r:id="rId4"/>
  </sheets>
  <externalReferences>
    <externalReference r:id="rId5"/>
  </externalReferences>
  <definedNames>
    <definedName name="Checked">DATA!$J$8</definedName>
    <definedName name="DATA_DQA_1">DATA!$A$19</definedName>
    <definedName name="DATA_DQA_10">DATA!$A$20</definedName>
    <definedName name="DATA_DQA_11">DATA!$A$21</definedName>
    <definedName name="DATA_DQA_14">DATA!$A$24</definedName>
    <definedName name="DATA_DQA_15">DATA!$A$25</definedName>
    <definedName name="DATA_DQA_16">DATA!$A$26</definedName>
    <definedName name="DATA_DQA_18">DATA!$A$28</definedName>
    <definedName name="DATA_DQA_2">DATA!$A$30</definedName>
    <definedName name="DATA_QDA_12">DATA!$A$22</definedName>
    <definedName name="DATA_QDA_13">DATA!$A$23</definedName>
    <definedName name="DATA_QDA_17">DATA!$A$27</definedName>
    <definedName name="DATA_QDA_19">DATA!$A$29</definedName>
    <definedName name="DATA_QDA_3">DATA!$A$31</definedName>
    <definedName name="DATA_QDA_4">DATA!$A$32</definedName>
    <definedName name="DATA_QDA_5">DATA!$A$33</definedName>
    <definedName name="DATA_QDA_6">DATA!$A$34</definedName>
    <definedName name="DATA_QDA_7">DATA!$A$34</definedName>
    <definedName name="DATA_QDA_8">DATA!$A$35</definedName>
    <definedName name="DATA_QDA_9">DATA!$A$36</definedName>
    <definedName name="DATA_Status_INPROGRESS">DATA!$J$5</definedName>
    <definedName name="DATA_Status_TOBESTARTED">DATA!$J$4</definedName>
    <definedName name="DateAbove">[1]Planning!A$7</definedName>
    <definedName name="Done">DATA!$J$6</definedName>
    <definedName name="full">DATA!$K$14</definedName>
    <definedName name="In_progress" localSheetId="3">DATA!$J$5</definedName>
    <definedName name="In_progress">DATA!$J$5</definedName>
    <definedName name="Progress_rate_0">DATA!$K$12</definedName>
    <definedName name="ReportingDate" localSheetId="2">#REF!</definedName>
    <definedName name="ReportingDate" localSheetId="0">SYNTHESIS!$B$10</definedName>
    <definedName name="Risk_accepted">DATA!$K$12</definedName>
    <definedName name="Status_No_Project">DATA!$J$3</definedName>
    <definedName name="Target_Not_Applicable">DATA!$M$12</definedName>
    <definedName name="THEME_P1">DATA!$AG:$AG</definedName>
    <definedName name="To_be_started" localSheetId="3">DATA!$J$4</definedName>
    <definedName name="ValidityChecks">GLOBAL_DATA[[To be started and &gt; 0%]:[Done]]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9" i="2" l="1" a="1"/>
  <c r="AN9" i="2" s="1"/>
  <c r="AN5" i="2" a="1"/>
  <c r="AN5" i="2" s="1"/>
  <c r="AN6" i="2" a="1"/>
  <c r="AN6" i="2" s="1"/>
  <c r="AN7" i="2" a="1"/>
  <c r="AN7" i="2" s="1"/>
  <c r="AN8" i="2" a="1"/>
  <c r="AN8" i="2" s="1"/>
  <c r="AN10" i="2" a="1"/>
  <c r="AN10" i="2" s="1"/>
  <c r="AN11" i="2" a="1"/>
  <c r="AN11" i="2" s="1"/>
  <c r="AN12" i="2" a="1"/>
  <c r="AN12" i="2" s="1"/>
  <c r="AN13" i="2" a="1"/>
  <c r="AN13" i="2" s="1"/>
  <c r="AN14" i="2" a="1"/>
  <c r="AN14" i="2" s="1"/>
  <c r="AN15" i="2" a="1"/>
  <c r="AN15" i="2" s="1"/>
  <c r="AN16" i="2" a="1"/>
  <c r="AN16" i="2" s="1"/>
  <c r="AN17" i="2" a="1"/>
  <c r="AN17" i="2" s="1"/>
  <c r="AN18" i="2" a="1"/>
  <c r="AN18" i="2" s="1"/>
  <c r="AN19" i="2" a="1"/>
  <c r="AN19" i="2" s="1"/>
  <c r="AN20" i="2" a="1"/>
  <c r="AN20" i="2" s="1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O5" i="2"/>
  <c r="AO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M5" i="2"/>
  <c r="AM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L5" i="2" a="1"/>
  <c r="AL5" i="2" s="1"/>
  <c r="AL6" i="2" a="1"/>
  <c r="AL6" i="2" s="1"/>
  <c r="AL7" i="2"/>
  <c r="AL8" i="2" a="1"/>
  <c r="AL8" i="2" s="1"/>
  <c r="AL9" i="2" a="1"/>
  <c r="AL9" i="2" s="1"/>
  <c r="AL10" i="2" a="1"/>
  <c r="AL10" i="2" s="1"/>
  <c r="AL11" i="2" a="1"/>
  <c r="AL11" i="2" s="1"/>
  <c r="AL12" i="2" a="1"/>
  <c r="AL12" i="2" s="1"/>
  <c r="AL13" i="2" a="1"/>
  <c r="AL13" i="2" s="1"/>
  <c r="AL14" i="2" a="1"/>
  <c r="AL14" i="2" s="1"/>
  <c r="AL15" i="2" a="1"/>
  <c r="AL15" i="2" s="1"/>
  <c r="AL16" i="2" a="1"/>
  <c r="AL16" i="2" s="1"/>
  <c r="AL17" i="2" a="1"/>
  <c r="AL17" i="2" s="1"/>
  <c r="AL18" i="2" a="1"/>
  <c r="AL18" i="2" s="1"/>
  <c r="AL19" i="2" a="1"/>
  <c r="AL19" i="2" s="1"/>
  <c r="AL20" i="2" a="1"/>
  <c r="AL20" i="2" s="1"/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W5" i="2" a="1"/>
  <c r="AW5" i="2" s="1"/>
  <c r="AX5" i="2"/>
  <c r="AX6" i="2"/>
  <c r="AX7" i="2"/>
  <c r="AX8" i="2"/>
  <c r="AX9" i="2"/>
  <c r="AX10" i="2"/>
  <c r="AX11" i="2"/>
  <c r="AX12" i="2"/>
  <c r="AX13" i="2"/>
  <c r="AX14" i="2"/>
  <c r="AX15" i="2"/>
  <c r="AX16" i="2"/>
  <c r="AX17" i="2"/>
  <c r="AX18" i="2"/>
  <c r="AX19" i="2"/>
  <c r="AX20" i="2"/>
  <c r="AW6" i="2" a="1"/>
  <c r="AW6" i="2" s="1"/>
  <c r="AW7" i="2" a="1"/>
  <c r="AW7" i="2" s="1"/>
  <c r="AW8" i="2" a="1"/>
  <c r="AW8" i="2" s="1"/>
  <c r="AW9" i="2" a="1"/>
  <c r="AW9" i="2" s="1"/>
  <c r="AW10" i="2" a="1"/>
  <c r="AW10" i="2" s="1"/>
  <c r="AW11" i="2" a="1"/>
  <c r="AW11" i="2" s="1"/>
  <c r="AW12" i="2" a="1"/>
  <c r="AW12" i="2" s="1"/>
  <c r="AW13" i="2" a="1"/>
  <c r="AW13" i="2" s="1"/>
  <c r="AW14" i="2" a="1"/>
  <c r="AW14" i="2" s="1"/>
  <c r="AW15" i="2" a="1"/>
  <c r="AW15" i="2" s="1"/>
  <c r="AW16" i="2" a="1"/>
  <c r="AW16" i="2" s="1"/>
  <c r="AW17" i="2" a="1"/>
  <c r="AW17" i="2" s="1"/>
  <c r="AW18" i="2" a="1"/>
  <c r="AW18" i="2" s="1"/>
  <c r="AW19" i="2" a="1"/>
  <c r="AW19" i="2" s="1"/>
  <c r="AW20" i="2" a="1"/>
  <c r="AW20" i="2" s="1"/>
  <c r="AU5" i="2"/>
  <c r="AU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Q12" i="2" l="1"/>
  <c r="AQ5" i="2"/>
  <c r="AK5" i="2" l="1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BA5" i="2" l="1"/>
  <c r="AS5" i="2" s="1"/>
  <c r="BA6" i="2"/>
  <c r="AS6" i="2" s="1"/>
  <c r="BA7" i="2"/>
  <c r="AS7" i="2" s="1"/>
  <c r="BA8" i="2"/>
  <c r="AS8" i="2" s="1"/>
  <c r="BA9" i="2"/>
  <c r="AS9" i="2" s="1"/>
  <c r="BA10" i="2"/>
  <c r="AS10" i="2" s="1"/>
  <c r="BA11" i="2"/>
  <c r="AS11" i="2" s="1"/>
  <c r="BA12" i="2"/>
  <c r="AS12" i="2" s="1"/>
  <c r="BA13" i="2"/>
  <c r="AS13" i="2" s="1"/>
  <c r="BA14" i="2"/>
  <c r="AS14" i="2" s="1"/>
  <c r="BA15" i="2"/>
  <c r="AS15" i="2" s="1"/>
  <c r="BA16" i="2"/>
  <c r="AS16" i="2" s="1"/>
  <c r="BA17" i="2"/>
  <c r="AS17" i="2" s="1"/>
  <c r="BA18" i="2"/>
  <c r="AS18" i="2" s="1"/>
  <c r="BA19" i="2"/>
  <c r="AS19" i="2" s="1"/>
  <c r="BA20" i="2"/>
  <c r="AS20" i="2" s="1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5" i="2"/>
  <c r="AH8" i="2" l="1"/>
  <c r="AH9" i="2"/>
  <c r="AQ20" i="2" l="1"/>
  <c r="AR20" i="2"/>
  <c r="AQ16" i="2"/>
  <c r="AR16" i="2"/>
  <c r="AR12" i="2"/>
  <c r="AQ8" i="2"/>
  <c r="AR8" i="2"/>
  <c r="AR19" i="2"/>
  <c r="AR15" i="2"/>
  <c r="AR11" i="2"/>
  <c r="AR7" i="2"/>
  <c r="AQ18" i="2"/>
  <c r="AR18" i="2"/>
  <c r="AQ14" i="2"/>
  <c r="AR14" i="2"/>
  <c r="AQ10" i="2"/>
  <c r="AR10" i="2"/>
  <c r="AQ6" i="2"/>
  <c r="AR6" i="2"/>
  <c r="AQ17" i="2"/>
  <c r="AR17" i="2"/>
  <c r="AQ13" i="2"/>
  <c r="AR13" i="2"/>
  <c r="AQ9" i="2"/>
  <c r="AR9" i="2"/>
  <c r="AR5" i="2"/>
  <c r="AQ19" i="2"/>
  <c r="AQ15" i="2"/>
  <c r="AQ11" i="2"/>
  <c r="AQ7" i="2"/>
  <c r="AE6" i="2"/>
  <c r="AH6" i="2" l="1"/>
  <c r="C5" i="2"/>
  <c r="AH7" i="2" l="1"/>
  <c r="AH5" i="2"/>
  <c r="AE7" i="2"/>
  <c r="C7" i="2"/>
  <c r="C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AG5" i="2" l="1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H10" i="2" l="1"/>
  <c r="AH11" i="2"/>
  <c r="AH12" i="2"/>
  <c r="AH13" i="2"/>
  <c r="AH14" i="2"/>
  <c r="AH15" i="2"/>
  <c r="AH16" i="2"/>
  <c r="AH17" i="2"/>
  <c r="AH18" i="2"/>
  <c r="AH19" i="2"/>
  <c r="AH20" i="2"/>
  <c r="AE5" i="2" l="1"/>
  <c r="AF6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5" i="2"/>
  <c r="AE20" i="2" l="1"/>
  <c r="AD20" i="2"/>
  <c r="AE19" i="2"/>
  <c r="AD19" i="2"/>
  <c r="AE18" i="2"/>
  <c r="AD18" i="2"/>
  <c r="AE17" i="2"/>
  <c r="AD17" i="2"/>
  <c r="AE16" i="2"/>
  <c r="AD16" i="2"/>
  <c r="AE15" i="2"/>
  <c r="AD15" i="2"/>
  <c r="AE14" i="2"/>
  <c r="AD14" i="2"/>
  <c r="AE13" i="2"/>
  <c r="AD13" i="2"/>
  <c r="AE12" i="2"/>
  <c r="AD12" i="2"/>
  <c r="AE11" i="2"/>
  <c r="AD11" i="2"/>
  <c r="AE10" i="2"/>
  <c r="AD10" i="2"/>
  <c r="AE9" i="2"/>
  <c r="AD9" i="2"/>
  <c r="AE8" i="2"/>
  <c r="AD8" i="2"/>
  <c r="AD7" i="2"/>
  <c r="AD6" i="2"/>
  <c r="AD5" i="2"/>
  <c r="BE3" i="19" l="1"/>
  <c r="BE4" i="19"/>
  <c r="BE5" i="19"/>
  <c r="BE6" i="19"/>
  <c r="BE7" i="19"/>
  <c r="BE8" i="19"/>
  <c r="BE9" i="19"/>
  <c r="BE10" i="19"/>
  <c r="BE11" i="19"/>
  <c r="BE12" i="19"/>
  <c r="BE13" i="19"/>
  <c r="BE14" i="19"/>
  <c r="BG3" i="19" l="1"/>
  <c r="BG4" i="19"/>
  <c r="BG5" i="19"/>
  <c r="BG6" i="19"/>
  <c r="BG7" i="19"/>
  <c r="BG8" i="19"/>
  <c r="BG9" i="19"/>
  <c r="BG10" i="19"/>
  <c r="BG11" i="19"/>
  <c r="BG12" i="19"/>
  <c r="BG13" i="19"/>
  <c r="BG14" i="19"/>
  <c r="BF4" i="19"/>
  <c r="BF5" i="19"/>
  <c r="BF6" i="19"/>
  <c r="BF7" i="19"/>
  <c r="BF8" i="19"/>
  <c r="BF9" i="19"/>
  <c r="BF10" i="19"/>
  <c r="BF11" i="19"/>
  <c r="BF12" i="19"/>
  <c r="BF13" i="19"/>
  <c r="BF14" i="19"/>
  <c r="BF3" i="19"/>
  <c r="E4" i="19" l="1"/>
  <c r="F4" i="19"/>
  <c r="G4" i="19"/>
  <c r="H4" i="19"/>
  <c r="I4" i="19"/>
  <c r="J4" i="19"/>
  <c r="K4" i="19"/>
  <c r="L4" i="19"/>
  <c r="M4" i="19"/>
  <c r="N4" i="19"/>
  <c r="O4" i="19"/>
  <c r="P4" i="19"/>
  <c r="Q4" i="19"/>
  <c r="R4" i="19"/>
  <c r="S4" i="19"/>
  <c r="T4" i="19"/>
  <c r="U4" i="19"/>
  <c r="V4" i="19"/>
  <c r="W4" i="19"/>
  <c r="X4" i="19"/>
  <c r="Y4" i="19"/>
  <c r="Z4" i="19"/>
  <c r="AA4" i="19"/>
  <c r="AB4" i="19"/>
  <c r="AC4" i="19"/>
  <c r="AD4" i="19"/>
  <c r="AE4" i="19"/>
  <c r="AF4" i="19"/>
  <c r="E5" i="19"/>
  <c r="F5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E6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H6" i="19"/>
  <c r="AX6" i="19"/>
  <c r="AS6" i="19" s="1"/>
  <c r="E7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E9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E10" i="19"/>
  <c r="F10" i="19"/>
  <c r="G10" i="19"/>
  <c r="H10" i="19"/>
  <c r="I10" i="19"/>
  <c r="J10" i="19"/>
  <c r="K10" i="19"/>
  <c r="L10" i="19"/>
  <c r="M10" i="19"/>
  <c r="N10" i="19"/>
  <c r="O10" i="19"/>
  <c r="P10" i="19"/>
  <c r="Q10" i="19"/>
  <c r="R10" i="19"/>
  <c r="S10" i="19"/>
  <c r="T10" i="19"/>
  <c r="U10" i="19"/>
  <c r="V10" i="19"/>
  <c r="W10" i="19"/>
  <c r="X10" i="19"/>
  <c r="Y10" i="19"/>
  <c r="Z10" i="19"/>
  <c r="AA10" i="19"/>
  <c r="AB10" i="19"/>
  <c r="AC10" i="19"/>
  <c r="AD10" i="19"/>
  <c r="AE10" i="19"/>
  <c r="AF10" i="19"/>
  <c r="AH10" i="19"/>
  <c r="AI10" i="19"/>
  <c r="AX10" i="19"/>
  <c r="AS10" i="19" s="1"/>
  <c r="AY10" i="19"/>
  <c r="AT10" i="19" s="1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E12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E13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E14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V8" i="19" l="1"/>
  <c r="AV6" i="19"/>
  <c r="AV5" i="19"/>
  <c r="AV12" i="19"/>
  <c r="AV9" i="19"/>
  <c r="AV4" i="19"/>
  <c r="AV7" i="19"/>
  <c r="AV10" i="19"/>
  <c r="AV11" i="19"/>
  <c r="AV14" i="19"/>
  <c r="AV13" i="19"/>
  <c r="AF3" i="19" l="1"/>
  <c r="AE3" i="19"/>
  <c r="AD3" i="19"/>
  <c r="AC3" i="19"/>
  <c r="AB3" i="19"/>
  <c r="AA3" i="19"/>
  <c r="Z3" i="19"/>
  <c r="Y3" i="19"/>
  <c r="X3" i="19"/>
  <c r="W3" i="19"/>
  <c r="V3" i="19"/>
  <c r="U3" i="19"/>
  <c r="T3" i="19"/>
  <c r="S3" i="19"/>
  <c r="R3" i="19"/>
  <c r="Q3" i="19"/>
  <c r="P3" i="19"/>
  <c r="O3" i="19"/>
  <c r="N3" i="19"/>
  <c r="M3" i="19"/>
  <c r="L3" i="19"/>
  <c r="K3" i="19"/>
  <c r="J3" i="19"/>
  <c r="I3" i="19"/>
  <c r="H3" i="19"/>
  <c r="G3" i="19"/>
  <c r="F3" i="19"/>
  <c r="E3" i="19"/>
  <c r="BX7" i="19" l="1"/>
  <c r="BU7" i="19"/>
  <c r="BR7" i="19"/>
  <c r="BO7" i="19"/>
  <c r="BO13" i="19"/>
  <c r="BU13" i="19"/>
  <c r="BR13" i="19"/>
  <c r="BX13" i="19"/>
  <c r="BQ13" i="19"/>
  <c r="BT13" i="19"/>
  <c r="BO11" i="19"/>
  <c r="BT11" i="19"/>
  <c r="BX11" i="19"/>
  <c r="BQ11" i="19"/>
  <c r="BU11" i="19"/>
  <c r="BR11" i="19"/>
  <c r="BQ10" i="19"/>
  <c r="BU10" i="19"/>
  <c r="BR10" i="19"/>
  <c r="BO10" i="19"/>
  <c r="BT10" i="19"/>
  <c r="BX10" i="19"/>
  <c r="BO6" i="19"/>
  <c r="BT6" i="19"/>
  <c r="BX6" i="19"/>
  <c r="BU6" i="19"/>
  <c r="BR6" i="19"/>
  <c r="BU4" i="19"/>
  <c r="BR4" i="19"/>
  <c r="BO4" i="19"/>
  <c r="BT4" i="19"/>
  <c r="BX4" i="19"/>
  <c r="BT12" i="19"/>
  <c r="BX12" i="19"/>
  <c r="BO12" i="19"/>
  <c r="BU12" i="19"/>
  <c r="BR12" i="19"/>
  <c r="BO9" i="19"/>
  <c r="BU9" i="19"/>
  <c r="BR9" i="19"/>
  <c r="BT9" i="19"/>
  <c r="BX9" i="19"/>
  <c r="BX8" i="19"/>
  <c r="BO8" i="19"/>
  <c r="BU8" i="19"/>
  <c r="BR8" i="19"/>
  <c r="BR5" i="19"/>
  <c r="BX5" i="19"/>
  <c r="BO5" i="19"/>
  <c r="BU5" i="19"/>
  <c r="BR14" i="19"/>
  <c r="BO14" i="19"/>
  <c r="BX14" i="19"/>
  <c r="BU14" i="19"/>
  <c r="BU3" i="19"/>
  <c r="BO3" i="19"/>
  <c r="BX3" i="19"/>
  <c r="BR3" i="19"/>
  <c r="AI11" i="19" l="1"/>
  <c r="AI6" i="19"/>
  <c r="AI4" i="19"/>
  <c r="BB6" i="19" l="1"/>
  <c r="BB11" i="19"/>
  <c r="BB10" i="19"/>
  <c r="BB8" i="19"/>
  <c r="AG8" i="19"/>
  <c r="AH5" i="19"/>
  <c r="AM10" i="19"/>
  <c r="AQ10" i="19"/>
  <c r="AJ10" i="19"/>
  <c r="AN10" i="19"/>
  <c r="AG10" i="19"/>
  <c r="AK10" i="19"/>
  <c r="AL10" i="19"/>
  <c r="AP10" i="19"/>
  <c r="AL11" i="19"/>
  <c r="AQ11" i="19"/>
  <c r="AM11" i="19"/>
  <c r="AJ11" i="19"/>
  <c r="AN11" i="19"/>
  <c r="AG11" i="19"/>
  <c r="AK11" i="19"/>
  <c r="AP11" i="19"/>
  <c r="AH12" i="19"/>
  <c r="AH11" i="19"/>
  <c r="AI9" i="19"/>
  <c r="AK8" i="19"/>
  <c r="AP8" i="19"/>
  <c r="AH8" i="19"/>
  <c r="AL8" i="19"/>
  <c r="AQ8" i="19"/>
  <c r="AM8" i="19"/>
  <c r="AJ8" i="19"/>
  <c r="AN8" i="19"/>
  <c r="AI5" i="19"/>
  <c r="AG6" i="19"/>
  <c r="AK6" i="19"/>
  <c r="AL6" i="19"/>
  <c r="AP6" i="19"/>
  <c r="AM6" i="19"/>
  <c r="AQ6" i="19"/>
  <c r="AJ6" i="19"/>
  <c r="AN6" i="19"/>
  <c r="AI8" i="19"/>
  <c r="AH9" i="19"/>
  <c r="AI3" i="19"/>
  <c r="AH3" i="19"/>
  <c r="AH4" i="19"/>
  <c r="AG7" i="19"/>
  <c r="AH7" i="19"/>
  <c r="AG12" i="19"/>
  <c r="BC8" i="19" l="1"/>
  <c r="AO8" i="19" s="1"/>
  <c r="BY8" i="19"/>
  <c r="BC10" i="19"/>
  <c r="AO10" i="19" s="1"/>
  <c r="BY10" i="19"/>
  <c r="BC11" i="19"/>
  <c r="AO11" i="19" s="1"/>
  <c r="BY11" i="19"/>
  <c r="BC6" i="19"/>
  <c r="AO6" i="19" s="1"/>
  <c r="BY6" i="19"/>
  <c r="BB5" i="19"/>
  <c r="BB12" i="19"/>
  <c r="BB7" i="19"/>
  <c r="BB9" i="19"/>
  <c r="BB13" i="19"/>
  <c r="BB4" i="19"/>
  <c r="BB14" i="19"/>
  <c r="BB3" i="19"/>
  <c r="AU11" i="19"/>
  <c r="AQ5" i="19"/>
  <c r="BD10" i="19"/>
  <c r="AK12" i="19"/>
  <c r="AG5" i="19"/>
  <c r="AJ12" i="19"/>
  <c r="AU6" i="19"/>
  <c r="AM5" i="19"/>
  <c r="AL12" i="19"/>
  <c r="AH13" i="19"/>
  <c r="AL13" i="19"/>
  <c r="AQ13" i="19"/>
  <c r="AM13" i="19"/>
  <c r="AJ13" i="19"/>
  <c r="AN13" i="19"/>
  <c r="AK13" i="19"/>
  <c r="AP13" i="19"/>
  <c r="AJ4" i="19"/>
  <c r="AN4" i="19"/>
  <c r="AG4" i="19"/>
  <c r="AK4" i="19"/>
  <c r="AP4" i="19"/>
  <c r="AL4" i="19"/>
  <c r="AQ4" i="19"/>
  <c r="AM4" i="19"/>
  <c r="BH6" i="19"/>
  <c r="BS6" i="19"/>
  <c r="BV6" i="19"/>
  <c r="BP6" i="19"/>
  <c r="AK7" i="19"/>
  <c r="AL9" i="19"/>
  <c r="AQ9" i="19"/>
  <c r="AM9" i="19"/>
  <c r="AJ9" i="19"/>
  <c r="AN9" i="19"/>
  <c r="AG9" i="19"/>
  <c r="AK9" i="19"/>
  <c r="AP9" i="19"/>
  <c r="AI14" i="19"/>
  <c r="AL5" i="19"/>
  <c r="AN5" i="19"/>
  <c r="BD11" i="19"/>
  <c r="AQ7" i="19"/>
  <c r="AN7" i="19"/>
  <c r="BD8" i="19"/>
  <c r="BH8" i="19"/>
  <c r="BS8" i="19"/>
  <c r="BP8" i="19"/>
  <c r="BV8" i="19"/>
  <c r="AP5" i="19"/>
  <c r="AJ5" i="19"/>
  <c r="AM12" i="19"/>
  <c r="BH11" i="19"/>
  <c r="BS11" i="19"/>
  <c r="BP11" i="19"/>
  <c r="BV11" i="19"/>
  <c r="BH10" i="19"/>
  <c r="BS10" i="19"/>
  <c r="BV10" i="19"/>
  <c r="BP10" i="19"/>
  <c r="AM7" i="19"/>
  <c r="AL7" i="19"/>
  <c r="AJ7" i="19"/>
  <c r="AH14" i="19"/>
  <c r="AI12" i="19"/>
  <c r="AG13" i="19"/>
  <c r="BD6" i="19"/>
  <c r="AI13" i="19"/>
  <c r="AM14" i="19"/>
  <c r="AN14" i="19"/>
  <c r="AJ14" i="19"/>
  <c r="AP14" i="19"/>
  <c r="AK14" i="19"/>
  <c r="AG14" i="19"/>
  <c r="AL14" i="19"/>
  <c r="AQ14" i="19"/>
  <c r="AU8" i="19"/>
  <c r="AK5" i="19"/>
  <c r="AN12" i="19"/>
  <c r="AQ12" i="19"/>
  <c r="AP12" i="19"/>
  <c r="AU10" i="19"/>
  <c r="AI7" i="19"/>
  <c r="AP7" i="19"/>
  <c r="AP3" i="19"/>
  <c r="AK3" i="19"/>
  <c r="AG3" i="19"/>
  <c r="AN3" i="19"/>
  <c r="AJ3" i="19"/>
  <c r="AM3" i="19"/>
  <c r="AQ3" i="19"/>
  <c r="AL3" i="19"/>
  <c r="BC3" i="19" l="1"/>
  <c r="BY3" i="19"/>
  <c r="BC9" i="19"/>
  <c r="AO9" i="19" s="1"/>
  <c r="BY9" i="19"/>
  <c r="BC14" i="19"/>
  <c r="AO14" i="19" s="1"/>
  <c r="BY14" i="19"/>
  <c r="BC7" i="19"/>
  <c r="AO7" i="19" s="1"/>
  <c r="BY7" i="19"/>
  <c r="BC4" i="19"/>
  <c r="AO4" i="19" s="1"/>
  <c r="BY4" i="19"/>
  <c r="BC12" i="19"/>
  <c r="AO12" i="19" s="1"/>
  <c r="BY12" i="19"/>
  <c r="BC13" i="19"/>
  <c r="AO13" i="19" s="1"/>
  <c r="BY13" i="19"/>
  <c r="BC5" i="19"/>
  <c r="AO5" i="19" s="1"/>
  <c r="BY5" i="19"/>
  <c r="BV12" i="19"/>
  <c r="BD7" i="19"/>
  <c r="BI12" i="19"/>
  <c r="BH12" i="19"/>
  <c r="BP12" i="19"/>
  <c r="BD12" i="19"/>
  <c r="BS12" i="19"/>
  <c r="BD5" i="19"/>
  <c r="AU5" i="19"/>
  <c r="AU13" i="19"/>
  <c r="AU4" i="19"/>
  <c r="BM12" i="19"/>
  <c r="CA12" i="19" s="1"/>
  <c r="BD9" i="19"/>
  <c r="AY12" i="19"/>
  <c r="AT12" i="19" s="1"/>
  <c r="BQ12" i="19"/>
  <c r="BI13" i="19"/>
  <c r="BH13" i="19"/>
  <c r="BV13" i="19"/>
  <c r="BS13" i="19"/>
  <c r="BP13" i="19"/>
  <c r="AX12" i="19"/>
  <c r="AS12" i="19" s="1"/>
  <c r="AZ12" i="19"/>
  <c r="BA12" i="19" s="1"/>
  <c r="BW12" i="19"/>
  <c r="AU12" i="19"/>
  <c r="AU14" i="19"/>
  <c r="BZ10" i="19"/>
  <c r="BD4" i="19"/>
  <c r="BH4" i="19"/>
  <c r="BV4" i="19"/>
  <c r="BP4" i="19"/>
  <c r="BS4" i="19"/>
  <c r="BH5" i="19"/>
  <c r="BS5" i="19"/>
  <c r="BV5" i="19"/>
  <c r="BP5" i="19"/>
  <c r="BZ11" i="19"/>
  <c r="BH9" i="19"/>
  <c r="BV9" i="19"/>
  <c r="BS9" i="19"/>
  <c r="BP9" i="19"/>
  <c r="BH14" i="19"/>
  <c r="BS14" i="19"/>
  <c r="BV14" i="19"/>
  <c r="BP14" i="19"/>
  <c r="BZ6" i="19"/>
  <c r="AW12" i="19"/>
  <c r="AR12" i="19" s="1"/>
  <c r="BN12" i="19"/>
  <c r="BD14" i="19"/>
  <c r="BZ8" i="19"/>
  <c r="AU7" i="19"/>
  <c r="AU9" i="19"/>
  <c r="BH7" i="19"/>
  <c r="BP7" i="19"/>
  <c r="BV7" i="19"/>
  <c r="BS7" i="19"/>
  <c r="BD13" i="19"/>
  <c r="BV3" i="19"/>
  <c r="BH3" i="19"/>
  <c r="BI3" i="19"/>
  <c r="BS3" i="19"/>
  <c r="BP3" i="19"/>
  <c r="BJ12" i="19" l="1"/>
  <c r="BK12" i="19" s="1"/>
  <c r="CB12" i="19"/>
  <c r="BZ12" i="19"/>
  <c r="BZ14" i="19"/>
  <c r="BZ13" i="19"/>
  <c r="BZ4" i="19"/>
  <c r="BZ7" i="19"/>
  <c r="BZ9" i="19"/>
  <c r="BZ5" i="19"/>
  <c r="BL12" i="19" l="1"/>
  <c r="BI11" i="19" l="1"/>
  <c r="AW13" i="19" l="1"/>
  <c r="AR13" i="19" s="1"/>
  <c r="BW13" i="19"/>
  <c r="AY11" i="19"/>
  <c r="AT11" i="19" s="1"/>
  <c r="BQ9" i="19"/>
  <c r="AW7" i="19"/>
  <c r="AR7" i="19" s="1"/>
  <c r="BT5" i="19"/>
  <c r="BQ4" i="19"/>
  <c r="AX4" i="19"/>
  <c r="AS4" i="19" s="1"/>
  <c r="BW4" i="19"/>
  <c r="BI10" i="19"/>
  <c r="BM11" i="19"/>
  <c r="BW6" i="19" l="1"/>
  <c r="BW10" i="19"/>
  <c r="BW7" i="19"/>
  <c r="BW5" i="19"/>
  <c r="BW8" i="19"/>
  <c r="BW9" i="19"/>
  <c r="BW11" i="19"/>
  <c r="BJ3" i="19"/>
  <c r="BK3" i="19" s="1"/>
  <c r="BQ5" i="19"/>
  <c r="BI7" i="19"/>
  <c r="BJ7" i="19" s="1"/>
  <c r="BK7" i="19" s="1"/>
  <c r="BJ13" i="19"/>
  <c r="BK13" i="19" s="1"/>
  <c r="BJ10" i="19"/>
  <c r="BK10" i="19" s="1"/>
  <c r="BJ11" i="19"/>
  <c r="BK11" i="19" s="1"/>
  <c r="BM13" i="19"/>
  <c r="CA13" i="19" s="1"/>
  <c r="AY5" i="19"/>
  <c r="AT5" i="19" s="1"/>
  <c r="AY8" i="19"/>
  <c r="AT8" i="19" s="1"/>
  <c r="AX7" i="19"/>
  <c r="AS7" i="19" s="1"/>
  <c r="AX13" i="19"/>
  <c r="AS13" i="19" s="1"/>
  <c r="AZ13" i="19"/>
  <c r="BA13" i="19" s="1"/>
  <c r="BM7" i="19"/>
  <c r="AX14" i="19"/>
  <c r="AS14" i="19" s="1"/>
  <c r="BN14" i="19"/>
  <c r="AZ4" i="19"/>
  <c r="BA4" i="19" s="1"/>
  <c r="AW4" i="19"/>
  <c r="AR4" i="19" s="1"/>
  <c r="BN4" i="19"/>
  <c r="CA11" i="19"/>
  <c r="CB11" i="19"/>
  <c r="AX5" i="19"/>
  <c r="AS5" i="19" s="1"/>
  <c r="AZ6" i="19"/>
  <c r="BA6" i="19" s="1"/>
  <c r="AW6" i="19"/>
  <c r="AR6" i="19" s="1"/>
  <c r="BN6" i="19"/>
  <c r="AW8" i="19"/>
  <c r="AR8" i="19" s="1"/>
  <c r="AX9" i="19"/>
  <c r="AS9" i="19" s="1"/>
  <c r="BN9" i="19"/>
  <c r="AW10" i="19"/>
  <c r="AR10" i="19" s="1"/>
  <c r="AZ10" i="19"/>
  <c r="BA10" i="19" s="1"/>
  <c r="BN10" i="19"/>
  <c r="AW11" i="19"/>
  <c r="AR11" i="19" s="1"/>
  <c r="AZ11" i="19"/>
  <c r="BA11" i="19" s="1"/>
  <c r="BM5" i="19"/>
  <c r="BI5" i="19"/>
  <c r="BJ5" i="19" s="1"/>
  <c r="AY14" i="19"/>
  <c r="AT14" i="19" s="1"/>
  <c r="AY4" i="19"/>
  <c r="AT4" i="19" s="1"/>
  <c r="AY6" i="19"/>
  <c r="AT6" i="19" s="1"/>
  <c r="BQ6" i="19"/>
  <c r="AY7" i="19"/>
  <c r="AT7" i="19" s="1"/>
  <c r="AZ7" i="19"/>
  <c r="BA7" i="19" s="1"/>
  <c r="BT7" i="19"/>
  <c r="BQ7" i="19"/>
  <c r="BT8" i="19"/>
  <c r="AY9" i="19"/>
  <c r="AT9" i="19" s="1"/>
  <c r="AX11" i="19"/>
  <c r="AS11" i="19" s="1"/>
  <c r="AY13" i="19"/>
  <c r="AT13" i="19" s="1"/>
  <c r="BN13" i="19"/>
  <c r="BM10" i="19"/>
  <c r="BI6" i="19"/>
  <c r="BJ6" i="19" s="1"/>
  <c r="BM6" i="19"/>
  <c r="BI14" i="19"/>
  <c r="BJ14" i="19" s="1"/>
  <c r="BM4" i="19"/>
  <c r="BI4" i="19"/>
  <c r="BJ4" i="19" s="1"/>
  <c r="BM14" i="19"/>
  <c r="BI9" i="19"/>
  <c r="BJ9" i="19" s="1"/>
  <c r="BM9" i="19"/>
  <c r="BM8" i="19"/>
  <c r="BI8" i="19"/>
  <c r="BJ8" i="19" s="1"/>
  <c r="AZ14" i="19"/>
  <c r="BA14" i="19" s="1"/>
  <c r="AW14" i="19"/>
  <c r="AR14" i="19" s="1"/>
  <c r="BW14" i="19"/>
  <c r="BQ14" i="19"/>
  <c r="BT3" i="19"/>
  <c r="BT14" i="19"/>
  <c r="AZ5" i="19"/>
  <c r="BA5" i="19" s="1"/>
  <c r="AW5" i="19"/>
  <c r="AR5" i="19" s="1"/>
  <c r="BN5" i="19"/>
  <c r="BN7" i="19"/>
  <c r="AX8" i="19"/>
  <c r="AS8" i="19" s="1"/>
  <c r="AZ8" i="19"/>
  <c r="BA8" i="19" s="1"/>
  <c r="BN8" i="19"/>
  <c r="BQ8" i="19"/>
  <c r="AW9" i="19"/>
  <c r="AR9" i="19" s="1"/>
  <c r="AZ9" i="19"/>
  <c r="BA9" i="19" s="1"/>
  <c r="BN11" i="19"/>
  <c r="AX3" i="19"/>
  <c r="AS3" i="19" s="1"/>
  <c r="BN3" i="19"/>
  <c r="AY3" i="19"/>
  <c r="AT3" i="19" s="1"/>
  <c r="BM3" i="19"/>
  <c r="AW3" i="19"/>
  <c r="AR3" i="19" s="1"/>
  <c r="AZ3" i="19"/>
  <c r="BA3" i="19" s="1"/>
  <c r="BW3" i="19"/>
  <c r="BQ3" i="19"/>
  <c r="BL3" i="19" l="1"/>
  <c r="CB13" i="19"/>
  <c r="BK5" i="19"/>
  <c r="BK9" i="19"/>
  <c r="BL11" i="19"/>
  <c r="BK14" i="19"/>
  <c r="BL7" i="19"/>
  <c r="CA7" i="19"/>
  <c r="CB7" i="19"/>
  <c r="CA4" i="19"/>
  <c r="CB4" i="19"/>
  <c r="CA5" i="19"/>
  <c r="BL5" i="19"/>
  <c r="CB5" i="19"/>
  <c r="BL4" i="19"/>
  <c r="CA14" i="19"/>
  <c r="CB14" i="19"/>
  <c r="CA6" i="19"/>
  <c r="CB6" i="19"/>
  <c r="BL10" i="19"/>
  <c r="CA9" i="19"/>
  <c r="BL9" i="19"/>
  <c r="CB9" i="19"/>
  <c r="CA10" i="19"/>
  <c r="CB10" i="19"/>
  <c r="BL8" i="19"/>
  <c r="CA8" i="19"/>
  <c r="CB8" i="19"/>
  <c r="BK4" i="19"/>
  <c r="BL6" i="19"/>
  <c r="BL13" i="19"/>
  <c r="BK8" i="19" l="1"/>
  <c r="BL14" i="19"/>
  <c r="BK6" i="19"/>
  <c r="A9" i="1"/>
  <c r="BD3" i="19" l="1"/>
  <c r="AO3" i="19"/>
  <c r="CA3" i="19" l="1"/>
  <c r="AV3" i="19" l="1"/>
  <c r="W60" i="1" l="1"/>
  <c r="Y60" i="1"/>
  <c r="AU3" i="19" l="1"/>
  <c r="D13" i="11" l="1"/>
  <c r="F13" i="11"/>
  <c r="CB3" i="19" l="1"/>
  <c r="BZ3" i="19"/>
  <c r="B13" i="11" l="1"/>
  <c r="P36" i="1" l="1"/>
  <c r="Q36" i="1"/>
  <c r="S36" i="1" l="1"/>
  <c r="R36" i="1"/>
  <c r="B4" i="11" l="1"/>
  <c r="D4" i="11"/>
  <c r="F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11" authorId="0" shapeId="0" xr:uid="{E149CDA6-9201-4794-8D11-1B084915B1B1}">
      <text>
        <r>
          <rPr>
            <sz val="9"/>
            <color indexed="81"/>
            <rFont val="Tahoma"/>
            <family val="2"/>
          </rPr>
          <t xml:space="preserve">Directeur du programme local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TATIANA LARINA (X096394)</author>
  </authors>
  <commentList>
    <comment ref="G4" authorId="0" shapeId="0" xr:uid="{AD0BF32F-2205-4777-A96D-E81E61F9B095}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<sst xmlns="http://schemas.openxmlformats.org/spreadsheetml/2006/main" count="1040" uniqueCount="599">
  <si>
    <t>Security packs EN</t>
  </si>
  <si>
    <t>Security packs FR</t>
  </si>
  <si>
    <t>Operational security</t>
  </si>
  <si>
    <t>Training and awareness</t>
  </si>
  <si>
    <t>Data protection</t>
  </si>
  <si>
    <t>Internal fraud protection</t>
  </si>
  <si>
    <t>Advanced protection</t>
  </si>
  <si>
    <t>Exposed services</t>
  </si>
  <si>
    <t>Cloud</t>
  </si>
  <si>
    <t>Third parties and supply chain</t>
  </si>
  <si>
    <t>Security in product lifecycle</t>
  </si>
  <si>
    <t>Sécurité opérationnelle</t>
  </si>
  <si>
    <t>OPS</t>
  </si>
  <si>
    <t>Formation et sensibilisation</t>
  </si>
  <si>
    <t>TAA</t>
  </si>
  <si>
    <t>Protection des données</t>
  </si>
  <si>
    <t>DTP</t>
  </si>
  <si>
    <t>Protection contre la fraude interne</t>
  </si>
  <si>
    <t>IFP</t>
  </si>
  <si>
    <t>Protection avancée</t>
  </si>
  <si>
    <t>ADP</t>
  </si>
  <si>
    <t>Services exposés</t>
  </si>
  <si>
    <t>EXS</t>
  </si>
  <si>
    <t>CLD</t>
  </si>
  <si>
    <t>Tiers et supply chain</t>
  </si>
  <si>
    <t>TPS</t>
  </si>
  <si>
    <t>Sécurité dans le cycle de vie produit</t>
  </si>
  <si>
    <t>SPL</t>
  </si>
  <si>
    <t>Order index</t>
  </si>
  <si>
    <t>Months overdelay</t>
  </si>
  <si>
    <t>NOT APPLICABLE</t>
  </si>
  <si>
    <t>TO BE STARTED</t>
  </si>
  <si>
    <t>IN PROGRESS</t>
  </si>
  <si>
    <t>DONE</t>
  </si>
  <si>
    <t>RISK ACCEPTED</t>
  </si>
  <si>
    <t>CHECKED CISO</t>
  </si>
  <si>
    <t>Rank</t>
  </si>
  <si>
    <t>Entity</t>
  </si>
  <si>
    <t>Region</t>
  </si>
  <si>
    <t>SGABS</t>
  </si>
  <si>
    <t>AFMO</t>
  </si>
  <si>
    <t>BDP</t>
  </si>
  <si>
    <t>BFCOI</t>
  </si>
  <si>
    <t>SGA</t>
  </si>
  <si>
    <t>SGB</t>
  </si>
  <si>
    <t>SGBF</t>
  </si>
  <si>
    <t>SGBGE</t>
  </si>
  <si>
    <t>SGC</t>
  </si>
  <si>
    <t>SGCB</t>
  </si>
  <si>
    <t>SGGH</t>
  </si>
  <si>
    <t>SGM</t>
  </si>
  <si>
    <t>SGMA</t>
  </si>
  <si>
    <t>SGT</t>
  </si>
  <si>
    <t>UIB</t>
  </si>
  <si>
    <t>BDK</t>
  </si>
  <si>
    <t>EURO</t>
  </si>
  <si>
    <t>BRD</t>
  </si>
  <si>
    <t>Essox</t>
  </si>
  <si>
    <t>Fiditalia</t>
  </si>
  <si>
    <t>Hanseatic Bank</t>
  </si>
  <si>
    <t>KB</t>
  </si>
  <si>
    <t>RUSS</t>
  </si>
  <si>
    <t>ROSBANK</t>
  </si>
  <si>
    <t>Rusfinance</t>
  </si>
  <si>
    <t>#</t>
  </si>
  <si>
    <t>Target of scope</t>
  </si>
  <si>
    <t>File_Version</t>
  </si>
  <si>
    <t>Acronym / Acronyme</t>
  </si>
  <si>
    <t>Status_Choice</t>
  </si>
  <si>
    <t>Level</t>
  </si>
  <si>
    <t>Country</t>
  </si>
  <si>
    <t>Language</t>
  </si>
  <si>
    <t>Allemagne</t>
  </si>
  <si>
    <t>EN</t>
  </si>
  <si>
    <t>Roumanie</t>
  </si>
  <si>
    <t>-</t>
  </si>
  <si>
    <t xml:space="preserve">BU </t>
  </si>
  <si>
    <t>Outre-mer</t>
  </si>
  <si>
    <t>Polynésie française</t>
  </si>
  <si>
    <t>FR</t>
  </si>
  <si>
    <t>La Réunion</t>
  </si>
  <si>
    <t>France</t>
  </si>
  <si>
    <t>Maroc</t>
  </si>
  <si>
    <t>République Tchèque</t>
  </si>
  <si>
    <t>Italie</t>
  </si>
  <si>
    <t>Cameroun</t>
  </si>
  <si>
    <t>Mozambique</t>
  </si>
  <si>
    <t>Russie</t>
  </si>
  <si>
    <t>Algérie</t>
  </si>
  <si>
    <t>COO</t>
  </si>
  <si>
    <t>Afrique de l'ouest</t>
  </si>
  <si>
    <t>Bénin</t>
  </si>
  <si>
    <t>Burkina Faso</t>
  </si>
  <si>
    <t>Guinée</t>
  </si>
  <si>
    <t>Afrique centrale et Australie</t>
  </si>
  <si>
    <t>Guinée équatoriale</t>
  </si>
  <si>
    <t>SGCAM</t>
  </si>
  <si>
    <t>SGMZ</t>
  </si>
  <si>
    <t>Sénégal</t>
  </si>
  <si>
    <t>Congo</t>
  </si>
  <si>
    <t>Nouvelle Calédonie</t>
  </si>
  <si>
    <t>SGCI</t>
  </si>
  <si>
    <t>Ghana</t>
  </si>
  <si>
    <t>Mauritanie</t>
  </si>
  <si>
    <t>Tchad</t>
  </si>
  <si>
    <t>Tunisie</t>
  </si>
  <si>
    <t>SGTG</t>
  </si>
  <si>
    <t>Togo</t>
  </si>
  <si>
    <t>Acronym theme</t>
  </si>
  <si>
    <t>Acronym combined</t>
  </si>
  <si>
    <t>ID</t>
  </si>
  <si>
    <t>Know your IT</t>
  </si>
  <si>
    <t>KYI</t>
  </si>
  <si>
    <t>OPS_KYI</t>
  </si>
  <si>
    <t>Operational securityKnow your IT</t>
  </si>
  <si>
    <t>Incident management</t>
  </si>
  <si>
    <t>IMN</t>
  </si>
  <si>
    <t>OPS_IMN</t>
  </si>
  <si>
    <t>Operational securityIncident management</t>
  </si>
  <si>
    <t>Access management</t>
  </si>
  <si>
    <t>ACM</t>
  </si>
  <si>
    <t>OPS_ACM</t>
  </si>
  <si>
    <t>Operational securityAccess management</t>
  </si>
  <si>
    <t>Privileged Access management</t>
  </si>
  <si>
    <t>PAM</t>
  </si>
  <si>
    <t>OPS_PAM</t>
  </si>
  <si>
    <t>Operational securityPrivileged Access management</t>
  </si>
  <si>
    <t>Secure your IT</t>
  </si>
  <si>
    <t>SYI</t>
  </si>
  <si>
    <t>OPS_SYI</t>
  </si>
  <si>
    <t>Operational securitySecure your IT</t>
  </si>
  <si>
    <t>Secure your Endpoints</t>
  </si>
  <si>
    <t>SYE</t>
  </si>
  <si>
    <t>OPS_SYE</t>
  </si>
  <si>
    <t>Operational securitySecure your Endpoints</t>
  </si>
  <si>
    <t>Maintain IT Security</t>
  </si>
  <si>
    <t>MIS</t>
  </si>
  <si>
    <t>OPS_MIS</t>
  </si>
  <si>
    <t>Operational securityMaintain IT Security</t>
  </si>
  <si>
    <t>Monitoring</t>
  </si>
  <si>
    <t>MON</t>
  </si>
  <si>
    <t>OPS_MON</t>
  </si>
  <si>
    <t>Operational securityMonitoring</t>
  </si>
  <si>
    <t>Evaluate your Security</t>
  </si>
  <si>
    <t>EYS</t>
  </si>
  <si>
    <t>OPS_EYS</t>
  </si>
  <si>
    <t>Operational securityEvaluate your Security</t>
  </si>
  <si>
    <t>Data cartography</t>
  </si>
  <si>
    <t>DCT</t>
  </si>
  <si>
    <t>DTP_DCT</t>
  </si>
  <si>
    <t>Data protectionData cartography</t>
  </si>
  <si>
    <t>Data classification</t>
  </si>
  <si>
    <t>DCL</t>
  </si>
  <si>
    <t>DTP_DCL</t>
  </si>
  <si>
    <t>Data protectionData classification</t>
  </si>
  <si>
    <t>DTP_MON</t>
  </si>
  <si>
    <t>Data protectionMonitoring</t>
  </si>
  <si>
    <t>Data leakage</t>
  </si>
  <si>
    <t>DLK</t>
  </si>
  <si>
    <t>DTP_DLK</t>
  </si>
  <si>
    <t>Data protectionData leakage</t>
  </si>
  <si>
    <t>Encryption</t>
  </si>
  <si>
    <t>ENC</t>
  </si>
  <si>
    <t>DTP_ENC</t>
  </si>
  <si>
    <t>Data protectionEncryption</t>
  </si>
  <si>
    <t>Anonymisation</t>
  </si>
  <si>
    <t>ANO</t>
  </si>
  <si>
    <t>DTP_ANO</t>
  </si>
  <si>
    <t>Data protectionAnonymisation</t>
  </si>
  <si>
    <t>Big Data</t>
  </si>
  <si>
    <t>BDT</t>
  </si>
  <si>
    <t>DTP_BDT</t>
  </si>
  <si>
    <t>Data protectionBig Data</t>
  </si>
  <si>
    <t>Third Parties Management</t>
  </si>
  <si>
    <t>TPM</t>
  </si>
  <si>
    <t>TPS_TPM</t>
  </si>
  <si>
    <t>Third parties and supply chainThird Parties Management</t>
  </si>
  <si>
    <t>Third Parties Access</t>
  </si>
  <si>
    <t>TPA</t>
  </si>
  <si>
    <t>TPS_TPA</t>
  </si>
  <si>
    <t>Third parties and supply chainThird Parties Access</t>
  </si>
  <si>
    <t>Monitoringand control</t>
  </si>
  <si>
    <t>MNC</t>
  </si>
  <si>
    <t>TPS_MNC</t>
  </si>
  <si>
    <t>Third parties and supply chainMonitoringand control</t>
  </si>
  <si>
    <t>End of the contract</t>
  </si>
  <si>
    <t>EOC</t>
  </si>
  <si>
    <t>TPS_EOC</t>
  </si>
  <si>
    <t>Third parties and supply chainEnd of the contract</t>
  </si>
  <si>
    <t>Analytic security</t>
  </si>
  <si>
    <t>ANS</t>
  </si>
  <si>
    <t>ADP_ANS</t>
  </si>
  <si>
    <t>Advanced protectionAnalytic security</t>
  </si>
  <si>
    <t>Cyber Incident</t>
  </si>
  <si>
    <t>CYI</t>
  </si>
  <si>
    <t>ADP_CYI</t>
  </si>
  <si>
    <t>Advanced protectionCyber Incident</t>
  </si>
  <si>
    <t>Endpoint security</t>
  </si>
  <si>
    <t>ENS</t>
  </si>
  <si>
    <t>ADP_ENS</t>
  </si>
  <si>
    <t>Advanced protectionEndpoint security</t>
  </si>
  <si>
    <t>Filtering security</t>
  </si>
  <si>
    <t>FLS</t>
  </si>
  <si>
    <t>ADP_FLS</t>
  </si>
  <si>
    <t>Advanced protectionFiltering security</t>
  </si>
  <si>
    <t>Sensitive Assets</t>
  </si>
  <si>
    <t>SEA</t>
  </si>
  <si>
    <t>ADP_SEA</t>
  </si>
  <si>
    <t>Advanced protectionSensitive Assets</t>
  </si>
  <si>
    <t>User Security</t>
  </si>
  <si>
    <t>UZS</t>
  </si>
  <si>
    <t>ADP_UZS</t>
  </si>
  <si>
    <t>Advanced protectionUser Security</t>
  </si>
  <si>
    <t>Cloud Management</t>
  </si>
  <si>
    <t>MNG</t>
  </si>
  <si>
    <t>CLD_MNG</t>
  </si>
  <si>
    <t>CloudCloud Management</t>
  </si>
  <si>
    <t>Availability</t>
  </si>
  <si>
    <t>AVA</t>
  </si>
  <si>
    <t>CLD_AVA</t>
  </si>
  <si>
    <t>CloudAvailability</t>
  </si>
  <si>
    <t>IAM</t>
  </si>
  <si>
    <t>CLD_IAM</t>
  </si>
  <si>
    <t>CloudIAM</t>
  </si>
  <si>
    <t>Data Protection</t>
  </si>
  <si>
    <t>CLD_DTP</t>
  </si>
  <si>
    <t>CloudData Protection</t>
  </si>
  <si>
    <t>CLD_IMN</t>
  </si>
  <si>
    <t>CloudIncident management</t>
  </si>
  <si>
    <t>Services access</t>
  </si>
  <si>
    <t>SAC</t>
  </si>
  <si>
    <t>CLD_SAC</t>
  </si>
  <si>
    <t>CloudServices access</t>
  </si>
  <si>
    <t>Architecture</t>
  </si>
  <si>
    <t>ARC</t>
  </si>
  <si>
    <t>CLD_ARC</t>
  </si>
  <si>
    <t>CloudArchitecture</t>
  </si>
  <si>
    <t>Access filtering</t>
  </si>
  <si>
    <t>ACF</t>
  </si>
  <si>
    <t>CLD_ACF</t>
  </si>
  <si>
    <t>CloudAccess filtering</t>
  </si>
  <si>
    <t>Infrastructure security</t>
  </si>
  <si>
    <t>IFS</t>
  </si>
  <si>
    <t>CLD_IFS</t>
  </si>
  <si>
    <t>CloudInfrastructure security</t>
  </si>
  <si>
    <t>Log management</t>
  </si>
  <si>
    <t>LGM</t>
  </si>
  <si>
    <t>CLD_LGM</t>
  </si>
  <si>
    <t>CloudLog management</t>
  </si>
  <si>
    <t>Secure Hosting Baseline</t>
  </si>
  <si>
    <t>SHB</t>
  </si>
  <si>
    <t>EXS_SHB</t>
  </si>
  <si>
    <t>Exposed servicesSecure Hosting Baseline</t>
  </si>
  <si>
    <t>Customer Identity Mangement</t>
  </si>
  <si>
    <t>CIM</t>
  </si>
  <si>
    <t>EXS_CIM</t>
  </si>
  <si>
    <t>Exposed servicesCustomer Identity Mangement</t>
  </si>
  <si>
    <t>DNS security</t>
  </si>
  <si>
    <t>DNS</t>
  </si>
  <si>
    <t>EXS_DNS</t>
  </si>
  <si>
    <t>Exposed servicesDNS security</t>
  </si>
  <si>
    <t>E-fraud</t>
  </si>
  <si>
    <t>EFD</t>
  </si>
  <si>
    <t>EXS_EFD</t>
  </si>
  <si>
    <t>Exposed servicesE-fraud</t>
  </si>
  <si>
    <t>Internet application security</t>
  </si>
  <si>
    <t>IAS</t>
  </si>
  <si>
    <t>EXS_IAS</t>
  </si>
  <si>
    <t>Exposed servicesInternet application security</t>
  </si>
  <si>
    <t>Mobile Banking Security</t>
  </si>
  <si>
    <t>MBS</t>
  </si>
  <si>
    <t>EXS_MBS</t>
  </si>
  <si>
    <t>Exposed servicesMobile Banking Security</t>
  </si>
  <si>
    <t>Open Banking and API security</t>
  </si>
  <si>
    <t>OBS</t>
  </si>
  <si>
    <t>EXS_OBS</t>
  </si>
  <si>
    <t>Exposed servicesOpen Banking and API security</t>
  </si>
  <si>
    <t>Secure usage of internet services</t>
  </si>
  <si>
    <t>SUI</t>
  </si>
  <si>
    <t>EXS_SUI</t>
  </si>
  <si>
    <t>Exposed servicesSecure usage of internet services</t>
  </si>
  <si>
    <t>Project Methodology</t>
  </si>
  <si>
    <t>PMD</t>
  </si>
  <si>
    <t>SPL_PMD</t>
  </si>
  <si>
    <t>Security in product lifecycleProject Methodology</t>
  </si>
  <si>
    <t>Agile Project Methodology</t>
  </si>
  <si>
    <t>APM</t>
  </si>
  <si>
    <t>SPL_APM</t>
  </si>
  <si>
    <t>Security in product lifecycleAgile Project Methodology</t>
  </si>
  <si>
    <t>Dev. Security</t>
  </si>
  <si>
    <t>DVS</t>
  </si>
  <si>
    <t>SPL_DVS</t>
  </si>
  <si>
    <t>Security in product lifecycleDev. Security</t>
  </si>
  <si>
    <t>Devops</t>
  </si>
  <si>
    <t>DVO</t>
  </si>
  <si>
    <t>SPL_DVO</t>
  </si>
  <si>
    <t>Security in product lifecycleDevops</t>
  </si>
  <si>
    <t>Governance</t>
  </si>
  <si>
    <t>GOV</t>
  </si>
  <si>
    <t>TAA_GOV</t>
  </si>
  <si>
    <t>Training and awarenessGovernance</t>
  </si>
  <si>
    <t>Training</t>
  </si>
  <si>
    <t>TRN</t>
  </si>
  <si>
    <t>TAA_TRN</t>
  </si>
  <si>
    <t>Training and awarenessTraining</t>
  </si>
  <si>
    <t>Awareness</t>
  </si>
  <si>
    <t>AWA</t>
  </si>
  <si>
    <t>TAA_AWA</t>
  </si>
  <si>
    <t>Training and awarenessAwareness</t>
  </si>
  <si>
    <t>Specific comunication</t>
  </si>
  <si>
    <t>SPC</t>
  </si>
  <si>
    <t>TAA_SPC</t>
  </si>
  <si>
    <t>Training and awarenessSpecific comunication</t>
  </si>
  <si>
    <t>Customer awareness</t>
  </si>
  <si>
    <t>CAW</t>
  </si>
  <si>
    <t>TAA_CAW</t>
  </si>
  <si>
    <t>Training and awarenessCustomer awareness</t>
  </si>
  <si>
    <t>Third Parties</t>
  </si>
  <si>
    <t>TPT</t>
  </si>
  <si>
    <t>TAA_TPT</t>
  </si>
  <si>
    <t>Training and awarenessThird Parties</t>
  </si>
  <si>
    <t>IFP_GOV</t>
  </si>
  <si>
    <t>Internal fraud protectionGovernance</t>
  </si>
  <si>
    <t>Prevention</t>
  </si>
  <si>
    <t>PRV</t>
  </si>
  <si>
    <t>IFP_PRV</t>
  </si>
  <si>
    <t>Internal fraud protectionPrevention</t>
  </si>
  <si>
    <t>Detection</t>
  </si>
  <si>
    <t>DET</t>
  </si>
  <si>
    <t>IFP_DET</t>
  </si>
  <si>
    <t>Internal fraud protectionDetection</t>
  </si>
  <si>
    <t>Pack EN</t>
  </si>
  <si>
    <t>Pack FR</t>
  </si>
  <si>
    <t>Theme EN</t>
  </si>
  <si>
    <t>Theme FR</t>
  </si>
  <si>
    <t>Sécurité analytique</t>
  </si>
  <si>
    <t>Incident cyber</t>
  </si>
  <si>
    <t>Sécurité des terminaux</t>
  </si>
  <si>
    <t>Sécurité des flux</t>
  </si>
  <si>
    <t>Actifs sensibles</t>
  </si>
  <si>
    <t>Sécurité des utilisateurs</t>
  </si>
  <si>
    <t>Gestion du Cloud</t>
  </si>
  <si>
    <t>Disponibilité</t>
  </si>
  <si>
    <t>Gestion des incidents</t>
  </si>
  <si>
    <t>Accès aux services</t>
  </si>
  <si>
    <t>Filtrage d'accès</t>
  </si>
  <si>
    <t>Sécurité de l'infrastructure</t>
  </si>
  <si>
    <t>Gestion des traces</t>
  </si>
  <si>
    <t>Cartographie des données</t>
  </si>
  <si>
    <t>Classification des données</t>
  </si>
  <si>
    <t>Fuite de données</t>
  </si>
  <si>
    <t>Chiffrement</t>
  </si>
  <si>
    <t>Big data</t>
  </si>
  <si>
    <t>Hébergement de référence sécurisé</t>
  </si>
  <si>
    <t>Gestion de l'identité des clients</t>
  </si>
  <si>
    <t>Sécurité du DNS</t>
  </si>
  <si>
    <t>Sécurité des applications web</t>
  </si>
  <si>
    <t>Sécurité des services bancaires mobile</t>
  </si>
  <si>
    <t>Open Banking et sécurité des API</t>
  </si>
  <si>
    <t>Utilisation sécurisée des services web</t>
  </si>
  <si>
    <t>Gouvernance</t>
  </si>
  <si>
    <t>Prévention</t>
  </si>
  <si>
    <t>Détection</t>
  </si>
  <si>
    <t>Connaître son SI</t>
  </si>
  <si>
    <t>Gestion des accès</t>
  </si>
  <si>
    <t>Gestion des accès à privilèges</t>
  </si>
  <si>
    <t>Sécuriser son SI</t>
  </si>
  <si>
    <t>Protéger ces postes de travail</t>
  </si>
  <si>
    <t>Maintenance de la sécurité du SI</t>
  </si>
  <si>
    <t>Evaluer la sécurité</t>
  </si>
  <si>
    <t>Méthodologie Projet</t>
  </si>
  <si>
    <t>Méthodologie Projet Agile</t>
  </si>
  <si>
    <t>Sécurité des développements</t>
  </si>
  <si>
    <t>Gestion des tiers</t>
  </si>
  <si>
    <t>Accès des tiers</t>
  </si>
  <si>
    <t>Suivi et contrôle</t>
  </si>
  <si>
    <t>Fin de contrat</t>
  </si>
  <si>
    <t>Formation</t>
  </si>
  <si>
    <t>Sensibilisation</t>
  </si>
  <si>
    <t>Communication spécifique</t>
  </si>
  <si>
    <t>Sensibilisation du client</t>
  </si>
  <si>
    <t>Tiers</t>
  </si>
  <si>
    <t>VERIFIED</t>
  </si>
  <si>
    <t>CISO assessment</t>
  </si>
  <si>
    <t>No alert</t>
  </si>
  <si>
    <t>Alert</t>
  </si>
  <si>
    <t>Pack</t>
  </si>
  <si>
    <t>Acronyme</t>
  </si>
  <si>
    <t>Hub SSI</t>
  </si>
  <si>
    <t>PACK</t>
  </si>
  <si>
    <t>Risk situation comment</t>
  </si>
  <si>
    <t>TOTAL</t>
  </si>
  <si>
    <t>COMPLETED</t>
  </si>
  <si>
    <t>COMPLETED %</t>
  </si>
  <si>
    <t>IN SCOPE</t>
  </si>
  <si>
    <t>% RISK ACCEPTED</t>
  </si>
  <si>
    <t>BU</t>
  </si>
  <si>
    <t>DARWIN² REPORT</t>
  </si>
  <si>
    <t>REGION</t>
  </si>
  <si>
    <t>ENTITY</t>
  </si>
  <si>
    <t>Reporting date</t>
  </si>
  <si>
    <t>CISO ALERTS</t>
  </si>
  <si>
    <t>Empty fields</t>
  </si>
  <si>
    <t>Warning</t>
  </si>
  <si>
    <t>CISO Key Messages since last update</t>
  </si>
  <si>
    <t>SGMADA</t>
  </si>
  <si>
    <t>EQDOM</t>
  </si>
  <si>
    <t>Méditerranée</t>
  </si>
  <si>
    <t>SGGN</t>
  </si>
  <si>
    <t>SGSN</t>
  </si>
  <si>
    <t>CGI Finance</t>
  </si>
  <si>
    <t>PROJECT EXECUTION</t>
  </si>
  <si>
    <t>PLANNING</t>
  </si>
  <si>
    <t>Madagascar</t>
  </si>
  <si>
    <t>Status</t>
  </si>
  <si>
    <t>Global Progress rate</t>
  </si>
  <si>
    <t>Kick-off</t>
  </si>
  <si>
    <t>Initial end</t>
  </si>
  <si>
    <t>CHECKS</t>
  </si>
  <si>
    <t>CISO will indicate major information on the program since previous reporting, including :
- major achievements (measures that reached 'done', 'Checked CISO' or 'Verified' status)
- measures for which the work has started
- encountered delays and explanation
- resource problems
- change of organisation if it impacts the program
...</t>
  </si>
  <si>
    <t>BRD Finance</t>
  </si>
  <si>
    <t>Implementation progress rate</t>
  </si>
  <si>
    <t>Target status</t>
  </si>
  <si>
    <t>FULL IMPLEMENTATION</t>
  </si>
  <si>
    <t>PARTIAL IMPLEMENTATION + RA</t>
  </si>
  <si>
    <t>RAF_Status_Choice</t>
  </si>
  <si>
    <t>Not applicable</t>
  </si>
  <si>
    <t>Ressources</t>
  </si>
  <si>
    <t>Not secured</t>
  </si>
  <si>
    <t>Secured</t>
  </si>
  <si>
    <t>Main actor</t>
  </si>
  <si>
    <t>IMPLEMENTATION  at the end of the program</t>
  </si>
  <si>
    <t>Target scope</t>
  </si>
  <si>
    <t>BUDGET (k€)</t>
  </si>
  <si>
    <t>Total Initial</t>
  </si>
  <si>
    <t>Total Spent</t>
  </si>
  <si>
    <t>Initial 2020</t>
  </si>
  <si>
    <t>Reestimated 2020</t>
  </si>
  <si>
    <t>Spent 2020</t>
  </si>
  <si>
    <t>Initial 2021</t>
  </si>
  <si>
    <t>Reestimated 2021</t>
  </si>
  <si>
    <t>Spent 2021</t>
  </si>
  <si>
    <t>Initial 2022</t>
  </si>
  <si>
    <t>Reestimated 2022</t>
  </si>
  <si>
    <t>Spent 2022</t>
  </si>
  <si>
    <t>Initial 2023</t>
  </si>
  <si>
    <t>Reestimated 2023</t>
  </si>
  <si>
    <t>Spent 2023</t>
  </si>
  <si>
    <t>Entity CISO</t>
  </si>
  <si>
    <t>Entity Sponsor</t>
  </si>
  <si>
    <t>Target justification (if&lt;100%)</t>
  </si>
  <si>
    <t>(including already implemented measures)</t>
  </si>
  <si>
    <t>EmptyFields</t>
  </si>
  <si>
    <t>Data inconsistencies</t>
  </si>
  <si>
    <t>DataInconsistency</t>
  </si>
  <si>
    <t>5.0</t>
  </si>
  <si>
    <t>Re-estimated end</t>
  </si>
  <si>
    <t>Total re-estimated</t>
  </si>
  <si>
    <t>Value</t>
  </si>
  <si>
    <t>Target_Status_Choice</t>
  </si>
  <si>
    <t>CISO Comments</t>
  </si>
  <si>
    <t>TO BE DONE</t>
  </si>
  <si>
    <t>TO BE UPDATED</t>
  </si>
  <si>
    <t>SUBMITTED</t>
  </si>
  <si>
    <t>VALIDATED</t>
  </si>
  <si>
    <t>NO PROJECT</t>
  </si>
  <si>
    <t>RISK STATUS (Alert/Warning)</t>
  </si>
  <si>
    <t>DELTA (No risk/empty)</t>
  </si>
  <si>
    <t>Resource allocated</t>
  </si>
  <si>
    <t>NO PROJECT P1</t>
  </si>
  <si>
    <t>NO PROJECT P0</t>
  </si>
  <si>
    <t>NO PROJECT P2&amp;P3</t>
  </si>
  <si>
    <t>TO BE STARTED P0</t>
  </si>
  <si>
    <t>TO BE STARTED P1</t>
  </si>
  <si>
    <t>TO BE STARTED P2&amp;P3</t>
  </si>
  <si>
    <t>IN PROGRESS P0</t>
  </si>
  <si>
    <t>IN PROGRESS P2&amp;P3</t>
  </si>
  <si>
    <t>IN PROGRESS P1</t>
  </si>
  <si>
    <t>DONE P0</t>
  </si>
  <si>
    <t>DONE P1</t>
  </si>
  <si>
    <t>DONE P2&amp;P3</t>
  </si>
  <si>
    <t>CHECKED CISO P0</t>
  </si>
  <si>
    <t>CHECKED CISO P1</t>
  </si>
  <si>
    <t>CHECKED CISO P2&amp;P3</t>
  </si>
  <si>
    <t>VERIFIED P0</t>
  </si>
  <si>
    <t>VERIFIED P1</t>
  </si>
  <si>
    <t>VERIFIED P2&amp;P3</t>
  </si>
  <si>
    <t>TOTAL Impl</t>
  </si>
  <si>
    <t>WIP</t>
  </si>
  <si>
    <t>COMPLETED P0</t>
  </si>
  <si>
    <t>DELTA</t>
  </si>
  <si>
    <t>COMMITTED</t>
  </si>
  <si>
    <t>COMPLETED P1</t>
  </si>
  <si>
    <t>COMPLETED P2&amp;3</t>
  </si>
  <si>
    <t>2020 IMLP</t>
  </si>
  <si>
    <t>2021 IMPL</t>
  </si>
  <si>
    <t>2022 IMPL</t>
  </si>
  <si>
    <t>PR_EX P0</t>
  </si>
  <si>
    <t>PR_EX P1</t>
  </si>
  <si>
    <t>PR_EX P2&amp;P3</t>
  </si>
  <si>
    <t>TOTAL PR_EX</t>
  </si>
  <si>
    <t>2020 COMMITTED</t>
  </si>
  <si>
    <t>2021 COMMITTED</t>
  </si>
  <si>
    <t>% 2020 COMMITTED</t>
  </si>
  <si>
    <t>2022 COMMITTED</t>
  </si>
  <si>
    <t>% 2021 COMMITTED</t>
  </si>
  <si>
    <t>% 2022 COMMITTED</t>
  </si>
  <si>
    <t>IN SCOPE %</t>
  </si>
  <si>
    <t>TARGET IMPLEMENTATION</t>
  </si>
  <si>
    <t>CURRENT IMPLEMENTATION</t>
  </si>
  <si>
    <t>LEFT P0</t>
  </si>
  <si>
    <t>LEFT P1</t>
  </si>
  <si>
    <t>LEFT P2&amp;3</t>
  </si>
  <si>
    <t>RISK ACCEPTED P0</t>
  </si>
  <si>
    <t>RISK ACCEPTED P1</t>
  </si>
  <si>
    <t>RISK ACCEPTED P2&amp;3</t>
  </si>
  <si>
    <t xml:space="preserve">Total IMPLEMENTED </t>
  </si>
  <si>
    <t>PARTIAL IMPLEMENTATION + RA P0</t>
  </si>
  <si>
    <t>PARTIAL IMPLEMENTATION + RA P1</t>
  </si>
  <si>
    <t>PARTIAL IMPLEMENTATION + RA P2&amp;P3</t>
  </si>
  <si>
    <t>Document C2-Confidential</t>
  </si>
  <si>
    <t>C2-Confidential</t>
  </si>
  <si>
    <t>RISK ACCEPTANCE</t>
  </si>
  <si>
    <t xml:space="preserve">CURRENT IMPL DONE </t>
  </si>
  <si>
    <t>CURRENT IMPL CHECKED CISO &amp; VERIFIED</t>
  </si>
  <si>
    <t>RISK ACCEPTED (FULL MEASURE)</t>
  </si>
  <si>
    <t>WIP %</t>
  </si>
  <si>
    <t>END</t>
  </si>
  <si>
    <t>Before DARWIN²</t>
  </si>
  <si>
    <t>Done</t>
  </si>
  <si>
    <t>Global Overview</t>
  </si>
  <si>
    <t>Impl_Date</t>
  </si>
  <si>
    <t>Impl_Yes</t>
  </si>
  <si>
    <t>ATM</t>
  </si>
  <si>
    <t>2023 IMPL</t>
  </si>
  <si>
    <t>2023 COMMITTED</t>
  </si>
  <si>
    <t>% 2023 COMMITTED</t>
  </si>
  <si>
    <t>Deadline</t>
  </si>
  <si>
    <t>Date</t>
  </si>
  <si>
    <t>Pack Formula</t>
  </si>
  <si>
    <t>*</t>
  </si>
  <si>
    <t>PACKFORMULA</t>
  </si>
  <si>
    <t>CURRENT IMPL DONE &amp; CHECKED CISO &amp; VERIFIED</t>
  </si>
  <si>
    <t>Spider / Target impl</t>
  </si>
  <si>
    <t>Spider / Completed</t>
  </si>
  <si>
    <t>Spider / Begining</t>
  </si>
  <si>
    <t>Donut / Commit</t>
  </si>
  <si>
    <t>Donut / Current</t>
  </si>
  <si>
    <t>Darwin1 remaining</t>
  </si>
  <si>
    <t>Calculs</t>
  </si>
  <si>
    <t>Titres</t>
  </si>
  <si>
    <t>Utilisation colonnes</t>
  </si>
  <si>
    <t>Donut centre</t>
  </si>
  <si>
    <t>Data Quality Anomalies</t>
  </si>
  <si>
    <t>STATUS ALERTS</t>
  </si>
  <si>
    <t>BUDGET ALERTS</t>
  </si>
  <si>
    <t>RISK STATUS ALERT</t>
  </si>
  <si>
    <t>DISMISS DATA QUALITY ANOMALIES</t>
  </si>
  <si>
    <t>To be started and &gt; 0%</t>
  </si>
  <si>
    <t>In progress and = 100%</t>
  </si>
  <si>
    <t>In progress = 0%</t>
  </si>
  <si>
    <t>Completed &lt; 100%</t>
  </si>
  <si>
    <t>No status selected</t>
  </si>
  <si>
    <t>In progress and no planning</t>
  </si>
  <si>
    <t>To be started and no planning</t>
  </si>
  <si>
    <t>In progress and budget = 0</t>
  </si>
  <si>
    <t>Budget but no kick-off</t>
  </si>
  <si>
    <t>Budget but no end date</t>
  </si>
  <si>
    <t>Today's date &gt; Kick off &amp; Not started</t>
  </si>
  <si>
    <t>Kick-off &gt; Reestimated end</t>
  </si>
  <si>
    <t>Completed but wrong reestimated</t>
  </si>
  <si>
    <t>Risk status warning</t>
  </si>
  <si>
    <t>Risk status alert</t>
  </si>
  <si>
    <t>Ignore/Accept the Data Quality Anomaly</t>
  </si>
  <si>
    <t>No</t>
  </si>
  <si>
    <t>Local</t>
  </si>
  <si>
    <t>NC</t>
  </si>
  <si>
    <t>TO BE STARTED and progress &gt; 0%</t>
  </si>
  <si>
    <t>Alert but no remarks</t>
  </si>
  <si>
    <t>IN PROGRESS  but no budget</t>
  </si>
  <si>
    <t>IN PROGRESS but no planning defined</t>
  </si>
  <si>
    <t>TO BE STARTED but no planning defined</t>
  </si>
  <si>
    <t>Kick-off scheduled after reestimated-end or intial-end</t>
  </si>
  <si>
    <t>No kick-off date</t>
  </si>
  <si>
    <t>Budget but no kick-off date</t>
  </si>
  <si>
    <t>Budget nut no end date</t>
  </si>
  <si>
    <t>Ending date&lt; today's date and status is not IN PROGRESS</t>
  </si>
  <si>
    <t>IN PROGRESS and progress =100%</t>
  </si>
  <si>
    <t>IN PROGRESS and progress = 0%</t>
  </si>
  <si>
    <t>DONE and progress &lt; 100%</t>
  </si>
  <si>
    <t>Inconsistent status with Budget, Planning or Progress</t>
  </si>
  <si>
    <t>DONE but wrong Re-estimated end date</t>
  </si>
  <si>
    <t>Warning only but no remarks</t>
  </si>
  <si>
    <t>Kick-off &lt; today's date and status is not IN PROGRESS</t>
  </si>
  <si>
    <t>Will not be done</t>
  </si>
  <si>
    <t>Will be done</t>
  </si>
  <si>
    <t>HELPER - STATUS</t>
  </si>
  <si>
    <t>=SIERREUR(SI(ValidityChecks[@[Ignore/Accept the Data Quality Anomaly]]&lt;&gt;"Yes";
GAUCHE(CONCATENER(SI(ValidityChecks[@[To be started and &gt; 0%]]="";"";ValidityChecks[@[To be started and &gt; 0%]]&amp; CAR(10));
SI(ValidityChecks[@[In progress and = 100%]]="";"";ValidityChecks[@[In progress and = 100%]]&amp; CAR(10));
SI(ValidityChecks[@[In progress = 0%]]="";"";ValidityChecks[@[In progress = 0%]]&amp; CAR(10));
SI(ValidityChecks[@[Completed &lt; 100%]]="";"";ValidityChecks[@[Completed &lt; 100%]]&amp; CAR(10));
SI(ValidityChecks[@[No status selected]]="";"";ValidityChecks[@[No status selected]]&amp; CAR(10));
SI(ValidityChecks[@[In progress and no planning]]="";"";ValidityChecks[@[In progress and no planning]]&amp; CAR(10));
SI(ValidityChecks[@[To be started and no planning]]="";"";ValidityChecks[@[To be started and no planning]]&amp; CAR(10));
SI(ValidityChecks[@[In progress and budget = 0]]="";"";ValidityChecks[@[In progress and budget = 0]]&amp; CAR(10));
SI(ValidityChecks[@[Budget but no kick-off]]="";"";ValidityChecks[@[Budget but no kick-off]]&amp; CAR(10));
SI(ValidityChecks[@[Budget but no end date]]="";"";ValidityChecks[@[Budget but no end date]]&amp; CAR(10));
SI(ValidityChecks[@[Today''s date &gt; Kick off &amp; Not started]]="";"";ValidityChecks[@[Today''s date &gt; Kick off &amp; Not started]]&amp; CAR(10));
SI(ValidityChecks[@[Kick-off &gt; Reestimated end]]="";"";ValidityChecks[@[Kick-off &gt; Reestimated end]]&amp; CAR(10));
SI(ValidityChecks[@[Completed but wrong reestimated]]="";"";ValidityChecks[@[Completed but wrong reestimated]]&amp; CAR(10));
SI(ValidityChecks[@[Risk status warning]]="";"";ValidityChecks[@[Risk status warning]]&amp; CAR(10));
SI(ValidityChecks[@[Risk status alert]]="";"";ValidityChecks[@[Risk status alert]]&amp; CAR(10));
NBCAR(CONCATENER(SI(ValidityChecks[@[To be started and &gt; 0%]]="";"";ValidityChecks[@[To be started and &gt; 0%]]&amp; CAR(10));
SI(ValidityChecks[@[In progress and = 100%]]="";"";ValidityChecks[@[In progress and = 100%]]&amp; CAR(10));
SI(ValidityChecks[@[In progress = 0%]]="";"";ValidityChecks[@[In progress = 0%]]&amp; CAR(10));
SI(ValidityChecks[@[Completed &lt; 100%]]="";"";ValidityChecks[@[Completed &lt; 100%]]&amp; CAR(10));
SI(ValidityChecks[@[No status selected]]="";"";ValidityChecks[@[No status selected]]&amp; CAR(10));
SI(ValidityChecks[@[In progress and no planning]]="";"";ValidityChecks[@[In progress and no planning]]&amp; CAR(10));
SI(ValidityChecks[@[To be started and no planning]]="";"";ValidityChecks[@[To be started and no planning]]&amp; CAR(10));
SI(ValidityChecks[@[In progress and budget = 0]]="";"";ValidityChecks[@[In progress and budget = 0]]&amp; CAR(10));
SI(ValidityChecks[@[Budget but no kick-off]]="";"";ValidityChecks[@[Budget but no kick-off]]&amp; CAR(10));
SI(ValidityChecks[@[Budget but no end date]]="";"";ValidityChecks[@[Budget but no end date]]&amp; CAR(10));
SI(ValidityChecks[@[Today''s date &gt; Kick off &amp; Not started]]="";"";ValidityChecks[@[Today''s date &gt; Kick off &amp; Not started]]&amp; CAR(10));
SI(ValidityChecks[@[Kick-off &gt; Reestimated end]]="";"";ValidityChecks[@[Kick-off &gt; Reestimated end]]&amp; CAR(10));
SI(ValidityChecks[@[Completed but wrong reestimated]]="";"";ValidityChecks[@[Completed but wrong reestimated]]&amp; CAR(10));
SI(ValidityChecks[@[Risk status warning]]="";"";ValidityChecks[@[Risk status warning]]&amp; CAR(10));
SI(ValidityChecks[@[Risk status alert]]="";"";ValidityChecks[@[Risk status alert]]&amp; CAR(10))))-1);"");"")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</si>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</sst>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0.0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7374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21517D"/>
      <name val="Calibri"/>
      <family val="2"/>
      <scheme val="minor"/>
    </font>
    <font>
      <sz val="11"/>
      <color theme="1"/>
      <name val="Consolas"/>
      <family val="3"/>
    </font>
    <font>
      <b/>
      <sz val="10"/>
      <color theme="1"/>
      <name val="Consolas"/>
      <family val="3"/>
    </font>
    <font>
      <sz val="10"/>
      <color theme="1"/>
      <name val="Consolas"/>
      <family val="3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8"/>
      <color theme="1" tint="0.3499862666707357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1517D"/>
        <bgColor indexed="64"/>
      </patternFill>
    </fill>
    <fill>
      <patternFill patternType="solid">
        <fgColor rgb="FFFFFF2D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 style="double">
        <color rgb="FFC00000"/>
      </left>
      <right/>
      <top/>
      <bottom/>
      <diagonal/>
    </border>
    <border>
      <left style="thin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 style="thin">
        <color theme="1" tint="0.34998626667073579"/>
      </right>
      <top style="thick">
        <color theme="1" tint="0.34998626667073579"/>
      </top>
      <bottom/>
      <diagonal/>
    </border>
    <border>
      <left style="double">
        <color rgb="FFC00000"/>
      </left>
      <right/>
      <top style="thick">
        <color theme="1" tint="0.34998626667073579"/>
      </top>
      <bottom/>
      <diagonal/>
    </border>
    <border>
      <left/>
      <right/>
      <top style="thin">
        <color theme="5"/>
      </top>
      <bottom/>
      <diagonal/>
    </border>
    <border>
      <left style="double">
        <color rgb="FFFF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double">
        <color rgb="FFFF0000"/>
      </left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 style="thin">
        <color theme="1" tint="0.34998626667073579"/>
      </left>
      <right/>
      <top style="dotted">
        <color theme="0" tint="-0.14996795556505021"/>
      </top>
      <bottom style="dotted">
        <color theme="0" tint="-0.14996795556505021"/>
      </bottom>
      <diagonal/>
    </border>
    <border>
      <left style="thin">
        <color theme="1" tint="0.34998626667073579"/>
      </left>
      <right/>
      <top/>
      <bottom style="dotted">
        <color theme="0" tint="-0.14996795556505021"/>
      </bottom>
      <diagonal/>
    </border>
    <border>
      <left/>
      <right/>
      <top/>
      <bottom style="dotted">
        <color theme="0" tint="-0.14996795556505021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1" fillId="0" borderId="0"/>
  </cellStyleXfs>
  <cellXfs count="223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left" vertical="center"/>
      <protection hidden="1"/>
    </xf>
    <xf numFmtId="9" fontId="0" fillId="0" borderId="0" xfId="0" applyNumberFormat="1" applyProtection="1">
      <protection locked="0"/>
    </xf>
    <xf numFmtId="1" fontId="3" fillId="0" borderId="0" xfId="0" applyNumberFormat="1" applyFont="1" applyAlignment="1" applyProtection="1">
      <alignment horizontal="left" vertical="center"/>
      <protection hidden="1"/>
    </xf>
    <xf numFmtId="2" fontId="3" fillId="0" borderId="0" xfId="0" quotePrefix="1" applyNumberFormat="1" applyFont="1" applyAlignment="1" applyProtection="1">
      <alignment horizontal="left" vertical="center"/>
      <protection hidden="1"/>
    </xf>
    <xf numFmtId="2" fontId="3" fillId="0" borderId="0" xfId="0" applyNumberFormat="1" applyFont="1" applyFill="1" applyAlignment="1" applyProtection="1">
      <alignment horizontal="left" vertical="center"/>
      <protection hidden="1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Protection="1">
      <protection locked="0"/>
    </xf>
    <xf numFmtId="0" fontId="0" fillId="0" borderId="0" xfId="0" applyProtection="1"/>
    <xf numFmtId="0" fontId="5" fillId="0" borderId="0" xfId="0" applyFont="1" applyProtection="1">
      <protection locked="0"/>
    </xf>
    <xf numFmtId="0" fontId="6" fillId="0" borderId="0" xfId="0" applyFont="1" applyBorder="1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 wrapTex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1" fontId="6" fillId="0" borderId="0" xfId="0" applyNumberFormat="1" applyFont="1" applyBorder="1" applyAlignment="1">
      <alignment horizontal="left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6" xfId="0" applyFont="1" applyBorder="1"/>
    <xf numFmtId="9" fontId="0" fillId="0" borderId="0" xfId="0" quotePrefix="1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9" fillId="5" borderId="20" xfId="0" applyFont="1" applyFill="1" applyBorder="1" applyAlignment="1">
      <alignment horizontal="left"/>
    </xf>
    <xf numFmtId="0" fontId="0" fillId="0" borderId="6" xfId="0" applyFont="1" applyBorder="1" applyProtection="1">
      <protection locked="0"/>
    </xf>
    <xf numFmtId="0" fontId="0" fillId="0" borderId="20" xfId="0" applyFont="1" applyBorder="1" applyAlignment="1">
      <alignment horizontal="center" vertical="center"/>
    </xf>
    <xf numFmtId="0" fontId="9" fillId="0" borderId="14" xfId="0" applyFont="1" applyBorder="1" applyAlignment="1" applyProtection="1">
      <alignment horizontal="center" vertical="center"/>
      <protection locked="0"/>
    </xf>
    <xf numFmtId="9" fontId="0" fillId="0" borderId="20" xfId="0" applyNumberFormat="1" applyFont="1" applyBorder="1" applyAlignment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19" fillId="5" borderId="27" xfId="0" applyFont="1" applyFill="1" applyBorder="1"/>
    <xf numFmtId="49" fontId="0" fillId="0" borderId="28" xfId="0" applyNumberFormat="1" applyFont="1" applyBorder="1" applyAlignment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9" borderId="0" xfId="0" applyFont="1" applyFill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20" fillId="7" borderId="21" xfId="0" applyFont="1" applyFill="1" applyBorder="1" applyAlignment="1" applyProtection="1">
      <alignment horizontal="center" vertical="center" wrapText="1"/>
    </xf>
    <xf numFmtId="0" fontId="20" fillId="7" borderId="0" xfId="0" applyFont="1" applyFill="1" applyBorder="1" applyAlignment="1" applyProtection="1">
      <alignment horizontal="center" vertical="center" wrapText="1"/>
    </xf>
    <xf numFmtId="0" fontId="20" fillId="8" borderId="0" xfId="0" applyFont="1" applyFill="1" applyAlignment="1" applyProtection="1">
      <alignment horizontal="center" vertical="center" wrapText="1"/>
    </xf>
    <xf numFmtId="0" fontId="20" fillId="9" borderId="0" xfId="0" applyFont="1" applyFill="1" applyBorder="1" applyAlignment="1" applyProtection="1">
      <alignment horizontal="center" vertical="center" wrapText="1"/>
    </xf>
    <xf numFmtId="0" fontId="20" fillId="9" borderId="2" xfId="0" applyFont="1" applyFill="1" applyBorder="1" applyAlignment="1" applyProtection="1">
      <alignment horizontal="center" vertical="center" wrapText="1"/>
    </xf>
    <xf numFmtId="0" fontId="20" fillId="9" borderId="13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</xf>
    <xf numFmtId="0" fontId="0" fillId="0" borderId="22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25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7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24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25" xfId="0" applyBorder="1" applyProtection="1"/>
    <xf numFmtId="0" fontId="0" fillId="0" borderId="26" xfId="0" applyBorder="1" applyProtection="1"/>
    <xf numFmtId="0" fontId="23" fillId="3" borderId="7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5" fillId="11" borderId="0" xfId="0" applyFont="1" applyFill="1" applyProtection="1">
      <protection locked="0"/>
    </xf>
    <xf numFmtId="0" fontId="0" fillId="11" borderId="0" xfId="0" applyFill="1" applyProtection="1">
      <protection locked="0"/>
    </xf>
    <xf numFmtId="0" fontId="26" fillId="0" borderId="0" xfId="0" applyFont="1" applyProtection="1">
      <protection locked="0"/>
    </xf>
    <xf numFmtId="1" fontId="26" fillId="0" borderId="0" xfId="0" applyNumberFormat="1" applyFont="1" applyProtection="1">
      <protection locked="0"/>
    </xf>
    <xf numFmtId="0" fontId="26" fillId="0" borderId="0" xfId="0" applyNumberFormat="1" applyFont="1" applyProtection="1">
      <protection locked="0"/>
    </xf>
    <xf numFmtId="0" fontId="26" fillId="0" borderId="0" xfId="0" applyFont="1" applyFill="1" applyProtection="1">
      <protection locked="0"/>
    </xf>
    <xf numFmtId="0" fontId="27" fillId="0" borderId="4" xfId="0" applyFont="1" applyFill="1" applyBorder="1" applyAlignment="1" applyProtection="1">
      <alignment horizontal="left" vertical="center" wrapText="1"/>
      <protection locked="0"/>
    </xf>
    <xf numFmtId="0" fontId="27" fillId="0" borderId="5" xfId="0" applyFont="1" applyFill="1" applyBorder="1" applyAlignment="1" applyProtection="1">
      <alignment horizontal="left" vertical="center" wrapText="1"/>
      <protection locked="0"/>
    </xf>
    <xf numFmtId="0" fontId="26" fillId="0" borderId="26" xfId="0" applyFont="1" applyFill="1" applyBorder="1" applyProtection="1">
      <protection locked="0"/>
    </xf>
    <xf numFmtId="0" fontId="26" fillId="0" borderId="26" xfId="0" applyFont="1" applyBorder="1" applyProtection="1">
      <protection locked="0"/>
    </xf>
    <xf numFmtId="0" fontId="14" fillId="0" borderId="0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18" fillId="0" borderId="14" xfId="0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 applyProtection="1">
      <alignment horizontal="center" vertical="center"/>
      <protection locked="0"/>
    </xf>
    <xf numFmtId="0" fontId="9" fillId="0" borderId="14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17" fillId="0" borderId="19" xfId="0" applyFont="1" applyBorder="1" applyAlignment="1" applyProtection="1">
      <alignment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7" fillId="0" borderId="18" xfId="0" applyFont="1" applyBorder="1" applyAlignment="1" applyProtection="1">
      <alignment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0" fillId="0" borderId="15" xfId="0" applyFill="1" applyBorder="1" applyAlignment="1" applyProtection="1">
      <alignment vertical="center"/>
      <protection locked="0"/>
    </xf>
    <xf numFmtId="0" fontId="26" fillId="0" borderId="0" xfId="0" applyFont="1" applyFill="1" applyBorder="1" applyProtection="1">
      <protection locked="0"/>
    </xf>
    <xf numFmtId="0" fontId="11" fillId="0" borderId="0" xfId="0" applyFont="1" applyBorder="1" applyAlignment="1" applyProtection="1">
      <alignment horizontal="center" vertical="center"/>
    </xf>
    <xf numFmtId="0" fontId="27" fillId="10" borderId="4" xfId="0" applyFont="1" applyFill="1" applyBorder="1" applyAlignment="1" applyProtection="1">
      <alignment horizontal="left" vertical="center" wrapText="1"/>
      <protection locked="0"/>
    </xf>
    <xf numFmtId="0" fontId="22" fillId="0" borderId="14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26" fillId="10" borderId="0" xfId="0" applyFont="1" applyFill="1" applyProtection="1">
      <protection locked="0"/>
    </xf>
    <xf numFmtId="10" fontId="26" fillId="0" borderId="0" xfId="1" quotePrefix="1" applyNumberFormat="1" applyFont="1" applyProtection="1">
      <protection locked="0"/>
    </xf>
    <xf numFmtId="10" fontId="26" fillId="0" borderId="0" xfId="1" applyNumberFormat="1" applyFont="1" applyProtection="1">
      <protection locked="0"/>
    </xf>
    <xf numFmtId="10" fontId="26" fillId="0" borderId="0" xfId="0" applyNumberFormat="1" applyFont="1" applyProtection="1">
      <protection locked="0"/>
    </xf>
    <xf numFmtId="10" fontId="26" fillId="0" borderId="0" xfId="0" applyNumberFormat="1" applyFont="1" applyAlignment="1" applyProtection="1">
      <alignment wrapText="1"/>
      <protection locked="0"/>
    </xf>
    <xf numFmtId="0" fontId="8" fillId="0" borderId="0" xfId="0" applyFont="1" applyBorder="1" applyAlignment="1" applyProtection="1">
      <alignment horizontal="right" vertical="center"/>
    </xf>
    <xf numFmtId="0" fontId="11" fillId="3" borderId="7" xfId="0" applyFont="1" applyFill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vertical="center"/>
    </xf>
    <xf numFmtId="0" fontId="11" fillId="3" borderId="8" xfId="0" quotePrefix="1" applyFont="1" applyFill="1" applyBorder="1" applyAlignment="1" applyProtection="1">
      <alignment horizontal="center" vertical="center"/>
    </xf>
    <xf numFmtId="0" fontId="27" fillId="12" borderId="4" xfId="0" applyFont="1" applyFill="1" applyBorder="1" applyAlignment="1" applyProtection="1">
      <alignment horizontal="left" vertical="center" wrapText="1"/>
      <protection locked="0"/>
    </xf>
    <xf numFmtId="10" fontId="26" fillId="12" borderId="0" xfId="1" applyNumberFormat="1" applyFont="1" applyFill="1"/>
    <xf numFmtId="10" fontId="0" fillId="0" borderId="0" xfId="0" applyNumberFormat="1" applyProtection="1">
      <protection locked="0"/>
    </xf>
    <xf numFmtId="9" fontId="26" fillId="0" borderId="0" xfId="1" applyFont="1" applyFill="1" applyProtection="1">
      <protection locked="0"/>
    </xf>
    <xf numFmtId="0" fontId="27" fillId="10" borderId="5" xfId="0" applyFont="1" applyFill="1" applyBorder="1" applyAlignment="1" applyProtection="1">
      <alignment horizontal="left" vertical="center" wrapText="1"/>
      <protection locked="0"/>
    </xf>
    <xf numFmtId="0" fontId="26" fillId="12" borderId="0" xfId="0" applyFont="1" applyFill="1" applyProtection="1">
      <protection locked="0"/>
    </xf>
    <xf numFmtId="0" fontId="26" fillId="10" borderId="26" xfId="0" applyFont="1" applyFill="1" applyBorder="1" applyAlignment="1" applyProtection="1">
      <alignment wrapText="1"/>
      <protection locked="0"/>
    </xf>
    <xf numFmtId="0" fontId="28" fillId="0" borderId="0" xfId="0" applyFont="1" applyFill="1" applyAlignment="1">
      <alignment horizontal="center" vertical="center" wrapText="1"/>
    </xf>
    <xf numFmtId="10" fontId="26" fillId="10" borderId="0" xfId="0" applyNumberFormat="1" applyFont="1" applyFill="1" applyBorder="1" applyProtection="1">
      <protection locked="0"/>
    </xf>
    <xf numFmtId="0" fontId="20" fillId="9" borderId="21" xfId="0" applyFont="1" applyFill="1" applyBorder="1" applyAlignment="1" applyProtection="1">
      <alignment horizontal="center" vertical="center" wrapText="1"/>
    </xf>
    <xf numFmtId="0" fontId="16" fillId="0" borderId="21" xfId="0" applyFont="1" applyBorder="1" applyAlignment="1" applyProtection="1">
      <alignment vertical="center"/>
    </xf>
    <xf numFmtId="0" fontId="18" fillId="0" borderId="29" xfId="0" applyFont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left" vertical="center"/>
      <protection locked="0"/>
    </xf>
    <xf numFmtId="0" fontId="22" fillId="0" borderId="29" xfId="0" applyFont="1" applyFill="1" applyBorder="1" applyAlignment="1" applyProtection="1">
      <alignment horizontal="center" vertical="center"/>
      <protection locked="0"/>
    </xf>
    <xf numFmtId="0" fontId="20" fillId="8" borderId="21" xfId="0" applyFont="1" applyFill="1" applyBorder="1" applyAlignment="1" applyProtection="1">
      <alignment horizontal="center" vertical="center" wrapText="1"/>
    </xf>
    <xf numFmtId="9" fontId="25" fillId="0" borderId="21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Fill="1" applyProtection="1">
      <protection locked="0"/>
    </xf>
    <xf numFmtId="0" fontId="26" fillId="0" borderId="0" xfId="0" applyNumberFormat="1" applyFont="1" applyFill="1" applyBorder="1" applyProtection="1">
      <protection locked="0"/>
    </xf>
    <xf numFmtId="1" fontId="25" fillId="0" borderId="0" xfId="0" applyNumberFormat="1" applyFont="1" applyFill="1" applyAlignment="1" applyProtection="1">
      <alignment horizontal="center" vertical="center"/>
      <protection locked="0"/>
    </xf>
    <xf numFmtId="14" fontId="25" fillId="0" borderId="0" xfId="1" applyNumberFormat="1" applyFont="1" applyFill="1" applyAlignment="1" applyProtection="1">
      <alignment horizontal="center" vertical="center"/>
      <protection locked="0"/>
    </xf>
    <xf numFmtId="9" fontId="26" fillId="0" borderId="0" xfId="1" quotePrefix="1" applyFont="1" applyFill="1" applyProtection="1">
      <protection locked="0"/>
    </xf>
    <xf numFmtId="1" fontId="26" fillId="0" borderId="0" xfId="1" applyNumberFormat="1" applyFont="1" applyProtection="1">
      <protection locked="0"/>
    </xf>
    <xf numFmtId="14" fontId="0" fillId="0" borderId="0" xfId="0" applyNumberFormat="1" applyAlignment="1" applyProtection="1">
      <alignment vertical="center"/>
      <protection locked="0"/>
    </xf>
    <xf numFmtId="10" fontId="26" fillId="0" borderId="0" xfId="1" quotePrefix="1" applyNumberFormat="1" applyFont="1" applyFill="1" applyBorder="1" applyProtection="1">
      <protection locked="0"/>
    </xf>
    <xf numFmtId="10" fontId="26" fillId="0" borderId="0" xfId="0" quotePrefix="1" applyNumberFormat="1" applyFont="1" applyFill="1" applyBorder="1" applyAlignment="1" applyProtection="1">
      <alignment wrapText="1"/>
      <protection locked="0"/>
    </xf>
    <xf numFmtId="0" fontId="27" fillId="0" borderId="0" xfId="0" applyFont="1" applyFill="1" applyBorder="1" applyAlignment="1" applyProtection="1">
      <alignment horizontal="left" vertical="center" wrapText="1"/>
      <protection locked="0"/>
    </xf>
    <xf numFmtId="0" fontId="26" fillId="0" borderId="26" xfId="0" quotePrefix="1" applyFont="1" applyBorder="1" applyProtection="1">
      <protection locked="0"/>
    </xf>
    <xf numFmtId="0" fontId="28" fillId="4" borderId="0" xfId="0" applyFont="1" applyFill="1" applyAlignment="1">
      <alignment horizontal="center" vertical="center" wrapText="1"/>
    </xf>
    <xf numFmtId="0" fontId="27" fillId="4" borderId="4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26" fillId="0" borderId="0" xfId="0" applyFont="1" applyFill="1" applyAlignment="1" applyProtection="1">
      <alignment vertical="center"/>
      <protection locked="0"/>
    </xf>
    <xf numFmtId="0" fontId="26" fillId="0" borderId="11" xfId="0" applyFont="1" applyFill="1" applyBorder="1" applyAlignment="1" applyProtection="1">
      <alignment horizontal="center" vertical="center" wrapText="1"/>
      <protection locked="0"/>
    </xf>
    <xf numFmtId="9" fontId="26" fillId="0" borderId="11" xfId="1" applyFont="1" applyFill="1" applyBorder="1" applyAlignment="1" applyProtection="1">
      <alignment horizontal="center" vertical="center" wrapText="1"/>
      <protection locked="0"/>
    </xf>
    <xf numFmtId="9" fontId="26" fillId="0" borderId="11" xfId="1" quotePrefix="1" applyFont="1" applyFill="1" applyBorder="1" applyAlignment="1" applyProtection="1">
      <alignment horizontal="center" vertical="center" wrapText="1"/>
      <protection locked="0"/>
    </xf>
    <xf numFmtId="0" fontId="26" fillId="0" borderId="11" xfId="0" applyNumberFormat="1" applyFont="1" applyFill="1" applyBorder="1" applyAlignment="1" applyProtection="1">
      <alignment horizontal="center" vertical="center" wrapText="1"/>
      <protection locked="0"/>
    </xf>
    <xf numFmtId="10" fontId="26" fillId="0" borderId="11" xfId="1" quotePrefix="1" applyNumberFormat="1" applyFont="1" applyFill="1" applyBorder="1" applyAlignment="1" applyProtection="1">
      <alignment horizontal="center" vertical="center" wrapText="1"/>
      <protection locked="0"/>
    </xf>
    <xf numFmtId="10" fontId="26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10" fontId="26" fillId="0" borderId="0" xfId="1" quotePrefix="1" applyNumberFormat="1" applyFont="1" applyFill="1" applyProtection="1">
      <protection locked="0"/>
    </xf>
    <xf numFmtId="10" fontId="26" fillId="0" borderId="0" xfId="0" applyNumberFormat="1" applyFont="1" applyFill="1" applyBorder="1" applyProtection="1">
      <protection locked="0"/>
    </xf>
    <xf numFmtId="0" fontId="26" fillId="0" borderId="0" xfId="0" quotePrefix="1" applyFont="1" applyFill="1" applyBorder="1" applyProtection="1">
      <protection locked="0"/>
    </xf>
    <xf numFmtId="10" fontId="26" fillId="0" borderId="0" xfId="0" applyNumberFormat="1" applyFont="1" applyFill="1" applyProtection="1">
      <protection locked="0"/>
    </xf>
    <xf numFmtId="1" fontId="26" fillId="0" borderId="0" xfId="0" applyNumberFormat="1" applyFont="1" applyFill="1" applyProtection="1">
      <protection locked="0"/>
    </xf>
    <xf numFmtId="10" fontId="26" fillId="0" borderId="0" xfId="0" applyNumberFormat="1" applyFont="1" applyFill="1" applyAlignment="1" applyProtection="1">
      <alignment wrapText="1"/>
      <protection locked="0"/>
    </xf>
    <xf numFmtId="10" fontId="26" fillId="0" borderId="0" xfId="1" applyNumberFormat="1" applyFont="1" applyFill="1" applyProtection="1">
      <protection locked="0"/>
    </xf>
    <xf numFmtId="1" fontId="26" fillId="0" borderId="0" xfId="1" applyNumberFormat="1" applyFont="1" applyFill="1" applyProtection="1">
      <protection locked="0"/>
    </xf>
    <xf numFmtId="10" fontId="26" fillId="0" borderId="0" xfId="1" applyNumberFormat="1" applyFont="1" applyFill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10" fontId="26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26" fillId="0" borderId="11" xfId="0" applyNumberFormat="1" applyFont="1" applyFill="1" applyBorder="1" applyAlignment="1" applyProtection="1">
      <alignment horizontal="center" vertical="center" wrapText="1"/>
      <protection locked="0"/>
    </xf>
    <xf numFmtId="10" fontId="26" fillId="0" borderId="11" xfId="1" applyNumberFormat="1" applyFont="1" applyFill="1" applyBorder="1" applyAlignment="1" applyProtection="1">
      <alignment horizontal="center" vertical="center" wrapText="1"/>
      <protection locked="0"/>
    </xf>
    <xf numFmtId="1" fontId="26" fillId="0" borderId="11" xfId="1" applyNumberFormat="1" applyFont="1" applyFill="1" applyBorder="1" applyAlignment="1" applyProtection="1">
      <alignment horizontal="center" vertical="center" wrapText="1"/>
      <protection locked="0"/>
    </xf>
    <xf numFmtId="10" fontId="26" fillId="0" borderId="11" xfId="1" applyNumberFormat="1" applyFont="1" applyFill="1" applyBorder="1" applyAlignment="1">
      <alignment horizontal="center" vertical="center" wrapText="1"/>
    </xf>
    <xf numFmtId="0" fontId="27" fillId="4" borderId="5" xfId="0" applyFont="1" applyFill="1" applyBorder="1" applyAlignment="1" applyProtection="1">
      <alignment horizontal="left" vertical="center" wrapText="1"/>
      <protection locked="0"/>
    </xf>
    <xf numFmtId="0" fontId="27" fillId="0" borderId="4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wrapText="1"/>
      <protection locked="0"/>
    </xf>
    <xf numFmtId="10" fontId="26" fillId="10" borderId="0" xfId="1" applyNumberFormat="1" applyFont="1" applyFill="1" applyBorder="1" applyProtection="1">
      <protection locked="0"/>
    </xf>
    <xf numFmtId="0" fontId="25" fillId="0" borderId="0" xfId="0" quotePrefix="1" applyNumberFormat="1" applyFont="1" applyFill="1" applyAlignment="1" applyProtection="1">
      <alignment horizontal="center" vertical="center"/>
      <protection locked="0"/>
    </xf>
    <xf numFmtId="9" fontId="9" fillId="0" borderId="0" xfId="1" applyFont="1" applyBorder="1" applyAlignment="1" applyProtection="1">
      <alignment horizontal="center" vertical="center" wrapText="1"/>
      <protection locked="0"/>
    </xf>
    <xf numFmtId="0" fontId="25" fillId="0" borderId="0" xfId="0" applyNumberFormat="1" applyFont="1" applyFill="1" applyAlignment="1" applyProtection="1">
      <alignment horizontal="center" vertical="center"/>
      <protection locked="0"/>
    </xf>
    <xf numFmtId="9" fontId="25" fillId="0" borderId="21" xfId="1" applyNumberFormat="1" applyFont="1" applyBorder="1" applyAlignment="1" applyProtection="1">
      <alignment horizontal="center" vertical="center" wrapText="1"/>
      <protection locked="0"/>
    </xf>
    <xf numFmtId="14" fontId="9" fillId="0" borderId="0" xfId="0" applyNumberFormat="1" applyFont="1" applyAlignment="1" applyProtection="1">
      <alignment horizontal="center" vertical="center"/>
      <protection locked="0"/>
    </xf>
    <xf numFmtId="0" fontId="21" fillId="0" borderId="21" xfId="0" applyFont="1" applyFill="1" applyBorder="1" applyAlignment="1" applyProtection="1">
      <alignment vertical="center"/>
      <protection locked="0"/>
    </xf>
    <xf numFmtId="0" fontId="21" fillId="0" borderId="0" xfId="0" applyFont="1" applyFill="1" applyBorder="1" applyAlignment="1" applyProtection="1">
      <alignment vertical="center"/>
      <protection locked="0"/>
    </xf>
    <xf numFmtId="0" fontId="18" fillId="0" borderId="21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21" xfId="0" applyFont="1" applyFill="1" applyBorder="1" applyAlignment="1" applyProtection="1">
      <alignment horizontal="left" vertical="center"/>
      <protection locked="0"/>
    </xf>
    <xf numFmtId="0" fontId="20" fillId="6" borderId="21" xfId="0" applyFont="1" applyFill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9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165" fontId="25" fillId="0" borderId="21" xfId="0" applyNumberFormat="1" applyFont="1" applyBorder="1" applyAlignment="1" applyProtection="1">
      <alignment vertical="center"/>
      <protection locked="0"/>
    </xf>
    <xf numFmtId="165" fontId="25" fillId="0" borderId="0" xfId="0" applyNumberFormat="1" applyFont="1" applyAlignment="1" applyProtection="1">
      <alignment vertical="center"/>
      <protection locked="0"/>
    </xf>
    <xf numFmtId="165" fontId="25" fillId="0" borderId="13" xfId="0" applyNumberFormat="1" applyFont="1" applyBorder="1" applyAlignment="1" applyProtection="1">
      <alignment vertical="center"/>
      <protection locked="0"/>
    </xf>
    <xf numFmtId="165" fontId="9" fillId="0" borderId="2" xfId="0" applyNumberFormat="1" applyFont="1" applyBorder="1" applyAlignment="1" applyProtection="1">
      <alignment vertical="center"/>
      <protection locked="0"/>
    </xf>
    <xf numFmtId="165" fontId="9" fillId="0" borderId="0" xfId="0" applyNumberFormat="1" applyFont="1" applyAlignment="1" applyProtection="1">
      <alignment vertical="center"/>
      <protection locked="0"/>
    </xf>
    <xf numFmtId="165" fontId="9" fillId="0" borderId="13" xfId="0" applyNumberFormat="1" applyFont="1" applyBorder="1" applyAlignment="1" applyProtection="1">
      <alignment vertical="center"/>
      <protection locked="0"/>
    </xf>
    <xf numFmtId="165" fontId="15" fillId="0" borderId="0" xfId="0" applyNumberFormat="1" applyFont="1" applyAlignment="1" applyProtection="1">
      <alignment vertical="center"/>
      <protection locked="0"/>
    </xf>
    <xf numFmtId="0" fontId="33" fillId="0" borderId="16" xfId="0" applyFont="1" applyFill="1" applyBorder="1" applyAlignment="1">
      <alignment horizontal="center" vertical="center"/>
    </xf>
    <xf numFmtId="0" fontId="32" fillId="4" borderId="0" xfId="0" applyFont="1" applyFill="1" applyBorder="1" applyAlignment="1" applyProtection="1">
      <alignment horizontal="center" vertical="center" wrapText="1"/>
    </xf>
    <xf numFmtId="0" fontId="32" fillId="4" borderId="30" xfId="0" applyFont="1" applyFill="1" applyBorder="1" applyAlignment="1" applyProtection="1">
      <alignment horizontal="center" vertical="center" wrapText="1"/>
    </xf>
    <xf numFmtId="0" fontId="32" fillId="4" borderId="31" xfId="0" applyFont="1" applyFill="1" applyBorder="1" applyAlignment="1" applyProtection="1">
      <alignment horizontal="center" vertical="center" wrapText="1"/>
    </xf>
    <xf numFmtId="0" fontId="34" fillId="0" borderId="32" xfId="0" applyFont="1" applyFill="1" applyBorder="1" applyAlignment="1">
      <alignment horizontal="center" vertical="center"/>
    </xf>
    <xf numFmtId="0" fontId="34" fillId="0" borderId="33" xfId="0" quotePrefix="1" applyFont="1" applyFill="1" applyBorder="1" applyAlignment="1">
      <alignment horizontal="center" vertical="center"/>
    </xf>
    <xf numFmtId="0" fontId="32" fillId="4" borderId="0" xfId="0" applyFont="1" applyFill="1" applyAlignment="1" applyProtection="1">
      <alignment horizontal="center" vertical="center" wrapText="1"/>
    </xf>
    <xf numFmtId="0" fontId="34" fillId="0" borderId="34" xfId="0" applyFont="1" applyBorder="1" applyAlignment="1">
      <alignment horizontal="center" vertical="center"/>
    </xf>
    <xf numFmtId="0" fontId="34" fillId="0" borderId="35" xfId="0" quotePrefix="1" applyFont="1" applyBorder="1" applyAlignment="1">
      <alignment horizontal="center" vertical="center"/>
    </xf>
    <xf numFmtId="0" fontId="25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0" borderId="36" xfId="0" quotePrefix="1" applyFill="1" applyBorder="1" applyAlignment="1" applyProtection="1">
      <alignment vertical="center" wrapText="1"/>
      <protection locked="0"/>
    </xf>
    <xf numFmtId="0" fontId="4" fillId="2" borderId="3" xfId="0" applyFont="1" applyFill="1" applyBorder="1" applyAlignment="1" applyProtection="1">
      <alignment horizontal="center"/>
    </xf>
    <xf numFmtId="0" fontId="0" fillId="0" borderId="4" xfId="0" applyBorder="1" applyAlignment="1" applyProtection="1"/>
    <xf numFmtId="0" fontId="0" fillId="0" borderId="5" xfId="0" applyBorder="1" applyAlignment="1" applyProtection="1"/>
    <xf numFmtId="0" fontId="0" fillId="0" borderId="10" xfId="0" applyFont="1" applyBorder="1" applyAlignment="1" applyProtection="1">
      <alignment horizontal="left" vertical="top" wrapText="1"/>
      <protection locked="0"/>
    </xf>
    <xf numFmtId="0" fontId="0" fillId="0" borderId="11" xfId="0" applyFont="1" applyBorder="1" applyAlignment="1" applyProtection="1">
      <alignment horizontal="left" vertical="top" wrapText="1"/>
      <protection locked="0"/>
    </xf>
    <xf numFmtId="0" fontId="0" fillId="0" borderId="12" xfId="0" applyFont="1" applyBorder="1" applyAlignment="1" applyProtection="1">
      <alignment horizontal="left" vertical="top" wrapText="1"/>
      <protection locked="0"/>
    </xf>
    <xf numFmtId="0" fontId="11" fillId="0" borderId="0" xfId="0" applyFont="1" applyBorder="1" applyAlignment="1" applyProtection="1">
      <alignment horizontal="center" vertical="center"/>
    </xf>
    <xf numFmtId="164" fontId="0" fillId="0" borderId="10" xfId="0" applyNumberFormat="1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vertical="center"/>
    </xf>
    <xf numFmtId="0" fontId="0" fillId="0" borderId="22" xfId="0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33" fillId="0" borderId="16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17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7475E916-3F8B-45F8-92F9-FC2710C6AC80}"/>
    <cellStyle name="Pourcentage" xfId="1" builtinId="5"/>
  </cellStyles>
  <dxfs count="224"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vertical="center" textRotation="0" indent="0" justifyLastLine="0" shrinkToFit="0" readingOrder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numFmt numFmtId="13" formatCode="0%"/>
      <protection locked="0" hidden="0"/>
    </dxf>
    <dxf>
      <numFmt numFmtId="13" formatCode="0%"/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1" formatCode="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family val="2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  <protection locked="0" hidden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fill>
        <patternFill>
          <fgColor indexed="64"/>
          <bgColor rgb="FFFFFF2D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" formatCode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" formatCode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2" formatCode="0.00"/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1" formatCode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1" formatCode="0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14" formatCode="0.00%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solid">
          <fgColor indexed="64"/>
          <bgColor rgb="FFFFFF2D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solid">
          <fgColor indexed="64"/>
          <bgColor rgb="FFFFFF00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14" formatCode="0.00%"/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auto="1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color theme="1"/>
        <name val="Consolas"/>
        <family val="3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Consolas"/>
        <family val="3"/>
        <scheme val="none"/>
      </font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font>
        <sz val="10"/>
        <color theme="1" tint="0.34998626667073579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font>
        <sz val="10"/>
        <color theme="1" tint="0.34998626667073579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theme="0" tint="-0.14996795556505021"/>
        </top>
        <bottom style="dotted">
          <color theme="0" tint="-0.14996795556505021"/>
        </bottom>
        <vertical/>
        <horizontal/>
      </border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1" tint="0.34998626667073579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FF000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13" formatCode="0%"/>
      <alignment horizontal="center" vertical="center" textRotation="0" wrapText="1" indent="0" justifyLastLine="0" shrinkToFit="0" readingOrder="0"/>
      <border diagonalUp="0" diagonalDown="0" outline="0">
        <left style="double">
          <color rgb="FFFF000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AFABAB"/>
      <color rgb="FFAFAFAB"/>
      <color rgb="FFED93A0"/>
      <color rgb="FFF4BEC6"/>
      <color rgb="FFA568D2"/>
      <color rgb="FF98C0E4"/>
      <color rgb="FF3A88CE"/>
      <color rgb="FF245D90"/>
      <color rgb="FF6DA6D9"/>
      <color rgb="FFE0EE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105367</xdr:rowOff>
    </xdr:from>
    <xdr:to>
      <xdr:col>1</xdr:col>
      <xdr:colOff>1409782</xdr:colOff>
      <xdr:row>1</xdr:row>
      <xdr:rowOff>195942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FB44F4F-993E-46E3-AB4A-FF905843F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540" y="105367"/>
          <a:ext cx="1477848" cy="2740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.MSD.WORLD.SOCGEN\groupdir\Users\A134396\AppData\Local\Microsoft\Windows\INetCache\Content.Outlook\6KGF5R7D\SKB%20-%20IT%20Security%20Master%20Plan%20-%20Reporting%20v4.4-February2019_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  <sheetName val="SKB - IT Security Master Plan -"/>
      <sheetName val="SYNTHESIS"/>
      <sheetName val="RAF"/>
      <sheetName val="USER GUIDE"/>
    </sheetNames>
    <sheetDataSet>
      <sheetData sheetId="0">
        <row r="4">
          <cell r="B4" t="str">
            <v>SKB</v>
          </cell>
        </row>
      </sheetData>
      <sheetData sheetId="1"/>
      <sheetData sheetId="2"/>
      <sheetData sheetId="3"/>
      <sheetData sheetId="4"/>
      <sheetData sheetId="5">
        <row r="26">
          <cell r="AD26">
            <v>456.70999999999992</v>
          </cell>
        </row>
      </sheetData>
      <sheetData sheetId="6"/>
      <sheetData sheetId="7"/>
      <sheetData sheetId="8"/>
      <sheetData sheetId="9">
        <row r="1">
          <cell r="G1" t="str">
            <v>RISK ACCEPTED BY ENTITY</v>
          </cell>
        </row>
      </sheetData>
      <sheetData sheetId="10">
        <row r="2">
          <cell r="C2" t="str">
            <v>Basics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A4E243-D19E-4307-ACEA-9ABE11F9778D}" name="GLOBAL_DATA" displayName="GLOBAL_DATA" ref="A4:BB20" totalsRowShown="0" headerRowDxfId="223">
  <autoFilter ref="A4:BB20" xr:uid="{70D178A9-37AF-42A4-81E9-FE419339DBD4}"/>
  <tableColumns count="54">
    <tableColumn id="31" xr3:uid="{AABE76E5-75F8-4E3C-853A-877E424DCF07}" name="BU" dataDxfId="222"/>
    <tableColumn id="2" xr3:uid="{B9A60759-9007-40BE-A5BE-693592B15339}" name="Region" dataDxfId="221"/>
    <tableColumn id="21" xr3:uid="{A0E72470-B1B9-48BD-9BD6-23CC96DAFEC8}" name="Target status" dataDxfId="220" dataCellStyle="Pourcentage">
      <calculatedColumnFormula>IF(GLOBAL_DATA[[#This Row],[Target scope]]="","",INDEX(DATA_TargetStatusChoice[Target_Status_Choice],MATCH(GLOBAL_DATA[[#This Row],[Target scope]],DATA_TargetStatusChoice[Value],1)))</calculatedColumnFormula>
    </tableColumn>
    <tableColumn id="33" xr3:uid="{BD77B6D8-64E0-4F5D-AACB-E67CD4896F0B}" name="Target scope" dataDxfId="219" dataCellStyle="Pourcentage"/>
    <tableColumn id="1" xr3:uid="{05A95336-607A-480A-88DF-6C0185815466}" name="Target justification (if&lt;100%)" dataDxfId="218" dataCellStyle="Pourcentage"/>
    <tableColumn id="20" xr3:uid="{99A5C106-4DAD-456D-9D92-1E69929916BC}" name="Status" dataDxfId="217"/>
    <tableColumn id="65" xr3:uid="{FE1571AF-67E2-4DC1-868B-BBDDE8F7970F}" name="Implementation progress rate" dataDxfId="216"/>
    <tableColumn id="8" xr3:uid="{2FCDEEB8-5ECF-4BA8-AF52-52E635E69552}" name="CISO assessment" dataDxfId="215"/>
    <tableColumn id="34" xr3:uid="{01333892-B239-40C3-A6C5-922CDF0A100C}" name="CISO Comments" dataDxfId="214"/>
    <tableColumn id="9" xr3:uid="{9F4C0179-49AB-4449-B7DB-3B10FF436F5A}" name="Resource allocated" dataDxfId="213"/>
    <tableColumn id="17" xr3:uid="{72527A19-B685-4542-BD0E-74A26CFB1635}" name="Main actor" dataDxfId="212"/>
    <tableColumn id="23" xr3:uid="{F532BD51-FB57-457B-BDE9-74282304E2CD}" name="Kick-off" dataDxfId="211" totalsRowDxfId="210"/>
    <tableColumn id="24" xr3:uid="{476C2E1B-8AD3-4685-AA64-57942C11935C}" name="Initial end" dataDxfId="209" totalsRowDxfId="208"/>
    <tableColumn id="25" xr3:uid="{D63B7B2F-5D07-4909-BB6B-AAD4AFB4869A}" name="Re-estimated end" dataDxfId="207" totalsRowDxfId="206"/>
    <tableColumn id="60" xr3:uid="{7A570EA2-9BEF-4B97-8176-CEB25871F8ED}" name="Total Initial" dataDxfId="205">
      <calculatedColumnFormula>SUM(GLOBAL_DATA[[#This Row],[Initial 2020]],GLOBAL_DATA[[#This Row],[Initial 2021]],GLOBAL_DATA[[#This Row],[Initial 2022]],GLOBAL_DATA[[#This Row],[Initial 2023]])</calculatedColumnFormula>
    </tableColumn>
    <tableColumn id="61" xr3:uid="{9767DC03-ADA5-4B6B-8167-F303AF5D6543}" name="Total re-estimated" dataDxfId="204" totalsRowDxfId="203">
      <calculatedColumnFormula>SUM(GLOBAL_DATA[[#This Row],[Reestimated 2020]],GLOBAL_DATA[[#This Row],[Reestimated 2021]],GLOBAL_DATA[[#This Row],[Reestimated 2022]],GLOBAL_DATA[[#This Row],[Reestimated 2023]])</calculatedColumnFormula>
    </tableColumn>
    <tableColumn id="59" xr3:uid="{C70F81B2-78E4-4FAB-A42E-1B3C581F58F8}" name="Total Spent" dataDxfId="202" totalsRowDxfId="201">
      <calculatedColumnFormula>SUM(GLOBAL_DATA[[#This Row],[Spent 2020]],GLOBAL_DATA[[#This Row],[Spent 2021]],GLOBAL_DATA[[#This Row],[Spent 2022]],GLOBAL_DATA[[#This Row],[Spent 2023]])</calculatedColumnFormula>
    </tableColumn>
    <tableColumn id="57" xr3:uid="{4458AE68-2E31-4BCF-B37C-597EE599A024}" name="Initial 2020" dataDxfId="200" totalsRowDxfId="199"/>
    <tableColumn id="56" xr3:uid="{3CAD1045-C4CD-4AE8-98F4-A073DD1E01C0}" name="Reestimated 2020" dataDxfId="198" totalsRowDxfId="197"/>
    <tableColumn id="55" xr3:uid="{81A6A316-0AB9-469C-9A00-325F6075747E}" name="Spent 2020" dataDxfId="196" totalsRowDxfId="195"/>
    <tableColumn id="54" xr3:uid="{5D24A356-6445-45CB-8D3F-F423BF8F0EE9}" name="Initial 2021" dataDxfId="194" totalsRowDxfId="193"/>
    <tableColumn id="53" xr3:uid="{40CA86B3-50E6-4220-B61D-26A4A51C6C05}" name="Reestimated 2021" dataDxfId="192" totalsRowDxfId="191"/>
    <tableColumn id="52" xr3:uid="{89BB4FB8-7B2C-48E8-8D2B-468629102BD6}" name="Spent 2021" dataDxfId="190" totalsRowDxfId="189"/>
    <tableColumn id="51" xr3:uid="{11B93D8D-1A28-4E33-B876-8C9EC789DC76}" name="Initial 2022" dataDxfId="188" totalsRowDxfId="187"/>
    <tableColumn id="36" xr3:uid="{5C2B7AF8-F7B8-44BC-818F-62EEE91859A0}" name="Reestimated 2022" dataDxfId="186" totalsRowDxfId="185"/>
    <tableColumn id="30" xr3:uid="{BFA46D6C-C12B-4370-9D2A-A697BD4FB0C5}" name="Spent 2022" dataDxfId="184" totalsRowDxfId="183"/>
    <tableColumn id="27" xr3:uid="{EB190E29-A39F-46F6-8441-997183F078E9}" name="Initial 2023" dataDxfId="182" totalsRowDxfId="181"/>
    <tableColumn id="19" xr3:uid="{094DABE1-322B-4038-9239-7D58C4244BB0}" name="Reestimated 2023" dataDxfId="180" totalsRowDxfId="179"/>
    <tableColumn id="18" xr3:uid="{DF0BE149-9D0E-4991-BCF6-52CD02EAFBFC}" name="Spent 2023" dataDxfId="178" totalsRowDxfId="177"/>
    <tableColumn id="22" xr3:uid="{76121C67-89C1-4F46-AFFE-0319DE12B1C3}" name="Global Progress rate" dataDxfId="176">
      <calculatedColumnFormula>IF(GLOBAL_DATA[[#This Row],[Target scope]]&lt;&gt;Target_Not_Applicable,GLOBAL_DATA[[#This Row],[Target scope]]*GLOBAL_DATA[[#This Row],[Implementation progress rate]],"")</calculatedColumnFormula>
    </tableColumn>
    <tableColumn id="29" xr3:uid="{B9438E8E-D12B-46F5-9D8D-A63BD2B6EBC0}" name="Impl_Yes" dataDxfId="175">
      <calculatedColumnFormula>IF(OR(GLOBAL_DATA[[#This Row],[Status]]=DATA!$J$6,GLOBAL_DATA[[#This Row],[Status]]=DATA!$J$7,GLOBAL_DATA[[#This Row],[Status]]=DATA!$J$8),1,0)</calculatedColumnFormula>
    </tableColumn>
    <tableColumn id="35" xr3:uid="{F7D50DEB-43E9-4A5D-BF1F-822280870CEA}" name="Impl_Date" dataDxfId="174" dataCellStyle="Pourcentage">
      <calculatedColumnFormula>IF(GLOBAL_DATA[[#This Row],[Status]]=Status_No_Project,"",MAX(GLOBAL_DATA[[#This Row],[Initial end]],GLOBAL_DATA[[#This Row],[Re-estimated end]],43831))</calculatedColumnFormula>
    </tableColumn>
    <tableColumn id="28" xr3:uid="{AB8CB44D-3D35-4604-A6AF-0B65CB6D7581}" name="DataInconsistency" dataDxfId="173">
      <calculatedColumnFormula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calculatedColumnFormula>
    </tableColumn>
    <tableColumn id="26" xr3:uid="{C9A2A671-F3D2-411E-A77C-00FE98BB96C0}" name="EmptyFields" dataDxfId="172">
      <calculatedColumnFormula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calculatedColumnFormula>
    </tableColumn>
    <tableColumn id="37" xr3:uid="{7B1B6C48-ED55-4E51-B640-E2F9174F37C9}" name="Data Quality Anomalies" dataDxfId="171"/>
    <tableColumn id="46" xr3:uid="{9F332841-5954-4F88-B700-E416991C5A5C}" name="To be started and &gt; 0%" dataDxfId="170">
      <calculatedColumnFormula>IF(AND(GLOBAL_DATA[[#This Row],[Status]]=DATA_Status_TOBESTARTED,GLOBAL_DATA[[#This Row],[Implementation progress rate]]&gt;0),DATA_DQA_1,"")</calculatedColumnFormula>
    </tableColumn>
    <tableColumn id="47" xr3:uid="{80F557E9-3A39-49FB-8230-BA6AF06AF24C}" name="In progress and = 100%" dataDxfId="169">
      <calculatedColumnFormula>IF(AND(GLOBAL_DATA[[#This Row],[Status]]=In_progress,GLOBAL_DATA[[#This Row],[Implementation progress rate]]=1),DATA_DQA_2,"")</calculatedColumnFormula>
    </tableColumn>
    <tableColumn id="48" xr3:uid="{5EF2F38B-45FF-4E74-B24A-1AA63A12F53A}" name="In progress = 0%" dataDxfId="168">
      <calculatedColumnFormula array="1">IF(AND(GLOBAL_DATA[[#This Row],[Status]]=In_progress,GLOBAL_DATA[[#This Row],[Implementation progress rate]]=0),DATA_DQA_3,"")</calculatedColumnFormula>
    </tableColumn>
    <tableColumn id="49" xr3:uid="{4FF19667-42BB-43D5-BA9E-A749A72EA7EB}" name="Completed &lt; 100%" dataDxfId="167">
      <calculatedColumnFormula>IF(AND(GLOBAL_DATA[[#This Row],[Status]]=Done,GLOBAL_DATA[[#This Row],[Implementation progress rate]]&lt;1),DATA_QDA_4,"")</calculatedColumnFormula>
    </tableColumn>
    <tableColumn id="62" xr3:uid="{245FEBAB-3102-4955-9C07-D8B5CE71FB16}" name="No status selected" dataDxfId="166">
      <calculatedColumnFormula array="1">IF(GLOBAL_DATA[[#This Row],[Status]]="",DATA_QDA_7,"")</calculatedColumnFormula>
    </tableColumn>
    <tableColumn id="63" xr3:uid="{18E21686-DE9F-46A9-B5F9-B0ADB9F2F04C}" name="In progress and no planning" dataDxfId="165">
      <calculatedColumnFormula>IF(AND(GLOBAL_DATA[[#This Row],[Initial end]]="",GLOBAL_DATA[[#This Row],[Re-estimated end]]="",GLOBAL_DATA[[#This Row],[Status]]=DATA_Status_INPROGRESS),DATA_QDA_12,"")</calculatedColumnFormula>
    </tableColumn>
    <tableColumn id="64" xr3:uid="{2AF0CDE9-8B4F-475F-8A9F-F371DA83E571}" name="To be started and no planning" dataDxfId="164">
      <calculatedColumnFormula>IF(AND(GLOBAL_DATA[[#This Row],[Initial end]]="",GLOBAL_DATA[[#This Row],[Re-estimated end]]="",GLOBAL_DATA[[#This Row],[Status]]=DATA_Status_TOBESTARTED),DATA_QDA_13,"")</calculatedColumnFormula>
    </tableColumn>
    <tableColumn id="66" xr3:uid="{C3242B33-9153-4B46-8A03-566E2568A0FA}" name="In progress and budget = 0" dataDxfId="163">
      <calculatedColumnFormula>IF(AND(GLOBAL_DATA[[#This Row],[Status]]=DATA_Status_INPROGRESS,GLOBAL_DATA[[#This Row],[Total Initial]]=0,GLOBAL_DATA[[#This Row],[Total re-estimated]]=0),DATA_DQA_11,"")</calculatedColumnFormula>
    </tableColumn>
    <tableColumn id="67" xr3:uid="{57268825-6886-4CE4-8C4B-B9CC6A925E0D}" name="Budget but no kick-off" dataDxfId="162">
      <calculatedColumnFormula>IF(AND(GLOBAL_DATA[[#This Row],[Will be done]]=1,SUM(GLOBAL_DATA[[#This Row],[Total Initial]]:GLOBAL_DATA[[#This Row],[Total Spent]])&lt;&gt;0,GLOBAL_DATA[[#This Row],[Kick-off]]=""),DATA_DQA_16,"")</calculatedColumnFormula>
    </tableColumn>
    <tableColumn id="68" xr3:uid="{020FB99C-4453-447A-9540-3F847E08B79F}" name="Budget but no end date" dataDxfId="161">
      <calculatedColumnFormula>IF(AND(GLOBAL_DATA[[#This Row],[Will be done]]=1,SUM(GLOBAL_DATA[[#This Row],[Total Initial]]:GLOBAL_DATA[[#This Row],[Total Spent]])&lt;&gt;0,GLOBAL_DATA[[#This Row],[Initial end]]=""),DATA_QDA_17,"")</calculatedColumnFormula>
    </tableColumn>
    <tableColumn id="72" xr3:uid="{111DB669-86B1-4AC2-92ED-4250FAC67F0A}" name="Today's date &gt; Kick off &amp; Not started" dataDxfId="160">
      <calculatedColumnFormula>IF(AND(IFERROR(DATEDIF(GLOBAL_DATA[[#This Row],[Kick-off]],TODAY(),"m"),0)&lt;&gt;0,OR(GLOBAL_DATA[[#This Row],[Status]]=DATA_Status_TOBESTARTED)),DATA_QDA_19,"")</calculatedColumnFormula>
    </tableColumn>
    <tableColumn id="73" xr3:uid="{4F777394-F50C-49EB-BC93-62DAB4514944}" name="Kick-off &gt; Reestimated end" dataDxfId="159">
      <calculatedColumnFormula>IF(AND(GLOBAL_DATA[[#This Row],[Kick-off]]&lt;&gt;"",GLOBAL_DATA[[#This Row],[Kick-off]]&gt;GLOBAL_DATA[[#This Row],[Re-estimated end]]),DATA_DQA_14,"")</calculatedColumnFormula>
    </tableColumn>
    <tableColumn id="74" xr3:uid="{1C60D185-C995-487B-AA4C-02AB0E0B5DCD}" name="Completed but wrong reestimated" dataDxfId="158">
      <calculatedColumnFormula>IF(AND(IFERROR(DATEDIF(TODAY(),GLOBAL_DATA[[#This Row],[Re-estimated end]],"m"),0)&gt;1,GLOBAL_DATA[[#This Row],[Implementation progress rate]]=1),DATA_QDA_8,"")</calculatedColumnFormula>
    </tableColumn>
    <tableColumn id="75" xr3:uid="{F910F25C-8AB8-4585-95CF-10DB637CB4D2}" name="Risk status warning" dataDxfId="157">
      <calculatedColumnFormula array="1">IF(AND(GLOBAL_DATA[[#This Row],[CISO assessment]]="Warning only",TRIM(GLOBAL_DATA[[#This Row],[CISO Comments]])=""),DATA_DQA_9,"")</calculatedColumnFormula>
    </tableColumn>
    <tableColumn id="76" xr3:uid="{B65080A5-9991-4CAD-972E-AF7FF13B4C0E}" name="Risk status alert" dataDxfId="156">
      <calculatedColumnFormula>IF(AND(GLOBAL_DATA[[#This Row],[CISO assessment]]="Alert",TRIM(GLOBAL_DATA[[#This Row],[CISO Comments]])=""),DATA_DQA_10,"")</calculatedColumnFormula>
    </tableColumn>
    <tableColumn id="111" xr3:uid="{F4FBF95A-09E3-499E-9545-0C3468A2C1C8}" name="Ignore/Accept the Data Quality Anomaly" dataDxfId="155"/>
    <tableColumn id="38" xr3:uid="{387B3625-BA6C-4A0D-8FA6-C00F7CE348F0}" name="Will not be done" dataDxfId="154">
      <calculatedColumnFormula>IF(OR(GLOBAL_DATA[[#This Row],[Status]]="",GLOBAL_DATA[[#This Row],[Status]]=Risk_accepted,GLOBAL_DATA[[#This Row],[Status]]=Target_Not_Applicable),1,0)</calculatedColumnFormula>
    </tableColumn>
    <tableColumn id="39" xr3:uid="{0F9E22EC-2DEB-4E73-90AA-1B33FB01A509}" name="Will be done" dataDxfId="153">
      <calculatedColumnFormula>IF(OR(GLOBAL_DATA[[#This Row],[Status]]=DATA_Status_TOBESTARTED,GLOBAL_DATA[[#This Row],[Status]]=DATA_Status_INPROGRESS),1,0)</calculatedColumnFormula>
    </tableColumn>
    <tableColumn id="40" xr3:uid="{6E634B59-20CE-4CD5-A9FA-318915502CE3}" name="Done" dataDxfId="152">
      <calculatedColumnFormula>IF(OR(GLOBAL_DATA[[#This Row],[Status]]=Done,GLOBAL_DATA[[#This Row],[Status]]=Checked),1,0)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4B5B5D8-C7BC-41DE-80F3-4B2BD23C77ED}" name="CALCULATION" displayName="CALCULATION" ref="A2:CB14" totalsRowShown="0" headerRowDxfId="151" dataDxfId="149" headerRowBorderDxfId="150">
  <autoFilter ref="A2:CB14" xr:uid="{C172FDA0-B998-4C85-B1A8-560136B382A3}"/>
  <tableColumns count="80">
    <tableColumn id="1" xr3:uid="{7714A9D3-817E-4195-9023-D04A08E63D7F}" name="PACK" dataDxfId="148"/>
    <tableColumn id="76" xr3:uid="{3CB4ACA1-9A4D-4838-AEC0-3A95F8998690}" name="PACKFORMULA" dataDxfId="147"/>
    <tableColumn id="75" xr3:uid="{4F26EB73-5821-45AE-8320-5BDF6263353F}" name="END" dataDxfId="146" dataCellStyle="Pourcentage"/>
    <tableColumn id="73" xr3:uid="{B22C688B-B64E-48B0-B1A7-75258594FDC8}" name="Before DARWIN²" dataDxfId="145" dataCellStyle="Pourcentage"/>
    <tableColumn id="33" xr3:uid="{A1452519-93DA-4A90-8DC3-D8AA28995D2D}" name="NO PROJECT P0" dataDxfId="144">
      <calculatedColumnFormula>COUNTIFS(#REF!,CALCULATION[[#This Row],[PACKFORMULA]],#REF!,"P0",GLOBAL_DATA[Status],Status_No_Project)</calculatedColumnFormula>
    </tableColumn>
    <tableColumn id="34" xr3:uid="{3A379E64-A390-40D7-AB43-5F96E09ED20B}" name="NO PROJECT P1" dataDxfId="143">
      <calculatedColumnFormula>COUNTIFS(#REF!,CALCULATION[[#This Row],[PACKFORMULA]],#REF!,"P1",GLOBAL_DATA[Status],Status_No_Project)</calculatedColumnFormula>
    </tableColumn>
    <tableColumn id="7" xr3:uid="{7DB3BB01-346B-4746-939D-0E0FF7C0F892}" name="NO PROJECT P2&amp;P3" dataDxfId="142">
      <calculatedColumnFormula>COUNTIFS(#REF!,CALCULATION[[#This Row],[PACKFORMULA]],#REF!,"&gt;=P2",GLOBAL_DATA[Status],Status_No_Project)</calculatedColumnFormula>
    </tableColumn>
    <tableColumn id="35" xr3:uid="{0F52B6F7-55FC-4C03-B945-20CE2D10E83D}" name="NO PROJECT" dataDxfId="141">
      <calculatedColumnFormula>COUNTIFS(#REF!,CALCULATION[[#This Row],[PACKFORMULA]],GLOBAL_DATA[Status],CALCULATION[[#Headers],[NO PROJECT]])</calculatedColumnFormula>
    </tableColumn>
    <tableColumn id="38" xr3:uid="{51F544D3-72A6-47E6-9527-14B8D7CAD803}" name="TO BE STARTED P0" dataDxfId="140">
      <calculatedColumnFormula>COUNTIFS(#REF!,CALCULATION[[#This Row],[PACKFORMULA]],#REF!,"P0",GLOBAL_DATA[Status],DATA!$J$4)</calculatedColumnFormula>
    </tableColumn>
    <tableColumn id="37" xr3:uid="{023DFDAA-AF28-4C0A-A03B-6CCADF51811C}" name="TO BE STARTED P1" dataDxfId="139">
      <calculatedColumnFormula>COUNTIFS(#REF!,CALCULATION[[#This Row],[PACKFORMULA]],#REF!,"P1",GLOBAL_DATA[Status],DATA!$J$4)</calculatedColumnFormula>
    </tableColumn>
    <tableColumn id="36" xr3:uid="{D967E03B-FAE3-4102-9233-39EB8806E03B}" name="TO BE STARTED P2&amp;P3" dataDxfId="138">
      <calculatedColumnFormula>COUNTIFS(#REF!,CALCULATION[[#This Row],[PACKFORMULA]],#REF!,"&gt;=P2",GLOBAL_DATA[Status],DATA!$J$4)</calculatedColumnFormula>
    </tableColumn>
    <tableColumn id="21" xr3:uid="{76DBFA62-7730-4847-B37A-92E68824DE0C}" name="TO BE STARTED" dataDxfId="137">
      <calculatedColumnFormula>COUNTIFS(#REF!,CALCULATION[[#This Row],[PACKFORMULA]],GLOBAL_DATA[Status],CALCULATION[[#Headers],[TO BE STARTED]])</calculatedColumnFormula>
    </tableColumn>
    <tableColumn id="28" xr3:uid="{708ABB0F-85A1-4E8D-9494-F6D8CD86AA7F}" name="IN PROGRESS P0" dataDxfId="136">
      <calculatedColumnFormula>COUNTIFS(#REF!,CALCULATION[[#This Row],[PACKFORMULA]],#REF!,"P0",GLOBAL_DATA[Status],DATA!$J$5)</calculatedColumnFormula>
    </tableColumn>
    <tableColumn id="27" xr3:uid="{7B2E031B-C89D-4252-95D8-A4AFDE7BEEE7}" name="IN PROGRESS P1" dataDxfId="135">
      <calculatedColumnFormula>COUNTIFS(#REF!,CALCULATION[[#This Row],[PACKFORMULA]],#REF!,"P1",GLOBAL_DATA[Status],DATA!$J$5)</calculatedColumnFormula>
    </tableColumn>
    <tableColumn id="26" xr3:uid="{9C91D692-525F-4643-AB26-1B8D6410A80B}" name="IN PROGRESS P2&amp;P3" dataDxfId="134">
      <calculatedColumnFormula>COUNTIFS(#REF!,CALCULATION[[#This Row],[PACKFORMULA]],#REF!,"&gt;=P2",GLOBAL_DATA[Status],DATA!$J$5)</calculatedColumnFormula>
    </tableColumn>
    <tableColumn id="19" xr3:uid="{7B58A1FB-DC1A-4C91-A0F2-651828C931C5}" name="IN PROGRESS" dataDxfId="133">
      <calculatedColumnFormula>COUNTIFS(#REF!,CALCULATION[[#This Row],[PACKFORMULA]],GLOBAL_DATA[Status],CALCULATION[[#Headers],[IN PROGRESS]])</calculatedColumnFormula>
    </tableColumn>
    <tableColumn id="31" xr3:uid="{5EC39D08-99BE-475A-BCD0-E3A3AAD8F76C}" name="DONE P0" dataDxfId="132">
      <calculatedColumnFormula>COUNTIFS(#REF!,CALCULATION[[#This Row],[PACKFORMULA]],#REF!,"P0",GLOBAL_DATA[Status],DATA!$J$6)</calculatedColumnFormula>
    </tableColumn>
    <tableColumn id="30" xr3:uid="{65335B31-346D-417B-AB64-571DFC6DC284}" name="DONE P1" dataDxfId="131">
      <calculatedColumnFormula>COUNTIFS(#REF!,CALCULATION[[#This Row],[PACKFORMULA]],#REF!,"P1",GLOBAL_DATA[Status],DATA!$J$6)</calculatedColumnFormula>
    </tableColumn>
    <tableColumn id="29" xr3:uid="{339D65C5-2475-44A7-BAE8-5472AC206D54}" name="DONE P2&amp;P3" dataDxfId="130">
      <calculatedColumnFormula>COUNTIFS(#REF!,CALCULATION[[#This Row],[PACKFORMULA]],#REF!,"&gt;=P2",GLOBAL_DATA[Status],DATA!$J$6)</calculatedColumnFormula>
    </tableColumn>
    <tableColumn id="18" xr3:uid="{5604EA97-7361-4574-8563-4B41776DFFA9}" name="DONE" dataDxfId="129">
      <calculatedColumnFormula>COUNTIFS(#REF!,CALCULATION[[#This Row],[PACKFORMULA]],GLOBAL_DATA[Status],CALCULATION[[#Headers],[DONE]])</calculatedColumnFormula>
    </tableColumn>
    <tableColumn id="40" xr3:uid="{E9675DBF-4A68-4DF8-BC0D-748D3234DFFB}" name="CHECKED CISO P0" dataDxfId="128">
      <calculatedColumnFormula>COUNTIFS(#REF!,CALCULATION[[#This Row],[PACKFORMULA]],#REF!,"P0",GLOBAL_DATA[Status],DATA!$J$7)</calculatedColumnFormula>
    </tableColumn>
    <tableColumn id="39" xr3:uid="{8C74B2D2-97B4-4F3D-885A-4B484DC8755C}" name="CHECKED CISO P1" dataDxfId="127">
      <calculatedColumnFormula>COUNTIFS(#REF!,CALCULATION[[#This Row],[PACKFORMULA]],#REF!,"P1",GLOBAL_DATA[Status],DATA!$J$7)</calculatedColumnFormula>
    </tableColumn>
    <tableColumn id="32" xr3:uid="{A8E78C79-D43C-4301-B991-E7E893126A88}" name="CHECKED CISO P2&amp;P3" dataDxfId="126">
      <calculatedColumnFormula>COUNTIFS(#REF!,CALCULATION[[#This Row],[PACKFORMULA]],#REF!,"&gt;=P2",GLOBAL_DATA[Status],DATA!$J$7)</calculatedColumnFormula>
    </tableColumn>
    <tableColumn id="13" xr3:uid="{04E7EF93-D606-4ADB-A7AE-0150FC79E48F}" name="CHECKED CISO" dataDxfId="125">
      <calculatedColumnFormula>COUNTIFS(#REF!,CALCULATION[[#This Row],[PACKFORMULA]],GLOBAL_DATA[Status],CALCULATION[[#Headers],[CHECKED CISO]])</calculatedColumnFormula>
    </tableColumn>
    <tableColumn id="43" xr3:uid="{EE8E6938-D68B-4417-B429-049A153003ED}" name="VERIFIED P0" dataDxfId="124">
      <calculatedColumnFormula>COUNTIFS(#REF!,CALCULATION[[#This Row],[PACKFORMULA]],#REF!,"P0",GLOBAL_DATA[Status],DATA!$J$8)</calculatedColumnFormula>
    </tableColumn>
    <tableColumn id="42" xr3:uid="{41D7B105-B90D-4EA6-8D76-20AFEC119916}" name="VERIFIED P1" dataDxfId="123">
      <calculatedColumnFormula>COUNTIFS(#REF!,CALCULATION[[#This Row],[PACKFORMULA]],#REF!,"P1",GLOBAL_DATA[Status],DATA!$J$8)</calculatedColumnFormula>
    </tableColumn>
    <tableColumn id="41" xr3:uid="{5FC5BA5F-B3BB-4D33-94F3-B90F3CA412B1}" name="VERIFIED P2&amp;P3" dataDxfId="122">
      <calculatedColumnFormula>COUNTIFS(#REF!,CALCULATION[[#This Row],[PACKFORMULA]],#REF!,"&gt;=P2",GLOBAL_DATA[Status],DATA!$J$8)</calculatedColumnFormula>
    </tableColumn>
    <tableColumn id="22" xr3:uid="{EF3FEAC8-2A24-459D-BBA5-66F674B388CA}" name="VERIFIED" dataDxfId="121">
      <calculatedColumnFormula>COUNTIFS(#REF!,CALCULATION[[#This Row],[PACKFORMULA]],GLOBAL_DATA[Status],CALCULATION[[#Headers],[VERIFIED]])</calculatedColumnFormula>
    </tableColumn>
    <tableColumn id="52" xr3:uid="{743EC87D-831A-4289-AB2F-1BBE5C6AE39D}" name="PR_EX P0" dataDxfId="120">
      <calculatedColumnFormula>COUNTIFS(#REF!,CALCULATION[[#This Row],[PACKFORMULA]],#REF!,"P0",GLOBAL_DATA[Status],"&lt;&gt;"&amp;Status_No_Project)</calculatedColumnFormula>
    </tableColumn>
    <tableColumn id="51" xr3:uid="{DB75A95B-46D6-4F5E-AA69-6BDCC59D6AD0}" name="PR_EX P1" dataDxfId="119">
      <calculatedColumnFormula>COUNTIFS(#REF!,CALCULATION[[#This Row],[PACKFORMULA]],#REF!,"P1",GLOBAL_DATA[Status],"&lt;&gt;"&amp;Status_No_Project)</calculatedColumnFormula>
    </tableColumn>
    <tableColumn id="50" xr3:uid="{89726C3A-BFCB-47C8-86BD-B4ADA4EFC2E8}" name="PR_EX P2&amp;P3" dataDxfId="118">
      <calculatedColumnFormula>COUNTIFS(#REF!,CALCULATION[[#This Row],[PACKFORMULA]],#REF!,"&gt;=P2",GLOBAL_DATA[Status],"&lt;&gt;"&amp;Status_No_Project)</calculatedColumnFormula>
    </tableColumn>
    <tableColumn id="23" xr3:uid="{259132EE-5FEB-4044-A253-523D654059B9}" name="TOTAL PR_EX" dataDxfId="117">
      <calculatedColumnFormula>COUNTIFS(#REF!,CALCULATION[[#This Row],[PACKFORMULA]],GLOBAL_DATA[Status],"&lt;&gt;"&amp;Status_No_Project)</calculatedColumnFormula>
    </tableColumn>
    <tableColumn id="68" xr3:uid="{A4B871BC-116B-4437-AE06-4C2D43765B23}" name="RISK ACCEPTED P0" dataDxfId="116">
      <calculatedColumnFormula>COUNTIFS(#REF!,CALCULATION[[#This Row],[PACKFORMULA]],#REF!,"P0",GLOBAL_DATA[Target status],DATA!$J$12)</calculatedColumnFormula>
    </tableColumn>
    <tableColumn id="67" xr3:uid="{C9110C31-4CAC-4628-A86F-92557797ABF7}" name="RISK ACCEPTED P1" dataDxfId="115">
      <calculatedColumnFormula>COUNTIFS(#REF!,CALCULATION[[#This Row],[PACKFORMULA]],#REF!,"P1",GLOBAL_DATA[Target status],DATA!$J$12)</calculatedColumnFormula>
    </tableColumn>
    <tableColumn id="66" xr3:uid="{214F9350-3AB7-4FFA-BBDB-6BA0EEA27C96}" name="RISK ACCEPTED P2&amp;3" dataDxfId="114">
      <calculatedColumnFormula>COUNTIFS(#REF!,CALCULATION[[#This Row],[PACKFORMULA]],#REF!,"&gt;P1",GLOBAL_DATA[Target status],DATA!$J$12)</calculatedColumnFormula>
    </tableColumn>
    <tableColumn id="3" xr3:uid="{A8A34D15-279C-4A87-961A-69727B99EBD2}" name="RISK ACCEPTED (FULL MEASURE)" dataDxfId="113">
      <calculatedColumnFormula>COUNTIFS(#REF!,CALCULATION[[#This Row],[PACKFORMULA]],GLOBAL_DATA[Target status],DATA!$J$12)</calculatedColumnFormula>
    </tableColumn>
    <tableColumn id="72" xr3:uid="{A94A5203-E3FE-4F4B-B973-1ADBFEFC70B0}" name="PARTIAL IMPLEMENTATION + RA P0" dataDxfId="112">
      <calculatedColumnFormula>COUNTIFS(#REF!,CALCULATION[[#This Row],[PACKFORMULA]],GLOBAL_DATA[Target status],DATA!$J$13,#REF!,"P0")</calculatedColumnFormula>
    </tableColumn>
    <tableColumn id="71" xr3:uid="{C5804688-B30E-4A31-9862-E763A98B13DD}" name="PARTIAL IMPLEMENTATION + RA P1" dataDxfId="111">
      <calculatedColumnFormula>COUNTIFS(#REF!,CALCULATION[[#This Row],[PACKFORMULA]],GLOBAL_DATA[Target status],DATA!$J$13,#REF!,"P1")</calculatedColumnFormula>
    </tableColumn>
    <tableColumn id="70" xr3:uid="{86940BEC-E254-44FB-9010-1ADEDD0B538A}" name="PARTIAL IMPLEMENTATION + RA P2&amp;P3" dataDxfId="110">
      <calculatedColumnFormula>COUNTIFS(#REF!,CALCULATION[[#This Row],[PACKFORMULA]],GLOBAL_DATA[Target status],DATA!$J$13,#REF!,"&gt;P1")</calculatedColumnFormula>
    </tableColumn>
    <tableColumn id="4" xr3:uid="{31D794A5-CDCE-4BA2-A560-5FF302010A7B}" name="PARTIAL IMPLEMENTATION + RA" dataDxfId="109">
      <calculatedColumnFormula>COUNTIFS(#REF!,CALCULATION[[#This Row],[PACKFORMULA]],GLOBAL_DATA[Target status],CALCULATION[[#Headers],[PARTIAL IMPLEMENTATION + RA]])</calculatedColumnFormula>
    </tableColumn>
    <tableColumn id="2" xr3:uid="{C5943C80-FB61-499D-B194-73D752AFEF9A}" name="RISK ACCEPTANCE" dataDxfId="108" dataCellStyle="Pourcentage">
      <calculatedColumnFormula>1-CALCULATION[[#This Row],[IN SCOPE %]]</calculatedColumnFormula>
    </tableColumn>
    <tableColumn id="5" xr3:uid="{49A40CA6-7521-49BA-BDC0-DB60AD7920A2}" name="FULL IMPLEMENTATION" dataDxfId="107">
      <calculatedColumnFormula>COUNTIFS(#REF!,CALCULATION[[#This Row],[PACKFORMULA]],GLOBAL_DATA[Target status],CALCULATION[[#Headers],[FULL IMPLEMENTATION]])</calculatedColumnFormula>
    </tableColumn>
    <tableColumn id="8" xr3:uid="{0096F0D8-9591-4A01-88DB-2463F9A95E33}" name="NOT APPLICABLE" dataDxfId="106">
      <calculatedColumnFormula>COUNTIFS(#REF!,CALCULATION[[#This Row],[PACKFORMULA]],GLOBAL_DATA[Target status],CALCULATION[[#Headers],[NOT APPLICABLE]])</calculatedColumnFormula>
    </tableColumn>
    <tableColumn id="49" xr3:uid="{7C152269-FCDB-4EDE-9059-64D6DC297247}" name="LEFT P0" dataDxfId="105">
      <calculatedColumnFormula>COUNTIFS(#REF!,CALCULATION[[#This Row],[PACKFORMULA]],#REF!,"P0",GLOBAL_DATA[Target status],DATA!$J$13)+COUNTIFS(#REF!,CALCULATION[[#This Row],[PACKFORMULA]],#REF!,"P0",GLOBAL_DATA[Target status],DATA!$J$14)-CALCULATION[[#This Row],[COMPLETED P0]]</calculatedColumnFormula>
    </tableColumn>
    <tableColumn id="48" xr3:uid="{CD46081D-165F-4ACB-83D8-DBAB7E6BB92C}" name="LEFT P1" dataDxfId="104">
      <calculatedColumnFormula>COUNTIFS(#REF!,CALCULATION[[#This Row],[PACKFORMULA]],#REF!,"P1",GLOBAL_DATA[Target status],DATA!$J$13)+COUNTIFS(#REF!,CALCULATION[[#This Row],[PACKFORMULA]],#REF!,"P1",GLOBAL_DATA[Target status],DATA!$J$14)-CALCULATION[[#This Row],[COMPLETED P1]]</calculatedColumnFormula>
    </tableColumn>
    <tableColumn id="47" xr3:uid="{F9C9ACAE-426E-459C-B551-C1F827A7565C}" name="LEFT P2&amp;3" dataDxfId="103">
      <calculatedColumnFormula>COUNTIFS(#REF!,CALCULATION[[#This Row],[PACKFORMULA]],#REF!,"&gt;P1",GLOBAL_DATA[Target status],DATA!$J$13)+COUNTIFS(#REF!,CALCULATION[[#This Row],[PACKFORMULA]],#REF!,"&gt;P1",GLOBAL_DATA[Target status],DATA!$J$14)-CALCULATION[[#This Row],[COMPLETED P2&amp;3]]</calculatedColumnFormula>
    </tableColumn>
    <tableColumn id="10" xr3:uid="{F7F007BB-B5A6-4156-B830-3CC89849582A}" name="TOTAL Impl" dataDxfId="102">
      <calculatedColumnFormula>CALCULATION[[#This Row],[PARTIAL IMPLEMENTATION + RA]]+CALCULATION[[#This Row],[FULL IMPLEMENTATION]]</calculatedColumnFormula>
    </tableColumn>
    <tableColumn id="54" xr3:uid="{38D8B586-EC78-44AC-A799-6E9398507CFE}" name="WIP" dataDxfId="101">
      <calculatedColumnFormula>CALCULATION[[#This Row],[IN PROGRESS]]+CALCULATION[[#This Row],[TO BE STARTED]]</calculatedColumnFormula>
    </tableColumn>
    <tableColumn id="58" xr3:uid="{0D61CC54-F70E-4A15-AC17-E089EE620F7E}" name="COMPLETED P0" dataDxfId="100">
      <calculatedColumnFormula>COUNTIFS(#REF!,CALCULATION[[#This Row],[PACKFORMULA]],#REF!,"P0",GLOBAL_DATA[Impl_Yes],1)</calculatedColumnFormula>
    </tableColumn>
    <tableColumn id="57" xr3:uid="{4EE93C8F-2D19-42C7-B899-A67AE9EFBE7E}" name="COMPLETED P1" dataDxfId="99">
      <calculatedColumnFormula>COUNTIFS(#REF!,CALCULATION[[#This Row],[PACKFORMULA]],#REF!,"P1",GLOBAL_DATA[Impl_Yes],1)</calculatedColumnFormula>
    </tableColumn>
    <tableColumn id="56" xr3:uid="{3F6E236A-1004-4F30-AC92-2E4BB8B9B091}" name="COMPLETED P2&amp;3" dataDxfId="98">
      <calculatedColumnFormula>COUNTIFS(#REF!,CALCULATION[[#This Row],[PACKFORMULA]],#REF!,"&gt;P1",GLOBAL_DATA[Impl_Yes],1)</calculatedColumnFormula>
    </tableColumn>
    <tableColumn id="11" xr3:uid="{89E492D1-3F3F-4BA3-8A5B-3AE6BEDA5E52}" name="COMPLETED" dataDxfId="97">
      <calculatedColumnFormula>COUNTIFS(#REF!,CALCULATION[[#This Row],[PACKFORMULA]],GLOBAL_DATA[Impl_Yes],1)</calculatedColumnFormula>
    </tableColumn>
    <tableColumn id="12" xr3:uid="{87408C7E-DD8F-4D2E-BD1E-2D4E0AD785D8}" name="COMPLETED %" dataDxfId="96">
      <calculatedColumnFormula>IFERROR(CALCULATION[[#This Row],[COMPLETED]]/CALCULATION[[#This Row],[IN SCOPE]],0)</calculatedColumnFormula>
    </tableColumn>
    <tableColumn id="14" xr3:uid="{C0A8887C-EA1E-47BE-A7BB-C29708EF3BAA}" name="IN SCOPE" dataDxfId="95">
      <calculatedColumnFormula>COUNTIFS(#REF!,CALCULATION[[#This Row],[PACKFORMULA]],GLOBAL_DATA[Target status],"&lt;&gt;"&amp;DATA!$J$15)</calculatedColumnFormula>
    </tableColumn>
    <tableColumn id="55" xr3:uid="{246C1C4C-7688-44F0-869E-1B5D5F2B24E8}" name="IN SCOPE %" dataDxfId="94" dataCellStyle="Pourcentage">
      <calculatedColumnFormula>IFERROR(ROUND(SUMIFS(GLOBAL_DATA[Target scope],#REF!,CALCULATION[[#This Row],[PACKFORMULA]],GLOBAL_DATA[Target status],"&lt;&gt;"&amp;DATA!$J$15)/CALCULATION[[#This Row],[IN SCOPE]],4),0)</calculatedColumnFormula>
    </tableColumn>
    <tableColumn id="15" xr3:uid="{5CADB2E3-C113-4941-8616-7AA974107840}" name="% RISK ACCEPTED" dataDxfId="93">
      <calculatedColumnFormula>IFERROR(ROUND(CALCULATION[[#This Row],[RISK ACCEPTED (FULL MEASURE)]]/CALCULATION[[#This Row],[IN SCOPE]],4),0)</calculatedColumnFormula>
    </tableColumn>
    <tableColumn id="16" xr3:uid="{0EAA9B3F-55D7-4A59-AD64-8B3902302537}" name="Risk situation comment" dataDxfId="92">
      <calculatedColumnFormula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calculatedColumnFormula>
    </tableColumn>
    <tableColumn id="20" xr3:uid="{417F97AC-AC26-4EF7-98DF-89D8079200F9}" name="RISK STATUS (Alert/Warning)" dataDxfId="91">
      <calculatedColumnFormula>COUNTIFS(#REF!,CALCULATION[[#This Row],[PACKFORMULA]],GLOBAL_DATA[CISO assessment],"&lt;&gt;"&amp;DATA!$A$15)-COUNTIFS(#REF!,CALCULATION[[#This Row],[PACKFORMULA]],GLOBAL_DATA[CISO assessment],"")</calculatedColumnFormula>
    </tableColumn>
    <tableColumn id="17" xr3:uid="{DFC4F11E-34C8-4FFE-9412-C8523BC1C69C}" name="DELTA (No risk/empty)" dataDxfId="90">
      <calculatedColumnFormula>COUNTIFS(#REF!,CALCULATION[[#This Row],[PACKFORMULA]],GLOBAL_DATA[CISO assessment],DATA!$A$15)+COUNTIFS(#REF!,CALCULATION[[#This Row],[PACKFORMULA]],GLOBAL_DATA[CISO assessment],"")</calculatedColumnFormula>
    </tableColumn>
    <tableColumn id="45" xr3:uid="{ADFB04FE-3B8B-44FB-AA90-5411170F236D}" name="TARGET IMPLEMENTATION" dataDxfId="89">
      <calculatedColumnFormula>IFERROR(ROUND(SUMIF(#REF!,CALCULATION[[#This Row],[PACKFORMULA]],GLOBAL_DATA[Target scope])/CALCULATION[[#This Row],[IN SCOPE]],4),0)</calculatedColumnFormula>
    </tableColumn>
    <tableColumn id="74" xr3:uid="{C8300368-E8BF-44AB-8007-46B758EF30FA}" name="CURRENT IMPL DONE " dataDxfId="88">
      <calculatedColumnFormula>IFERROR(ROUND(SUMIFS(GLOBAL_DATA[Global Progress rate],#REF!,CALCULATION[[#This Row],[PACKFORMULA]],GLOBAL_DATA[Status],DATA!$J$6)/CALCULATION[[#This Row],[IN SCOPE]],4),0)</calculatedColumnFormula>
    </tableColumn>
    <tableColumn id="65" xr3:uid="{7ABCE5B8-8ED8-4FEB-9397-DA8FC7CB01A7}" name="CURRENT IMPL CHECKED CISO &amp; VERIFIED" dataDxfId="87">
      <calculatedColumnFormula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calculatedColumnFormula>
    </tableColumn>
    <tableColumn id="81" xr3:uid="{39FFAD9B-3D45-4472-8EEF-5A6B6D302DB6}" name="CURRENT IMPL DONE &amp; CHECKED CISO &amp; VERIFIED" dataDxfId="86">
      <calculatedColumnFormula>CALCULATION[[#This Row],[CURRENT IMPL DONE ]]+CALCULATION[[#This Row],[CURRENT IMPL CHECKED CISO &amp; VERIFIED]]</calculatedColumnFormula>
    </tableColumn>
    <tableColumn id="53" xr3:uid="{6138C8D5-509E-432A-B4C3-EA0B9B7C7762}" name="WIP %" dataDxfId="85">
      <calculatedColumnFormula>CALCULATION[[#This Row],[CURRENT IMPLEMENTATION]]-CALCULATION[[#This Row],[CURRENT IMPL DONE ]]-CALCULATION[[#This Row],[CURRENT IMPL CHECKED CISO &amp; VERIFIED]]</calculatedColumnFormula>
    </tableColumn>
    <tableColumn id="44" xr3:uid="{EFED74C1-A35E-45C1-B7F9-BFDE833B54D9}" name="CURRENT IMPLEMENTATION" dataDxfId="84">
      <calculatedColumnFormula>IFERROR(ROUND(SUMIF(#REF!,CALCULATION[[#This Row],[PACKFORMULA]],GLOBAL_DATA[Global Progress rate])/CALCULATION[[#This Row],[IN SCOPE]],4),0)</calculatedColumnFormula>
    </tableColumn>
    <tableColumn id="62" xr3:uid="{C995E25D-2C30-4259-BDDF-5EAAA756BBD9}" name="2020 IMLP" dataDxfId="83">
      <calculatedColumnFormula>COUNTIFS(#REF!,CALCULATION[[#This Row],[PACKFORMULA]],GLOBAL_DATA[Impl_Date],"&gt;31/12/2019",GLOBAL_DATA[Impl_Date],"&lt;01/01/2021",GLOBAL_DATA[Impl_Yes],1)</calculatedColumnFormula>
    </tableColumn>
    <tableColumn id="59" xr3:uid="{226BD55B-B0EC-449C-A4E1-832169316A89}" name="2020 COMMITTED" dataDxfId="82">
      <calculatedColumnFormula>COUNTIFS(#REF!,CALCULATION[[#This Row],[PACKFORMULA]],GLOBAL_DATA[Impl_Date],"&gt;31/12/2019",GLOBAL_DATA[Impl_Date],"&lt;01/01/2021")</calculatedColumnFormula>
    </tableColumn>
    <tableColumn id="24" xr3:uid="{D79DEDA1-7CB0-417D-8E9F-838A3FF71A64}" name="% 2020 COMMITTED" dataDxfId="81" dataCellStyle="Pourcentage">
      <calculatedColumnFormula>IFERROR(ROUND(SUMIFS(GLOBAL_DATA[Target scope],#REF!,CALCULATION[[#This Row],[PACKFORMULA]],GLOBAL_DATA[Impl_Date],"&gt;31/12/2019",GLOBAL_DATA[Impl_Date],"&lt;01/01/2021")/CALCULATION[[#This Row],[IN SCOPE]],4),0)</calculatedColumnFormula>
    </tableColumn>
    <tableColumn id="63" xr3:uid="{DE39CDA2-0EC8-462F-B670-D8FAEFE86825}" name="2021 IMPL" dataDxfId="80">
      <calculatedColumnFormula>COUNTIFS(#REF!,CALCULATION[[#This Row],[PACKFORMULA]],GLOBAL_DATA[Impl_Date],"&gt;31/12/2020",GLOBAL_DATA[Impl_Date],"&lt;01/01/2022",GLOBAL_DATA[Impl_Yes],1)</calculatedColumnFormula>
    </tableColumn>
    <tableColumn id="60" xr3:uid="{D232D017-AD19-47E8-94A1-11E2658FE78B}" name="2021 COMMITTED" dataDxfId="79">
      <calculatedColumnFormula>COUNTIFS(#REF!,CALCULATION[[#This Row],[PACKFORMULA]],GLOBAL_DATA[Impl_Date],"&gt;31/12/2020",GLOBAL_DATA[Impl_Date],"&lt;01/01/2022")</calculatedColumnFormula>
    </tableColumn>
    <tableColumn id="25" xr3:uid="{BD29CB01-2A85-49A3-BD8D-456F56A46F03}" name="% 2021 COMMITTED" dataDxfId="78" dataCellStyle="Pourcentage">
      <calculatedColumnFormula>IFERROR(ROUND(SUMIFS(GLOBAL_DATA[Target scope],#REF!,CALCULATION[[#This Row],[PACKFORMULA]],GLOBAL_DATA[Impl_Date],"&gt;31/12/2020",GLOBAL_DATA[Impl_Date],"&lt;01/01/2022")/CALCULATION[[#This Row],[IN SCOPE]],4),0)</calculatedColumnFormula>
    </tableColumn>
    <tableColumn id="64" xr3:uid="{6E3BB78C-57F7-45E7-AA5A-59679A560368}" name="2022 IMPL" dataDxfId="77">
      <calculatedColumnFormula>COUNTIFS(#REF!,CALCULATION[[#This Row],[PACKFORMULA]],GLOBAL_DATA[Impl_Date],"&gt;31/12/2021",GLOBAL_DATA[Impl_Date],"&lt;01/01/2023",GLOBAL_DATA[Impl_Yes],1)</calculatedColumnFormula>
    </tableColumn>
    <tableColumn id="46" xr3:uid="{B2345967-2783-4EC7-95B4-435DE4F2F19B}" name="2022 COMMITTED" dataDxfId="76">
      <calculatedColumnFormula>COUNTIFS(#REF!,CALCULATION[[#This Row],[PACKFORMULA]],GLOBAL_DATA[Impl_Date],"&gt;31/12/2021",GLOBAL_DATA[Impl_Date],"&lt;01/01/2023")</calculatedColumnFormula>
    </tableColumn>
    <tableColumn id="61" xr3:uid="{239FD28B-278B-4F51-ADE4-F6A07016D6AD}" name="% 2022 COMMITTED" dataDxfId="75" dataCellStyle="Pourcentage">
      <calculatedColumnFormula>IFERROR(ROUND(SUMIFS(GLOBAL_DATA[Target scope],#REF!,CALCULATION[[#This Row],[PACKFORMULA]],GLOBAL_DATA[Impl_Date],"&gt;31/12/2021",GLOBAL_DATA[Impl_Date],"&lt;01/01/2023")/CALCULATION[[#This Row],[IN SCOPE]],4),0)</calculatedColumnFormula>
    </tableColumn>
    <tableColumn id="80" xr3:uid="{5A6E1DD4-3A89-4BB1-8306-CC153313866D}" name="2023 IMPL" dataDxfId="74" dataCellStyle="Pourcentage">
      <calculatedColumnFormula>COUNTIFS(#REF!,CALCULATION[[#This Row],[PACKFORMULA]],GLOBAL_DATA[Impl_Date],"&gt;31/12/2022",GLOBAL_DATA[Impl_Date],"&lt;01/01/2024",GLOBAL_DATA[Impl_Yes],1)</calculatedColumnFormula>
    </tableColumn>
    <tableColumn id="79" xr3:uid="{29D51491-6939-4558-B159-C8F0B39B68D9}" name="2023 COMMITTED" dataDxfId="73" dataCellStyle="Pourcentage">
      <calculatedColumnFormula>COUNTIFS(#REF!,CALCULATION[[#This Row],[PACKFORMULA]],GLOBAL_DATA[Impl_Date],"&gt;31/12/2022")</calculatedColumnFormula>
    </tableColumn>
    <tableColumn id="78" xr3:uid="{5EB8D431-1A32-431C-89EA-30DF15B5FF1F}" name="% 2023 COMMITTED" dataDxfId="72" dataCellStyle="Pourcentage">
      <calculatedColumnFormula>IFERROR(ROUND(SUMIFS(GLOBAL_DATA[Target scope],#REF!,CALCULATION[[#This Row],[PACKFORMULA]],GLOBAL_DATA[Impl_Date],"&gt;31/12/2022",GLOBAL_DATA[Impl_Date],"&lt;01/01/2024")/CALCULATION[[#This Row],[IN SCOPE]],4),0)</calculatedColumnFormula>
    </tableColumn>
    <tableColumn id="9" xr3:uid="{AB1EAE9B-6800-40FC-9580-DCE6F145912D}" name="COMMITTED" dataDxfId="71" dataCellStyle="Pourcentage">
      <calculatedColumnFormula>CALCULATION[[#This Row],[% 2020 COMMITTED]]+CALCULATION[[#This Row],[% 2021 COMMITTED]]+CALCULATION[[#This Row],[% 2022 COMMITTED]]+CALCULATION[[#This Row],[% 2023 COMMITTED]]</calculatedColumnFormula>
    </tableColumn>
    <tableColumn id="69" xr3:uid="{316FCA3C-8E52-42CC-870E-DD31A2759F64}" name="Total IMPLEMENTED " dataDxfId="70" dataCellStyle="Pourcentage">
      <calculatedColumnFormula>CALCULATION[[#This Row],[CURRENT IMPLEMENTATION]]</calculatedColumnFormula>
    </tableColumn>
    <tableColumn id="6" xr3:uid="{0B100DF0-FE99-4FD2-9EA3-59268406930E}" name="DELTA" dataDxfId="69">
      <calculatedColumnFormula>CALCULATION[[#This Row],[% 2020 COMMITTED]]+CALCULATION[[#This Row],[% 2021 COMMITTED]]+CALCULATION[[#This Row],[% 2022 COMMITTED]]+CALCULATION[[#This Row],[% 2023 COMMITTED]]-CALCULATION[[#This Row],[CURRENT IMPLEMENTATION]]</calculatedColumnFormula>
    </tableColumn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05349E-2603-4305-981E-F5B1ABE36FC2}" name="DATA_SecurityPacks" displayName="DATA_SecurityPacks" ref="E2:G11" totalsRowShown="0" headerRowDxfId="68" dataDxfId="67">
  <autoFilter ref="E2:G11" xr:uid="{CC3AAB48-FA5B-4566-9375-01AFB0025C5B}"/>
  <tableColumns count="3">
    <tableColumn id="1" xr3:uid="{8810A650-517D-45EC-9AF5-358E2A73F4E5}" name="Security packs EN" dataDxfId="66" totalsRowDxfId="65"/>
    <tableColumn id="2" xr3:uid="{B1A6C482-1353-4779-A4C1-76E3B45A6997}" name="Security packs FR" dataDxfId="64" totalsRowDxfId="63"/>
    <tableColumn id="3" xr3:uid="{14347145-539E-4553-9290-C0D37DF94499}" name="Acronym / Acronyme" dataDxfId="62" totalsRowDxfId="61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2DCC32-771F-429C-912E-7941B4759F32}" name="DATA_Overdelay" displayName="DATA_Overdelay" ref="M2:M3" totalsRowShown="0" headerRowDxfId="60" dataDxfId="59" tableBorderDxfId="58">
  <autoFilter ref="M2:M3" xr:uid="{46DDCEA1-57C5-40BF-B131-E6257AF312EA}"/>
  <tableColumns count="1">
    <tableColumn id="1" xr3:uid="{6E88A5E3-22F0-422B-B4ED-A5C4883468E3}" name="Months overdelay" dataDxfId="57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C247C20-9984-4446-B860-2D04B123BC32}" name="DATA_StatusChoice" displayName="DATA_StatusChoice" ref="J2:K8" totalsRowShown="0" headerRowDxfId="56" dataDxfId="55">
  <autoFilter ref="J2:K8" xr:uid="{9C700854-577E-4CF0-BB0F-201CBD4257DE}"/>
  <sortState xmlns:xlrd2="http://schemas.microsoft.com/office/spreadsheetml/2017/richdata2" ref="J3:K8">
    <sortCondition ref="K3:K8"/>
  </sortState>
  <tableColumns count="2">
    <tableColumn id="1" xr3:uid="{90A92443-523B-4A16-A3EB-B16CD465334F}" name="Status_Choice" dataDxfId="54"/>
    <tableColumn id="2" xr3:uid="{5603E545-0EEB-4D09-B299-91F83A0E2344}" name="Rank" dataDxfId="53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08C74AE-F686-441D-8353-0DED3E21AD18}" name="DATA_EntityRegion" displayName="DATA_EntityRegion" ref="O2:U34" totalsRowShown="0" headerRowDxfId="52" dataDxfId="51">
  <autoFilter ref="O2:U34" xr:uid="{7650339E-993E-4BBA-85D1-DA5171EA5692}"/>
  <sortState xmlns:xlrd2="http://schemas.microsoft.com/office/spreadsheetml/2017/richdata2" ref="O3:U34">
    <sortCondition ref="P3:P34"/>
  </sortState>
  <tableColumns count="7">
    <tableColumn id="1" xr3:uid="{0A5A801E-8ED7-4B51-89A8-D078899C4D27}" name="#" dataDxfId="50"/>
    <tableColumn id="2" xr3:uid="{0162B096-509F-4BD0-AB97-4405D22CCF93}" name="Entity" dataDxfId="49"/>
    <tableColumn id="5" xr3:uid="{9600620A-6F4C-4270-9141-2490FF55DEBE}" name="BU " dataDxfId="48"/>
    <tableColumn id="4" xr3:uid="{337D9F99-DA3A-4874-A833-E51497C8B010}" name="Region" dataDxfId="47"/>
    <tableColumn id="6" xr3:uid="{691FDBBA-2DAB-4BF2-94A1-4CFAF862BDC5}" name="Country" dataDxfId="46"/>
    <tableColumn id="7" xr3:uid="{805038E0-14A5-45C6-8C1E-CFA2211820B0}" name="Level" dataDxfId="45"/>
    <tableColumn id="3" xr3:uid="{2DA2062A-FE79-4303-9221-7BBF033D65A3}" name="Language" dataDxfId="44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296BB0B-BF4E-46EB-9733-10FA26366FA1}" name="DATA_Target" displayName="DATA_Target" ref="M11:M18" totalsRowShown="0" headerRowDxfId="43" dataDxfId="42">
  <autoFilter ref="M11:M18" xr:uid="{039CFF6F-9DEC-48A1-961C-670D4024ED84}"/>
  <tableColumns count="1">
    <tableColumn id="1" xr3:uid="{EB2B7763-826C-4FA7-8D11-444A5A43BF6F}" name="Target of scope" dataDxfId="41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6390668-85A8-4B10-821C-E709BA696DE5}" name="DATA_ID" displayName="DATA_ID" ref="W2:AC60" totalsRowCount="1" headerRowDxfId="40" dataDxfId="39">
  <autoFilter ref="W2:AC59" xr:uid="{88223BFA-809E-40F9-86E4-D603C2726D2E}"/>
  <sortState xmlns:xlrd2="http://schemas.microsoft.com/office/spreadsheetml/2017/richdata2" ref="W3:AC59">
    <sortCondition ref="W3:W59"/>
  </sortState>
  <tableColumns count="7">
    <tableColumn id="1" xr3:uid="{014C080E-FA6A-4664-945E-B80717F084AB}" name="Pack EN" totalsRowFunction="custom" dataDxfId="38" totalsRowDxfId="37">
      <totalsRowFormula>SUMPRODUCT((DATA_ID[Pack EN]&lt;&gt;"")/(COUNTIF(DATA_ID[Pack EN],DATA_ID[Pack EN])))</totalsRowFormula>
    </tableColumn>
    <tableColumn id="14" xr3:uid="{ADFD9333-4C0A-45C8-A341-F7D184A64115}" name="Pack FR" dataDxfId="36" totalsRowDxfId="35"/>
    <tableColumn id="2" xr3:uid="{761B0701-3910-4A00-A8E9-37A8B95140E0}" name="Theme EN" totalsRowFunction="custom" dataDxfId="34" totalsRowDxfId="33">
      <totalsRowFormula>COUNTA(DATA_ID[Theme EN])</totalsRowFormula>
    </tableColumn>
    <tableColumn id="15" xr3:uid="{AF04DBC3-3B97-471C-B041-2397471C9C52}" name="Theme FR" dataDxfId="32" totalsRowDxfId="31"/>
    <tableColumn id="3" xr3:uid="{A5BC8FAC-467E-45D8-99CF-1D7E219D989D}" name="Acronym theme" dataDxfId="30" totalsRowDxfId="29"/>
    <tableColumn id="4" xr3:uid="{3EB47B2B-483C-4ED6-9EDF-E5E2B7EE299A}" name="Acronym combined" dataDxfId="28" totalsRowDxfId="27"/>
    <tableColumn id="5" xr3:uid="{7769F9CD-9811-41C0-A406-0D06A5F38B8A}" name="ID" dataDxfId="26" totalsRowDxfId="25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9D11F9-7E95-4B3F-B0B8-177F7B04515D}" name="DATA_CISOassessment" displayName="DATA_CISOassessment" ref="A14:A17" totalsRowShown="0" headerRowDxfId="24" dataDxfId="23">
  <autoFilter ref="A14:A17" xr:uid="{FF918F52-0D04-4D1E-9F18-E25AE910FED1}"/>
  <tableColumns count="1">
    <tableColumn id="1" xr3:uid="{33342016-5144-4E59-8CE1-A8056BC1E154}" name="CISO assessment" dataDxfId="22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85C3808-98CC-475A-AAAE-16B997A1449E}" name="DATA_SecPack" displayName="DATA_SecPack" ref="E14:H25" totalsRowShown="0" headerRowDxfId="21" dataDxfId="20">
  <autoFilter ref="E14:H25" xr:uid="{74A95F68-9A74-4AFA-BA54-08C2464F42EB}"/>
  <sortState xmlns:xlrd2="http://schemas.microsoft.com/office/spreadsheetml/2017/richdata2" ref="E15:G23">
    <sortCondition ref="G3"/>
  </sortState>
  <tableColumns count="4">
    <tableColumn id="1" xr3:uid="{C109A4BD-0CD6-4A15-ACA8-BB6AC3F9018F}" name="Pack" dataDxfId="19"/>
    <tableColumn id="3" xr3:uid="{14A621BA-E85E-4B6D-BF1C-564692094039}" name="Pack Formula" dataDxfId="18"/>
    <tableColumn id="2" xr3:uid="{CFEAC4C2-D234-42AA-9A4F-8A8ABA7B8D49}" name="Acronyme" dataDxfId="17"/>
    <tableColumn id="4" xr3:uid="{02D8E94A-9178-4D1D-8BD2-4EF661C4C474}" name="Order index" dataDxfId="16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3C604E1-A8C0-4005-8C06-CB72C2905BA0}" name="DATA_TargetStatusChoice" displayName="DATA_TargetStatusChoice" ref="J11:K15" totalsRowShown="0" headerRowDxfId="15" tableBorderDxfId="14">
  <autoFilter ref="J11:K15" xr:uid="{8EC9CEF9-AA4E-40E0-B3E2-4724D84B3EF3}"/>
  <sortState xmlns:xlrd2="http://schemas.microsoft.com/office/spreadsheetml/2017/richdata2" ref="J12:K15">
    <sortCondition ref="K11:K15"/>
  </sortState>
  <tableColumns count="2">
    <tableColumn id="1" xr3:uid="{40DC269E-027C-4C28-AD67-1F30BA12701D}" name="Target_Status_Choice" dataDxfId="13"/>
    <tableColumn id="2" xr3:uid="{1AE66D44-8C33-4922-A9D2-4862020203E8}" name="Value" dataDxfId="12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B18F220-F059-4EA9-96F2-648A28B7B4D7}" name="DATA_RAFStatusChoice" displayName="DATA_RAFStatusChoice" ref="J17:K23" totalsRowShown="0" tableBorderDxfId="11">
  <autoFilter ref="J17:K23" xr:uid="{8F274594-01F3-4B0D-8B6C-E6DC70459D01}"/>
  <tableColumns count="2">
    <tableColumn id="1" xr3:uid="{FB573723-05C8-47EB-BABF-CB8BF44C307F}" name="RAF_Status_Choice" dataDxfId="10"/>
    <tableColumn id="2" xr3:uid="{6B53CAC1-2E3E-489F-A88B-17ADAB8E0DC5}" name="Rank" dataDxfId="9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271AC0A-2BC8-428E-A7BA-C6AA46439C0A}" name="DATA_Ressources" displayName="DATA_Ressources" ref="M5:M7" totalsRowShown="0" headerRowDxfId="8" dataDxfId="7">
  <autoFilter ref="M5:M7" xr:uid="{92270461-D1D9-4D5D-B20C-39BC8DF916E6}"/>
  <tableColumns count="1">
    <tableColumn id="1" xr3:uid="{9355359F-32E3-48C6-BC25-B09C88556527}" name="Ressources" dataDxfId="6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8CDB7A-2ABC-4655-B010-74E2ACC3BCB3}" name="DATA_Deadline" displayName="DATA_Deadline" ref="A5:A6" totalsRowShown="0" headerRowDxfId="5" dataDxfId="4">
  <autoFilter ref="A5:A6" xr:uid="{C8A74557-DA22-4367-9DBD-D31E1ADBCD44}"/>
  <tableColumns count="1">
    <tableColumn id="1" xr3:uid="{FA0DA50D-32D5-4E0F-8498-D5868A86F1B8}" name="Deadline" dataDxfId="3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EC2F6E-05AC-490B-81C8-9EF8A16D6973}" name="DATA_Date" displayName="DATA_Date" ref="A8:A9" totalsRowShown="0" headerRowDxfId="2" dataDxfId="1">
  <autoFilter ref="A8:A9" xr:uid="{90DC928B-3DF4-4DAF-BE9E-AA27C8443E5D}"/>
  <tableColumns count="1">
    <tableColumn id="1" xr3:uid="{BFB01BB7-7A79-4B35-BF4C-055F58000E6E}" name="Date" dataDxfId="0">
      <calculatedColumnFormula>SYNTHESIS!ReportingDate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39CF5-290B-44C8-B325-33C937754909}">
  <sheetPr codeName="Feuil1">
    <tabColor rgb="FFC00000"/>
  </sheetPr>
  <dimension ref="A1:I18"/>
  <sheetViews>
    <sheetView showGridLines="0" zoomScale="85" zoomScaleNormal="85" workbookViewId="0">
      <selection activeCell="C7" sqref="C7:F8"/>
    </sheetView>
  </sheetViews>
  <sheetFormatPr baseColWidth="10" defaultColWidth="10.85546875" defaultRowHeight="15" x14ac:dyDescent="0.25"/>
  <cols>
    <col min="1" max="1" width="1.5703125" style="43" customWidth="1"/>
    <col min="2" max="2" width="33.7109375" style="43" customWidth="1"/>
    <col min="3" max="3" width="3.7109375" style="43" customWidth="1"/>
    <col min="4" max="4" width="33.7109375" style="43" customWidth="1"/>
    <col min="5" max="5" width="3.7109375" style="43" customWidth="1"/>
    <col min="6" max="6" width="33.7109375" style="43" customWidth="1"/>
    <col min="7" max="7" width="1.5703125" style="43" customWidth="1"/>
    <col min="8" max="8" width="1" style="43" customWidth="1"/>
    <col min="9" max="9" width="43.85546875" style="43" customWidth="1"/>
    <col min="10" max="16384" width="10.85546875" style="43"/>
  </cols>
  <sheetData>
    <row r="1" spans="1:7" x14ac:dyDescent="0.25">
      <c r="A1" s="53"/>
      <c r="B1" s="54"/>
      <c r="C1" s="54"/>
      <c r="D1" s="54"/>
      <c r="E1" s="54"/>
      <c r="F1" s="54"/>
      <c r="G1" s="55"/>
    </row>
    <row r="2" spans="1:7" ht="18.75" x14ac:dyDescent="0.25">
      <c r="A2" s="56"/>
      <c r="B2" s="42"/>
      <c r="C2" s="207" t="s">
        <v>397</v>
      </c>
      <c r="D2" s="207"/>
      <c r="E2" s="42"/>
      <c r="F2" s="106" t="s">
        <v>520</v>
      </c>
      <c r="G2" s="57"/>
    </row>
    <row r="3" spans="1:7" x14ac:dyDescent="0.25">
      <c r="A3" s="56"/>
      <c r="B3" s="42"/>
      <c r="C3" s="58"/>
      <c r="D3" s="59"/>
      <c r="E3" s="42"/>
      <c r="F3" s="42"/>
      <c r="G3" s="57"/>
    </row>
    <row r="4" spans="1:7" ht="18.75" x14ac:dyDescent="0.25">
      <c r="A4" s="56"/>
      <c r="B4" s="52" t="e">
        <f>INDEX(#REF!,1)</f>
        <v>#REF!</v>
      </c>
      <c r="C4" s="58"/>
      <c r="D4" s="60" t="str">
        <f>INDEX(GLOBAL_DATA[Region],1)</f>
        <v>XX</v>
      </c>
      <c r="E4" s="42"/>
      <c r="F4" s="61" t="str">
        <f>INDEX(GLOBAL_DATA[BU],1)</f>
        <v>XX</v>
      </c>
      <c r="G4" s="57"/>
    </row>
    <row r="5" spans="1:7" x14ac:dyDescent="0.25">
      <c r="A5" s="56"/>
      <c r="B5" s="62" t="s">
        <v>399</v>
      </c>
      <c r="C5" s="58"/>
      <c r="D5" s="62" t="s">
        <v>398</v>
      </c>
      <c r="E5" s="42"/>
      <c r="F5" s="62" t="s">
        <v>396</v>
      </c>
      <c r="G5" s="57"/>
    </row>
    <row r="6" spans="1:7" x14ac:dyDescent="0.25">
      <c r="A6" s="56"/>
      <c r="B6" s="42"/>
      <c r="C6" s="58"/>
      <c r="D6" s="59"/>
      <c r="E6" s="42"/>
      <c r="F6" s="42"/>
      <c r="G6" s="57"/>
    </row>
    <row r="7" spans="1:7" x14ac:dyDescent="0.25">
      <c r="A7" s="56"/>
      <c r="B7" s="63" t="s">
        <v>448</v>
      </c>
      <c r="C7" s="214"/>
      <c r="D7" s="214"/>
      <c r="E7" s="214"/>
      <c r="F7" s="215"/>
      <c r="G7" s="57"/>
    </row>
    <row r="8" spans="1:7" x14ac:dyDescent="0.25">
      <c r="A8" s="56"/>
      <c r="B8" s="64" t="s">
        <v>449</v>
      </c>
      <c r="C8" s="216"/>
      <c r="D8" s="216"/>
      <c r="E8" s="216"/>
      <c r="F8" s="217"/>
      <c r="G8" s="57"/>
    </row>
    <row r="9" spans="1:7" x14ac:dyDescent="0.25">
      <c r="A9" s="56"/>
      <c r="B9" s="42"/>
      <c r="C9" s="58"/>
      <c r="D9" s="59"/>
      <c r="E9" s="42"/>
      <c r="F9" s="42"/>
      <c r="G9" s="57"/>
    </row>
    <row r="10" spans="1:7" x14ac:dyDescent="0.25">
      <c r="A10" s="56"/>
      <c r="B10" s="208">
        <v>44084</v>
      </c>
      <c r="C10" s="209"/>
      <c r="D10" s="209"/>
      <c r="E10" s="209"/>
      <c r="F10" s="210"/>
      <c r="G10" s="57"/>
    </row>
    <row r="11" spans="1:7" x14ac:dyDescent="0.25">
      <c r="A11" s="56"/>
      <c r="B11" s="211" t="s">
        <v>400</v>
      </c>
      <c r="C11" s="212"/>
      <c r="D11" s="212"/>
      <c r="E11" s="212"/>
      <c r="F11" s="213"/>
      <c r="G11" s="57"/>
    </row>
    <row r="12" spans="1:7" x14ac:dyDescent="0.25">
      <c r="A12" s="56"/>
      <c r="B12" s="42"/>
      <c r="C12" s="58"/>
      <c r="D12" s="59"/>
      <c r="E12" s="42"/>
      <c r="F12" s="42"/>
      <c r="G12" s="57"/>
    </row>
    <row r="13" spans="1:7" ht="27.75" customHeight="1" x14ac:dyDescent="0.25">
      <c r="A13" s="56"/>
      <c r="B13" s="107">
        <f>SUMPRODUCT((GLOBAL_DATA[CISO assessment]="Alert")*1)</f>
        <v>0</v>
      </c>
      <c r="C13" s="108"/>
      <c r="D13" s="109">
        <f>SUM(GLOBAL_DATA[DataInconsistency])</f>
        <v>2</v>
      </c>
      <c r="E13" s="97"/>
      <c r="F13" s="109">
        <f>SUM(GLOBAL_DATA[EmptyFields])</f>
        <v>0</v>
      </c>
      <c r="G13" s="57"/>
    </row>
    <row r="14" spans="1:7" x14ac:dyDescent="0.25">
      <c r="A14" s="56"/>
      <c r="B14" s="62" t="s">
        <v>401</v>
      </c>
      <c r="C14" s="42"/>
      <c r="D14" s="62" t="s">
        <v>453</v>
      </c>
      <c r="E14" s="58"/>
      <c r="F14" s="62" t="s">
        <v>402</v>
      </c>
      <c r="G14" s="57"/>
    </row>
    <row r="15" spans="1:7" x14ac:dyDescent="0.25">
      <c r="A15" s="56"/>
      <c r="B15" s="42"/>
      <c r="C15" s="42"/>
      <c r="D15" s="59"/>
      <c r="E15" s="42"/>
      <c r="F15" s="42"/>
      <c r="G15" s="57"/>
    </row>
    <row r="16" spans="1:7" s="16" customFormat="1" ht="15" customHeight="1" x14ac:dyDescent="0.25">
      <c r="A16" s="65"/>
      <c r="B16" s="201" t="s">
        <v>404</v>
      </c>
      <c r="C16" s="202"/>
      <c r="D16" s="202"/>
      <c r="E16" s="202"/>
      <c r="F16" s="203"/>
      <c r="G16" s="66"/>
    </row>
    <row r="17" spans="1:9" s="16" customFormat="1" ht="240" customHeight="1" x14ac:dyDescent="0.25">
      <c r="A17" s="65"/>
      <c r="B17" s="204"/>
      <c r="C17" s="205"/>
      <c r="D17" s="205"/>
      <c r="E17" s="205"/>
      <c r="F17" s="206"/>
      <c r="G17" s="66"/>
      <c r="I17" s="67" t="s">
        <v>419</v>
      </c>
    </row>
    <row r="18" spans="1:9" ht="8.4499999999999993" customHeight="1" x14ac:dyDescent="0.25">
      <c r="A18" s="68"/>
      <c r="B18" s="69"/>
      <c r="C18" s="69"/>
      <c r="D18" s="69"/>
      <c r="E18" s="69"/>
      <c r="F18" s="69"/>
      <c r="G18" s="70"/>
    </row>
  </sheetData>
  <sheetProtection algorithmName="SHA-512" hashValue="zqJGTh6kWBhEHkRpKyK4HOmS6fUNiBEyFAJKUXz6HbUV6+XzX1NOxWcLdupdKtZjN7KefKbxfYfodzBwqVGtuA==" saltValue="h3VgQuh8fTg/ve9JI+RJdA==" spinCount="100000" sheet="1" formatColumns="0" formatRows="0" insertColumns="0" insertRows="0" sort="0" autoFilter="0" pivotTables="0"/>
  <mergeCells count="7">
    <mergeCell ref="B16:F16"/>
    <mergeCell ref="B17:F17"/>
    <mergeCell ref="C2:D2"/>
    <mergeCell ref="B10:F10"/>
    <mergeCell ref="B11:F11"/>
    <mergeCell ref="C7:F7"/>
    <mergeCell ref="C8:F8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4078AA22-8F4A-4F9D-B55A-7FD6FD167FDD}">
            <x14:iconSet custom="1">
              <x14:cfvo type="percent">
                <xm:f>0</xm:f>
              </x14:cfvo>
              <x14:cfvo type="num">
                <xm:f>5</xm:f>
              </x14:cfvo>
              <x14:cfvo type="num">
                <xm:f>10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B13</xm:sqref>
        </x14:conditionalFormatting>
        <x14:conditionalFormatting xmlns:xm="http://schemas.microsoft.com/office/excel/2006/main">
          <x14:cfRule type="iconSet" priority="4" id="{823EC4E9-CEED-4623-B3BB-B8279581C86F}">
            <x14:iconSet custom="1">
              <x14:cfvo type="percent">
                <xm:f>0</xm:f>
              </x14:cfvo>
              <x14:cfvo type="num">
                <xm:f>5</xm:f>
              </x14:cfvo>
              <x14:cfvo type="num">
                <xm:f>10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F13</xm:sqref>
        </x14:conditionalFormatting>
        <x14:conditionalFormatting xmlns:xm="http://schemas.microsoft.com/office/excel/2006/main">
          <x14:cfRule type="iconSet" priority="1" id="{CAEF23AB-A8EA-4FCA-B6F7-BF8BF521AFB0}">
            <x14:iconSet custom="1">
              <x14:cfvo type="percent">
                <xm:f>0</xm:f>
              </x14:cfvo>
              <x14:cfvo type="num">
                <xm:f>5</xm:f>
              </x14:cfvo>
              <x14:cfvo type="num">
                <xm:f>10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D13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B186F-C8D0-4F41-BCB5-B5109C144F72}">
  <sheetPr codeName="Feuil4">
    <tabColor theme="8"/>
  </sheetPr>
  <dimension ref="A1:BB20"/>
  <sheetViews>
    <sheetView showGridLines="0" tabSelected="1" zoomScaleNormal="100" workbookViewId="0">
      <pane xSplit="2" ySplit="4" topLeftCell="AG5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AI5" sqref="AI5"/>
    </sheetView>
  </sheetViews>
  <sheetFormatPr baseColWidth="10" defaultColWidth="11.42578125" defaultRowHeight="15" x14ac:dyDescent="0.25"/>
  <cols>
    <col min="1" max="1" width="5.85546875" style="29" customWidth="1"/>
    <col min="2" max="2" width="10.85546875" style="29" customWidth="1"/>
    <col min="3" max="3" width="11.42578125" style="1"/>
    <col min="4" max="4" width="15" style="31" customWidth="1"/>
    <col min="5" max="5" width="28" style="31" customWidth="1"/>
    <col min="6" max="6" width="11.7109375" style="31" customWidth="1"/>
    <col min="7" max="7" width="15.140625" style="29" customWidth="1"/>
    <col min="8" max="8" width="8.28515625" style="29" customWidth="1"/>
    <col min="9" max="9" width="50.7109375" style="29" customWidth="1"/>
    <col min="10" max="11" width="8.85546875" style="29" customWidth="1"/>
    <col min="12" max="12" width="14.85546875" style="29" customWidth="1"/>
    <col min="13" max="14" width="11.5703125" style="29" customWidth="1"/>
    <col min="15" max="29" width="7.85546875" style="29" customWidth="1"/>
    <col min="30" max="33" width="10.7109375" style="30" customWidth="1"/>
    <col min="34" max="34" width="10.7109375" style="39" customWidth="1"/>
    <col min="35" max="35" width="39.5703125" style="38" customWidth="1"/>
    <col min="36" max="36" width="27.5703125" style="29" bestFit="1" customWidth="1"/>
    <col min="37" max="38" width="27.85546875" style="29" bestFit="1" customWidth="1"/>
    <col min="39" max="39" width="22.42578125" style="29" bestFit="1" customWidth="1"/>
    <col min="40" max="40" width="15.28515625" style="29" bestFit="1" customWidth="1"/>
    <col min="41" max="41" width="30.7109375" style="29" bestFit="1" customWidth="1"/>
    <col min="42" max="42" width="32.140625" style="29" bestFit="1" customWidth="1"/>
    <col min="43" max="43" width="26.140625" style="29" bestFit="1" customWidth="1"/>
    <col min="44" max="44" width="22.140625" style="29" bestFit="1" customWidth="1"/>
    <col min="45" max="45" width="19" style="29" bestFit="1" customWidth="1"/>
    <col min="46" max="46" width="43.28515625" style="29" bestFit="1" customWidth="1"/>
    <col min="47" max="47" width="43.85546875" style="29" bestFit="1" customWidth="1"/>
    <col min="48" max="48" width="32" style="29" bestFit="1" customWidth="1"/>
    <col min="49" max="50" width="11.42578125" style="29"/>
    <col min="51" max="51" width="37" style="29" bestFit="1" customWidth="1"/>
    <col min="52" max="16384" width="11.42578125" style="29"/>
  </cols>
  <sheetData>
    <row r="1" spans="1:54" ht="24" thickBot="1" x14ac:dyDescent="0.3">
      <c r="A1" s="82" t="s">
        <v>598</v>
      </c>
      <c r="B1" s="31"/>
      <c r="C1" s="176" t="s">
        <v>431</v>
      </c>
      <c r="F1" s="120" t="s">
        <v>411</v>
      </c>
      <c r="G1" s="31"/>
      <c r="H1" s="31"/>
      <c r="I1" s="31"/>
      <c r="J1" s="120" t="s">
        <v>412</v>
      </c>
      <c r="K1" s="31"/>
      <c r="L1" s="31"/>
      <c r="M1" s="31"/>
      <c r="N1" s="31"/>
      <c r="O1" s="120" t="s">
        <v>433</v>
      </c>
      <c r="P1" s="81"/>
      <c r="Q1" s="8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83"/>
      <c r="AD1" s="172" t="s">
        <v>418</v>
      </c>
      <c r="AE1" s="173"/>
      <c r="AF1" s="173"/>
      <c r="AG1" s="173"/>
      <c r="AH1" s="100"/>
      <c r="AI1" s="29"/>
    </row>
    <row r="2" spans="1:54" s="32" customFormat="1" ht="13.5" customHeight="1" thickTop="1" thickBot="1" x14ac:dyDescent="0.3">
      <c r="A2" s="36"/>
      <c r="B2" s="36"/>
      <c r="C2" s="122" t="s">
        <v>451</v>
      </c>
      <c r="D2" s="36"/>
      <c r="E2" s="36"/>
      <c r="F2" s="121"/>
      <c r="G2" s="36"/>
      <c r="H2" s="36"/>
      <c r="I2" s="36"/>
      <c r="J2" s="121"/>
      <c r="K2" s="36"/>
      <c r="L2" s="36"/>
      <c r="M2" s="36"/>
      <c r="N2" s="36"/>
      <c r="O2" s="121"/>
      <c r="P2" s="84" t="s">
        <v>391</v>
      </c>
      <c r="Q2" s="84"/>
      <c r="R2" s="36"/>
      <c r="S2" s="85">
        <v>2020</v>
      </c>
      <c r="T2" s="36"/>
      <c r="U2" s="36"/>
      <c r="V2" s="85">
        <v>2021</v>
      </c>
      <c r="W2" s="36"/>
      <c r="X2" s="36"/>
      <c r="Y2" s="85">
        <v>2022</v>
      </c>
      <c r="Z2" s="36"/>
      <c r="AA2" s="36"/>
      <c r="AB2" s="85">
        <v>2023</v>
      </c>
      <c r="AC2" s="86"/>
      <c r="AD2" s="123"/>
      <c r="AE2" s="99"/>
      <c r="AF2" s="99"/>
      <c r="AG2" s="99"/>
      <c r="AH2" s="87"/>
      <c r="AJ2" s="220" t="s">
        <v>554</v>
      </c>
      <c r="AK2" s="221"/>
      <c r="AL2" s="221"/>
      <c r="AM2" s="221"/>
      <c r="AN2" s="221"/>
      <c r="AO2" s="221"/>
      <c r="AP2" s="221"/>
      <c r="AQ2" s="222"/>
      <c r="AR2" s="220" t="s">
        <v>555</v>
      </c>
      <c r="AS2" s="221"/>
      <c r="AT2" s="221"/>
      <c r="AU2" s="221"/>
      <c r="AV2" s="222"/>
      <c r="AW2" s="220" t="s">
        <v>556</v>
      </c>
      <c r="AX2" s="222"/>
      <c r="AY2" s="188" t="s">
        <v>557</v>
      </c>
      <c r="AZ2" s="218" t="s">
        <v>596</v>
      </c>
      <c r="BA2" s="219"/>
      <c r="BB2" s="219"/>
    </row>
    <row r="3" spans="1:54" ht="6" hidden="1" customHeight="1" thickTop="1" thickBot="1" x14ac:dyDescent="0.25">
      <c r="C3" s="88"/>
      <c r="F3" s="88"/>
      <c r="J3" s="89"/>
      <c r="K3" s="31"/>
      <c r="O3" s="90"/>
      <c r="P3" s="91"/>
      <c r="Q3" s="92"/>
      <c r="R3" s="93"/>
      <c r="S3" s="91"/>
      <c r="T3" s="92"/>
      <c r="U3" s="94"/>
      <c r="V3" s="94"/>
      <c r="W3" s="94"/>
      <c r="X3" s="93"/>
      <c r="Y3" s="91"/>
      <c r="Z3" s="92"/>
      <c r="AA3" s="93"/>
      <c r="AB3" s="91"/>
      <c r="AC3" s="91"/>
      <c r="AD3" s="95"/>
      <c r="AE3" s="100"/>
      <c r="AF3" s="100"/>
      <c r="AG3" s="100"/>
      <c r="AH3" s="38"/>
      <c r="AI3" s="29"/>
    </row>
    <row r="4" spans="1:54" s="12" customFormat="1" ht="24" customHeight="1" thickTop="1" x14ac:dyDescent="0.25">
      <c r="A4" s="44" t="s">
        <v>396</v>
      </c>
      <c r="B4" s="44" t="s">
        <v>38</v>
      </c>
      <c r="C4" s="177" t="s">
        <v>422</v>
      </c>
      <c r="D4" s="45" t="s">
        <v>432</v>
      </c>
      <c r="E4" s="45" t="s">
        <v>450</v>
      </c>
      <c r="F4" s="46" t="s">
        <v>414</v>
      </c>
      <c r="G4" s="47" t="s">
        <v>421</v>
      </c>
      <c r="H4" s="47" t="s">
        <v>383</v>
      </c>
      <c r="I4" s="47" t="s">
        <v>460</v>
      </c>
      <c r="J4" s="124" t="s">
        <v>468</v>
      </c>
      <c r="K4" s="48" t="s">
        <v>430</v>
      </c>
      <c r="L4" s="48" t="s">
        <v>416</v>
      </c>
      <c r="M4" s="48" t="s">
        <v>417</v>
      </c>
      <c r="N4" s="48" t="s">
        <v>456</v>
      </c>
      <c r="O4" s="119" t="s">
        <v>434</v>
      </c>
      <c r="P4" s="49" t="s">
        <v>457</v>
      </c>
      <c r="Q4" s="49" t="s">
        <v>435</v>
      </c>
      <c r="R4" s="50" t="s">
        <v>436</v>
      </c>
      <c r="S4" s="49" t="s">
        <v>437</v>
      </c>
      <c r="T4" s="51" t="s">
        <v>438</v>
      </c>
      <c r="U4" s="49" t="s">
        <v>439</v>
      </c>
      <c r="V4" s="49" t="s">
        <v>440</v>
      </c>
      <c r="W4" s="49" t="s">
        <v>441</v>
      </c>
      <c r="X4" s="50" t="s">
        <v>442</v>
      </c>
      <c r="Y4" s="49" t="s">
        <v>443</v>
      </c>
      <c r="Z4" s="51" t="s">
        <v>444</v>
      </c>
      <c r="AA4" s="49" t="s">
        <v>445</v>
      </c>
      <c r="AB4" s="49" t="s">
        <v>446</v>
      </c>
      <c r="AC4" s="49" t="s">
        <v>447</v>
      </c>
      <c r="AD4" s="174" t="s">
        <v>415</v>
      </c>
      <c r="AE4" s="175" t="s">
        <v>532</v>
      </c>
      <c r="AF4" s="175" t="s">
        <v>531</v>
      </c>
      <c r="AG4" s="175" t="s">
        <v>454</v>
      </c>
      <c r="AH4" s="175" t="s">
        <v>452</v>
      </c>
      <c r="AI4" s="175" t="s">
        <v>553</v>
      </c>
      <c r="AJ4" s="190" t="s">
        <v>558</v>
      </c>
      <c r="AK4" s="189" t="s">
        <v>559</v>
      </c>
      <c r="AL4" s="189" t="s">
        <v>560</v>
      </c>
      <c r="AM4" s="189" t="s">
        <v>561</v>
      </c>
      <c r="AN4" s="189" t="s">
        <v>562</v>
      </c>
      <c r="AO4" s="189" t="s">
        <v>563</v>
      </c>
      <c r="AP4" s="189" t="s">
        <v>564</v>
      </c>
      <c r="AQ4" s="191" t="s">
        <v>565</v>
      </c>
      <c r="AR4" s="190" t="s">
        <v>566</v>
      </c>
      <c r="AS4" s="189" t="s">
        <v>567</v>
      </c>
      <c r="AT4" s="189" t="s">
        <v>568</v>
      </c>
      <c r="AU4" s="189" t="s">
        <v>569</v>
      </c>
      <c r="AV4" s="191" t="s">
        <v>570</v>
      </c>
      <c r="AW4" s="190" t="s">
        <v>571</v>
      </c>
      <c r="AX4" s="191" t="s">
        <v>572</v>
      </c>
      <c r="AY4" s="190" t="s">
        <v>573</v>
      </c>
      <c r="AZ4" s="190" t="s">
        <v>594</v>
      </c>
      <c r="BA4" s="194" t="s">
        <v>595</v>
      </c>
      <c r="BB4" s="194" t="s">
        <v>529</v>
      </c>
    </row>
    <row r="5" spans="1:54" ht="42" customHeight="1" x14ac:dyDescent="0.25">
      <c r="A5" s="197" t="s">
        <v>598</v>
      </c>
      <c r="B5" s="197" t="s">
        <v>598</v>
      </c>
      <c r="C5" s="170" t="str">
        <f>IF(GLOBAL_DATA[[#This Row],[Target scope]]="","",INDEX(DATA_TargetStatusChoice[Target_Status_Choice],MATCH(GLOBAL_DATA[[#This Row],[Target scope]],DATA_TargetStatusChoice[Value],1)))</f>
        <v>FULL IMPLEMENTATION</v>
      </c>
      <c r="D5" s="168">
        <v>1</v>
      </c>
      <c r="E5" s="168" t="s">
        <v>75</v>
      </c>
      <c r="F5" s="178" t="s">
        <v>31</v>
      </c>
      <c r="G5" s="179">
        <v>0.2</v>
      </c>
      <c r="H5" s="179" t="s">
        <v>384</v>
      </c>
      <c r="I5" s="180" t="s">
        <v>598</v>
      </c>
      <c r="J5" s="178" t="s">
        <v>429</v>
      </c>
      <c r="K5" s="198" t="s">
        <v>575</v>
      </c>
      <c r="L5" s="171">
        <v>44075</v>
      </c>
      <c r="M5" s="171">
        <v>44196</v>
      </c>
      <c r="N5" s="171"/>
      <c r="O5" s="181">
        <f>SUM(GLOBAL_DATA[[#This Row],[Initial 2020]],GLOBAL_DATA[[#This Row],[Initial 2021]],GLOBAL_DATA[[#This Row],[Initial 2022]],GLOBAL_DATA[[#This Row],[Initial 2023]])</f>
        <v>2</v>
      </c>
      <c r="P5" s="182">
        <f>SUM(GLOBAL_DATA[[#This Row],[Reestimated 2020]],GLOBAL_DATA[[#This Row],[Reestimated 2021]],GLOBAL_DATA[[#This Row],[Reestimated 2022]],GLOBAL_DATA[[#This Row],[Reestimated 2023]])</f>
        <v>0</v>
      </c>
      <c r="Q5" s="183">
        <f>SUM(GLOBAL_DATA[[#This Row],[Spent 2020]],GLOBAL_DATA[[#This Row],[Spent 2021]],GLOBAL_DATA[[#This Row],[Spent 2022]],GLOBAL_DATA[[#This Row],[Spent 2023]])</f>
        <v>0</v>
      </c>
      <c r="R5" s="184"/>
      <c r="S5" s="185"/>
      <c r="T5" s="186"/>
      <c r="U5" s="185">
        <v>2</v>
      </c>
      <c r="V5" s="185"/>
      <c r="W5" s="185"/>
      <c r="X5" s="184"/>
      <c r="Y5" s="185"/>
      <c r="Z5" s="186"/>
      <c r="AA5" s="185">
        <v>0</v>
      </c>
      <c r="AB5" s="185">
        <v>0</v>
      </c>
      <c r="AC5" s="187">
        <v>0</v>
      </c>
      <c r="AD5" s="125">
        <f>IF(GLOBAL_DATA[[#This Row],[Target scope]]&lt;&gt;Target_Not_Applicable,GLOBAL_DATA[[#This Row],[Target scope]]*GLOBAL_DATA[[#This Row],[Implementation progress rate]],"")</f>
        <v>0.2</v>
      </c>
      <c r="AE5" s="128">
        <f>IF(OR(GLOBAL_DATA[[#This Row],[Status]]=DATA!$J$6,GLOBAL_DATA[[#This Row],[Status]]=DATA!$J$7,GLOBAL_DATA[[#This Row],[Status]]=DATA!$J$8),1,0)</f>
        <v>0</v>
      </c>
      <c r="AF5" s="129">
        <f>IF(GLOBAL_DATA[[#This Row],[Status]]=Status_No_Project,"",MAX(GLOBAL_DATA[[#This Row],[Initial end]],GLOBAL_DATA[[#This Row],[Re-estimated end]],43831))</f>
        <v>44196</v>
      </c>
      <c r="AG5" s="167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5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5" s="200" t="s">
        <v>597</v>
      </c>
      <c r="AJ5" s="193" t="str">
        <f>IF(AND(GLOBAL_DATA[[#This Row],[Status]]=DATA_Status_TOBESTARTED,GLOBAL_DATA[[#This Row],[Implementation progress rate]]&gt;0),DATA_DQA_1,"")</f>
        <v>TO BE STARTED and progress &gt; 0%</v>
      </c>
      <c r="AK5" s="192" t="str">
        <f>IF(AND(GLOBAL_DATA[[#This Row],[Status]]=In_progress,GLOBAL_DATA[[#This Row],[Implementation progress rate]]=1),DATA_DQA_2,"")</f>
        <v/>
      </c>
      <c r="AL5" s="192" t="str" cm="1">
        <f t="array" ref="AL5">IF(AND(GLOBAL_DATA[[#This Row],[Status]]=In_progress,GLOBAL_DATA[[#This Row],[Implementation progress rate]]=0),DATA_DQA_3,"")</f>
        <v/>
      </c>
      <c r="AM5" s="192" t="str">
        <f>IF(AND(GLOBAL_DATA[[#This Row],[Status]]=Done,GLOBAL_DATA[[#This Row],[Implementation progress rate]]&lt;1),DATA_QDA_4,"")</f>
        <v/>
      </c>
      <c r="AN5" s="192" t="str" cm="1">
        <f t="array" ref="AN5">IF(GLOBAL_DATA[[#This Row],[Status]]="",DATA_QDA_7,"")</f>
        <v/>
      </c>
      <c r="AO5" s="192" t="str">
        <f>IF(AND(GLOBAL_DATA[[#This Row],[Initial end]]="",GLOBAL_DATA[[#This Row],[Re-estimated end]]="",GLOBAL_DATA[[#This Row],[Status]]=DATA_Status_INPROGRESS),DATA_QDA_12,"")</f>
        <v/>
      </c>
      <c r="AP5" s="192" t="str">
        <f>IF(AND(GLOBAL_DATA[[#This Row],[Initial end]]="",GLOBAL_DATA[[#This Row],[Re-estimated end]]="",GLOBAL_DATA[[#This Row],[Status]]=DATA_Status_TOBESTARTED),DATA_QDA_13,"")</f>
        <v/>
      </c>
      <c r="AQ5" s="192" t="str">
        <f>IF(AND(GLOBAL_DATA[[#This Row],[Status]]=DATA_Status_INPROGRESS,GLOBAL_DATA[[#This Row],[Total Initial]]=0,GLOBAL_DATA[[#This Row],[Total re-estimated]]=0),DATA_DQA_11,"")</f>
        <v/>
      </c>
      <c r="AR5" s="192" t="str">
        <f>IF(AND(GLOBAL_DATA[[#This Row],[Will be done]]=1,SUM(GLOBAL_DATA[[#This Row],[Total Initial]]:GLOBAL_DATA[[#This Row],[Total Spent]])&lt;&gt;0,GLOBAL_DATA[[#This Row],[Kick-off]]=""),DATA_DQA_16,"")</f>
        <v/>
      </c>
      <c r="AS5" s="192" t="str">
        <f>IF(AND(GLOBAL_DATA[[#This Row],[Will be done]]=1,SUM(GLOBAL_DATA[[#This Row],[Total Initial]]:GLOBAL_DATA[[#This Row],[Total Spent]])&lt;&gt;0,GLOBAL_DATA[[#This Row],[Initial end]]=""),DATA_QDA_17,"")</f>
        <v/>
      </c>
      <c r="AT5" s="192" t="str">
        <f ca="1">IF(AND(IFERROR(DATEDIF(GLOBAL_DATA[[#This Row],[Kick-off]],TODAY(),"m"),0)&lt;&gt;0,OR(GLOBAL_DATA[[#This Row],[Status]]=DATA_Status_TOBESTARTED)),DATA_QDA_19,"")</f>
        <v>Kick-off &lt; today's date and status is not IN PROGRESS</v>
      </c>
      <c r="AU5" s="192" t="str">
        <f>IF(AND(GLOBAL_DATA[[#This Row],[Kick-off]]&lt;&gt;"",GLOBAL_DATA[[#This Row],[Kick-off]]&gt;GLOBAL_DATA[[#This Row],[Re-estimated end]]),DATA_DQA_14,"")</f>
        <v>Kick-off scheduled after reestimated-end or intial-end</v>
      </c>
      <c r="AV5" s="192" t="str">
        <f ca="1">IF(AND(IFERROR(DATEDIF(TODAY(),GLOBAL_DATA[[#This Row],[Re-estimated end]],"m"),0)&gt;1,GLOBAL_DATA[[#This Row],[Implementation progress rate]]=1),DATA_QDA_8,"")</f>
        <v/>
      </c>
      <c r="AW5" s="192" t="str" cm="1">
        <f t="array" ref="AW5">IF(AND(GLOBAL_DATA[[#This Row],[CISO assessment]]="Warning only",TRIM(GLOBAL_DATA[[#This Row],[CISO Comments]])=""),DATA_DQA_9,"")</f>
        <v/>
      </c>
      <c r="AX5" s="192" t="str">
        <f>IF(AND(GLOBAL_DATA[[#This Row],[CISO assessment]]="Alert",TRIM(GLOBAL_DATA[[#This Row],[CISO Comments]])=""),DATA_DQA_10,"")</f>
        <v/>
      </c>
      <c r="AY5" s="192" t="s">
        <v>574</v>
      </c>
      <c r="AZ5" s="195">
        <f>IF(OR(GLOBAL_DATA[[#This Row],[Status]]="",GLOBAL_DATA[[#This Row],[Status]]=Risk_accepted,GLOBAL_DATA[[#This Row],[Status]]=Target_Not_Applicable),1,0)</f>
        <v>0</v>
      </c>
      <c r="BA5" s="196">
        <f>IF(OR(GLOBAL_DATA[[#This Row],[Status]]=DATA_Status_TOBESTARTED,GLOBAL_DATA[[#This Row],[Status]]=DATA_Status_INPROGRESS),1,0)</f>
        <v>1</v>
      </c>
      <c r="BB5" s="196">
        <f>IF(OR(GLOBAL_DATA[[#This Row],[Status]]=Done,GLOBAL_DATA[[#This Row],[Status]]=Checked),1,0)</f>
        <v>0</v>
      </c>
    </row>
    <row r="6" spans="1:54" ht="42" customHeight="1" x14ac:dyDescent="0.25">
      <c r="A6" s="197" t="s">
        <v>598</v>
      </c>
      <c r="B6" s="197" t="s">
        <v>598</v>
      </c>
      <c r="C6" s="170" t="str">
        <f>IF(GLOBAL_DATA[[#This Row],[Target scope]]="","",INDEX(DATA_TargetStatusChoice[Target_Status_Choice],MATCH(GLOBAL_DATA[[#This Row],[Target scope]],DATA_TargetStatusChoice[Value],1)))</f>
        <v>FULL IMPLEMENTATION</v>
      </c>
      <c r="D6" s="168">
        <v>1</v>
      </c>
      <c r="E6" s="168" t="s">
        <v>75</v>
      </c>
      <c r="F6" s="178" t="s">
        <v>32</v>
      </c>
      <c r="G6" s="179">
        <v>1</v>
      </c>
      <c r="H6" s="179" t="s">
        <v>384</v>
      </c>
      <c r="I6" s="180" t="s">
        <v>598</v>
      </c>
      <c r="J6" s="178" t="s">
        <v>428</v>
      </c>
      <c r="K6" s="198" t="s">
        <v>576</v>
      </c>
      <c r="L6" s="171">
        <v>44197</v>
      </c>
      <c r="M6" s="171">
        <v>44560</v>
      </c>
      <c r="N6" s="171">
        <v>44561</v>
      </c>
      <c r="O6" s="181">
        <f>SUM(GLOBAL_DATA[[#This Row],[Initial 2020]],GLOBAL_DATA[[#This Row],[Initial 2021]],GLOBAL_DATA[[#This Row],[Initial 2022]],GLOBAL_DATA[[#This Row],[Initial 2023]])</f>
        <v>50</v>
      </c>
      <c r="P6" s="182">
        <f>SUM(GLOBAL_DATA[[#This Row],[Reestimated 2020]],GLOBAL_DATA[[#This Row],[Reestimated 2021]],GLOBAL_DATA[[#This Row],[Reestimated 2022]],GLOBAL_DATA[[#This Row],[Reestimated 2023]])</f>
        <v>0</v>
      </c>
      <c r="Q6" s="183">
        <f>SUM(GLOBAL_DATA[[#This Row],[Spent 2020]],GLOBAL_DATA[[#This Row],[Spent 2021]],GLOBAL_DATA[[#This Row],[Spent 2022]],GLOBAL_DATA[[#This Row],[Spent 2023]])</f>
        <v>0</v>
      </c>
      <c r="R6" s="184"/>
      <c r="S6" s="185"/>
      <c r="T6" s="186"/>
      <c r="U6" s="184">
        <v>50</v>
      </c>
      <c r="V6" s="185"/>
      <c r="W6" s="185"/>
      <c r="X6" s="184"/>
      <c r="Y6" s="185"/>
      <c r="Z6" s="186"/>
      <c r="AA6" s="185">
        <v>0</v>
      </c>
      <c r="AB6" s="185">
        <v>0</v>
      </c>
      <c r="AC6" s="187">
        <v>0</v>
      </c>
      <c r="AD6" s="125">
        <f>IF(GLOBAL_DATA[[#This Row],[Target scope]]&lt;&gt;Target_Not_Applicable,GLOBAL_DATA[[#This Row],[Target scope]]*GLOBAL_DATA[[#This Row],[Implementation progress rate]],"")</f>
        <v>1</v>
      </c>
      <c r="AE6" s="128">
        <f>IF(OR(GLOBAL_DATA[[#This Row],[Status]]=DATA!$J$6,GLOBAL_DATA[[#This Row],[Status]]=DATA!$J$7,GLOBAL_DATA[[#This Row],[Status]]=DATA!$J$8),1,0)</f>
        <v>0</v>
      </c>
      <c r="AF6" s="129">
        <f>IF(GLOBAL_DATA[[#This Row],[Status]]=Status_No_Project,"",MAX(GLOBAL_DATA[[#This Row],[Initial end]],GLOBAL_DATA[[#This Row],[Re-estimated end]],43831))</f>
        <v>44561</v>
      </c>
      <c r="AG6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1</v>
      </c>
      <c r="AH6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6" s="199"/>
      <c r="AJ6" s="193" t="str">
        <f>IF(AND(GLOBAL_DATA[[#This Row],[Status]]=DATA_Status_TOBESTARTED,GLOBAL_DATA[[#This Row],[Implementation progress rate]]&gt;0),DATA_DQA_1,"")</f>
        <v/>
      </c>
      <c r="AK6" s="192" t="str">
        <f>IF(AND(GLOBAL_DATA[[#This Row],[Status]]=In_progress,GLOBAL_DATA[[#This Row],[Implementation progress rate]]=1),DATA_DQA_2,"")</f>
        <v>IN PROGRESS and progress =100%</v>
      </c>
      <c r="AL6" s="192" t="str" cm="1">
        <f t="array" ref="AL6">IF(AND(GLOBAL_DATA[[#This Row],[Status]]=In_progress,GLOBAL_DATA[[#This Row],[Implementation progress rate]]=0),DATA_DQA_3,"")</f>
        <v/>
      </c>
      <c r="AM6" s="192" t="str">
        <f>IF(AND(GLOBAL_DATA[[#This Row],[Status]]=Done,GLOBAL_DATA[[#This Row],[Implementation progress rate]]&lt;1),DATA_QDA_4,"")</f>
        <v/>
      </c>
      <c r="AN6" s="192" t="str" cm="1">
        <f t="array" ref="AN6">IF(GLOBAL_DATA[[#This Row],[Status]]="",DATA_QDA_7,"")</f>
        <v/>
      </c>
      <c r="AO6" s="192" t="str">
        <f>IF(AND(GLOBAL_DATA[[#This Row],[Initial end]]="",GLOBAL_DATA[[#This Row],[Re-estimated end]]="",GLOBAL_DATA[[#This Row],[Status]]=DATA_Status_INPROGRESS),DATA_QDA_12,"")</f>
        <v/>
      </c>
      <c r="AP6" s="192" t="str">
        <f>IF(AND(GLOBAL_DATA[[#This Row],[Initial end]]="",GLOBAL_DATA[[#This Row],[Re-estimated end]]="",GLOBAL_DATA[[#This Row],[Status]]=DATA_Status_TOBESTARTED),DATA_QDA_13,"")</f>
        <v/>
      </c>
      <c r="AQ6" s="192" t="str">
        <f>IF(AND(GLOBAL_DATA[[#This Row],[Status]]=DATA_Status_INPROGRESS,GLOBAL_DATA[[#This Row],[Total Initial]]=0,GLOBAL_DATA[[#This Row],[Total re-estimated]]=0),DATA_DQA_11,"")</f>
        <v/>
      </c>
      <c r="AR6" s="192" t="str">
        <f>IF(AND(GLOBAL_DATA[[#This Row],[Will be done]]=1,SUM(GLOBAL_DATA[[#This Row],[Total Initial]]:GLOBAL_DATA[[#This Row],[Total Spent]])&lt;&gt;0,GLOBAL_DATA[[#This Row],[Kick-off]]=""),DATA_DQA_16,"")</f>
        <v/>
      </c>
      <c r="AS6" s="192" t="str">
        <f>IF(AND(GLOBAL_DATA[[#This Row],[Will be done]]=1,SUM(GLOBAL_DATA[[#This Row],[Total Initial]]:GLOBAL_DATA[[#This Row],[Total Spent]])&lt;&gt;0,GLOBAL_DATA[[#This Row],[Initial end]]=""),DATA_QDA_17,"")</f>
        <v/>
      </c>
      <c r="AT6" s="192" t="str">
        <f ca="1">IF(AND(IFERROR(DATEDIF(GLOBAL_DATA[[#This Row],[Kick-off]],TODAY(),"m"),0)&lt;&gt;0,OR(GLOBAL_DATA[[#This Row],[Status]]=DATA_Status_TOBESTARTED)),DATA_QDA_19,"")</f>
        <v/>
      </c>
      <c r="AU6" s="192" t="str">
        <f>IF(AND(GLOBAL_DATA[[#This Row],[Kick-off]]&lt;&gt;"",GLOBAL_DATA[[#This Row],[Kick-off]]&gt;GLOBAL_DATA[[#This Row],[Re-estimated end]]),DATA_DQA_14,"")</f>
        <v/>
      </c>
      <c r="AV6" s="192" t="str">
        <f ca="1">IF(AND(IFERROR(DATEDIF(TODAY(),GLOBAL_DATA[[#This Row],[Re-estimated end]],"m"),0)&gt;1,GLOBAL_DATA[[#This Row],[Implementation progress rate]]=1),DATA_QDA_8,"")</f>
        <v>DONE but wrong Re-estimated end date</v>
      </c>
      <c r="AW6" s="192" t="str" cm="1">
        <f t="array" ref="AW6">IF(AND(GLOBAL_DATA[[#This Row],[CISO assessment]]="Warning only",TRIM(GLOBAL_DATA[[#This Row],[CISO Comments]])=""),DATA_DQA_9,"")</f>
        <v/>
      </c>
      <c r="AX6" s="192" t="str">
        <f>IF(AND(GLOBAL_DATA[[#This Row],[CISO assessment]]="Alert",TRIM(GLOBAL_DATA[[#This Row],[CISO Comments]])=""),DATA_DQA_10,"")</f>
        <v/>
      </c>
      <c r="AY6" s="192" t="s">
        <v>574</v>
      </c>
      <c r="AZ6" s="195">
        <f>IF(OR(GLOBAL_DATA[[#This Row],[Status]]="",GLOBAL_DATA[[#This Row],[Status]]=Risk_accepted,GLOBAL_DATA[[#This Row],[Status]]=Target_Not_Applicable),1,0)</f>
        <v>0</v>
      </c>
      <c r="BA6" s="196">
        <f>IF(OR(GLOBAL_DATA[[#This Row],[Status]]=DATA_Status_TOBESTARTED,GLOBAL_DATA[[#This Row],[Status]]=DATA_Status_INPROGRESS),1,0)</f>
        <v>1</v>
      </c>
      <c r="BB6" s="196">
        <f>IF(OR(GLOBAL_DATA[[#This Row],[Status]]=Done,GLOBAL_DATA[[#This Row],[Status]]=Checked),1,0)</f>
        <v>0</v>
      </c>
    </row>
    <row r="7" spans="1:54" ht="42" customHeight="1" x14ac:dyDescent="0.25">
      <c r="A7" s="197" t="s">
        <v>598</v>
      </c>
      <c r="B7" s="197" t="s">
        <v>598</v>
      </c>
      <c r="C7" s="170" t="str">
        <f>IF(GLOBAL_DATA[[#This Row],[Target scope]]="","",INDEX(DATA_TargetStatusChoice[Target_Status_Choice],MATCH(GLOBAL_DATA[[#This Row],[Target scope]],DATA_TargetStatusChoice[Value],1)))</f>
        <v>FULL IMPLEMENTATION</v>
      </c>
      <c r="D7" s="168">
        <v>1</v>
      </c>
      <c r="E7" s="168" t="s">
        <v>75</v>
      </c>
      <c r="F7" s="178" t="s">
        <v>32</v>
      </c>
      <c r="G7" s="179">
        <v>0</v>
      </c>
      <c r="H7" s="179" t="s">
        <v>384</v>
      </c>
      <c r="I7" s="180" t="s">
        <v>598</v>
      </c>
      <c r="J7" s="178" t="s">
        <v>428</v>
      </c>
      <c r="K7" s="198" t="s">
        <v>388</v>
      </c>
      <c r="L7" s="171">
        <v>43466</v>
      </c>
      <c r="M7" s="171">
        <v>44195</v>
      </c>
      <c r="N7" s="171">
        <v>44560</v>
      </c>
      <c r="O7" s="181">
        <f>SUM(GLOBAL_DATA[[#This Row],[Initial 2020]],GLOBAL_DATA[[#This Row],[Initial 2021]],GLOBAL_DATA[[#This Row],[Initial 2022]],GLOBAL_DATA[[#This Row],[Initial 2023]])</f>
        <v>0</v>
      </c>
      <c r="P7" s="182">
        <f>SUM(GLOBAL_DATA[[#This Row],[Reestimated 2020]],GLOBAL_DATA[[#This Row],[Reestimated 2021]],GLOBAL_DATA[[#This Row],[Reestimated 2022]],GLOBAL_DATA[[#This Row],[Reestimated 2023]])</f>
        <v>0</v>
      </c>
      <c r="Q7" s="183">
        <f>SUM(GLOBAL_DATA[[#This Row],[Spent 2020]],GLOBAL_DATA[[#This Row],[Spent 2021]],GLOBAL_DATA[[#This Row],[Spent 2022]],GLOBAL_DATA[[#This Row],[Spent 2023]])</f>
        <v>0</v>
      </c>
      <c r="R7" s="184"/>
      <c r="S7" s="185"/>
      <c r="T7" s="186"/>
      <c r="U7" s="184">
        <v>0</v>
      </c>
      <c r="V7" s="185"/>
      <c r="W7" s="185"/>
      <c r="X7" s="184">
        <v>0</v>
      </c>
      <c r="Y7" s="185">
        <v>0</v>
      </c>
      <c r="Z7" s="186">
        <v>0</v>
      </c>
      <c r="AA7" s="185">
        <v>0</v>
      </c>
      <c r="AB7" s="185">
        <v>0</v>
      </c>
      <c r="AC7" s="187">
        <v>0</v>
      </c>
      <c r="AD7" s="125">
        <f>IF(GLOBAL_DATA[[#This Row],[Target scope]]&lt;&gt;Target_Not_Applicable,GLOBAL_DATA[[#This Row],[Target scope]]*GLOBAL_DATA[[#This Row],[Implementation progress rate]],"")</f>
        <v>0</v>
      </c>
      <c r="AE7" s="128">
        <f>IF(OR(GLOBAL_DATA[[#This Row],[Status]]=DATA!$J$6,GLOBAL_DATA[[#This Row],[Status]]=DATA!$J$7,GLOBAL_DATA[[#This Row],[Status]]=DATA!$J$8),1,0)</f>
        <v>0</v>
      </c>
      <c r="AF7" s="129">
        <f>IF(GLOBAL_DATA[[#This Row],[Status]]=Status_No_Project,"",MAX(GLOBAL_DATA[[#This Row],[Initial end]],GLOBAL_DATA[[#This Row],[Re-estimated end]],43831))</f>
        <v>44560</v>
      </c>
      <c r="AG7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1</v>
      </c>
      <c r="AH7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7" s="199"/>
      <c r="AJ7" s="193" t="str">
        <f>IF(AND(GLOBAL_DATA[[#This Row],[Status]]=DATA_Status_TOBESTARTED,GLOBAL_DATA[[#This Row],[Implementation progress rate]]&gt;0),DATA_DQA_1,"")</f>
        <v/>
      </c>
      <c r="AK7" s="192" t="str">
        <f>IF(AND(GLOBAL_DATA[[#This Row],[Status]]=In_progress,GLOBAL_DATA[[#This Row],[Implementation progress rate]]=1),DATA_DQA_2,"")</f>
        <v/>
      </c>
      <c r="AL7" s="192" t="str">
        <f>IF(AND(GLOBAL_DATA[[#This Row],[Status]]=In_progress,GLOBAL_DATA[[#This Row],[Implementation progress rate]]=0),DATA_DQA_2,"")</f>
        <v>IN PROGRESS and progress =100%</v>
      </c>
      <c r="AM7" s="192" t="str">
        <f>IF(AND(GLOBAL_DATA[[#This Row],[Status]]=Done,GLOBAL_DATA[[#This Row],[Implementation progress rate]]&lt;1),DATA_QDA_4,"")</f>
        <v/>
      </c>
      <c r="AN7" s="192" t="str" cm="1">
        <f t="array" ref="AN7">IF(GLOBAL_DATA[[#This Row],[Status]]="",DATA_QDA_7,"")</f>
        <v/>
      </c>
      <c r="AO7" s="192" t="str">
        <f>IF(AND(GLOBAL_DATA[[#This Row],[Initial end]]="",GLOBAL_DATA[[#This Row],[Re-estimated end]]="",GLOBAL_DATA[[#This Row],[Status]]=DATA_Status_INPROGRESS),DATA_QDA_12,"")</f>
        <v/>
      </c>
      <c r="AP7" s="192" t="str">
        <f>IF(AND(GLOBAL_DATA[[#This Row],[Initial end]]="",GLOBAL_DATA[[#This Row],[Re-estimated end]]="",GLOBAL_DATA[[#This Row],[Status]]=DATA_Status_TOBESTARTED),DATA_QDA_13,"")</f>
        <v/>
      </c>
      <c r="AQ7" s="192" t="str">
        <f>IF(AND(GLOBAL_DATA[[#This Row],[Status]]=DATA_Status_INPROGRESS,GLOBAL_DATA[[#This Row],[Total Initial]]=0,GLOBAL_DATA[[#This Row],[Total re-estimated]]=0),DATA_DQA_11,"")</f>
        <v>IN PROGRESS  but no budget</v>
      </c>
      <c r="AR7" s="192" t="str">
        <f>IF(AND(GLOBAL_DATA[[#This Row],[Will be done]]=1,SUM(GLOBAL_DATA[[#This Row],[Total Initial]]:GLOBAL_DATA[[#This Row],[Total Spent]])&lt;&gt;0,GLOBAL_DATA[[#This Row],[Kick-off]]=""),DATA_DQA_16,"")</f>
        <v/>
      </c>
      <c r="AS7" s="192" t="str">
        <f>IF(AND(GLOBAL_DATA[[#This Row],[Will be done]]=1,SUM(GLOBAL_DATA[[#This Row],[Total Initial]]:GLOBAL_DATA[[#This Row],[Total Spent]])&lt;&gt;0,GLOBAL_DATA[[#This Row],[Initial end]]=""),DATA_QDA_17,"")</f>
        <v/>
      </c>
      <c r="AT7" s="192" t="str">
        <f ca="1">IF(AND(IFERROR(DATEDIF(GLOBAL_DATA[[#This Row],[Kick-off]],TODAY(),"m"),0)&lt;&gt;0,OR(GLOBAL_DATA[[#This Row],[Status]]=DATA_Status_TOBESTARTED)),DATA_QDA_19,"")</f>
        <v/>
      </c>
      <c r="AU7" s="192" t="str">
        <f>IF(AND(GLOBAL_DATA[[#This Row],[Kick-off]]&lt;&gt;"",GLOBAL_DATA[[#This Row],[Kick-off]]&gt;GLOBAL_DATA[[#This Row],[Re-estimated end]]),DATA_DQA_14,"")</f>
        <v/>
      </c>
      <c r="AV7" s="192" t="str">
        <f ca="1">IF(AND(IFERROR(DATEDIF(TODAY(),GLOBAL_DATA[[#This Row],[Re-estimated end]],"m"),0)&gt;1,GLOBAL_DATA[[#This Row],[Implementation progress rate]]=1),DATA_QDA_8,"")</f>
        <v/>
      </c>
      <c r="AW7" s="192" t="str" cm="1">
        <f t="array" ref="AW7">IF(AND(GLOBAL_DATA[[#This Row],[CISO assessment]]="Warning only",TRIM(GLOBAL_DATA[[#This Row],[CISO Comments]])=""),DATA_DQA_9,"")</f>
        <v/>
      </c>
      <c r="AX7" s="192" t="str">
        <f>IF(AND(GLOBAL_DATA[[#This Row],[CISO assessment]]="Alert",TRIM(GLOBAL_DATA[[#This Row],[CISO Comments]])=""),DATA_DQA_10,"")</f>
        <v/>
      </c>
      <c r="AY7" s="192" t="s">
        <v>574</v>
      </c>
      <c r="AZ7" s="195">
        <f>IF(OR(GLOBAL_DATA[[#This Row],[Status]]="",GLOBAL_DATA[[#This Row],[Status]]=Risk_accepted,GLOBAL_DATA[[#This Row],[Status]]=Target_Not_Applicable),1,0)</f>
        <v>0</v>
      </c>
      <c r="BA7" s="196">
        <f>IF(OR(GLOBAL_DATA[[#This Row],[Status]]=DATA_Status_TOBESTARTED,GLOBAL_DATA[[#This Row],[Status]]=DATA_Status_INPROGRESS),1,0)</f>
        <v>1</v>
      </c>
      <c r="BB7" s="196">
        <f>IF(OR(GLOBAL_DATA[[#This Row],[Status]]=Done,GLOBAL_DATA[[#This Row],[Status]]=Checked),1,0)</f>
        <v>0</v>
      </c>
    </row>
    <row r="8" spans="1:54" ht="42" customHeight="1" x14ac:dyDescent="0.25">
      <c r="A8" s="197" t="s">
        <v>598</v>
      </c>
      <c r="B8" s="197" t="s">
        <v>598</v>
      </c>
      <c r="C8" s="170" t="str">
        <f>IF(GLOBAL_DATA[[#This Row],[Target scope]]="","",INDEX(DATA_TargetStatusChoice[Target_Status_Choice],MATCH(GLOBAL_DATA[[#This Row],[Target scope]],DATA_TargetStatusChoice[Value],1)))</f>
        <v>FULL IMPLEMENTATION</v>
      </c>
      <c r="D8" s="168">
        <v>1</v>
      </c>
      <c r="E8" s="168" t="s">
        <v>75</v>
      </c>
      <c r="F8" s="178" t="s">
        <v>33</v>
      </c>
      <c r="G8" s="179">
        <v>0.5</v>
      </c>
      <c r="H8" s="179" t="s">
        <v>384</v>
      </c>
      <c r="I8" s="180" t="s">
        <v>598</v>
      </c>
      <c r="J8" s="178" t="s">
        <v>428</v>
      </c>
      <c r="K8" s="198" t="s">
        <v>388</v>
      </c>
      <c r="L8" s="171">
        <v>43466</v>
      </c>
      <c r="M8" s="171">
        <v>44195</v>
      </c>
      <c r="N8" s="171">
        <v>44560</v>
      </c>
      <c r="O8" s="181">
        <f>SUM(GLOBAL_DATA[[#This Row],[Initial 2020]],GLOBAL_DATA[[#This Row],[Initial 2021]],GLOBAL_DATA[[#This Row],[Initial 2022]],GLOBAL_DATA[[#This Row],[Initial 2023]])</f>
        <v>0</v>
      </c>
      <c r="P8" s="182">
        <f>SUM(GLOBAL_DATA[[#This Row],[Reestimated 2020]],GLOBAL_DATA[[#This Row],[Reestimated 2021]],GLOBAL_DATA[[#This Row],[Reestimated 2022]],GLOBAL_DATA[[#This Row],[Reestimated 2023]])</f>
        <v>0</v>
      </c>
      <c r="Q8" s="183">
        <f>SUM(GLOBAL_DATA[[#This Row],[Spent 2020]],GLOBAL_DATA[[#This Row],[Spent 2021]],GLOBAL_DATA[[#This Row],[Spent 2022]],GLOBAL_DATA[[#This Row],[Spent 2023]])</f>
        <v>0</v>
      </c>
      <c r="R8" s="184"/>
      <c r="S8" s="185"/>
      <c r="T8" s="186"/>
      <c r="U8" s="184">
        <v>0</v>
      </c>
      <c r="V8" s="185"/>
      <c r="W8" s="185"/>
      <c r="X8" s="184">
        <v>0</v>
      </c>
      <c r="Y8" s="185">
        <v>0</v>
      </c>
      <c r="Z8" s="186">
        <v>0</v>
      </c>
      <c r="AA8" s="185">
        <v>0</v>
      </c>
      <c r="AB8" s="185">
        <v>0</v>
      </c>
      <c r="AC8" s="187">
        <v>0</v>
      </c>
      <c r="AD8" s="125">
        <f>IF(GLOBAL_DATA[[#This Row],[Target scope]]&lt;&gt;Target_Not_Applicable,GLOBAL_DATA[[#This Row],[Target scope]]*GLOBAL_DATA[[#This Row],[Implementation progress rate]],"")</f>
        <v>0.5</v>
      </c>
      <c r="AE8" s="128">
        <f>IF(OR(GLOBAL_DATA[[#This Row],[Status]]=DATA!$J$6,GLOBAL_DATA[[#This Row],[Status]]=DATA!$J$7,GLOBAL_DATA[[#This Row],[Status]]=DATA!$J$8),1,0)</f>
        <v>1</v>
      </c>
      <c r="AF8" s="129">
        <f>IF(GLOBAL_DATA[[#This Row],[Status]]=Status_No_Project,"",MAX(GLOBAL_DATA[[#This Row],[Initial end]],GLOBAL_DATA[[#This Row],[Re-estimated end]],43831))</f>
        <v>44560</v>
      </c>
      <c r="AG8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8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8" s="199"/>
      <c r="AJ8" s="193" t="str">
        <f>IF(AND(GLOBAL_DATA[[#This Row],[Status]]=DATA_Status_TOBESTARTED,GLOBAL_DATA[[#This Row],[Implementation progress rate]]&gt;0),DATA_DQA_1,"")</f>
        <v/>
      </c>
      <c r="AK8" s="192" t="str">
        <f>IF(AND(GLOBAL_DATA[[#This Row],[Status]]=In_progress,GLOBAL_DATA[[#This Row],[Implementation progress rate]]=1),DATA_DQA_2,"")</f>
        <v/>
      </c>
      <c r="AL8" s="192" t="str" cm="1">
        <f t="array" ref="AL8">IF(AND(GLOBAL_DATA[[#This Row],[Status]]=In_progress,GLOBAL_DATA[[#This Row],[Implementation progress rate]]=0),DATA_DQA_3,"")</f>
        <v/>
      </c>
      <c r="AM8" s="192" t="str">
        <f>IF(AND(GLOBAL_DATA[[#This Row],[Status]]=Done,GLOBAL_DATA[[#This Row],[Implementation progress rate]]&lt;1),DATA_QDA_4,"")</f>
        <v>DONE and progress &lt; 100%</v>
      </c>
      <c r="AN8" s="192" t="str" cm="1">
        <f t="array" ref="AN8">IF(GLOBAL_DATA[[#This Row],[Status]]="",DATA_QDA_7,"")</f>
        <v/>
      </c>
      <c r="AO8" s="192" t="str">
        <f>IF(AND(GLOBAL_DATA[[#This Row],[Initial end]]="",GLOBAL_DATA[[#This Row],[Re-estimated end]]="",GLOBAL_DATA[[#This Row],[Status]]=DATA_Status_INPROGRESS),DATA_QDA_12,"")</f>
        <v/>
      </c>
      <c r="AP8" s="192" t="str">
        <f>IF(AND(GLOBAL_DATA[[#This Row],[Initial end]]="",GLOBAL_DATA[[#This Row],[Re-estimated end]]="",GLOBAL_DATA[[#This Row],[Status]]=DATA_Status_TOBESTARTED),DATA_QDA_13,"")</f>
        <v/>
      </c>
      <c r="AQ8" s="192" t="str">
        <f>IF(AND(GLOBAL_DATA[[#This Row],[Status]]=DATA_Status_INPROGRESS,GLOBAL_DATA[[#This Row],[Total Initial]]=0,GLOBAL_DATA[[#This Row],[Total re-estimated]]=0),DATA_DQA_11,"")</f>
        <v/>
      </c>
      <c r="AR8" s="192" t="str">
        <f>IF(AND(GLOBAL_DATA[[#This Row],[Will be done]]=1,SUM(GLOBAL_DATA[[#This Row],[Total Initial]]:GLOBAL_DATA[[#This Row],[Total Spent]])&lt;&gt;0,GLOBAL_DATA[[#This Row],[Kick-off]]=""),DATA_DQA_16,"")</f>
        <v/>
      </c>
      <c r="AS8" s="192" t="str">
        <f>IF(AND(GLOBAL_DATA[[#This Row],[Will be done]]=1,SUM(GLOBAL_DATA[[#This Row],[Total Initial]]:GLOBAL_DATA[[#This Row],[Total Spent]])&lt;&gt;0,GLOBAL_DATA[[#This Row],[Initial end]]=""),DATA_QDA_17,"")</f>
        <v/>
      </c>
      <c r="AT8" s="192" t="str">
        <f ca="1">IF(AND(IFERROR(DATEDIF(GLOBAL_DATA[[#This Row],[Kick-off]],TODAY(),"m"),0)&lt;&gt;0,OR(GLOBAL_DATA[[#This Row],[Status]]=DATA_Status_TOBESTARTED)),DATA_QDA_19,"")</f>
        <v/>
      </c>
      <c r="AU8" s="192" t="str">
        <f>IF(AND(GLOBAL_DATA[[#This Row],[Kick-off]]&lt;&gt;"",GLOBAL_DATA[[#This Row],[Kick-off]]&gt;GLOBAL_DATA[[#This Row],[Re-estimated end]]),DATA_DQA_14,"")</f>
        <v/>
      </c>
      <c r="AV8" s="192" t="str">
        <f ca="1">IF(AND(IFERROR(DATEDIF(TODAY(),GLOBAL_DATA[[#This Row],[Re-estimated end]],"m"),0)&gt;1,GLOBAL_DATA[[#This Row],[Implementation progress rate]]=1),DATA_QDA_8,"")</f>
        <v/>
      </c>
      <c r="AW8" s="192" t="str" cm="1">
        <f t="array" ref="AW8">IF(AND(GLOBAL_DATA[[#This Row],[CISO assessment]]="Warning only",TRIM(GLOBAL_DATA[[#This Row],[CISO Comments]])=""),DATA_DQA_9,"")</f>
        <v/>
      </c>
      <c r="AX8" s="192" t="str">
        <f>IF(AND(GLOBAL_DATA[[#This Row],[CISO assessment]]="Alert",TRIM(GLOBAL_DATA[[#This Row],[CISO Comments]])=""),DATA_DQA_10,"")</f>
        <v/>
      </c>
      <c r="AY8" s="192" t="s">
        <v>574</v>
      </c>
      <c r="AZ8" s="195">
        <f>IF(OR(GLOBAL_DATA[[#This Row],[Status]]="",GLOBAL_DATA[[#This Row],[Status]]=Risk_accepted,GLOBAL_DATA[[#This Row],[Status]]=Target_Not_Applicable),1,0)</f>
        <v>0</v>
      </c>
      <c r="BA8" s="196">
        <f>IF(OR(GLOBAL_DATA[[#This Row],[Status]]=DATA_Status_TOBESTARTED,GLOBAL_DATA[[#This Row],[Status]]=DATA_Status_INPROGRESS),1,0)</f>
        <v>0</v>
      </c>
      <c r="BB8" s="196">
        <f>IF(OR(GLOBAL_DATA[[#This Row],[Status]]=Done,GLOBAL_DATA[[#This Row],[Status]]=Checked),1,0)</f>
        <v>1</v>
      </c>
    </row>
    <row r="9" spans="1:54" ht="42" customHeight="1" x14ac:dyDescent="0.25">
      <c r="A9" s="197" t="s">
        <v>598</v>
      </c>
      <c r="B9" s="197" t="s">
        <v>598</v>
      </c>
      <c r="C9" s="170" t="str">
        <f>IF(GLOBAL_DATA[[#This Row],[Target scope]]="","",INDEX(DATA_TargetStatusChoice[Target_Status_Choice],MATCH(GLOBAL_DATA[[#This Row],[Target scope]],DATA_TargetStatusChoice[Value],1)))</f>
        <v>FULL IMPLEMENTATION</v>
      </c>
      <c r="D9" s="168">
        <v>1</v>
      </c>
      <c r="E9" s="168" t="s">
        <v>75</v>
      </c>
      <c r="F9" s="178"/>
      <c r="G9" s="179">
        <v>1</v>
      </c>
      <c r="H9" s="179" t="s">
        <v>384</v>
      </c>
      <c r="I9" s="180" t="s">
        <v>598</v>
      </c>
      <c r="J9" s="178" t="s">
        <v>429</v>
      </c>
      <c r="K9" s="198" t="s">
        <v>575</v>
      </c>
      <c r="L9" s="171">
        <v>43891</v>
      </c>
      <c r="M9" s="171">
        <v>44084</v>
      </c>
      <c r="N9" s="171"/>
      <c r="O9" s="181">
        <f>SUM(GLOBAL_DATA[[#This Row],[Initial 2020]],GLOBAL_DATA[[#This Row],[Initial 2021]],GLOBAL_DATA[[#This Row],[Initial 2022]],GLOBAL_DATA[[#This Row],[Initial 2023]])</f>
        <v>0</v>
      </c>
      <c r="P9" s="182">
        <f>SUM(GLOBAL_DATA[[#This Row],[Reestimated 2020]],GLOBAL_DATA[[#This Row],[Reestimated 2021]],GLOBAL_DATA[[#This Row],[Reestimated 2022]],GLOBAL_DATA[[#This Row],[Reestimated 2023]])</f>
        <v>0</v>
      </c>
      <c r="Q9" s="183">
        <f>SUM(GLOBAL_DATA[[#This Row],[Spent 2020]],GLOBAL_DATA[[#This Row],[Spent 2021]],GLOBAL_DATA[[#This Row],[Spent 2022]],GLOBAL_DATA[[#This Row],[Spent 2023]])</f>
        <v>0</v>
      </c>
      <c r="R9" s="184"/>
      <c r="S9" s="185"/>
      <c r="T9" s="186"/>
      <c r="U9" s="184"/>
      <c r="V9" s="185"/>
      <c r="W9" s="185"/>
      <c r="X9" s="184"/>
      <c r="Y9" s="185"/>
      <c r="Z9" s="186"/>
      <c r="AA9" s="185">
        <v>0</v>
      </c>
      <c r="AB9" s="185">
        <v>0</v>
      </c>
      <c r="AC9" s="187">
        <v>0</v>
      </c>
      <c r="AD9" s="125">
        <f>IF(GLOBAL_DATA[[#This Row],[Target scope]]&lt;&gt;Target_Not_Applicable,GLOBAL_DATA[[#This Row],[Target scope]]*GLOBAL_DATA[[#This Row],[Implementation progress rate]],"")</f>
        <v>1</v>
      </c>
      <c r="AE9" s="128">
        <f>IF(OR(GLOBAL_DATA[[#This Row],[Status]]=DATA!$J$6,GLOBAL_DATA[[#This Row],[Status]]=DATA!$J$7,GLOBAL_DATA[[#This Row],[Status]]=DATA!$J$8),1,0)</f>
        <v>0</v>
      </c>
      <c r="AF9" s="129">
        <f>IF(GLOBAL_DATA[[#This Row],[Status]]=Status_No_Project,"",MAX(GLOBAL_DATA[[#This Row],[Initial end]],GLOBAL_DATA[[#This Row],[Re-estimated end]],43831))</f>
        <v>44084</v>
      </c>
      <c r="AG9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9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9" s="199"/>
      <c r="AJ9" s="193" t="str">
        <f>IF(AND(GLOBAL_DATA[[#This Row],[Status]]=DATA_Status_TOBESTARTED,GLOBAL_DATA[[#This Row],[Implementation progress rate]]&gt;0),DATA_DQA_1,"")</f>
        <v/>
      </c>
      <c r="AK9" s="192" t="str">
        <f>IF(AND(GLOBAL_DATA[[#This Row],[Status]]=In_progress,GLOBAL_DATA[[#This Row],[Implementation progress rate]]=1),DATA_DQA_2,"")</f>
        <v/>
      </c>
      <c r="AL9" s="192" t="str" cm="1">
        <f t="array" ref="AL9">IF(AND(GLOBAL_DATA[[#This Row],[Status]]=In_progress,GLOBAL_DATA[[#This Row],[Implementation progress rate]]=0),DATA_DQA_3,"")</f>
        <v/>
      </c>
      <c r="AM9" s="192" t="str">
        <f>IF(AND(GLOBAL_DATA[[#This Row],[Status]]=Done,GLOBAL_DATA[[#This Row],[Implementation progress rate]]&lt;1),DATA_QDA_4,"")</f>
        <v/>
      </c>
      <c r="AN9" s="192" t="str" cm="1">
        <f t="array" ref="AN9">IF(GLOBAL_DATA[[#This Row],[Status]]="",DATA_QDA_7,"")</f>
        <v>No status selected</v>
      </c>
      <c r="AO9" s="192" t="str">
        <f>IF(AND(GLOBAL_DATA[[#This Row],[Initial end]]="",GLOBAL_DATA[[#This Row],[Re-estimated end]]="",GLOBAL_DATA[[#This Row],[Status]]=DATA_Status_INPROGRESS),DATA_QDA_12,"")</f>
        <v/>
      </c>
      <c r="AP9" s="192" t="str">
        <f>IF(AND(GLOBAL_DATA[[#This Row],[Initial end]]="",GLOBAL_DATA[[#This Row],[Re-estimated end]]="",GLOBAL_DATA[[#This Row],[Status]]=DATA_Status_TOBESTARTED),DATA_QDA_13,"")</f>
        <v/>
      </c>
      <c r="AQ9" s="192" t="str">
        <f>IF(AND(GLOBAL_DATA[[#This Row],[Status]]=DATA_Status_INPROGRESS,GLOBAL_DATA[[#This Row],[Total Initial]]=0,GLOBAL_DATA[[#This Row],[Total re-estimated]]=0),DATA_DQA_11,"")</f>
        <v/>
      </c>
      <c r="AR9" s="192" t="str">
        <f>IF(AND(GLOBAL_DATA[[#This Row],[Will be done]]=1,SUM(GLOBAL_DATA[[#This Row],[Total Initial]]:GLOBAL_DATA[[#This Row],[Total Spent]])&lt;&gt;0,GLOBAL_DATA[[#This Row],[Kick-off]]=""),DATA_DQA_16,"")</f>
        <v/>
      </c>
      <c r="AS9" s="192" t="str">
        <f>IF(AND(GLOBAL_DATA[[#This Row],[Will be done]]=1,SUM(GLOBAL_DATA[[#This Row],[Total Initial]]:GLOBAL_DATA[[#This Row],[Total Spent]])&lt;&gt;0,GLOBAL_DATA[[#This Row],[Initial end]]=""),DATA_QDA_17,"")</f>
        <v/>
      </c>
      <c r="AT9" s="192" t="str">
        <f ca="1">IF(AND(IFERROR(DATEDIF(GLOBAL_DATA[[#This Row],[Kick-off]],TODAY(),"m"),0)&lt;&gt;0,OR(GLOBAL_DATA[[#This Row],[Status]]=DATA_Status_TOBESTARTED)),DATA_QDA_19,"")</f>
        <v/>
      </c>
      <c r="AU9" s="192" t="str">
        <f>IF(AND(GLOBAL_DATA[[#This Row],[Kick-off]]&lt;&gt;"",GLOBAL_DATA[[#This Row],[Kick-off]]&gt;GLOBAL_DATA[[#This Row],[Re-estimated end]]),DATA_DQA_14,"")</f>
        <v>Kick-off scheduled after reestimated-end or intial-end</v>
      </c>
      <c r="AV9" s="192" t="str">
        <f ca="1">IF(AND(IFERROR(DATEDIF(TODAY(),GLOBAL_DATA[[#This Row],[Re-estimated end]],"m"),0)&gt;1,GLOBAL_DATA[[#This Row],[Implementation progress rate]]=1),DATA_QDA_8,"")</f>
        <v/>
      </c>
      <c r="AW9" s="192" t="str" cm="1">
        <f t="array" ref="AW9">IF(AND(GLOBAL_DATA[[#This Row],[CISO assessment]]="Warning only",TRIM(GLOBAL_DATA[[#This Row],[CISO Comments]])=""),DATA_DQA_9,"")</f>
        <v/>
      </c>
      <c r="AX9" s="192" t="str">
        <f>IF(AND(GLOBAL_DATA[[#This Row],[CISO assessment]]="Alert",TRIM(GLOBAL_DATA[[#This Row],[CISO Comments]])=""),DATA_DQA_10,"")</f>
        <v/>
      </c>
      <c r="AY9" s="192" t="s">
        <v>574</v>
      </c>
      <c r="AZ9" s="195">
        <f>IF(OR(GLOBAL_DATA[[#This Row],[Status]]="",GLOBAL_DATA[[#This Row],[Status]]=Risk_accepted,GLOBAL_DATA[[#This Row],[Status]]=Target_Not_Applicable),1,0)</f>
        <v>1</v>
      </c>
      <c r="BA9" s="196">
        <f>IF(OR(GLOBAL_DATA[[#This Row],[Status]]=DATA_Status_TOBESTARTED,GLOBAL_DATA[[#This Row],[Status]]=DATA_Status_INPROGRESS),1,0)</f>
        <v>0</v>
      </c>
      <c r="BB9" s="196">
        <f>IF(OR(GLOBAL_DATA[[#This Row],[Status]]=Done,GLOBAL_DATA[[#This Row],[Status]]=Checked),1,0)</f>
        <v>0</v>
      </c>
    </row>
    <row r="10" spans="1:54" ht="42" customHeight="1" x14ac:dyDescent="0.25">
      <c r="A10" s="197" t="s">
        <v>598</v>
      </c>
      <c r="B10" s="197" t="s">
        <v>598</v>
      </c>
      <c r="C10" s="170" t="str">
        <f>IF(GLOBAL_DATA[[#This Row],[Target scope]]="","",INDEX(DATA_TargetStatusChoice[Target_Status_Choice],MATCH(GLOBAL_DATA[[#This Row],[Target scope]],DATA_TargetStatusChoice[Value],1)))</f>
        <v>FULL IMPLEMENTATION</v>
      </c>
      <c r="D10" s="168">
        <v>1</v>
      </c>
      <c r="E10" s="168" t="s">
        <v>75</v>
      </c>
      <c r="F10" s="178" t="s">
        <v>32</v>
      </c>
      <c r="G10" s="179">
        <v>0.5</v>
      </c>
      <c r="H10" s="179" t="s">
        <v>384</v>
      </c>
      <c r="I10" s="180" t="s">
        <v>598</v>
      </c>
      <c r="J10" s="178" t="s">
        <v>429</v>
      </c>
      <c r="K10" s="198" t="s">
        <v>575</v>
      </c>
      <c r="L10" s="171"/>
      <c r="M10" s="171"/>
      <c r="N10" s="171"/>
      <c r="O10" s="181">
        <f>SUM(GLOBAL_DATA[[#This Row],[Initial 2020]],GLOBAL_DATA[[#This Row],[Initial 2021]],GLOBAL_DATA[[#This Row],[Initial 2022]],GLOBAL_DATA[[#This Row],[Initial 2023]])</f>
        <v>3</v>
      </c>
      <c r="P10" s="182">
        <f>SUM(GLOBAL_DATA[[#This Row],[Reestimated 2020]],GLOBAL_DATA[[#This Row],[Reestimated 2021]],GLOBAL_DATA[[#This Row],[Reestimated 2022]],GLOBAL_DATA[[#This Row],[Reestimated 2023]])</f>
        <v>0</v>
      </c>
      <c r="Q10" s="183">
        <f>SUM(GLOBAL_DATA[[#This Row],[Spent 2020]],GLOBAL_DATA[[#This Row],[Spent 2021]],GLOBAL_DATA[[#This Row],[Spent 2022]],GLOBAL_DATA[[#This Row],[Spent 2023]])</f>
        <v>0</v>
      </c>
      <c r="R10" s="184"/>
      <c r="S10" s="185"/>
      <c r="T10" s="186"/>
      <c r="U10" s="184"/>
      <c r="V10" s="185"/>
      <c r="W10" s="185"/>
      <c r="X10" s="184">
        <v>3</v>
      </c>
      <c r="Y10" s="185"/>
      <c r="Z10" s="186"/>
      <c r="AA10" s="185">
        <v>0</v>
      </c>
      <c r="AB10" s="185">
        <v>0</v>
      </c>
      <c r="AC10" s="187">
        <v>0</v>
      </c>
      <c r="AD10" s="125">
        <f>IF(GLOBAL_DATA[[#This Row],[Target scope]]&lt;&gt;Target_Not_Applicable,GLOBAL_DATA[[#This Row],[Target scope]]*GLOBAL_DATA[[#This Row],[Implementation progress rate]],"")</f>
        <v>0.5</v>
      </c>
      <c r="AE10" s="128">
        <f>IF(OR(GLOBAL_DATA[[#This Row],[Status]]=DATA!$J$6,GLOBAL_DATA[[#This Row],[Status]]=DATA!$J$7,GLOBAL_DATA[[#This Row],[Status]]=DATA!$J$8),1,0)</f>
        <v>0</v>
      </c>
      <c r="AF10" s="129">
        <f>IF(GLOBAL_DATA[[#This Row],[Status]]=Status_No_Project,"",MAX(GLOBAL_DATA[[#This Row],[Initial end]],GLOBAL_DATA[[#This Row],[Re-estimated end]],43831))</f>
        <v>43831</v>
      </c>
      <c r="AG10" s="167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0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0" s="199"/>
      <c r="AJ10" s="193" t="str">
        <f>IF(AND(GLOBAL_DATA[[#This Row],[Status]]=DATA_Status_TOBESTARTED,GLOBAL_DATA[[#This Row],[Implementation progress rate]]&gt;0),DATA_DQA_1,"")</f>
        <v/>
      </c>
      <c r="AK10" s="192" t="str">
        <f>IF(AND(GLOBAL_DATA[[#This Row],[Status]]=In_progress,GLOBAL_DATA[[#This Row],[Implementation progress rate]]=1),DATA_DQA_2,"")</f>
        <v/>
      </c>
      <c r="AL10" s="192" t="str" cm="1">
        <f t="array" ref="AL10">IF(AND(GLOBAL_DATA[[#This Row],[Status]]=In_progress,GLOBAL_DATA[[#This Row],[Implementation progress rate]]=0),DATA_DQA_3,"")</f>
        <v/>
      </c>
      <c r="AM10" s="192" t="str">
        <f>IF(AND(GLOBAL_DATA[[#This Row],[Status]]=Done,GLOBAL_DATA[[#This Row],[Implementation progress rate]]&lt;1),DATA_QDA_4,"")</f>
        <v/>
      </c>
      <c r="AN10" s="192" t="str" cm="1">
        <f t="array" ref="AN10">IF(GLOBAL_DATA[[#This Row],[Status]]="",DATA_QDA_7,"")</f>
        <v/>
      </c>
      <c r="AO10" s="192" t="str">
        <f>IF(AND(GLOBAL_DATA[[#This Row],[Initial end]]="",GLOBAL_DATA[[#This Row],[Re-estimated end]]="",GLOBAL_DATA[[#This Row],[Status]]=DATA_Status_INPROGRESS),DATA_QDA_12,"")</f>
        <v>IN PROGRESS but no planning defined</v>
      </c>
      <c r="AP10" s="192" t="str">
        <f>IF(AND(GLOBAL_DATA[[#This Row],[Initial end]]="",GLOBAL_DATA[[#This Row],[Re-estimated end]]="",GLOBAL_DATA[[#This Row],[Status]]=DATA_Status_TOBESTARTED),DATA_QDA_13,"")</f>
        <v/>
      </c>
      <c r="AQ10" s="192" t="str">
        <f>IF(AND(GLOBAL_DATA[[#This Row],[Status]]=DATA_Status_INPROGRESS,GLOBAL_DATA[[#This Row],[Total Initial]]=0,GLOBAL_DATA[[#This Row],[Total re-estimated]]=0),DATA_DQA_11,"")</f>
        <v/>
      </c>
      <c r="AR10" s="192" t="str">
        <f>IF(AND(GLOBAL_DATA[[#This Row],[Will be done]]=1,SUM(GLOBAL_DATA[[#This Row],[Total Initial]]:GLOBAL_DATA[[#This Row],[Total Spent]])&lt;&gt;0,GLOBAL_DATA[[#This Row],[Kick-off]]=""),DATA_DQA_16,"")</f>
        <v>Budget but no kick-off date</v>
      </c>
      <c r="AS10" s="192" t="str">
        <f>IF(AND(GLOBAL_DATA[[#This Row],[Will be done]]=1,SUM(GLOBAL_DATA[[#This Row],[Total Initial]]:GLOBAL_DATA[[#This Row],[Total Spent]])&lt;&gt;0,GLOBAL_DATA[[#This Row],[Initial end]]=""),DATA_QDA_17,"")</f>
        <v>Budget nut no end date</v>
      </c>
      <c r="AT10" s="192" t="str">
        <f ca="1">IF(AND(IFERROR(DATEDIF(GLOBAL_DATA[[#This Row],[Kick-off]],TODAY(),"m"),0)&lt;&gt;0,OR(GLOBAL_DATA[[#This Row],[Status]]=DATA_Status_TOBESTARTED)),DATA_QDA_19,"")</f>
        <v/>
      </c>
      <c r="AU10" s="192" t="str">
        <f>IF(AND(GLOBAL_DATA[[#This Row],[Kick-off]]&lt;&gt;"",GLOBAL_DATA[[#This Row],[Kick-off]]&gt;GLOBAL_DATA[[#This Row],[Re-estimated end]]),DATA_DQA_14,"")</f>
        <v/>
      </c>
      <c r="AV10" s="192" t="str">
        <f ca="1">IF(AND(IFERROR(DATEDIF(TODAY(),GLOBAL_DATA[[#This Row],[Re-estimated end]],"m"),0)&gt;1,GLOBAL_DATA[[#This Row],[Implementation progress rate]]=1),DATA_QDA_8,"")</f>
        <v/>
      </c>
      <c r="AW10" s="192" t="str" cm="1">
        <f t="array" ref="AW10">IF(AND(GLOBAL_DATA[[#This Row],[CISO assessment]]="Warning only",TRIM(GLOBAL_DATA[[#This Row],[CISO Comments]])=""),DATA_DQA_9,"")</f>
        <v/>
      </c>
      <c r="AX10" s="192" t="str">
        <f>IF(AND(GLOBAL_DATA[[#This Row],[CISO assessment]]="Alert",TRIM(GLOBAL_DATA[[#This Row],[CISO Comments]])=""),DATA_DQA_10,"")</f>
        <v/>
      </c>
      <c r="AY10" s="192" t="s">
        <v>574</v>
      </c>
      <c r="AZ10" s="195">
        <f>IF(OR(GLOBAL_DATA[[#This Row],[Status]]="",GLOBAL_DATA[[#This Row],[Status]]=Risk_accepted,GLOBAL_DATA[[#This Row],[Status]]=Target_Not_Applicable),1,0)</f>
        <v>0</v>
      </c>
      <c r="BA10" s="196">
        <f>IF(OR(GLOBAL_DATA[[#This Row],[Status]]=DATA_Status_TOBESTARTED,GLOBAL_DATA[[#This Row],[Status]]=DATA_Status_INPROGRESS),1,0)</f>
        <v>1</v>
      </c>
      <c r="BB10" s="196">
        <f>IF(OR(GLOBAL_DATA[[#This Row],[Status]]=Done,GLOBAL_DATA[[#This Row],[Status]]=Checked),1,0)</f>
        <v>0</v>
      </c>
    </row>
    <row r="11" spans="1:54" ht="42" customHeight="1" x14ac:dyDescent="0.25">
      <c r="A11" s="197" t="s">
        <v>598</v>
      </c>
      <c r="B11" s="197" t="s">
        <v>598</v>
      </c>
      <c r="C11" s="170" t="str">
        <f>IF(GLOBAL_DATA[[#This Row],[Target scope]]="","",INDEX(DATA_TargetStatusChoice[Target_Status_Choice],MATCH(GLOBAL_DATA[[#This Row],[Target scope]],DATA_TargetStatusChoice[Value],1)))</f>
        <v>FULL IMPLEMENTATION</v>
      </c>
      <c r="D11" s="168">
        <v>1</v>
      </c>
      <c r="E11" s="168" t="s">
        <v>75</v>
      </c>
      <c r="F11" s="178" t="s">
        <v>31</v>
      </c>
      <c r="G11" s="179">
        <v>0</v>
      </c>
      <c r="H11" s="179" t="s">
        <v>384</v>
      </c>
      <c r="I11" s="180" t="s">
        <v>598</v>
      </c>
      <c r="J11" s="178" t="s">
        <v>428</v>
      </c>
      <c r="K11" s="198" t="s">
        <v>576</v>
      </c>
      <c r="L11" s="171"/>
      <c r="M11" s="171"/>
      <c r="N11" s="171"/>
      <c r="O11" s="181">
        <f>SUM(GLOBAL_DATA[[#This Row],[Initial 2020]],GLOBAL_DATA[[#This Row],[Initial 2021]],GLOBAL_DATA[[#This Row],[Initial 2022]],GLOBAL_DATA[[#This Row],[Initial 2023]])</f>
        <v>25</v>
      </c>
      <c r="P11" s="182">
        <f>SUM(GLOBAL_DATA[[#This Row],[Reestimated 2020]],GLOBAL_DATA[[#This Row],[Reestimated 2021]],GLOBAL_DATA[[#This Row],[Reestimated 2022]],GLOBAL_DATA[[#This Row],[Reestimated 2023]])</f>
        <v>0</v>
      </c>
      <c r="Q11" s="183">
        <f>SUM(GLOBAL_DATA[[#This Row],[Spent 2020]],GLOBAL_DATA[[#This Row],[Spent 2021]],GLOBAL_DATA[[#This Row],[Spent 2022]],GLOBAL_DATA[[#This Row],[Spent 2023]])</f>
        <v>0</v>
      </c>
      <c r="R11" s="184"/>
      <c r="S11" s="185"/>
      <c r="T11" s="186"/>
      <c r="U11" s="184">
        <v>25</v>
      </c>
      <c r="V11" s="185"/>
      <c r="W11" s="185"/>
      <c r="X11" s="184">
        <v>0</v>
      </c>
      <c r="Y11" s="185">
        <v>0</v>
      </c>
      <c r="Z11" s="186">
        <v>0</v>
      </c>
      <c r="AA11" s="185">
        <v>0</v>
      </c>
      <c r="AB11" s="185">
        <v>0</v>
      </c>
      <c r="AC11" s="187">
        <v>0</v>
      </c>
      <c r="AD11" s="125">
        <f>IF(GLOBAL_DATA[[#This Row],[Target scope]]&lt;&gt;Target_Not_Applicable,GLOBAL_DATA[[#This Row],[Target scope]]*GLOBAL_DATA[[#This Row],[Implementation progress rate]],"")</f>
        <v>0</v>
      </c>
      <c r="AE11" s="128">
        <f>IF(OR(GLOBAL_DATA[[#This Row],[Status]]=DATA!$J$6,GLOBAL_DATA[[#This Row],[Status]]=DATA!$J$7,GLOBAL_DATA[[#This Row],[Status]]=DATA!$J$8),1,0)</f>
        <v>0</v>
      </c>
      <c r="AF11" s="129">
        <f>IF(GLOBAL_DATA[[#This Row],[Status]]=Status_No_Project,"",MAX(GLOBAL_DATA[[#This Row],[Initial end]],GLOBAL_DATA[[#This Row],[Re-estimated end]],43831))</f>
        <v>43831</v>
      </c>
      <c r="AG11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1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1" s="199"/>
      <c r="AJ11" s="193" t="str">
        <f>IF(AND(GLOBAL_DATA[[#This Row],[Status]]=DATA_Status_TOBESTARTED,GLOBAL_DATA[[#This Row],[Implementation progress rate]]&gt;0),DATA_DQA_1,"")</f>
        <v/>
      </c>
      <c r="AK11" s="192" t="str">
        <f>IF(AND(GLOBAL_DATA[[#This Row],[Status]]=In_progress,GLOBAL_DATA[[#This Row],[Implementation progress rate]]=1),DATA_DQA_2,"")</f>
        <v/>
      </c>
      <c r="AL11" s="192" t="str" cm="1">
        <f t="array" ref="AL11">IF(AND(GLOBAL_DATA[[#This Row],[Status]]=In_progress,GLOBAL_DATA[[#This Row],[Implementation progress rate]]=0),DATA_DQA_3,"")</f>
        <v/>
      </c>
      <c r="AM11" s="192" t="str">
        <f>IF(AND(GLOBAL_DATA[[#This Row],[Status]]=Done,GLOBAL_DATA[[#This Row],[Implementation progress rate]]&lt;1),DATA_QDA_4,"")</f>
        <v/>
      </c>
      <c r="AN11" s="192" t="str" cm="1">
        <f t="array" ref="AN11">IF(GLOBAL_DATA[[#This Row],[Status]]="",DATA_QDA_7,"")</f>
        <v/>
      </c>
      <c r="AO11" s="192" t="str">
        <f>IF(AND(GLOBAL_DATA[[#This Row],[Initial end]]="",GLOBAL_DATA[[#This Row],[Re-estimated end]]="",GLOBAL_DATA[[#This Row],[Status]]=DATA_Status_INPROGRESS),DATA_QDA_12,"")</f>
        <v/>
      </c>
      <c r="AP11" s="192" t="str">
        <f>IF(AND(GLOBAL_DATA[[#This Row],[Initial end]]="",GLOBAL_DATA[[#This Row],[Re-estimated end]]="",GLOBAL_DATA[[#This Row],[Status]]=DATA_Status_TOBESTARTED),DATA_QDA_13,"")</f>
        <v>TO BE STARTED but no planning defined</v>
      </c>
      <c r="AQ11" s="192" t="str">
        <f>IF(AND(GLOBAL_DATA[[#This Row],[Status]]=DATA_Status_INPROGRESS,GLOBAL_DATA[[#This Row],[Total Initial]]=0,GLOBAL_DATA[[#This Row],[Total re-estimated]]=0),DATA_DQA_11,"")</f>
        <v/>
      </c>
      <c r="AR11" s="192" t="str">
        <f>IF(AND(GLOBAL_DATA[[#This Row],[Will be done]]=1,SUM(GLOBAL_DATA[[#This Row],[Total Initial]]:GLOBAL_DATA[[#This Row],[Total Spent]])&lt;&gt;0,GLOBAL_DATA[[#This Row],[Kick-off]]=""),DATA_DQA_16,"")</f>
        <v>Budget but no kick-off date</v>
      </c>
      <c r="AS11" s="192" t="str">
        <f>IF(AND(GLOBAL_DATA[[#This Row],[Will be done]]=1,SUM(GLOBAL_DATA[[#This Row],[Total Initial]]:GLOBAL_DATA[[#This Row],[Total Spent]])&lt;&gt;0,GLOBAL_DATA[[#This Row],[Initial end]]=""),DATA_QDA_17,"")</f>
        <v>Budget nut no end date</v>
      </c>
      <c r="AT11" s="192" t="str">
        <f ca="1">IF(AND(IFERROR(DATEDIF(GLOBAL_DATA[[#This Row],[Kick-off]],TODAY(),"m"),0)&lt;&gt;0,OR(GLOBAL_DATA[[#This Row],[Status]]=DATA_Status_TOBESTARTED)),DATA_QDA_19,"")</f>
        <v>Kick-off &lt; today's date and status is not IN PROGRESS</v>
      </c>
      <c r="AU11" s="192" t="str">
        <f>IF(AND(GLOBAL_DATA[[#This Row],[Kick-off]]&lt;&gt;"",GLOBAL_DATA[[#This Row],[Kick-off]]&gt;GLOBAL_DATA[[#This Row],[Re-estimated end]]),DATA_DQA_14,"")</f>
        <v/>
      </c>
      <c r="AV11" s="192" t="str">
        <f ca="1">IF(AND(IFERROR(DATEDIF(TODAY(),GLOBAL_DATA[[#This Row],[Re-estimated end]],"m"),0)&gt;1,GLOBAL_DATA[[#This Row],[Implementation progress rate]]=1),DATA_QDA_8,"")</f>
        <v/>
      </c>
      <c r="AW11" s="192" t="str" cm="1">
        <f t="array" ref="AW11">IF(AND(GLOBAL_DATA[[#This Row],[CISO assessment]]="Warning only",TRIM(GLOBAL_DATA[[#This Row],[CISO Comments]])=""),DATA_DQA_9,"")</f>
        <v/>
      </c>
      <c r="AX11" s="192" t="str">
        <f>IF(AND(GLOBAL_DATA[[#This Row],[CISO assessment]]="Alert",TRIM(GLOBAL_DATA[[#This Row],[CISO Comments]])=""),DATA_DQA_10,"")</f>
        <v/>
      </c>
      <c r="AY11" s="192" t="s">
        <v>574</v>
      </c>
      <c r="AZ11" s="195">
        <f>IF(OR(GLOBAL_DATA[[#This Row],[Status]]="",GLOBAL_DATA[[#This Row],[Status]]=Risk_accepted,GLOBAL_DATA[[#This Row],[Status]]=Target_Not_Applicable),1,0)</f>
        <v>0</v>
      </c>
      <c r="BA11" s="196">
        <f>IF(OR(GLOBAL_DATA[[#This Row],[Status]]=DATA_Status_TOBESTARTED,GLOBAL_DATA[[#This Row],[Status]]=DATA_Status_INPROGRESS),1,0)</f>
        <v>1</v>
      </c>
      <c r="BB11" s="196">
        <f>IF(OR(GLOBAL_DATA[[#This Row],[Status]]=Done,GLOBAL_DATA[[#This Row],[Status]]=Checked),1,0)</f>
        <v>0</v>
      </c>
    </row>
    <row r="12" spans="1:54" ht="42" customHeight="1" x14ac:dyDescent="0.25">
      <c r="A12" s="197" t="s">
        <v>598</v>
      </c>
      <c r="B12" s="197" t="s">
        <v>598</v>
      </c>
      <c r="C12" s="170" t="str">
        <f>IF(GLOBAL_DATA[[#This Row],[Target scope]]="","",INDEX(DATA_TargetStatusChoice[Target_Status_Choice],MATCH(GLOBAL_DATA[[#This Row],[Target scope]],DATA_TargetStatusChoice[Value],1)))</f>
        <v>FULL IMPLEMENTATION</v>
      </c>
      <c r="D12" s="168">
        <v>1</v>
      </c>
      <c r="E12" s="168" t="s">
        <v>75</v>
      </c>
      <c r="F12" s="178" t="s">
        <v>32</v>
      </c>
      <c r="G12" s="179">
        <v>0.3</v>
      </c>
      <c r="H12" s="179" t="s">
        <v>384</v>
      </c>
      <c r="I12" s="180" t="s">
        <v>598</v>
      </c>
      <c r="J12" s="178" t="s">
        <v>428</v>
      </c>
      <c r="K12" s="198" t="s">
        <v>576</v>
      </c>
      <c r="L12" s="171">
        <v>44197</v>
      </c>
      <c r="M12" s="171">
        <v>44560</v>
      </c>
      <c r="N12" s="171">
        <v>44561</v>
      </c>
      <c r="O12" s="181">
        <f>SUM(GLOBAL_DATA[[#This Row],[Initial 2020]],GLOBAL_DATA[[#This Row],[Initial 2021]],GLOBAL_DATA[[#This Row],[Initial 2022]],GLOBAL_DATA[[#This Row],[Initial 2023]])</f>
        <v>0</v>
      </c>
      <c r="P12" s="182">
        <f>SUM(GLOBAL_DATA[[#This Row],[Reestimated 2020]],GLOBAL_DATA[[#This Row],[Reestimated 2021]],GLOBAL_DATA[[#This Row],[Reestimated 2022]],GLOBAL_DATA[[#This Row],[Reestimated 2023]])</f>
        <v>0</v>
      </c>
      <c r="Q12" s="183">
        <f>SUM(GLOBAL_DATA[[#This Row],[Spent 2020]],GLOBAL_DATA[[#This Row],[Spent 2021]],GLOBAL_DATA[[#This Row],[Spent 2022]],GLOBAL_DATA[[#This Row],[Spent 2023]])</f>
        <v>0</v>
      </c>
      <c r="R12" s="184"/>
      <c r="S12" s="185"/>
      <c r="T12" s="186"/>
      <c r="U12" s="184">
        <v>0</v>
      </c>
      <c r="V12" s="185"/>
      <c r="W12" s="185"/>
      <c r="X12" s="184">
        <v>0</v>
      </c>
      <c r="Y12" s="185">
        <v>0</v>
      </c>
      <c r="Z12" s="186">
        <v>0</v>
      </c>
      <c r="AA12" s="185">
        <v>0</v>
      </c>
      <c r="AB12" s="185">
        <v>0</v>
      </c>
      <c r="AC12" s="187">
        <v>0</v>
      </c>
      <c r="AD12" s="125">
        <f>IF(GLOBAL_DATA[[#This Row],[Target scope]]&lt;&gt;Target_Not_Applicable,GLOBAL_DATA[[#This Row],[Target scope]]*GLOBAL_DATA[[#This Row],[Implementation progress rate]],"")</f>
        <v>0.3</v>
      </c>
      <c r="AE12" s="128">
        <f>IF(OR(GLOBAL_DATA[[#This Row],[Status]]=DATA!$J$6,GLOBAL_DATA[[#This Row],[Status]]=DATA!$J$7,GLOBAL_DATA[[#This Row],[Status]]=DATA!$J$8),1,0)</f>
        <v>0</v>
      </c>
      <c r="AF12" s="129">
        <f>IF(GLOBAL_DATA[[#This Row],[Status]]=Status_No_Project,"",MAX(GLOBAL_DATA[[#This Row],[Initial end]],GLOBAL_DATA[[#This Row],[Re-estimated end]],43831))</f>
        <v>44561</v>
      </c>
      <c r="AG12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2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2" s="199"/>
      <c r="AJ12" s="193" t="str">
        <f>IF(AND(GLOBAL_DATA[[#This Row],[Status]]=DATA_Status_TOBESTARTED,GLOBAL_DATA[[#This Row],[Implementation progress rate]]&gt;0),DATA_DQA_1,"")</f>
        <v/>
      </c>
      <c r="AK12" s="192" t="str">
        <f>IF(AND(GLOBAL_DATA[[#This Row],[Status]]=In_progress,GLOBAL_DATA[[#This Row],[Implementation progress rate]]=1),DATA_DQA_2,"")</f>
        <v/>
      </c>
      <c r="AL12" s="192" t="str" cm="1">
        <f t="array" ref="AL12">IF(AND(GLOBAL_DATA[[#This Row],[Status]]=In_progress,GLOBAL_DATA[[#This Row],[Implementation progress rate]]=0),DATA_DQA_3,"")</f>
        <v/>
      </c>
      <c r="AM12" s="192" t="str">
        <f>IF(AND(GLOBAL_DATA[[#This Row],[Status]]=Done,GLOBAL_DATA[[#This Row],[Implementation progress rate]]&lt;1),DATA_QDA_4,"")</f>
        <v/>
      </c>
      <c r="AN12" s="192" t="str" cm="1">
        <f t="array" ref="AN12">IF(GLOBAL_DATA[[#This Row],[Status]]="",DATA_QDA_7,"")</f>
        <v/>
      </c>
      <c r="AO12" s="192" t="str">
        <f>IF(AND(GLOBAL_DATA[[#This Row],[Initial end]]="",GLOBAL_DATA[[#This Row],[Re-estimated end]]="",GLOBAL_DATA[[#This Row],[Status]]=DATA_Status_INPROGRESS),DATA_QDA_12,"")</f>
        <v/>
      </c>
      <c r="AP12" s="192" t="str">
        <f>IF(AND(GLOBAL_DATA[[#This Row],[Initial end]]="",GLOBAL_DATA[[#This Row],[Re-estimated end]]="",GLOBAL_DATA[[#This Row],[Status]]=DATA_Status_TOBESTARTED),DATA_QDA_13,"")</f>
        <v/>
      </c>
      <c r="AQ12" s="192" t="str">
        <f>IF(AND(GLOBAL_DATA[[#This Row],[Status]]=DATA_Status_INPROGRESS,GLOBAL_DATA[[#This Row],[Total Initial]]=0,GLOBAL_DATA[[#This Row],[Total re-estimated]]=0),DATA_DQA_11,"")</f>
        <v>IN PROGRESS  but no budget</v>
      </c>
      <c r="AR12" s="192" t="str">
        <f>IF(AND(GLOBAL_DATA[[#This Row],[Will be done]]=1,SUM(GLOBAL_DATA[[#This Row],[Total Initial]]:GLOBAL_DATA[[#This Row],[Total Spent]])&lt;&gt;0,GLOBAL_DATA[[#This Row],[Kick-off]]=""),DATA_DQA_16,"")</f>
        <v/>
      </c>
      <c r="AS12" s="192" t="str">
        <f>IF(AND(GLOBAL_DATA[[#This Row],[Will be done]]=1,SUM(GLOBAL_DATA[[#This Row],[Total Initial]]:GLOBAL_DATA[[#This Row],[Total Spent]])&lt;&gt;0,GLOBAL_DATA[[#This Row],[Initial end]]=""),DATA_QDA_17,"")</f>
        <v/>
      </c>
      <c r="AT12" s="192" t="str">
        <f ca="1">IF(AND(IFERROR(DATEDIF(GLOBAL_DATA[[#This Row],[Kick-off]],TODAY(),"m"),0)&lt;&gt;0,OR(GLOBAL_DATA[[#This Row],[Status]]=DATA_Status_TOBESTARTED)),DATA_QDA_19,"")</f>
        <v/>
      </c>
      <c r="AU12" s="192" t="str">
        <f>IF(AND(GLOBAL_DATA[[#This Row],[Kick-off]]&lt;&gt;"",GLOBAL_DATA[[#This Row],[Kick-off]]&gt;GLOBAL_DATA[[#This Row],[Re-estimated end]]),DATA_DQA_14,"")</f>
        <v/>
      </c>
      <c r="AV12" s="192" t="str">
        <f ca="1">IF(AND(IFERROR(DATEDIF(TODAY(),GLOBAL_DATA[[#This Row],[Re-estimated end]],"m"),0)&gt;1,GLOBAL_DATA[[#This Row],[Implementation progress rate]]=1),DATA_QDA_8,"")</f>
        <v/>
      </c>
      <c r="AW12" s="192" t="str" cm="1">
        <f t="array" ref="AW12">IF(AND(GLOBAL_DATA[[#This Row],[CISO assessment]]="Warning only",TRIM(GLOBAL_DATA[[#This Row],[CISO Comments]])=""),DATA_DQA_9,"")</f>
        <v/>
      </c>
      <c r="AX12" s="192" t="str">
        <f>IF(AND(GLOBAL_DATA[[#This Row],[CISO assessment]]="Alert",TRIM(GLOBAL_DATA[[#This Row],[CISO Comments]])=""),DATA_DQA_10,"")</f>
        <v/>
      </c>
      <c r="AY12" s="192" t="s">
        <v>574</v>
      </c>
      <c r="AZ12" s="195">
        <f>IF(OR(GLOBAL_DATA[[#This Row],[Status]]="",GLOBAL_DATA[[#This Row],[Status]]=Risk_accepted,GLOBAL_DATA[[#This Row],[Status]]=Target_Not_Applicable),1,0)</f>
        <v>0</v>
      </c>
      <c r="BA12" s="196">
        <f>IF(OR(GLOBAL_DATA[[#This Row],[Status]]=DATA_Status_TOBESTARTED,GLOBAL_DATA[[#This Row],[Status]]=DATA_Status_INPROGRESS),1,0)</f>
        <v>1</v>
      </c>
      <c r="BB12" s="196">
        <f>IF(OR(GLOBAL_DATA[[#This Row],[Status]]=Done,GLOBAL_DATA[[#This Row],[Status]]=Checked),1,0)</f>
        <v>0</v>
      </c>
    </row>
    <row r="13" spans="1:54" ht="42" customHeight="1" x14ac:dyDescent="0.25">
      <c r="A13" s="197" t="s">
        <v>598</v>
      </c>
      <c r="B13" s="197" t="s">
        <v>598</v>
      </c>
      <c r="C13" s="170" t="str">
        <f>IF(GLOBAL_DATA[[#This Row],[Target scope]]="","",INDEX(DATA_TargetStatusChoice[Target_Status_Choice],MATCH(GLOBAL_DATA[[#This Row],[Target scope]],DATA_TargetStatusChoice[Value],1)))</f>
        <v>FULL IMPLEMENTATION</v>
      </c>
      <c r="D13" s="168">
        <v>1</v>
      </c>
      <c r="E13" s="168" t="s">
        <v>75</v>
      </c>
      <c r="F13" s="178" t="s">
        <v>31</v>
      </c>
      <c r="G13" s="179">
        <v>0</v>
      </c>
      <c r="H13" s="179" t="s">
        <v>384</v>
      </c>
      <c r="I13" s="180" t="s">
        <v>598</v>
      </c>
      <c r="J13" s="178" t="s">
        <v>428</v>
      </c>
      <c r="K13" s="198" t="s">
        <v>576</v>
      </c>
      <c r="L13" s="171">
        <v>44197</v>
      </c>
      <c r="M13" s="171">
        <v>44560</v>
      </c>
      <c r="N13" s="171">
        <v>44561</v>
      </c>
      <c r="O13" s="181">
        <f>SUM(GLOBAL_DATA[[#This Row],[Initial 2020]],GLOBAL_DATA[[#This Row],[Initial 2021]],GLOBAL_DATA[[#This Row],[Initial 2022]],GLOBAL_DATA[[#This Row],[Initial 2023]])</f>
        <v>2</v>
      </c>
      <c r="P13" s="182">
        <f>SUM(GLOBAL_DATA[[#This Row],[Reestimated 2020]],GLOBAL_DATA[[#This Row],[Reestimated 2021]],GLOBAL_DATA[[#This Row],[Reestimated 2022]],GLOBAL_DATA[[#This Row],[Reestimated 2023]])</f>
        <v>0</v>
      </c>
      <c r="Q13" s="183">
        <f>SUM(GLOBAL_DATA[[#This Row],[Spent 2020]],GLOBAL_DATA[[#This Row],[Spent 2021]],GLOBAL_DATA[[#This Row],[Spent 2022]],GLOBAL_DATA[[#This Row],[Spent 2023]])</f>
        <v>0</v>
      </c>
      <c r="R13" s="184"/>
      <c r="S13" s="185"/>
      <c r="T13" s="186"/>
      <c r="U13" s="184">
        <v>2</v>
      </c>
      <c r="V13" s="185"/>
      <c r="W13" s="185"/>
      <c r="X13" s="184">
        <v>0</v>
      </c>
      <c r="Y13" s="185">
        <v>0</v>
      </c>
      <c r="Z13" s="186">
        <v>0</v>
      </c>
      <c r="AA13" s="185">
        <v>0</v>
      </c>
      <c r="AB13" s="185">
        <v>0</v>
      </c>
      <c r="AC13" s="187">
        <v>0</v>
      </c>
      <c r="AD13" s="125">
        <f>IF(GLOBAL_DATA[[#This Row],[Target scope]]&lt;&gt;Target_Not_Applicable,GLOBAL_DATA[[#This Row],[Target scope]]*GLOBAL_DATA[[#This Row],[Implementation progress rate]],"")</f>
        <v>0</v>
      </c>
      <c r="AE13" s="128">
        <f>IF(OR(GLOBAL_DATA[[#This Row],[Status]]=DATA!$J$6,GLOBAL_DATA[[#This Row],[Status]]=DATA!$J$7,GLOBAL_DATA[[#This Row],[Status]]=DATA!$J$8),1,0)</f>
        <v>0</v>
      </c>
      <c r="AF13" s="129">
        <f>IF(GLOBAL_DATA[[#This Row],[Status]]=Status_No_Project,"",MAX(GLOBAL_DATA[[#This Row],[Initial end]],GLOBAL_DATA[[#This Row],[Re-estimated end]],43831))</f>
        <v>44561</v>
      </c>
      <c r="AG13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3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3" s="199"/>
      <c r="AJ13" s="193" t="str">
        <f>IF(AND(GLOBAL_DATA[[#This Row],[Status]]=DATA_Status_TOBESTARTED,GLOBAL_DATA[[#This Row],[Implementation progress rate]]&gt;0),DATA_DQA_1,"")</f>
        <v/>
      </c>
      <c r="AK13" s="192" t="str">
        <f>IF(AND(GLOBAL_DATA[[#This Row],[Status]]=In_progress,GLOBAL_DATA[[#This Row],[Implementation progress rate]]=1),DATA_DQA_2,"")</f>
        <v/>
      </c>
      <c r="AL13" s="192" t="str" cm="1">
        <f t="array" ref="AL13">IF(AND(GLOBAL_DATA[[#This Row],[Status]]=In_progress,GLOBAL_DATA[[#This Row],[Implementation progress rate]]=0),DATA_DQA_3,"")</f>
        <v/>
      </c>
      <c r="AM13" s="192" t="str">
        <f>IF(AND(GLOBAL_DATA[[#This Row],[Status]]=Done,GLOBAL_DATA[[#This Row],[Implementation progress rate]]&lt;1),DATA_QDA_4,"")</f>
        <v/>
      </c>
      <c r="AN13" s="192" t="str" cm="1">
        <f t="array" ref="AN13">IF(GLOBAL_DATA[[#This Row],[Status]]="",DATA_QDA_7,"")</f>
        <v/>
      </c>
      <c r="AO13" s="192" t="str">
        <f>IF(AND(GLOBAL_DATA[[#This Row],[Initial end]]="",GLOBAL_DATA[[#This Row],[Re-estimated end]]="",GLOBAL_DATA[[#This Row],[Status]]=DATA_Status_INPROGRESS),DATA_QDA_12,"")</f>
        <v/>
      </c>
      <c r="AP13" s="192" t="str">
        <f>IF(AND(GLOBAL_DATA[[#This Row],[Initial end]]="",GLOBAL_DATA[[#This Row],[Re-estimated end]]="",GLOBAL_DATA[[#This Row],[Status]]=DATA_Status_TOBESTARTED),DATA_QDA_13,"")</f>
        <v/>
      </c>
      <c r="AQ13" s="192" t="str">
        <f>IF(AND(GLOBAL_DATA[[#This Row],[Status]]=DATA_Status_INPROGRESS,GLOBAL_DATA[[#This Row],[Total Initial]]=0,GLOBAL_DATA[[#This Row],[Total re-estimated]]=0),DATA_DQA_11,"")</f>
        <v/>
      </c>
      <c r="AR13" s="192" t="str">
        <f>IF(AND(GLOBAL_DATA[[#This Row],[Will be done]]=1,SUM(GLOBAL_DATA[[#This Row],[Total Initial]]:GLOBAL_DATA[[#This Row],[Total Spent]])&lt;&gt;0,GLOBAL_DATA[[#This Row],[Kick-off]]=""),DATA_DQA_16,"")</f>
        <v/>
      </c>
      <c r="AS13" s="192" t="str">
        <f>IF(AND(GLOBAL_DATA[[#This Row],[Will be done]]=1,SUM(GLOBAL_DATA[[#This Row],[Total Initial]]:GLOBAL_DATA[[#This Row],[Total Spent]])&lt;&gt;0,GLOBAL_DATA[[#This Row],[Initial end]]=""),DATA_QDA_17,"")</f>
        <v/>
      </c>
      <c r="AT13" s="192" t="str">
        <f ca="1">IF(AND(IFERROR(DATEDIF(GLOBAL_DATA[[#This Row],[Kick-off]],TODAY(),"m"),0)&lt;&gt;0,OR(GLOBAL_DATA[[#This Row],[Status]]=DATA_Status_TOBESTARTED)),DATA_QDA_19,"")</f>
        <v/>
      </c>
      <c r="AU13" s="192" t="str">
        <f>IF(AND(GLOBAL_DATA[[#This Row],[Kick-off]]&lt;&gt;"",GLOBAL_DATA[[#This Row],[Kick-off]]&gt;GLOBAL_DATA[[#This Row],[Re-estimated end]]),DATA_DQA_14,"")</f>
        <v/>
      </c>
      <c r="AV13" s="192" t="str">
        <f ca="1">IF(AND(IFERROR(DATEDIF(TODAY(),GLOBAL_DATA[[#This Row],[Re-estimated end]],"m"),0)&gt;1,GLOBAL_DATA[[#This Row],[Implementation progress rate]]=1),DATA_QDA_8,"")</f>
        <v/>
      </c>
      <c r="AW13" s="192" t="str" cm="1">
        <f t="array" ref="AW13">IF(AND(GLOBAL_DATA[[#This Row],[CISO assessment]]="Warning only",TRIM(GLOBAL_DATA[[#This Row],[CISO Comments]])=""),DATA_DQA_9,"")</f>
        <v/>
      </c>
      <c r="AX13" s="192" t="str">
        <f>IF(AND(GLOBAL_DATA[[#This Row],[CISO assessment]]="Alert",TRIM(GLOBAL_DATA[[#This Row],[CISO Comments]])=""),DATA_DQA_10,"")</f>
        <v/>
      </c>
      <c r="AY13" s="192" t="s">
        <v>574</v>
      </c>
      <c r="AZ13" s="195">
        <f>IF(OR(GLOBAL_DATA[[#This Row],[Status]]="",GLOBAL_DATA[[#This Row],[Status]]=Risk_accepted,GLOBAL_DATA[[#This Row],[Status]]=Target_Not_Applicable),1,0)</f>
        <v>0</v>
      </c>
      <c r="BA13" s="196">
        <f>IF(OR(GLOBAL_DATA[[#This Row],[Status]]=DATA_Status_TOBESTARTED,GLOBAL_DATA[[#This Row],[Status]]=DATA_Status_INPROGRESS),1,0)</f>
        <v>1</v>
      </c>
      <c r="BB13" s="196">
        <f>IF(OR(GLOBAL_DATA[[#This Row],[Status]]=Done,GLOBAL_DATA[[#This Row],[Status]]=Checked),1,0)</f>
        <v>0</v>
      </c>
    </row>
    <row r="14" spans="1:54" ht="42" customHeight="1" x14ac:dyDescent="0.25">
      <c r="A14" s="197" t="s">
        <v>598</v>
      </c>
      <c r="B14" s="197" t="s">
        <v>598</v>
      </c>
      <c r="C14" s="170" t="str">
        <f>IF(GLOBAL_DATA[[#This Row],[Target scope]]="","",INDEX(DATA_TargetStatusChoice[Target_Status_Choice],MATCH(GLOBAL_DATA[[#This Row],[Target scope]],DATA_TargetStatusChoice[Value],1)))</f>
        <v>FULL IMPLEMENTATION</v>
      </c>
      <c r="D14" s="168">
        <v>1</v>
      </c>
      <c r="E14" s="168" t="s">
        <v>75</v>
      </c>
      <c r="F14" s="178" t="s">
        <v>31</v>
      </c>
      <c r="G14" s="179">
        <v>0</v>
      </c>
      <c r="H14" s="179" t="s">
        <v>384</v>
      </c>
      <c r="I14" s="180" t="s">
        <v>598</v>
      </c>
      <c r="J14" s="178" t="s">
        <v>428</v>
      </c>
      <c r="K14" s="198" t="s">
        <v>576</v>
      </c>
      <c r="L14" s="171">
        <v>44197</v>
      </c>
      <c r="M14" s="171">
        <v>44560</v>
      </c>
      <c r="N14" s="171">
        <v>44561</v>
      </c>
      <c r="O14" s="181">
        <f>SUM(GLOBAL_DATA[[#This Row],[Initial 2020]],GLOBAL_DATA[[#This Row],[Initial 2021]],GLOBAL_DATA[[#This Row],[Initial 2022]],GLOBAL_DATA[[#This Row],[Initial 2023]])</f>
        <v>15</v>
      </c>
      <c r="P14" s="182">
        <f>SUM(GLOBAL_DATA[[#This Row],[Reestimated 2020]],GLOBAL_DATA[[#This Row],[Reestimated 2021]],GLOBAL_DATA[[#This Row],[Reestimated 2022]],GLOBAL_DATA[[#This Row],[Reestimated 2023]])</f>
        <v>0</v>
      </c>
      <c r="Q14" s="183">
        <f>SUM(GLOBAL_DATA[[#This Row],[Spent 2020]],GLOBAL_DATA[[#This Row],[Spent 2021]],GLOBAL_DATA[[#This Row],[Spent 2022]],GLOBAL_DATA[[#This Row],[Spent 2023]])</f>
        <v>0</v>
      </c>
      <c r="R14" s="184"/>
      <c r="S14" s="185"/>
      <c r="T14" s="186"/>
      <c r="U14" s="184">
        <v>15</v>
      </c>
      <c r="V14" s="185"/>
      <c r="W14" s="185"/>
      <c r="X14" s="184">
        <v>0</v>
      </c>
      <c r="Y14" s="185">
        <v>0</v>
      </c>
      <c r="Z14" s="186">
        <v>0</v>
      </c>
      <c r="AA14" s="185">
        <v>0</v>
      </c>
      <c r="AB14" s="185">
        <v>0</v>
      </c>
      <c r="AC14" s="187">
        <v>0</v>
      </c>
      <c r="AD14" s="125">
        <f>IF(GLOBAL_DATA[[#This Row],[Target scope]]&lt;&gt;Target_Not_Applicable,GLOBAL_DATA[[#This Row],[Target scope]]*GLOBAL_DATA[[#This Row],[Implementation progress rate]],"")</f>
        <v>0</v>
      </c>
      <c r="AE14" s="128">
        <f>IF(OR(GLOBAL_DATA[[#This Row],[Status]]=DATA!$J$6,GLOBAL_DATA[[#This Row],[Status]]=DATA!$J$7,GLOBAL_DATA[[#This Row],[Status]]=DATA!$J$8),1,0)</f>
        <v>0</v>
      </c>
      <c r="AF14" s="129">
        <f>IF(GLOBAL_DATA[[#This Row],[Status]]=Status_No_Project,"",MAX(GLOBAL_DATA[[#This Row],[Initial end]],GLOBAL_DATA[[#This Row],[Re-estimated end]],43831))</f>
        <v>44561</v>
      </c>
      <c r="AG14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4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4" s="199"/>
      <c r="AJ14" s="193" t="str">
        <f>IF(AND(GLOBAL_DATA[[#This Row],[Status]]=DATA_Status_TOBESTARTED,GLOBAL_DATA[[#This Row],[Implementation progress rate]]&gt;0),DATA_DQA_1,"")</f>
        <v/>
      </c>
      <c r="AK14" s="192" t="str">
        <f>IF(AND(GLOBAL_DATA[[#This Row],[Status]]=In_progress,GLOBAL_DATA[[#This Row],[Implementation progress rate]]=1),DATA_DQA_2,"")</f>
        <v/>
      </c>
      <c r="AL14" s="192" t="str" cm="1">
        <f t="array" ref="AL14">IF(AND(GLOBAL_DATA[[#This Row],[Status]]=In_progress,GLOBAL_DATA[[#This Row],[Implementation progress rate]]=0),DATA_DQA_3,"")</f>
        <v/>
      </c>
      <c r="AM14" s="192" t="str">
        <f>IF(AND(GLOBAL_DATA[[#This Row],[Status]]=Done,GLOBAL_DATA[[#This Row],[Implementation progress rate]]&lt;1),DATA_QDA_4,"")</f>
        <v/>
      </c>
      <c r="AN14" s="192" t="str" cm="1">
        <f t="array" ref="AN14">IF(GLOBAL_DATA[[#This Row],[Status]]="",DATA_QDA_7,"")</f>
        <v/>
      </c>
      <c r="AO14" s="192" t="str">
        <f>IF(AND(GLOBAL_DATA[[#This Row],[Initial end]]="",GLOBAL_DATA[[#This Row],[Re-estimated end]]="",GLOBAL_DATA[[#This Row],[Status]]=DATA_Status_INPROGRESS),DATA_QDA_12,"")</f>
        <v/>
      </c>
      <c r="AP14" s="192" t="str">
        <f>IF(AND(GLOBAL_DATA[[#This Row],[Initial end]]="",GLOBAL_DATA[[#This Row],[Re-estimated end]]="",GLOBAL_DATA[[#This Row],[Status]]=DATA_Status_TOBESTARTED),DATA_QDA_13,"")</f>
        <v/>
      </c>
      <c r="AQ14" s="192" t="str">
        <f>IF(AND(GLOBAL_DATA[[#This Row],[Status]]=DATA_Status_INPROGRESS,GLOBAL_DATA[[#This Row],[Total Initial]]=0,GLOBAL_DATA[[#This Row],[Total re-estimated]]=0),DATA_DQA_11,"")</f>
        <v/>
      </c>
      <c r="AR14" s="192" t="str">
        <f>IF(AND(GLOBAL_DATA[[#This Row],[Will be done]]=1,SUM(GLOBAL_DATA[[#This Row],[Total Initial]]:GLOBAL_DATA[[#This Row],[Total Spent]])&lt;&gt;0,GLOBAL_DATA[[#This Row],[Kick-off]]=""),DATA_DQA_16,"")</f>
        <v/>
      </c>
      <c r="AS14" s="192" t="str">
        <f>IF(AND(GLOBAL_DATA[[#This Row],[Will be done]]=1,SUM(GLOBAL_DATA[[#This Row],[Total Initial]]:GLOBAL_DATA[[#This Row],[Total Spent]])&lt;&gt;0,GLOBAL_DATA[[#This Row],[Initial end]]=""),DATA_QDA_17,"")</f>
        <v/>
      </c>
      <c r="AT14" s="192" t="str">
        <f ca="1">IF(AND(IFERROR(DATEDIF(GLOBAL_DATA[[#This Row],[Kick-off]],TODAY(),"m"),0)&lt;&gt;0,OR(GLOBAL_DATA[[#This Row],[Status]]=DATA_Status_TOBESTARTED)),DATA_QDA_19,"")</f>
        <v/>
      </c>
      <c r="AU14" s="192" t="str">
        <f>IF(AND(GLOBAL_DATA[[#This Row],[Kick-off]]&lt;&gt;"",GLOBAL_DATA[[#This Row],[Kick-off]]&gt;GLOBAL_DATA[[#This Row],[Re-estimated end]]),DATA_DQA_14,"")</f>
        <v/>
      </c>
      <c r="AV14" s="192" t="str">
        <f ca="1">IF(AND(IFERROR(DATEDIF(TODAY(),GLOBAL_DATA[[#This Row],[Re-estimated end]],"m"),0)&gt;1,GLOBAL_DATA[[#This Row],[Implementation progress rate]]=1),DATA_QDA_8,"")</f>
        <v/>
      </c>
      <c r="AW14" s="192" t="str" cm="1">
        <f t="array" ref="AW14">IF(AND(GLOBAL_DATA[[#This Row],[CISO assessment]]="Warning only",TRIM(GLOBAL_DATA[[#This Row],[CISO Comments]])=""),DATA_DQA_9,"")</f>
        <v/>
      </c>
      <c r="AX14" s="192" t="str">
        <f>IF(AND(GLOBAL_DATA[[#This Row],[CISO assessment]]="Alert",TRIM(GLOBAL_DATA[[#This Row],[CISO Comments]])=""),DATA_DQA_10,"")</f>
        <v/>
      </c>
      <c r="AY14" s="192" t="s">
        <v>574</v>
      </c>
      <c r="AZ14" s="195">
        <f>IF(OR(GLOBAL_DATA[[#This Row],[Status]]="",GLOBAL_DATA[[#This Row],[Status]]=Risk_accepted,GLOBAL_DATA[[#This Row],[Status]]=Target_Not_Applicable),1,0)</f>
        <v>0</v>
      </c>
      <c r="BA14" s="196">
        <f>IF(OR(GLOBAL_DATA[[#This Row],[Status]]=DATA_Status_TOBESTARTED,GLOBAL_DATA[[#This Row],[Status]]=DATA_Status_INPROGRESS),1,0)</f>
        <v>1</v>
      </c>
      <c r="BB14" s="196">
        <f>IF(OR(GLOBAL_DATA[[#This Row],[Status]]=Done,GLOBAL_DATA[[#This Row],[Status]]=Checked),1,0)</f>
        <v>0</v>
      </c>
    </row>
    <row r="15" spans="1:54" ht="42" customHeight="1" x14ac:dyDescent="0.25">
      <c r="A15" s="197" t="s">
        <v>598</v>
      </c>
      <c r="B15" s="197" t="s">
        <v>598</v>
      </c>
      <c r="C15" s="170" t="str">
        <f>IF(GLOBAL_DATA[[#This Row],[Target scope]]="","",INDEX(DATA_TargetStatusChoice[Target_Status_Choice],MATCH(GLOBAL_DATA[[#This Row],[Target scope]],DATA_TargetStatusChoice[Value],1)))</f>
        <v>FULL IMPLEMENTATION</v>
      </c>
      <c r="D15" s="168">
        <v>1</v>
      </c>
      <c r="E15" s="168" t="s">
        <v>75</v>
      </c>
      <c r="F15" s="178" t="s">
        <v>31</v>
      </c>
      <c r="G15" s="179">
        <v>0</v>
      </c>
      <c r="H15" s="179" t="s">
        <v>384</v>
      </c>
      <c r="I15" s="180" t="s">
        <v>598</v>
      </c>
      <c r="J15" s="178" t="s">
        <v>429</v>
      </c>
      <c r="K15" s="198" t="s">
        <v>575</v>
      </c>
      <c r="L15" s="171">
        <v>44197</v>
      </c>
      <c r="M15" s="171">
        <v>44560</v>
      </c>
      <c r="N15" s="171">
        <v>44561</v>
      </c>
      <c r="O15" s="181">
        <f>SUM(GLOBAL_DATA[[#This Row],[Initial 2020]],GLOBAL_DATA[[#This Row],[Initial 2021]],GLOBAL_DATA[[#This Row],[Initial 2022]],GLOBAL_DATA[[#This Row],[Initial 2023]])</f>
        <v>5</v>
      </c>
      <c r="P15" s="182">
        <f>SUM(GLOBAL_DATA[[#This Row],[Reestimated 2020]],GLOBAL_DATA[[#This Row],[Reestimated 2021]],GLOBAL_DATA[[#This Row],[Reestimated 2022]],GLOBAL_DATA[[#This Row],[Reestimated 2023]])</f>
        <v>0</v>
      </c>
      <c r="Q15" s="183">
        <f>SUM(GLOBAL_DATA[[#This Row],[Spent 2020]],GLOBAL_DATA[[#This Row],[Spent 2021]],GLOBAL_DATA[[#This Row],[Spent 2022]],GLOBAL_DATA[[#This Row],[Spent 2023]])</f>
        <v>0</v>
      </c>
      <c r="R15" s="184"/>
      <c r="S15" s="185"/>
      <c r="T15" s="186"/>
      <c r="U15" s="185">
        <v>5</v>
      </c>
      <c r="V15" s="185"/>
      <c r="W15" s="185"/>
      <c r="X15" s="184">
        <v>0</v>
      </c>
      <c r="Y15" s="185">
        <v>0</v>
      </c>
      <c r="Z15" s="186">
        <v>0</v>
      </c>
      <c r="AA15" s="185">
        <v>0</v>
      </c>
      <c r="AB15" s="185">
        <v>0</v>
      </c>
      <c r="AC15" s="187">
        <v>0</v>
      </c>
      <c r="AD15" s="125">
        <f>IF(GLOBAL_DATA[[#This Row],[Target scope]]&lt;&gt;Target_Not_Applicable,GLOBAL_DATA[[#This Row],[Target scope]]*GLOBAL_DATA[[#This Row],[Implementation progress rate]],"")</f>
        <v>0</v>
      </c>
      <c r="AE15" s="128">
        <f>IF(OR(GLOBAL_DATA[[#This Row],[Status]]=DATA!$J$6,GLOBAL_DATA[[#This Row],[Status]]=DATA!$J$7,GLOBAL_DATA[[#This Row],[Status]]=DATA!$J$8),1,0)</f>
        <v>0</v>
      </c>
      <c r="AF15" s="129">
        <f>IF(GLOBAL_DATA[[#This Row],[Status]]=Status_No_Project,"",MAX(GLOBAL_DATA[[#This Row],[Initial end]],GLOBAL_DATA[[#This Row],[Re-estimated end]],43831))</f>
        <v>44561</v>
      </c>
      <c r="AG15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5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5" s="199"/>
      <c r="AJ15" s="193" t="str">
        <f>IF(AND(GLOBAL_DATA[[#This Row],[Status]]=DATA_Status_TOBESTARTED,GLOBAL_DATA[[#This Row],[Implementation progress rate]]&gt;0),DATA_DQA_1,"")</f>
        <v/>
      </c>
      <c r="AK15" s="192" t="str">
        <f>IF(AND(GLOBAL_DATA[[#This Row],[Status]]=In_progress,GLOBAL_DATA[[#This Row],[Implementation progress rate]]=1),DATA_DQA_2,"")</f>
        <v/>
      </c>
      <c r="AL15" s="192" t="str" cm="1">
        <f t="array" ref="AL15">IF(AND(GLOBAL_DATA[[#This Row],[Status]]=In_progress,GLOBAL_DATA[[#This Row],[Implementation progress rate]]=0),DATA_DQA_3,"")</f>
        <v/>
      </c>
      <c r="AM15" s="192" t="str">
        <f>IF(AND(GLOBAL_DATA[[#This Row],[Status]]=Done,GLOBAL_DATA[[#This Row],[Implementation progress rate]]&lt;1),DATA_QDA_4,"")</f>
        <v/>
      </c>
      <c r="AN15" s="192" t="str" cm="1">
        <f t="array" ref="AN15">IF(GLOBAL_DATA[[#This Row],[Status]]="",DATA_QDA_7,"")</f>
        <v/>
      </c>
      <c r="AO15" s="192" t="str">
        <f>IF(AND(GLOBAL_DATA[[#This Row],[Initial end]]="",GLOBAL_DATA[[#This Row],[Re-estimated end]]="",GLOBAL_DATA[[#This Row],[Status]]=DATA_Status_INPROGRESS),DATA_QDA_12,"")</f>
        <v/>
      </c>
      <c r="AP15" s="192" t="str">
        <f>IF(AND(GLOBAL_DATA[[#This Row],[Initial end]]="",GLOBAL_DATA[[#This Row],[Re-estimated end]]="",GLOBAL_DATA[[#This Row],[Status]]=DATA_Status_TOBESTARTED),DATA_QDA_13,"")</f>
        <v/>
      </c>
      <c r="AQ15" s="192" t="str">
        <f>IF(AND(GLOBAL_DATA[[#This Row],[Status]]=DATA_Status_INPROGRESS,GLOBAL_DATA[[#This Row],[Total Initial]]=0,GLOBAL_DATA[[#This Row],[Total re-estimated]]=0),DATA_DQA_11,"")</f>
        <v/>
      </c>
      <c r="AR15" s="192" t="str">
        <f>IF(AND(GLOBAL_DATA[[#This Row],[Will be done]]=1,SUM(GLOBAL_DATA[[#This Row],[Total Initial]]:GLOBAL_DATA[[#This Row],[Total Spent]])&lt;&gt;0,GLOBAL_DATA[[#This Row],[Kick-off]]=""),DATA_DQA_16,"")</f>
        <v/>
      </c>
      <c r="AS15" s="192" t="str">
        <f>IF(AND(GLOBAL_DATA[[#This Row],[Will be done]]=1,SUM(GLOBAL_DATA[[#This Row],[Total Initial]]:GLOBAL_DATA[[#This Row],[Total Spent]])&lt;&gt;0,GLOBAL_DATA[[#This Row],[Initial end]]=""),DATA_QDA_17,"")</f>
        <v/>
      </c>
      <c r="AT15" s="192" t="str">
        <f ca="1">IF(AND(IFERROR(DATEDIF(GLOBAL_DATA[[#This Row],[Kick-off]],TODAY(),"m"),0)&lt;&gt;0,OR(GLOBAL_DATA[[#This Row],[Status]]=DATA_Status_TOBESTARTED)),DATA_QDA_19,"")</f>
        <v/>
      </c>
      <c r="AU15" s="192" t="str">
        <f>IF(AND(GLOBAL_DATA[[#This Row],[Kick-off]]&lt;&gt;"",GLOBAL_DATA[[#This Row],[Kick-off]]&gt;GLOBAL_DATA[[#This Row],[Re-estimated end]]),DATA_DQA_14,"")</f>
        <v/>
      </c>
      <c r="AV15" s="192" t="str">
        <f ca="1">IF(AND(IFERROR(DATEDIF(TODAY(),GLOBAL_DATA[[#This Row],[Re-estimated end]],"m"),0)&gt;1,GLOBAL_DATA[[#This Row],[Implementation progress rate]]=1),DATA_QDA_8,"")</f>
        <v/>
      </c>
      <c r="AW15" s="192" t="str" cm="1">
        <f t="array" ref="AW15">IF(AND(GLOBAL_DATA[[#This Row],[CISO assessment]]="Warning only",TRIM(GLOBAL_DATA[[#This Row],[CISO Comments]])=""),DATA_DQA_9,"")</f>
        <v/>
      </c>
      <c r="AX15" s="192" t="str">
        <f>IF(AND(GLOBAL_DATA[[#This Row],[CISO assessment]]="Alert",TRIM(GLOBAL_DATA[[#This Row],[CISO Comments]])=""),DATA_DQA_10,"")</f>
        <v/>
      </c>
      <c r="AY15" s="192" t="s">
        <v>574</v>
      </c>
      <c r="AZ15" s="195">
        <f>IF(OR(GLOBAL_DATA[[#This Row],[Status]]="",GLOBAL_DATA[[#This Row],[Status]]=Risk_accepted,GLOBAL_DATA[[#This Row],[Status]]=Target_Not_Applicable),1,0)</f>
        <v>0</v>
      </c>
      <c r="BA15" s="196">
        <f>IF(OR(GLOBAL_DATA[[#This Row],[Status]]=DATA_Status_TOBESTARTED,GLOBAL_DATA[[#This Row],[Status]]=DATA_Status_INPROGRESS),1,0)</f>
        <v>1</v>
      </c>
      <c r="BB15" s="196">
        <f>IF(OR(GLOBAL_DATA[[#This Row],[Status]]=Done,GLOBAL_DATA[[#This Row],[Status]]=Checked),1,0)</f>
        <v>0</v>
      </c>
    </row>
    <row r="16" spans="1:54" ht="42" customHeight="1" x14ac:dyDescent="0.25">
      <c r="A16" s="197" t="s">
        <v>598</v>
      </c>
      <c r="B16" s="197" t="s">
        <v>598</v>
      </c>
      <c r="C16" s="170" t="str">
        <f>IF(GLOBAL_DATA[[#This Row],[Target scope]]="","",INDEX(DATA_TargetStatusChoice[Target_Status_Choice],MATCH(GLOBAL_DATA[[#This Row],[Target scope]],DATA_TargetStatusChoice[Value],1)))</f>
        <v>FULL IMPLEMENTATION</v>
      </c>
      <c r="D16" s="168">
        <v>1</v>
      </c>
      <c r="E16" s="168" t="s">
        <v>75</v>
      </c>
      <c r="F16" s="178" t="s">
        <v>31</v>
      </c>
      <c r="G16" s="179">
        <v>0</v>
      </c>
      <c r="H16" s="179" t="s">
        <v>384</v>
      </c>
      <c r="I16" s="180" t="s">
        <v>598</v>
      </c>
      <c r="J16" s="178" t="s">
        <v>429</v>
      </c>
      <c r="K16" s="198" t="s">
        <v>575</v>
      </c>
      <c r="L16" s="171">
        <v>44197</v>
      </c>
      <c r="M16" s="171">
        <v>44560</v>
      </c>
      <c r="N16" s="171">
        <v>44561</v>
      </c>
      <c r="O16" s="181">
        <f>SUM(GLOBAL_DATA[[#This Row],[Initial 2020]],GLOBAL_DATA[[#This Row],[Initial 2021]],GLOBAL_DATA[[#This Row],[Initial 2022]],GLOBAL_DATA[[#This Row],[Initial 2023]])</f>
        <v>0</v>
      </c>
      <c r="P16" s="182">
        <f>SUM(GLOBAL_DATA[[#This Row],[Reestimated 2020]],GLOBAL_DATA[[#This Row],[Reestimated 2021]],GLOBAL_DATA[[#This Row],[Reestimated 2022]],GLOBAL_DATA[[#This Row],[Reestimated 2023]])</f>
        <v>0</v>
      </c>
      <c r="Q16" s="183">
        <f>SUM(GLOBAL_DATA[[#This Row],[Spent 2020]],GLOBAL_DATA[[#This Row],[Spent 2021]],GLOBAL_DATA[[#This Row],[Spent 2022]],GLOBAL_DATA[[#This Row],[Spent 2023]])</f>
        <v>0</v>
      </c>
      <c r="R16" s="184"/>
      <c r="S16" s="185"/>
      <c r="T16" s="186"/>
      <c r="U16" s="184"/>
      <c r="V16" s="185"/>
      <c r="W16" s="185"/>
      <c r="X16" s="184">
        <v>0</v>
      </c>
      <c r="Y16" s="185">
        <v>0</v>
      </c>
      <c r="Z16" s="186">
        <v>0</v>
      </c>
      <c r="AA16" s="185">
        <v>0</v>
      </c>
      <c r="AB16" s="185">
        <v>0</v>
      </c>
      <c r="AC16" s="187">
        <v>0</v>
      </c>
      <c r="AD16" s="125">
        <f>IF(GLOBAL_DATA[[#This Row],[Target scope]]&lt;&gt;Target_Not_Applicable,GLOBAL_DATA[[#This Row],[Target scope]]*GLOBAL_DATA[[#This Row],[Implementation progress rate]],"")</f>
        <v>0</v>
      </c>
      <c r="AE16" s="128">
        <f>IF(OR(GLOBAL_DATA[[#This Row],[Status]]=DATA!$J$6,GLOBAL_DATA[[#This Row],[Status]]=DATA!$J$7,GLOBAL_DATA[[#This Row],[Status]]=DATA!$J$8),1,0)</f>
        <v>0</v>
      </c>
      <c r="AF16" s="129">
        <f>IF(GLOBAL_DATA[[#This Row],[Status]]=Status_No_Project,"",MAX(GLOBAL_DATA[[#This Row],[Initial end]],GLOBAL_DATA[[#This Row],[Re-estimated end]],43831))</f>
        <v>44561</v>
      </c>
      <c r="AG16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6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6" s="199"/>
      <c r="AJ16" s="193" t="str">
        <f>IF(AND(GLOBAL_DATA[[#This Row],[Status]]=DATA_Status_TOBESTARTED,GLOBAL_DATA[[#This Row],[Implementation progress rate]]&gt;0),DATA_DQA_1,"")</f>
        <v/>
      </c>
      <c r="AK16" s="192" t="str">
        <f>IF(AND(GLOBAL_DATA[[#This Row],[Status]]=In_progress,GLOBAL_DATA[[#This Row],[Implementation progress rate]]=1),DATA_DQA_2,"")</f>
        <v/>
      </c>
      <c r="AL16" s="192" t="str" cm="1">
        <f t="array" ref="AL16">IF(AND(GLOBAL_DATA[[#This Row],[Status]]=In_progress,GLOBAL_DATA[[#This Row],[Implementation progress rate]]=0),DATA_DQA_3,"")</f>
        <v/>
      </c>
      <c r="AM16" s="192" t="str">
        <f>IF(AND(GLOBAL_DATA[[#This Row],[Status]]=Done,GLOBAL_DATA[[#This Row],[Implementation progress rate]]&lt;1),DATA_QDA_4,"")</f>
        <v/>
      </c>
      <c r="AN16" s="192" t="str" cm="1">
        <f t="array" ref="AN16">IF(GLOBAL_DATA[[#This Row],[Status]]="",DATA_QDA_7,"")</f>
        <v/>
      </c>
      <c r="AO16" s="192" t="str">
        <f>IF(AND(GLOBAL_DATA[[#This Row],[Initial end]]="",GLOBAL_DATA[[#This Row],[Re-estimated end]]="",GLOBAL_DATA[[#This Row],[Status]]=DATA_Status_INPROGRESS),DATA_QDA_12,"")</f>
        <v/>
      </c>
      <c r="AP16" s="192" t="str">
        <f>IF(AND(GLOBAL_DATA[[#This Row],[Initial end]]="",GLOBAL_DATA[[#This Row],[Re-estimated end]]="",GLOBAL_DATA[[#This Row],[Status]]=DATA_Status_TOBESTARTED),DATA_QDA_13,"")</f>
        <v/>
      </c>
      <c r="AQ16" s="192" t="str">
        <f>IF(AND(GLOBAL_DATA[[#This Row],[Status]]=DATA_Status_INPROGRESS,GLOBAL_DATA[[#This Row],[Total Initial]]=0,GLOBAL_DATA[[#This Row],[Total re-estimated]]=0),DATA_DQA_11,"")</f>
        <v/>
      </c>
      <c r="AR16" s="192" t="str">
        <f>IF(AND(GLOBAL_DATA[[#This Row],[Will be done]]=1,SUM(GLOBAL_DATA[[#This Row],[Total Initial]]:GLOBAL_DATA[[#This Row],[Total Spent]])&lt;&gt;0,GLOBAL_DATA[[#This Row],[Kick-off]]=""),DATA_DQA_16,"")</f>
        <v/>
      </c>
      <c r="AS16" s="192" t="str">
        <f>IF(AND(GLOBAL_DATA[[#This Row],[Will be done]]=1,SUM(GLOBAL_DATA[[#This Row],[Total Initial]]:GLOBAL_DATA[[#This Row],[Total Spent]])&lt;&gt;0,GLOBAL_DATA[[#This Row],[Initial end]]=""),DATA_QDA_17,"")</f>
        <v/>
      </c>
      <c r="AT16" s="192" t="str">
        <f ca="1">IF(AND(IFERROR(DATEDIF(GLOBAL_DATA[[#This Row],[Kick-off]],TODAY(),"m"),0)&lt;&gt;0,OR(GLOBAL_DATA[[#This Row],[Status]]=DATA_Status_TOBESTARTED)),DATA_QDA_19,"")</f>
        <v/>
      </c>
      <c r="AU16" s="192" t="str">
        <f>IF(AND(GLOBAL_DATA[[#This Row],[Kick-off]]&lt;&gt;"",GLOBAL_DATA[[#This Row],[Kick-off]]&gt;GLOBAL_DATA[[#This Row],[Re-estimated end]]),DATA_DQA_14,"")</f>
        <v/>
      </c>
      <c r="AV16" s="192" t="str">
        <f ca="1">IF(AND(IFERROR(DATEDIF(TODAY(),GLOBAL_DATA[[#This Row],[Re-estimated end]],"m"),0)&gt;1,GLOBAL_DATA[[#This Row],[Implementation progress rate]]=1),DATA_QDA_8,"")</f>
        <v/>
      </c>
      <c r="AW16" s="192" t="str" cm="1">
        <f t="array" ref="AW16">IF(AND(GLOBAL_DATA[[#This Row],[CISO assessment]]="Warning only",TRIM(GLOBAL_DATA[[#This Row],[CISO Comments]])=""),DATA_DQA_9,"")</f>
        <v/>
      </c>
      <c r="AX16" s="192" t="str">
        <f>IF(AND(GLOBAL_DATA[[#This Row],[CISO assessment]]="Alert",TRIM(GLOBAL_DATA[[#This Row],[CISO Comments]])=""),DATA_DQA_10,"")</f>
        <v/>
      </c>
      <c r="AY16" s="192" t="s">
        <v>574</v>
      </c>
      <c r="AZ16" s="195">
        <f>IF(OR(GLOBAL_DATA[[#This Row],[Status]]="",GLOBAL_DATA[[#This Row],[Status]]=Risk_accepted,GLOBAL_DATA[[#This Row],[Status]]=Target_Not_Applicable),1,0)</f>
        <v>0</v>
      </c>
      <c r="BA16" s="196">
        <f>IF(OR(GLOBAL_DATA[[#This Row],[Status]]=DATA_Status_TOBESTARTED,GLOBAL_DATA[[#This Row],[Status]]=DATA_Status_INPROGRESS),1,0)</f>
        <v>1</v>
      </c>
      <c r="BB16" s="196">
        <f>IF(OR(GLOBAL_DATA[[#This Row],[Status]]=Done,GLOBAL_DATA[[#This Row],[Status]]=Checked),1,0)</f>
        <v>0</v>
      </c>
    </row>
    <row r="17" spans="1:54" ht="42" customHeight="1" x14ac:dyDescent="0.25">
      <c r="A17" s="197" t="s">
        <v>598</v>
      </c>
      <c r="B17" s="197" t="s">
        <v>598</v>
      </c>
      <c r="C17" s="170" t="str">
        <f>IF(GLOBAL_DATA[[#This Row],[Target scope]]="","",INDEX(DATA_TargetStatusChoice[Target_Status_Choice],MATCH(GLOBAL_DATA[[#This Row],[Target scope]],DATA_TargetStatusChoice[Value],1)))</f>
        <v>FULL IMPLEMENTATION</v>
      </c>
      <c r="D17" s="168">
        <v>1</v>
      </c>
      <c r="E17" s="168" t="s">
        <v>75</v>
      </c>
      <c r="F17" s="178" t="s">
        <v>31</v>
      </c>
      <c r="G17" s="179">
        <v>0</v>
      </c>
      <c r="H17" s="179" t="s">
        <v>384</v>
      </c>
      <c r="I17" s="180" t="s">
        <v>598</v>
      </c>
      <c r="J17" s="178" t="s">
        <v>428</v>
      </c>
      <c r="K17" s="198" t="s">
        <v>576</v>
      </c>
      <c r="L17" s="171">
        <v>44197</v>
      </c>
      <c r="M17" s="171">
        <v>44560</v>
      </c>
      <c r="N17" s="171">
        <v>44561</v>
      </c>
      <c r="O17" s="181">
        <f>SUM(GLOBAL_DATA[[#This Row],[Initial 2020]],GLOBAL_DATA[[#This Row],[Initial 2021]],GLOBAL_DATA[[#This Row],[Initial 2022]],GLOBAL_DATA[[#This Row],[Initial 2023]])</f>
        <v>0</v>
      </c>
      <c r="P17" s="182">
        <f>SUM(GLOBAL_DATA[[#This Row],[Reestimated 2020]],GLOBAL_DATA[[#This Row],[Reestimated 2021]],GLOBAL_DATA[[#This Row],[Reestimated 2022]],GLOBAL_DATA[[#This Row],[Reestimated 2023]])</f>
        <v>0</v>
      </c>
      <c r="Q17" s="183">
        <f>SUM(GLOBAL_DATA[[#This Row],[Spent 2020]],GLOBAL_DATA[[#This Row],[Spent 2021]],GLOBAL_DATA[[#This Row],[Spent 2022]],GLOBAL_DATA[[#This Row],[Spent 2023]])</f>
        <v>0</v>
      </c>
      <c r="R17" s="184"/>
      <c r="S17" s="185"/>
      <c r="T17" s="186"/>
      <c r="U17" s="184"/>
      <c r="V17" s="185"/>
      <c r="W17" s="185"/>
      <c r="X17" s="184">
        <v>0</v>
      </c>
      <c r="Y17" s="185">
        <v>0</v>
      </c>
      <c r="Z17" s="186">
        <v>0</v>
      </c>
      <c r="AA17" s="185">
        <v>0</v>
      </c>
      <c r="AB17" s="185">
        <v>0</v>
      </c>
      <c r="AC17" s="187">
        <v>0</v>
      </c>
      <c r="AD17" s="125">
        <f>IF(GLOBAL_DATA[[#This Row],[Target scope]]&lt;&gt;Target_Not_Applicable,GLOBAL_DATA[[#This Row],[Target scope]]*GLOBAL_DATA[[#This Row],[Implementation progress rate]],"")</f>
        <v>0</v>
      </c>
      <c r="AE17" s="128">
        <f>IF(OR(GLOBAL_DATA[[#This Row],[Status]]=DATA!$J$6,GLOBAL_DATA[[#This Row],[Status]]=DATA!$J$7,GLOBAL_DATA[[#This Row],[Status]]=DATA!$J$8),1,0)</f>
        <v>0</v>
      </c>
      <c r="AF17" s="129">
        <f>IF(GLOBAL_DATA[[#This Row],[Status]]=Status_No_Project,"",MAX(GLOBAL_DATA[[#This Row],[Initial end]],GLOBAL_DATA[[#This Row],[Re-estimated end]],43831))</f>
        <v>44561</v>
      </c>
      <c r="AG17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7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7" s="199"/>
      <c r="AJ17" s="193" t="str">
        <f>IF(AND(GLOBAL_DATA[[#This Row],[Status]]=DATA_Status_TOBESTARTED,GLOBAL_DATA[[#This Row],[Implementation progress rate]]&gt;0),DATA_DQA_1,"")</f>
        <v/>
      </c>
      <c r="AK17" s="192" t="str">
        <f>IF(AND(GLOBAL_DATA[[#This Row],[Status]]=In_progress,GLOBAL_DATA[[#This Row],[Implementation progress rate]]=1),DATA_DQA_2,"")</f>
        <v/>
      </c>
      <c r="AL17" s="192" t="str" cm="1">
        <f t="array" ref="AL17">IF(AND(GLOBAL_DATA[[#This Row],[Status]]=In_progress,GLOBAL_DATA[[#This Row],[Implementation progress rate]]=0),DATA_DQA_3,"")</f>
        <v/>
      </c>
      <c r="AM17" s="192" t="str">
        <f>IF(AND(GLOBAL_DATA[[#This Row],[Status]]=Done,GLOBAL_DATA[[#This Row],[Implementation progress rate]]&lt;1),DATA_QDA_4,"")</f>
        <v/>
      </c>
      <c r="AN17" s="192" t="str" cm="1">
        <f t="array" ref="AN17">IF(GLOBAL_DATA[[#This Row],[Status]]="",DATA_QDA_7,"")</f>
        <v/>
      </c>
      <c r="AO17" s="192" t="str">
        <f>IF(AND(GLOBAL_DATA[[#This Row],[Initial end]]="",GLOBAL_DATA[[#This Row],[Re-estimated end]]="",GLOBAL_DATA[[#This Row],[Status]]=DATA_Status_INPROGRESS),DATA_QDA_12,"")</f>
        <v/>
      </c>
      <c r="AP17" s="192" t="str">
        <f>IF(AND(GLOBAL_DATA[[#This Row],[Initial end]]="",GLOBAL_DATA[[#This Row],[Re-estimated end]]="",GLOBAL_DATA[[#This Row],[Status]]=DATA_Status_TOBESTARTED),DATA_QDA_13,"")</f>
        <v/>
      </c>
      <c r="AQ17" s="192" t="str">
        <f>IF(AND(GLOBAL_DATA[[#This Row],[Status]]=DATA_Status_INPROGRESS,GLOBAL_DATA[[#This Row],[Total Initial]]=0,GLOBAL_DATA[[#This Row],[Total re-estimated]]=0),DATA_DQA_11,"")</f>
        <v/>
      </c>
      <c r="AR17" s="192" t="str">
        <f>IF(AND(GLOBAL_DATA[[#This Row],[Will be done]]=1,SUM(GLOBAL_DATA[[#This Row],[Total Initial]]:GLOBAL_DATA[[#This Row],[Total Spent]])&lt;&gt;0,GLOBAL_DATA[[#This Row],[Kick-off]]=""),DATA_DQA_16,"")</f>
        <v/>
      </c>
      <c r="AS17" s="192" t="str">
        <f>IF(AND(GLOBAL_DATA[[#This Row],[Will be done]]=1,SUM(GLOBAL_DATA[[#This Row],[Total Initial]]:GLOBAL_DATA[[#This Row],[Total Spent]])&lt;&gt;0,GLOBAL_DATA[[#This Row],[Initial end]]=""),DATA_QDA_17,"")</f>
        <v/>
      </c>
      <c r="AT17" s="192" t="str">
        <f ca="1">IF(AND(IFERROR(DATEDIF(GLOBAL_DATA[[#This Row],[Kick-off]],TODAY(),"m"),0)&lt;&gt;0,OR(GLOBAL_DATA[[#This Row],[Status]]=DATA_Status_TOBESTARTED)),DATA_QDA_19,"")</f>
        <v/>
      </c>
      <c r="AU17" s="192" t="str">
        <f>IF(AND(GLOBAL_DATA[[#This Row],[Kick-off]]&lt;&gt;"",GLOBAL_DATA[[#This Row],[Kick-off]]&gt;GLOBAL_DATA[[#This Row],[Re-estimated end]]),DATA_DQA_14,"")</f>
        <v/>
      </c>
      <c r="AV17" s="192" t="str">
        <f ca="1">IF(AND(IFERROR(DATEDIF(TODAY(),GLOBAL_DATA[[#This Row],[Re-estimated end]],"m"),0)&gt;1,GLOBAL_DATA[[#This Row],[Implementation progress rate]]=1),DATA_QDA_8,"")</f>
        <v/>
      </c>
      <c r="AW17" s="192" t="str" cm="1">
        <f t="array" ref="AW17">IF(AND(GLOBAL_DATA[[#This Row],[CISO assessment]]="Warning only",TRIM(GLOBAL_DATA[[#This Row],[CISO Comments]])=""),DATA_DQA_9,"")</f>
        <v/>
      </c>
      <c r="AX17" s="192" t="str">
        <f>IF(AND(GLOBAL_DATA[[#This Row],[CISO assessment]]="Alert",TRIM(GLOBAL_DATA[[#This Row],[CISO Comments]])=""),DATA_DQA_10,"")</f>
        <v/>
      </c>
      <c r="AY17" s="192" t="s">
        <v>574</v>
      </c>
      <c r="AZ17" s="195">
        <f>IF(OR(GLOBAL_DATA[[#This Row],[Status]]="",GLOBAL_DATA[[#This Row],[Status]]=Risk_accepted,GLOBAL_DATA[[#This Row],[Status]]=Target_Not_Applicable),1,0)</f>
        <v>0</v>
      </c>
      <c r="BA17" s="196">
        <f>IF(OR(GLOBAL_DATA[[#This Row],[Status]]=DATA_Status_TOBESTARTED,GLOBAL_DATA[[#This Row],[Status]]=DATA_Status_INPROGRESS),1,0)</f>
        <v>1</v>
      </c>
      <c r="BB17" s="196">
        <f>IF(OR(GLOBAL_DATA[[#This Row],[Status]]=Done,GLOBAL_DATA[[#This Row],[Status]]=Checked),1,0)</f>
        <v>0</v>
      </c>
    </row>
    <row r="18" spans="1:54" ht="42" customHeight="1" x14ac:dyDescent="0.25">
      <c r="A18" s="197" t="s">
        <v>598</v>
      </c>
      <c r="B18" s="197" t="s">
        <v>598</v>
      </c>
      <c r="C18" s="170" t="str">
        <f>IF(GLOBAL_DATA[[#This Row],[Target scope]]="","",INDEX(DATA_TargetStatusChoice[Target_Status_Choice],MATCH(GLOBAL_DATA[[#This Row],[Target scope]],DATA_TargetStatusChoice[Value],1)))</f>
        <v>FULL IMPLEMENTATION</v>
      </c>
      <c r="D18" s="168">
        <v>1</v>
      </c>
      <c r="E18" s="168" t="s">
        <v>75</v>
      </c>
      <c r="F18" s="178" t="s">
        <v>32</v>
      </c>
      <c r="G18" s="179">
        <v>0.4</v>
      </c>
      <c r="H18" s="179" t="s">
        <v>384</v>
      </c>
      <c r="I18" s="180" t="s">
        <v>598</v>
      </c>
      <c r="J18" s="178" t="s">
        <v>429</v>
      </c>
      <c r="K18" s="198" t="s">
        <v>575</v>
      </c>
      <c r="L18" s="171">
        <v>43831</v>
      </c>
      <c r="M18" s="171">
        <v>44560</v>
      </c>
      <c r="N18" s="171">
        <v>44561</v>
      </c>
      <c r="O18" s="181">
        <f>SUM(GLOBAL_DATA[[#This Row],[Initial 2020]],GLOBAL_DATA[[#This Row],[Initial 2021]],GLOBAL_DATA[[#This Row],[Initial 2022]],GLOBAL_DATA[[#This Row],[Initial 2023]])</f>
        <v>6</v>
      </c>
      <c r="P18" s="182">
        <f>SUM(GLOBAL_DATA[[#This Row],[Reestimated 2020]],GLOBAL_DATA[[#This Row],[Reestimated 2021]],GLOBAL_DATA[[#This Row],[Reestimated 2022]],GLOBAL_DATA[[#This Row],[Reestimated 2023]])</f>
        <v>0</v>
      </c>
      <c r="Q18" s="183">
        <f>SUM(GLOBAL_DATA[[#This Row],[Spent 2020]],GLOBAL_DATA[[#This Row],[Spent 2021]],GLOBAL_DATA[[#This Row],[Spent 2022]],GLOBAL_DATA[[#This Row],[Spent 2023]])</f>
        <v>0</v>
      </c>
      <c r="R18" s="184"/>
      <c r="S18" s="185"/>
      <c r="T18" s="186"/>
      <c r="U18" s="184">
        <v>6</v>
      </c>
      <c r="V18" s="185"/>
      <c r="W18" s="185"/>
      <c r="X18" s="184">
        <v>0</v>
      </c>
      <c r="Y18" s="185">
        <v>0</v>
      </c>
      <c r="Z18" s="186">
        <v>0</v>
      </c>
      <c r="AA18" s="185">
        <v>0</v>
      </c>
      <c r="AB18" s="185">
        <v>0</v>
      </c>
      <c r="AC18" s="187">
        <v>0</v>
      </c>
      <c r="AD18" s="125">
        <f>IF(GLOBAL_DATA[[#This Row],[Target scope]]&lt;&gt;Target_Not_Applicable,GLOBAL_DATA[[#This Row],[Target scope]]*GLOBAL_DATA[[#This Row],[Implementation progress rate]],"")</f>
        <v>0.4</v>
      </c>
      <c r="AE18" s="128">
        <f>IF(OR(GLOBAL_DATA[[#This Row],[Status]]=DATA!$J$6,GLOBAL_DATA[[#This Row],[Status]]=DATA!$J$7,GLOBAL_DATA[[#This Row],[Status]]=DATA!$J$8),1,0)</f>
        <v>0</v>
      </c>
      <c r="AF18" s="129">
        <f>IF(GLOBAL_DATA[[#This Row],[Status]]=Status_No_Project,"",MAX(GLOBAL_DATA[[#This Row],[Initial end]],GLOBAL_DATA[[#This Row],[Re-estimated end]],43831))</f>
        <v>44561</v>
      </c>
      <c r="AG18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8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8" s="199"/>
      <c r="AJ18" s="193" t="str">
        <f>IF(AND(GLOBAL_DATA[[#This Row],[Status]]=DATA_Status_TOBESTARTED,GLOBAL_DATA[[#This Row],[Implementation progress rate]]&gt;0),DATA_DQA_1,"")</f>
        <v/>
      </c>
      <c r="AK18" s="192" t="str">
        <f>IF(AND(GLOBAL_DATA[[#This Row],[Status]]=In_progress,GLOBAL_DATA[[#This Row],[Implementation progress rate]]=1),DATA_DQA_2,"")</f>
        <v/>
      </c>
      <c r="AL18" s="192" t="str" cm="1">
        <f t="array" ref="AL18">IF(AND(GLOBAL_DATA[[#This Row],[Status]]=In_progress,GLOBAL_DATA[[#This Row],[Implementation progress rate]]=0),DATA_DQA_3,"")</f>
        <v/>
      </c>
      <c r="AM18" s="192" t="str">
        <f>IF(AND(GLOBAL_DATA[[#This Row],[Status]]=Done,GLOBAL_DATA[[#This Row],[Implementation progress rate]]&lt;1),DATA_QDA_4,"")</f>
        <v/>
      </c>
      <c r="AN18" s="192" t="str" cm="1">
        <f t="array" ref="AN18">IF(GLOBAL_DATA[[#This Row],[Status]]="",DATA_QDA_7,"")</f>
        <v/>
      </c>
      <c r="AO18" s="192" t="str">
        <f>IF(AND(GLOBAL_DATA[[#This Row],[Initial end]]="",GLOBAL_DATA[[#This Row],[Re-estimated end]]="",GLOBAL_DATA[[#This Row],[Status]]=DATA_Status_INPROGRESS),DATA_QDA_12,"")</f>
        <v/>
      </c>
      <c r="AP18" s="192" t="str">
        <f>IF(AND(GLOBAL_DATA[[#This Row],[Initial end]]="",GLOBAL_DATA[[#This Row],[Re-estimated end]]="",GLOBAL_DATA[[#This Row],[Status]]=DATA_Status_TOBESTARTED),DATA_QDA_13,"")</f>
        <v/>
      </c>
      <c r="AQ18" s="192" t="str">
        <f>IF(AND(GLOBAL_DATA[[#This Row],[Status]]=DATA_Status_INPROGRESS,GLOBAL_DATA[[#This Row],[Total Initial]]=0,GLOBAL_DATA[[#This Row],[Total re-estimated]]=0),DATA_DQA_11,"")</f>
        <v/>
      </c>
      <c r="AR18" s="192" t="str">
        <f>IF(AND(GLOBAL_DATA[[#This Row],[Will be done]]=1,SUM(GLOBAL_DATA[[#This Row],[Total Initial]]:GLOBAL_DATA[[#This Row],[Total Spent]])&lt;&gt;0,GLOBAL_DATA[[#This Row],[Kick-off]]=""),DATA_DQA_16,"")</f>
        <v/>
      </c>
      <c r="AS18" s="192" t="str">
        <f>IF(AND(GLOBAL_DATA[[#This Row],[Will be done]]=1,SUM(GLOBAL_DATA[[#This Row],[Total Initial]]:GLOBAL_DATA[[#This Row],[Total Spent]])&lt;&gt;0,GLOBAL_DATA[[#This Row],[Initial end]]=""),DATA_QDA_17,"")</f>
        <v/>
      </c>
      <c r="AT18" s="192" t="str">
        <f ca="1">IF(AND(IFERROR(DATEDIF(GLOBAL_DATA[[#This Row],[Kick-off]],TODAY(),"m"),0)&lt;&gt;0,OR(GLOBAL_DATA[[#This Row],[Status]]=DATA_Status_TOBESTARTED)),DATA_QDA_19,"")</f>
        <v/>
      </c>
      <c r="AU18" s="192" t="str">
        <f>IF(AND(GLOBAL_DATA[[#This Row],[Kick-off]]&lt;&gt;"",GLOBAL_DATA[[#This Row],[Kick-off]]&gt;GLOBAL_DATA[[#This Row],[Re-estimated end]]),DATA_DQA_14,"")</f>
        <v/>
      </c>
      <c r="AV18" s="192" t="str">
        <f ca="1">IF(AND(IFERROR(DATEDIF(TODAY(),GLOBAL_DATA[[#This Row],[Re-estimated end]],"m"),0)&gt;1,GLOBAL_DATA[[#This Row],[Implementation progress rate]]=1),DATA_QDA_8,"")</f>
        <v/>
      </c>
      <c r="AW18" s="192" t="str" cm="1">
        <f t="array" ref="AW18">IF(AND(GLOBAL_DATA[[#This Row],[CISO assessment]]="Warning only",TRIM(GLOBAL_DATA[[#This Row],[CISO Comments]])=""),DATA_DQA_9,"")</f>
        <v/>
      </c>
      <c r="AX18" s="192" t="str">
        <f>IF(AND(GLOBAL_DATA[[#This Row],[CISO assessment]]="Alert",TRIM(GLOBAL_DATA[[#This Row],[CISO Comments]])=""),DATA_DQA_10,"")</f>
        <v/>
      </c>
      <c r="AY18" s="192" t="s">
        <v>574</v>
      </c>
      <c r="AZ18" s="195">
        <f>IF(OR(GLOBAL_DATA[[#This Row],[Status]]="",GLOBAL_DATA[[#This Row],[Status]]=Risk_accepted,GLOBAL_DATA[[#This Row],[Status]]=Target_Not_Applicable),1,0)</f>
        <v>0</v>
      </c>
      <c r="BA18" s="196">
        <f>IF(OR(GLOBAL_DATA[[#This Row],[Status]]=DATA_Status_TOBESTARTED,GLOBAL_DATA[[#This Row],[Status]]=DATA_Status_INPROGRESS),1,0)</f>
        <v>1</v>
      </c>
      <c r="BB18" s="196">
        <f>IF(OR(GLOBAL_DATA[[#This Row],[Status]]=Done,GLOBAL_DATA[[#This Row],[Status]]=Checked),1,0)</f>
        <v>0</v>
      </c>
    </row>
    <row r="19" spans="1:54" ht="42" customHeight="1" x14ac:dyDescent="0.25">
      <c r="A19" s="197" t="s">
        <v>598</v>
      </c>
      <c r="B19" s="197" t="s">
        <v>598</v>
      </c>
      <c r="C19" s="170" t="str">
        <f>IF(GLOBAL_DATA[[#This Row],[Target scope]]="","",INDEX(DATA_TargetStatusChoice[Target_Status_Choice],MATCH(GLOBAL_DATA[[#This Row],[Target scope]],DATA_TargetStatusChoice[Value],1)))</f>
        <v>FULL IMPLEMENTATION</v>
      </c>
      <c r="D19" s="168">
        <v>1</v>
      </c>
      <c r="E19" s="168" t="s">
        <v>75</v>
      </c>
      <c r="F19" s="178" t="s">
        <v>32</v>
      </c>
      <c r="G19" s="179">
        <v>0.6</v>
      </c>
      <c r="H19" s="179" t="s">
        <v>384</v>
      </c>
      <c r="I19" s="180" t="s">
        <v>598</v>
      </c>
      <c r="J19" s="178" t="s">
        <v>428</v>
      </c>
      <c r="K19" s="198" t="s">
        <v>388</v>
      </c>
      <c r="L19" s="171">
        <v>43831</v>
      </c>
      <c r="M19" s="171">
        <v>44560</v>
      </c>
      <c r="N19" s="171">
        <v>44561</v>
      </c>
      <c r="O19" s="181">
        <f>SUM(GLOBAL_DATA[[#This Row],[Initial 2020]],GLOBAL_DATA[[#This Row],[Initial 2021]],GLOBAL_DATA[[#This Row],[Initial 2022]],GLOBAL_DATA[[#This Row],[Initial 2023]])</f>
        <v>0</v>
      </c>
      <c r="P19" s="182">
        <f>SUM(GLOBAL_DATA[[#This Row],[Reestimated 2020]],GLOBAL_DATA[[#This Row],[Reestimated 2021]],GLOBAL_DATA[[#This Row],[Reestimated 2022]],GLOBAL_DATA[[#This Row],[Reestimated 2023]])</f>
        <v>0</v>
      </c>
      <c r="Q19" s="183">
        <f>SUM(GLOBAL_DATA[[#This Row],[Spent 2020]],GLOBAL_DATA[[#This Row],[Spent 2021]],GLOBAL_DATA[[#This Row],[Spent 2022]],GLOBAL_DATA[[#This Row],[Spent 2023]])</f>
        <v>0</v>
      </c>
      <c r="R19" s="184"/>
      <c r="S19" s="185"/>
      <c r="T19" s="186"/>
      <c r="U19" s="184">
        <v>0</v>
      </c>
      <c r="V19" s="185"/>
      <c r="W19" s="185"/>
      <c r="X19" s="184">
        <v>0</v>
      </c>
      <c r="Y19" s="185">
        <v>0</v>
      </c>
      <c r="Z19" s="186">
        <v>0</v>
      </c>
      <c r="AA19" s="185">
        <v>0</v>
      </c>
      <c r="AB19" s="185">
        <v>0</v>
      </c>
      <c r="AC19" s="187">
        <v>0</v>
      </c>
      <c r="AD19" s="125">
        <f>IF(GLOBAL_DATA[[#This Row],[Target scope]]&lt;&gt;Target_Not_Applicable,GLOBAL_DATA[[#This Row],[Target scope]]*GLOBAL_DATA[[#This Row],[Implementation progress rate]],"")</f>
        <v>0.6</v>
      </c>
      <c r="AE19" s="128">
        <f>IF(OR(GLOBAL_DATA[[#This Row],[Status]]=DATA!$J$6,GLOBAL_DATA[[#This Row],[Status]]=DATA!$J$7,GLOBAL_DATA[[#This Row],[Status]]=DATA!$J$8),1,0)</f>
        <v>0</v>
      </c>
      <c r="AF19" s="129">
        <f>IF(GLOBAL_DATA[[#This Row],[Status]]=Status_No_Project,"",MAX(GLOBAL_DATA[[#This Row],[Initial end]],GLOBAL_DATA[[#This Row],[Re-estimated end]],43831))</f>
        <v>44561</v>
      </c>
      <c r="AG19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19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19" s="199"/>
      <c r="AJ19" s="193" t="str">
        <f>IF(AND(GLOBAL_DATA[[#This Row],[Status]]=DATA_Status_TOBESTARTED,GLOBAL_DATA[[#This Row],[Implementation progress rate]]&gt;0),DATA_DQA_1,"")</f>
        <v/>
      </c>
      <c r="AK19" s="192" t="str">
        <f>IF(AND(GLOBAL_DATA[[#This Row],[Status]]=In_progress,GLOBAL_DATA[[#This Row],[Implementation progress rate]]=1),DATA_DQA_2,"")</f>
        <v/>
      </c>
      <c r="AL19" s="192" t="str" cm="1">
        <f t="array" ref="AL19">IF(AND(GLOBAL_DATA[[#This Row],[Status]]=In_progress,GLOBAL_DATA[[#This Row],[Implementation progress rate]]=0),DATA_DQA_3,"")</f>
        <v/>
      </c>
      <c r="AM19" s="192" t="str">
        <f>IF(AND(GLOBAL_DATA[[#This Row],[Status]]=Done,GLOBAL_DATA[[#This Row],[Implementation progress rate]]&lt;1),DATA_QDA_4,"")</f>
        <v/>
      </c>
      <c r="AN19" s="192" t="str" cm="1">
        <f t="array" ref="AN19">IF(GLOBAL_DATA[[#This Row],[Status]]="",DATA_QDA_7,"")</f>
        <v/>
      </c>
      <c r="AO19" s="192" t="str">
        <f>IF(AND(GLOBAL_DATA[[#This Row],[Initial end]]="",GLOBAL_DATA[[#This Row],[Re-estimated end]]="",GLOBAL_DATA[[#This Row],[Status]]=DATA_Status_INPROGRESS),DATA_QDA_12,"")</f>
        <v/>
      </c>
      <c r="AP19" s="192" t="str">
        <f>IF(AND(GLOBAL_DATA[[#This Row],[Initial end]]="",GLOBAL_DATA[[#This Row],[Re-estimated end]]="",GLOBAL_DATA[[#This Row],[Status]]=DATA_Status_TOBESTARTED),DATA_QDA_13,"")</f>
        <v/>
      </c>
      <c r="AQ19" s="192" t="str">
        <f>IF(AND(GLOBAL_DATA[[#This Row],[Status]]=DATA_Status_INPROGRESS,GLOBAL_DATA[[#This Row],[Total Initial]]=0,GLOBAL_DATA[[#This Row],[Total re-estimated]]=0),DATA_DQA_11,"")</f>
        <v>IN PROGRESS  but no budget</v>
      </c>
      <c r="AR19" s="192" t="str">
        <f>IF(AND(GLOBAL_DATA[[#This Row],[Will be done]]=1,SUM(GLOBAL_DATA[[#This Row],[Total Initial]]:GLOBAL_DATA[[#This Row],[Total Spent]])&lt;&gt;0,GLOBAL_DATA[[#This Row],[Kick-off]]=""),DATA_DQA_16,"")</f>
        <v/>
      </c>
      <c r="AS19" s="192" t="str">
        <f>IF(AND(GLOBAL_DATA[[#This Row],[Will be done]]=1,SUM(GLOBAL_DATA[[#This Row],[Total Initial]]:GLOBAL_DATA[[#This Row],[Total Spent]])&lt;&gt;0,GLOBAL_DATA[[#This Row],[Initial end]]=""),DATA_QDA_17,"")</f>
        <v/>
      </c>
      <c r="AT19" s="192" t="str">
        <f ca="1">IF(AND(IFERROR(DATEDIF(GLOBAL_DATA[[#This Row],[Kick-off]],TODAY(),"m"),0)&lt;&gt;0,OR(GLOBAL_DATA[[#This Row],[Status]]=DATA_Status_TOBESTARTED)),DATA_QDA_19,"")</f>
        <v/>
      </c>
      <c r="AU19" s="192" t="str">
        <f>IF(AND(GLOBAL_DATA[[#This Row],[Kick-off]]&lt;&gt;"",GLOBAL_DATA[[#This Row],[Kick-off]]&gt;GLOBAL_DATA[[#This Row],[Re-estimated end]]),DATA_DQA_14,"")</f>
        <v/>
      </c>
      <c r="AV19" s="192" t="str">
        <f ca="1">IF(AND(IFERROR(DATEDIF(TODAY(),GLOBAL_DATA[[#This Row],[Re-estimated end]],"m"),0)&gt;1,GLOBAL_DATA[[#This Row],[Implementation progress rate]]=1),DATA_QDA_8,"")</f>
        <v/>
      </c>
      <c r="AW19" s="192" t="str" cm="1">
        <f t="array" ref="AW19">IF(AND(GLOBAL_DATA[[#This Row],[CISO assessment]]="Warning only",TRIM(GLOBAL_DATA[[#This Row],[CISO Comments]])=""),DATA_DQA_9,"")</f>
        <v/>
      </c>
      <c r="AX19" s="192" t="str">
        <f>IF(AND(GLOBAL_DATA[[#This Row],[CISO assessment]]="Alert",TRIM(GLOBAL_DATA[[#This Row],[CISO Comments]])=""),DATA_DQA_10,"")</f>
        <v/>
      </c>
      <c r="AY19" s="192" t="s">
        <v>574</v>
      </c>
      <c r="AZ19" s="195">
        <f>IF(OR(GLOBAL_DATA[[#This Row],[Status]]="",GLOBAL_DATA[[#This Row],[Status]]=Risk_accepted,GLOBAL_DATA[[#This Row],[Status]]=Target_Not_Applicable),1,0)</f>
        <v>0</v>
      </c>
      <c r="BA19" s="196">
        <f>IF(OR(GLOBAL_DATA[[#This Row],[Status]]=DATA_Status_TOBESTARTED,GLOBAL_DATA[[#This Row],[Status]]=DATA_Status_INPROGRESS),1,0)</f>
        <v>1</v>
      </c>
      <c r="BB19" s="196">
        <f>IF(OR(GLOBAL_DATA[[#This Row],[Status]]=Done,GLOBAL_DATA[[#This Row],[Status]]=Checked),1,0)</f>
        <v>0</v>
      </c>
    </row>
    <row r="20" spans="1:54" ht="42" customHeight="1" x14ac:dyDescent="0.25">
      <c r="A20" s="197" t="s">
        <v>598</v>
      </c>
      <c r="B20" s="197" t="s">
        <v>598</v>
      </c>
      <c r="C20" s="170" t="str">
        <f>IF(GLOBAL_DATA[[#This Row],[Target scope]]="","",INDEX(DATA_TargetStatusChoice[Target_Status_Choice],MATCH(GLOBAL_DATA[[#This Row],[Target scope]],DATA_TargetStatusChoice[Value],1)))</f>
        <v>FULL IMPLEMENTATION</v>
      </c>
      <c r="D20" s="168">
        <v>1</v>
      </c>
      <c r="E20" s="168" t="s">
        <v>75</v>
      </c>
      <c r="F20" s="178" t="s">
        <v>31</v>
      </c>
      <c r="G20" s="179">
        <v>0</v>
      </c>
      <c r="H20" s="179" t="s">
        <v>384</v>
      </c>
      <c r="I20" s="180" t="s">
        <v>598</v>
      </c>
      <c r="J20" s="178" t="s">
        <v>429</v>
      </c>
      <c r="K20" s="198" t="s">
        <v>575</v>
      </c>
      <c r="L20" s="171">
        <v>44197</v>
      </c>
      <c r="M20" s="171">
        <v>44560</v>
      </c>
      <c r="N20" s="171">
        <v>44561</v>
      </c>
      <c r="O20" s="181">
        <f>SUM(GLOBAL_DATA[[#This Row],[Initial 2020]],GLOBAL_DATA[[#This Row],[Initial 2021]],GLOBAL_DATA[[#This Row],[Initial 2022]],GLOBAL_DATA[[#This Row],[Initial 2023]])</f>
        <v>0</v>
      </c>
      <c r="P20" s="182">
        <f>SUM(GLOBAL_DATA[[#This Row],[Reestimated 2020]],GLOBAL_DATA[[#This Row],[Reestimated 2021]],GLOBAL_DATA[[#This Row],[Reestimated 2022]],GLOBAL_DATA[[#This Row],[Reestimated 2023]])</f>
        <v>0</v>
      </c>
      <c r="Q20" s="183">
        <f>SUM(GLOBAL_DATA[[#This Row],[Spent 2020]],GLOBAL_DATA[[#This Row],[Spent 2021]],GLOBAL_DATA[[#This Row],[Spent 2022]],GLOBAL_DATA[[#This Row],[Spent 2023]])</f>
        <v>0</v>
      </c>
      <c r="R20" s="184"/>
      <c r="S20" s="185"/>
      <c r="T20" s="186"/>
      <c r="U20" s="184">
        <v>0</v>
      </c>
      <c r="V20" s="185"/>
      <c r="W20" s="185"/>
      <c r="X20" s="184">
        <v>0</v>
      </c>
      <c r="Y20" s="185">
        <v>0</v>
      </c>
      <c r="Z20" s="186">
        <v>0</v>
      </c>
      <c r="AA20" s="185">
        <v>0</v>
      </c>
      <c r="AB20" s="185">
        <v>0</v>
      </c>
      <c r="AC20" s="187">
        <v>0</v>
      </c>
      <c r="AD20" s="125">
        <f>IF(GLOBAL_DATA[[#This Row],[Target scope]]&lt;&gt;Target_Not_Applicable,GLOBAL_DATA[[#This Row],[Target scope]]*GLOBAL_DATA[[#This Row],[Implementation progress rate]],"")</f>
        <v>0</v>
      </c>
      <c r="AE20" s="128">
        <f>IF(OR(GLOBAL_DATA[[#This Row],[Status]]=DATA!$J$6,GLOBAL_DATA[[#This Row],[Status]]=DATA!$J$7,GLOBAL_DATA[[#This Row],[Status]]=DATA!$J$8),1,0)</f>
        <v>0</v>
      </c>
      <c r="AF20" s="129">
        <f>IF(GLOBAL_DATA[[#This Row],[Status]]=Status_No_Project,"",MAX(GLOBAL_DATA[[#This Row],[Initial end]],GLOBAL_DATA[[#This Row],[Re-estimated end]],43831))</f>
        <v>44561</v>
      </c>
      <c r="AG20" s="169">
        <f>IF(AND(GLOBAL_DATA[[#This Row],[Implementation progress rate]]&lt;100%,GLOBAL_DATA[[#This Row],[Re-estimated end]]&lt;=SYNTHESIS!ReportingDate,GLOBAL_DATA[[#This Row],[Re-estimated end]]&lt;&gt;""),1,0)+IF(AND(GLOBAL_DATA[[#This Row],[Implementation progress rate]]&lt;100%,GLOBAL_DATA[[#This Row],[Initial end]]&lt;=SYNTHESIS!ReportingDate,GLOBAL_DATA[[#This Row],[Re-estimated end]]&lt;SYNTHESIS!ReportingDate,GLOBAL_DATA[[#This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0</v>
      </c>
      <c r="AH20" s="169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I20" s="199"/>
      <c r="AJ20" s="193" t="str">
        <f>IF(AND(GLOBAL_DATA[[#This Row],[Status]]=DATA_Status_TOBESTARTED,GLOBAL_DATA[[#This Row],[Implementation progress rate]]&gt;0),DATA_DQA_1,"")</f>
        <v/>
      </c>
      <c r="AK20" s="192" t="str">
        <f>IF(AND(GLOBAL_DATA[[#This Row],[Status]]=In_progress,GLOBAL_DATA[[#This Row],[Implementation progress rate]]=1),DATA_DQA_2,"")</f>
        <v/>
      </c>
      <c r="AL20" s="192" t="str" cm="1">
        <f t="array" ref="AL20">IF(AND(GLOBAL_DATA[[#This Row],[Status]]=In_progress,GLOBAL_DATA[[#This Row],[Implementation progress rate]]=0),DATA_DQA_3,"")</f>
        <v/>
      </c>
      <c r="AM20" s="192" t="str">
        <f>IF(AND(GLOBAL_DATA[[#This Row],[Status]]=Done,GLOBAL_DATA[[#This Row],[Implementation progress rate]]&lt;1),DATA_QDA_4,"")</f>
        <v/>
      </c>
      <c r="AN20" s="192" t="str" cm="1">
        <f t="array" ref="AN20">IF(GLOBAL_DATA[[#This Row],[Status]]="",DATA_QDA_7,"")</f>
        <v/>
      </c>
      <c r="AO20" s="192" t="str">
        <f>IF(AND(GLOBAL_DATA[[#This Row],[Initial end]]="",GLOBAL_DATA[[#This Row],[Re-estimated end]]="",GLOBAL_DATA[[#This Row],[Status]]=DATA_Status_INPROGRESS),DATA_QDA_12,"")</f>
        <v/>
      </c>
      <c r="AP20" s="192" t="str">
        <f>IF(AND(GLOBAL_DATA[[#This Row],[Initial end]]="",GLOBAL_DATA[[#This Row],[Re-estimated end]]="",GLOBAL_DATA[[#This Row],[Status]]=DATA_Status_TOBESTARTED),DATA_QDA_13,"")</f>
        <v/>
      </c>
      <c r="AQ20" s="192" t="str">
        <f>IF(AND(GLOBAL_DATA[[#This Row],[Status]]=DATA_Status_INPROGRESS,GLOBAL_DATA[[#This Row],[Total Initial]]=0,GLOBAL_DATA[[#This Row],[Total re-estimated]]=0),DATA_DQA_11,"")</f>
        <v/>
      </c>
      <c r="AR20" s="192" t="str">
        <f>IF(AND(GLOBAL_DATA[[#This Row],[Will be done]]=1,SUM(GLOBAL_DATA[[#This Row],[Total Initial]]:GLOBAL_DATA[[#This Row],[Total Spent]])&lt;&gt;0,GLOBAL_DATA[[#This Row],[Kick-off]]=""),DATA_DQA_16,"")</f>
        <v/>
      </c>
      <c r="AS20" s="192" t="str">
        <f>IF(AND(GLOBAL_DATA[[#This Row],[Will be done]]=1,SUM(GLOBAL_DATA[[#This Row],[Total Initial]]:GLOBAL_DATA[[#This Row],[Total Spent]])&lt;&gt;0,GLOBAL_DATA[[#This Row],[Initial end]]=""),DATA_QDA_17,"")</f>
        <v/>
      </c>
      <c r="AT20" s="192" t="str">
        <f ca="1">IF(AND(IFERROR(DATEDIF(GLOBAL_DATA[[#This Row],[Kick-off]],TODAY(),"m"),0)&lt;&gt;0,OR(GLOBAL_DATA[[#This Row],[Status]]=DATA_Status_TOBESTARTED)),DATA_QDA_19,"")</f>
        <v/>
      </c>
      <c r="AU20" s="192" t="str">
        <f>IF(AND(GLOBAL_DATA[[#This Row],[Kick-off]]&lt;&gt;"",GLOBAL_DATA[[#This Row],[Kick-off]]&gt;GLOBAL_DATA[[#This Row],[Re-estimated end]]),DATA_DQA_14,"")</f>
        <v/>
      </c>
      <c r="AV20" s="192" t="str">
        <f ca="1">IF(AND(IFERROR(DATEDIF(TODAY(),GLOBAL_DATA[[#This Row],[Re-estimated end]],"m"),0)&gt;1,GLOBAL_DATA[[#This Row],[Implementation progress rate]]=1),DATA_QDA_8,"")</f>
        <v/>
      </c>
      <c r="AW20" s="192" t="str" cm="1">
        <f t="array" ref="AW20">IF(AND(GLOBAL_DATA[[#This Row],[CISO assessment]]="Warning only",TRIM(GLOBAL_DATA[[#This Row],[CISO Comments]])=""),DATA_DQA_9,"")</f>
        <v/>
      </c>
      <c r="AX20" s="192" t="str">
        <f>IF(AND(GLOBAL_DATA[[#This Row],[CISO assessment]]="Alert",TRIM(GLOBAL_DATA[[#This Row],[CISO Comments]])=""),DATA_DQA_10,"")</f>
        <v/>
      </c>
      <c r="AY20" s="192" t="s">
        <v>574</v>
      </c>
      <c r="AZ20" s="195">
        <f>IF(OR(GLOBAL_DATA[[#This Row],[Status]]="",GLOBAL_DATA[[#This Row],[Status]]=Risk_accepted,GLOBAL_DATA[[#This Row],[Status]]=Target_Not_Applicable),1,0)</f>
        <v>0</v>
      </c>
      <c r="BA20" s="196">
        <f>IF(OR(GLOBAL_DATA[[#This Row],[Status]]=DATA_Status_TOBESTARTED,GLOBAL_DATA[[#This Row],[Status]]=DATA_Status_INPROGRESS),1,0)</f>
        <v>1</v>
      </c>
      <c r="BB20" s="196">
        <f>IF(OR(GLOBAL_DATA[[#This Row],[Status]]=Done,GLOBAL_DATA[[#This Row],[Status]]=Checked),1,0)</f>
        <v>0</v>
      </c>
    </row>
  </sheetData>
  <sheetProtection formatColumns="0" formatRows="0" insertColumns="0" insertRows="0" sort="0" autoFilter="0" pivotTables="0"/>
  <protectedRanges>
    <protectedRange sqref="D5" name="Plage1_1"/>
  </protectedRanges>
  <mergeCells count="4">
    <mergeCell ref="AZ2:BB2"/>
    <mergeCell ref="AJ2:AQ2"/>
    <mergeCell ref="AW2:AX2"/>
    <mergeCell ref="AR2:AV2"/>
  </mergeCells>
  <dataValidations count="13">
    <dataValidation type="decimal" allowBlank="1" showInputMessage="1" showErrorMessage="1" sqref="AD5:AE20" xr:uid="{12E9C50E-B8B3-4A2D-92C9-000B73A93427}">
      <formula1>0</formula1>
      <formula2>1</formula2>
    </dataValidation>
    <dataValidation type="decimal" allowBlank="1" showInputMessage="1" showErrorMessage="1" errorTitle="BUDGET" error="Figures expected" sqref="V5:AC20 O5:U5 O6:Q20 S6:U20" xr:uid="{CC7A7ED5-5C71-41F3-A544-586279533EFD}">
      <formula1>0</formula1>
      <formula2>500000</formula2>
    </dataValidation>
    <dataValidation type="list" allowBlank="1" showInputMessage="1" showErrorMessage="1" sqref="J5:J20" xr:uid="{FEA24173-34BC-4E1E-815D-FF2CB3CC72EB}">
      <formula1>INDIRECT("DATA_Ressources[Ressources]")</formula1>
    </dataValidation>
    <dataValidation type="list" allowBlank="1" showInputMessage="1" showErrorMessage="1" sqref="F5:F20" xr:uid="{094B3D84-EC04-4885-9AC3-EAD008CDBE9C}">
      <formula1>INDIRECT("DATA_StatusChoice[Status_Choice]")</formula1>
    </dataValidation>
    <dataValidation type="list" allowBlank="1" showInputMessage="1" showErrorMessage="1" sqref="D5:D20" xr:uid="{2BEED58D-35C4-45B5-98DB-777ABAA91BFA}">
      <formula1>INDIRECT("DATA_Target[Target of scope]")</formula1>
    </dataValidation>
    <dataValidation type="list" allowBlank="1" showInputMessage="1" showErrorMessage="1" sqref="H5:H20" xr:uid="{AD6940E1-844B-4D57-9ED7-9F619EBE2D67}">
      <formula1>INDIRECT("DATA_CISOassessment[CISO assessment]")</formula1>
    </dataValidation>
    <dataValidation type="decimal" allowBlank="1" showInputMessage="1" showErrorMessage="1" errorTitle="Figures" error="Figures are expected." sqref="G5:G20" xr:uid="{264809FA-F126-4D49-9864-54C7663BA032}">
      <formula1>0</formula1>
      <formula2>1</formula2>
    </dataValidation>
    <dataValidation type="custom" allowBlank="1" showInputMessage="1" showErrorMessage="1" sqref="N3" xr:uid="{29436CCA-4829-4DD7-BD20-36F62636C2A0}">
      <formula1>N5&gt;L5</formula1>
    </dataValidation>
    <dataValidation allowBlank="1" showInputMessage="1" showErrorMessage="1" errorTitle="Date" error="A date is expected." promptTitle="Date" prompt="A date is expected." sqref="M5:M20" xr:uid="{14EFC815-3919-495A-9C62-3261C9F9C651}"/>
    <dataValidation type="date" allowBlank="1" showInputMessage="1" showErrorMessage="1" errorTitle="Date" error="A date is expected." promptTitle="Date" prompt="A date is expected." sqref="L5:L20 N5:N20" xr:uid="{0B1BE6AE-760B-4DC7-8684-DC3AC9489F3F}">
      <formula1>43831</formula1>
      <formula2>45291</formula2>
    </dataValidation>
    <dataValidation type="list" allowBlank="1" showInputMessage="1" showErrorMessage="1" sqref="AY5:AY20" xr:uid="{9D77FED2-A708-4F3D-B521-DF538D42DE33}">
      <formula1>"Yes,No"</formula1>
    </dataValidation>
    <dataValidation type="custom" errorStyle="information" allowBlank="1" showInputMessage="1" showErrorMessage="1" error="Initial end date muse be &gt; Kick-off date" sqref="M21:M1048576" xr:uid="{A4CE89E0-78FA-4504-B1B9-BCA2B31585A8}">
      <formula1>M21&gt;L21</formula1>
    </dataValidation>
    <dataValidation type="custom" errorStyle="information" allowBlank="1" showInputMessage="1" showErrorMessage="1" error="Re-estimated date needs to be &gt; than Initial end" sqref="N21:N1048576" xr:uid="{2DA39C1E-F14D-4D59-862F-73C3E0D0A50A}">
      <formula1>N21&gt;M21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1BD6-12A1-46B6-8523-731721303058}">
  <sheetPr codeName="Feuil10">
    <tabColor theme="1" tint="0.249977111117893"/>
  </sheetPr>
  <dimension ref="A1:CD30"/>
  <sheetViews>
    <sheetView zoomScale="130" zoomScaleNormal="130" workbookViewId="0">
      <pane xSplit="1" ySplit="2" topLeftCell="B3" activePane="bottomRight" state="frozen"/>
      <selection activeCell="AS18" sqref="AS18"/>
      <selection pane="topRight" activeCell="AS18" sqref="AS18"/>
      <selection pane="bottomLeft" activeCell="AS18" sqref="AS18"/>
      <selection pane="bottomRight" activeCell="D3" sqref="D3:D14"/>
    </sheetView>
  </sheetViews>
  <sheetFormatPr baseColWidth="10" defaultColWidth="10.140625" defaultRowHeight="15" x14ac:dyDescent="0.25"/>
  <cols>
    <col min="1" max="1" width="22.5703125" style="1" customWidth="1"/>
    <col min="2" max="2" width="34.28515625" style="1" customWidth="1"/>
    <col min="3" max="80" width="15.7109375" style="1" customWidth="1"/>
    <col min="81" max="16384" width="10.140625" style="1"/>
  </cols>
  <sheetData>
    <row r="1" spans="1:82" x14ac:dyDescent="0.25">
      <c r="A1" s="82" t="s">
        <v>521</v>
      </c>
    </row>
    <row r="2" spans="1:82" s="165" customFormat="1" ht="51" x14ac:dyDescent="0.25">
      <c r="A2" s="77" t="s">
        <v>389</v>
      </c>
      <c r="B2" s="77" t="s">
        <v>541</v>
      </c>
      <c r="C2" s="77" t="s">
        <v>527</v>
      </c>
      <c r="D2" s="77" t="s">
        <v>528</v>
      </c>
      <c r="E2" s="77" t="s">
        <v>470</v>
      </c>
      <c r="F2" s="77" t="s">
        <v>469</v>
      </c>
      <c r="G2" s="77" t="s">
        <v>471</v>
      </c>
      <c r="H2" s="77" t="s">
        <v>465</v>
      </c>
      <c r="I2" s="77" t="s">
        <v>472</v>
      </c>
      <c r="J2" s="77" t="s">
        <v>473</v>
      </c>
      <c r="K2" s="77" t="s">
        <v>474</v>
      </c>
      <c r="L2" s="77" t="s">
        <v>31</v>
      </c>
      <c r="M2" s="77" t="s">
        <v>475</v>
      </c>
      <c r="N2" s="77" t="s">
        <v>477</v>
      </c>
      <c r="O2" s="77" t="s">
        <v>476</v>
      </c>
      <c r="P2" s="138" t="s">
        <v>32</v>
      </c>
      <c r="Q2" s="77" t="s">
        <v>478</v>
      </c>
      <c r="R2" s="77" t="s">
        <v>479</v>
      </c>
      <c r="S2" s="77" t="s">
        <v>480</v>
      </c>
      <c r="T2" s="77" t="s">
        <v>33</v>
      </c>
      <c r="U2" s="77" t="s">
        <v>481</v>
      </c>
      <c r="V2" s="77" t="s">
        <v>482</v>
      </c>
      <c r="W2" s="77" t="s">
        <v>483</v>
      </c>
      <c r="X2" s="77" t="s">
        <v>35</v>
      </c>
      <c r="Y2" s="77" t="s">
        <v>484</v>
      </c>
      <c r="Z2" s="77" t="s">
        <v>485</v>
      </c>
      <c r="AA2" s="77" t="s">
        <v>486</v>
      </c>
      <c r="AB2" s="77" t="s">
        <v>382</v>
      </c>
      <c r="AC2" s="77" t="s">
        <v>497</v>
      </c>
      <c r="AD2" s="77" t="s">
        <v>498</v>
      </c>
      <c r="AE2" s="77" t="s">
        <v>499</v>
      </c>
      <c r="AF2" s="78" t="s">
        <v>500</v>
      </c>
      <c r="AG2" s="77" t="s">
        <v>513</v>
      </c>
      <c r="AH2" s="77" t="s">
        <v>514</v>
      </c>
      <c r="AI2" s="77" t="s">
        <v>515</v>
      </c>
      <c r="AJ2" s="77" t="s">
        <v>525</v>
      </c>
      <c r="AK2" s="77" t="s">
        <v>517</v>
      </c>
      <c r="AL2" s="77" t="s">
        <v>518</v>
      </c>
      <c r="AM2" s="77" t="s">
        <v>519</v>
      </c>
      <c r="AN2" s="77" t="s">
        <v>424</v>
      </c>
      <c r="AO2" s="77" t="s">
        <v>522</v>
      </c>
      <c r="AP2" s="77" t="s">
        <v>423</v>
      </c>
      <c r="AQ2" s="77" t="s">
        <v>30</v>
      </c>
      <c r="AR2" s="98" t="s">
        <v>510</v>
      </c>
      <c r="AS2" s="98" t="s">
        <v>511</v>
      </c>
      <c r="AT2" s="98" t="s">
        <v>512</v>
      </c>
      <c r="AU2" s="78" t="s">
        <v>487</v>
      </c>
      <c r="AV2" s="110" t="s">
        <v>488</v>
      </c>
      <c r="AW2" s="77" t="s">
        <v>489</v>
      </c>
      <c r="AX2" s="77" t="s">
        <v>492</v>
      </c>
      <c r="AY2" s="77" t="s">
        <v>493</v>
      </c>
      <c r="AZ2" s="77" t="s">
        <v>392</v>
      </c>
      <c r="BA2" s="98" t="s">
        <v>393</v>
      </c>
      <c r="BB2" s="163" t="s">
        <v>394</v>
      </c>
      <c r="BC2" s="98" t="s">
        <v>507</v>
      </c>
      <c r="BD2" s="77" t="s">
        <v>395</v>
      </c>
      <c r="BE2" s="77" t="s">
        <v>390</v>
      </c>
      <c r="BF2" s="77" t="s">
        <v>466</v>
      </c>
      <c r="BG2" s="114" t="s">
        <v>467</v>
      </c>
      <c r="BH2" s="135" t="s">
        <v>508</v>
      </c>
      <c r="BI2" s="117" t="s">
        <v>523</v>
      </c>
      <c r="BJ2" s="137" t="s">
        <v>524</v>
      </c>
      <c r="BK2" s="137" t="s">
        <v>542</v>
      </c>
      <c r="BL2" s="137" t="s">
        <v>526</v>
      </c>
      <c r="BM2" s="137" t="s">
        <v>509</v>
      </c>
      <c r="BN2" s="77" t="s">
        <v>494</v>
      </c>
      <c r="BO2" s="164" t="s">
        <v>501</v>
      </c>
      <c r="BP2" s="77" t="s">
        <v>503</v>
      </c>
      <c r="BQ2" s="164" t="s">
        <v>495</v>
      </c>
      <c r="BR2" s="164" t="s">
        <v>502</v>
      </c>
      <c r="BS2" s="77" t="s">
        <v>505</v>
      </c>
      <c r="BT2" s="164" t="s">
        <v>496</v>
      </c>
      <c r="BU2" s="164" t="s">
        <v>504</v>
      </c>
      <c r="BV2" s="77" t="s">
        <v>506</v>
      </c>
      <c r="BW2" s="164" t="s">
        <v>534</v>
      </c>
      <c r="BX2" s="164" t="s">
        <v>535</v>
      </c>
      <c r="BY2" s="77" t="s">
        <v>536</v>
      </c>
      <c r="BZ2" s="77" t="s">
        <v>491</v>
      </c>
      <c r="CA2" s="110" t="s">
        <v>516</v>
      </c>
      <c r="CB2" s="77" t="s">
        <v>490</v>
      </c>
    </row>
    <row r="3" spans="1:82" x14ac:dyDescent="0.25">
      <c r="A3" s="76" t="s">
        <v>2</v>
      </c>
      <c r="B3" s="76" t="s">
        <v>2</v>
      </c>
      <c r="C3" s="113">
        <v>1</v>
      </c>
      <c r="D3" s="130">
        <v>0.05</v>
      </c>
      <c r="E3" s="76" t="e">
        <f>COUNTIFS(#REF!,CALCULATION[[#This Row],[PACKFORMULA]],#REF!,"P0",GLOBAL_DATA[Status],Status_No_Project)</f>
        <v>#REF!</v>
      </c>
      <c r="F3" s="76" t="e">
        <f>COUNTIFS(#REF!,CALCULATION[[#This Row],[PACKFORMULA]],#REF!,"P1",GLOBAL_DATA[Status],Status_No_Project)</f>
        <v>#REF!</v>
      </c>
      <c r="G3" s="76" t="e">
        <f>COUNTIFS(#REF!,CALCULATION[[#This Row],[PACKFORMULA]],#REF!,"&gt;=P2",GLOBAL_DATA[Status],Status_No_Project)</f>
        <v>#REF!</v>
      </c>
      <c r="H3" s="76" t="e">
        <f>COUNTIFS(#REF!,CALCULATION[[#This Row],[PACKFORMULA]],GLOBAL_DATA[Status],CALCULATION[[#Headers],[NO PROJECT]])</f>
        <v>#REF!</v>
      </c>
      <c r="I3" s="76" t="e">
        <f>COUNTIFS(#REF!,CALCULATION[[#This Row],[PACKFORMULA]],#REF!,"P0",GLOBAL_DATA[Status],DATA!$J$4)</f>
        <v>#REF!</v>
      </c>
      <c r="J3" s="76" t="e">
        <f>COUNTIFS(#REF!,CALCULATION[[#This Row],[PACKFORMULA]],#REF!,"P1",GLOBAL_DATA[Status],DATA!$J$4)</f>
        <v>#REF!</v>
      </c>
      <c r="K3" s="76" t="e">
        <f>COUNTIFS(#REF!,CALCULATION[[#This Row],[PACKFORMULA]],#REF!,"&gt;=P2",GLOBAL_DATA[Status],DATA!$J$4)</f>
        <v>#REF!</v>
      </c>
      <c r="L3" s="76" t="e">
        <f>COUNTIFS(#REF!,CALCULATION[[#This Row],[PACKFORMULA]],GLOBAL_DATA[Status],CALCULATION[[#Headers],[TO BE STARTED]])</f>
        <v>#REF!</v>
      </c>
      <c r="M3" s="76" t="e">
        <f>COUNTIFS(#REF!,CALCULATION[[#This Row],[PACKFORMULA]],#REF!,"P0",GLOBAL_DATA[Status],DATA!$J$5)</f>
        <v>#REF!</v>
      </c>
      <c r="N3" s="76" t="e">
        <f>COUNTIFS(#REF!,CALCULATION[[#This Row],[PACKFORMULA]],#REF!,"P1",GLOBAL_DATA[Status],DATA!$J$5)</f>
        <v>#REF!</v>
      </c>
      <c r="O3" s="76" t="e">
        <f>COUNTIFS(#REF!,CALCULATION[[#This Row],[PACKFORMULA]],#REF!,"&gt;=P2",GLOBAL_DATA[Status],DATA!$J$5)</f>
        <v>#REF!</v>
      </c>
      <c r="P3" s="76" t="e">
        <f>COUNTIFS(#REF!,CALCULATION[[#This Row],[PACKFORMULA]],GLOBAL_DATA[Status],CALCULATION[[#Headers],[IN PROGRESS]])</f>
        <v>#REF!</v>
      </c>
      <c r="Q3" s="76" t="e">
        <f>COUNTIFS(#REF!,CALCULATION[[#This Row],[PACKFORMULA]],#REF!,"P0",GLOBAL_DATA[Status],DATA!$J$6)</f>
        <v>#REF!</v>
      </c>
      <c r="R3" s="76" t="e">
        <f>COUNTIFS(#REF!,CALCULATION[[#This Row],[PACKFORMULA]],#REF!,"P1",GLOBAL_DATA[Status],DATA!$J$6)</f>
        <v>#REF!</v>
      </c>
      <c r="S3" s="76" t="e">
        <f>COUNTIFS(#REF!,CALCULATION[[#This Row],[PACKFORMULA]],#REF!,"&gt;=P2",GLOBAL_DATA[Status],DATA!$J$6)</f>
        <v>#REF!</v>
      </c>
      <c r="T3" s="76" t="e">
        <f>COUNTIFS(#REF!,CALCULATION[[#This Row],[PACKFORMULA]],GLOBAL_DATA[Status],CALCULATION[[#Headers],[DONE]])</f>
        <v>#REF!</v>
      </c>
      <c r="U3" s="76" t="e">
        <f>COUNTIFS(#REF!,CALCULATION[[#This Row],[PACKFORMULA]],#REF!,"P0",GLOBAL_DATA[Status],DATA!$J$7)</f>
        <v>#REF!</v>
      </c>
      <c r="V3" s="76" t="e">
        <f>COUNTIFS(#REF!,CALCULATION[[#This Row],[PACKFORMULA]],#REF!,"P1",GLOBAL_DATA[Status],DATA!$J$7)</f>
        <v>#REF!</v>
      </c>
      <c r="W3" s="76" t="e">
        <f>COUNTIFS(#REF!,CALCULATION[[#This Row],[PACKFORMULA]],#REF!,"&gt;=P2",GLOBAL_DATA[Status],DATA!$J$7)</f>
        <v>#REF!</v>
      </c>
      <c r="X3" s="76" t="e">
        <f>COUNTIFS(#REF!,CALCULATION[[#This Row],[PACKFORMULA]],GLOBAL_DATA[Status],CALCULATION[[#Headers],[CHECKED CISO]])</f>
        <v>#REF!</v>
      </c>
      <c r="Y3" s="76" t="e">
        <f>COUNTIFS(#REF!,CALCULATION[[#This Row],[PACKFORMULA]],#REF!,"P0",GLOBAL_DATA[Status],DATA!$J$8)</f>
        <v>#REF!</v>
      </c>
      <c r="Z3" s="76" t="e">
        <f>COUNTIFS(#REF!,CALCULATION[[#This Row],[PACKFORMULA]],#REF!,"P1",GLOBAL_DATA[Status],DATA!$J$8)</f>
        <v>#REF!</v>
      </c>
      <c r="AA3" s="76" t="e">
        <f>COUNTIFS(#REF!,CALCULATION[[#This Row],[PACKFORMULA]],#REF!,"&gt;=P2",GLOBAL_DATA[Status],DATA!$J$8)</f>
        <v>#REF!</v>
      </c>
      <c r="AB3" s="76" t="e">
        <f>COUNTIFS(#REF!,CALCULATION[[#This Row],[PACKFORMULA]],GLOBAL_DATA[Status],CALCULATION[[#Headers],[VERIFIED]])</f>
        <v>#REF!</v>
      </c>
      <c r="AC3" s="76" t="e">
        <f>COUNTIFS(#REF!,CALCULATION[[#This Row],[PACKFORMULA]],#REF!,"P0",GLOBAL_DATA[Status],"&lt;&gt;"&amp;Status_No_Project)</f>
        <v>#REF!</v>
      </c>
      <c r="AD3" s="76" t="e">
        <f>COUNTIFS(#REF!,CALCULATION[[#This Row],[PACKFORMULA]],#REF!,"P1",GLOBAL_DATA[Status],"&lt;&gt;"&amp;Status_No_Project)</f>
        <v>#REF!</v>
      </c>
      <c r="AE3" s="76" t="e">
        <f>COUNTIFS(#REF!,CALCULATION[[#This Row],[PACKFORMULA]],#REF!,"&gt;=P2",GLOBAL_DATA[Status],"&lt;&gt;"&amp;Status_No_Project)</f>
        <v>#REF!</v>
      </c>
      <c r="AF3" s="79" t="e">
        <f>COUNTIFS(#REF!,CALCULATION[[#This Row],[PACKFORMULA]],GLOBAL_DATA[Status],"&lt;&gt;"&amp;Status_No_Project)</f>
        <v>#REF!</v>
      </c>
      <c r="AG3" s="96" t="e">
        <f>COUNTIFS(#REF!,CALCULATION[[#This Row],[PACKFORMULA]],#REF!,"P0",GLOBAL_DATA[Target status],DATA!$J$12)</f>
        <v>#REF!</v>
      </c>
      <c r="AH3" s="96" t="e">
        <f>COUNTIFS(#REF!,CALCULATION[[#This Row],[PACKFORMULA]],#REF!,"P1",GLOBAL_DATA[Target status],DATA!$J$12)</f>
        <v>#REF!</v>
      </c>
      <c r="AI3" s="96" t="e">
        <f>COUNTIFS(#REF!,CALCULATION[[#This Row],[PACKFORMULA]],#REF!,"&gt;P1",GLOBAL_DATA[Target status],DATA!$J$12)</f>
        <v>#REF!</v>
      </c>
      <c r="AJ3" s="76" t="e">
        <f>COUNTIFS(#REF!,CALCULATION[[#This Row],[PACKFORMULA]],GLOBAL_DATA[Target status],DATA!$J$12)</f>
        <v>#REF!</v>
      </c>
      <c r="AK3" s="76" t="e">
        <f>COUNTIFS(#REF!,CALCULATION[[#This Row],[PACKFORMULA]],GLOBAL_DATA[Target status],DATA!$J$13,#REF!,"P0")</f>
        <v>#REF!</v>
      </c>
      <c r="AL3" s="76" t="e">
        <f>COUNTIFS(#REF!,CALCULATION[[#This Row],[PACKFORMULA]],GLOBAL_DATA[Target status],DATA!$J$13,#REF!,"P1")</f>
        <v>#REF!</v>
      </c>
      <c r="AM3" s="76" t="e">
        <f>COUNTIFS(#REF!,CALCULATION[[#This Row],[PACKFORMULA]],GLOBAL_DATA[Target status],DATA!$J$13,#REF!,"&gt;P1")</f>
        <v>#REF!</v>
      </c>
      <c r="AN3" s="73" t="e">
        <f>COUNTIFS(#REF!,CALCULATION[[#This Row],[PACKFORMULA]],GLOBAL_DATA[Target status],CALCULATION[[#Headers],[PARTIAL IMPLEMENTATION + RA]])</f>
        <v>#REF!</v>
      </c>
      <c r="AO3" s="102">
        <f>1-CALCULATION[[#This Row],[IN SCOPE %]]</f>
        <v>1</v>
      </c>
      <c r="AP3" s="73" t="e">
        <f>COUNTIFS(#REF!,CALCULATION[[#This Row],[PACKFORMULA]],GLOBAL_DATA[Target status],CALCULATION[[#Headers],[FULL IMPLEMENTATION]])</f>
        <v>#REF!</v>
      </c>
      <c r="AQ3" s="73" t="e">
        <f>COUNTIFS(#REF!,CALCULATION[[#This Row],[PACKFORMULA]],GLOBAL_DATA[Target status],CALCULATION[[#Headers],[NOT APPLICABLE]])</f>
        <v>#REF!</v>
      </c>
      <c r="AR3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3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3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3" s="80" t="e">
        <f>CALCULATION[[#This Row],[PARTIAL IMPLEMENTATION + RA]]+CALCULATION[[#This Row],[FULL IMPLEMENTATION]]</f>
        <v>#REF!</v>
      </c>
      <c r="AV3" s="115" t="e">
        <f>CALCULATION[[#This Row],[IN PROGRESS]]+CALCULATION[[#This Row],[TO BE STARTED]]</f>
        <v>#REF!</v>
      </c>
      <c r="AW3" s="73" t="e">
        <f>COUNTIFS(#REF!,CALCULATION[[#This Row],[PACKFORMULA]],#REF!,"P0",GLOBAL_DATA[Impl_Yes],1)</f>
        <v>#REF!</v>
      </c>
      <c r="AX3" s="73" t="e">
        <f>COUNTIFS(#REF!,CALCULATION[[#This Row],[PACKFORMULA]],#REF!,"P1",GLOBAL_DATA[Impl_Yes],1)</f>
        <v>#REF!</v>
      </c>
      <c r="AY3" s="73" t="e">
        <f>COUNTIFS(#REF!,CALCULATION[[#This Row],[PACKFORMULA]],#REF!,"&gt;P1",GLOBAL_DATA[Impl_Yes],1)</f>
        <v>#REF!</v>
      </c>
      <c r="AZ3" s="73" t="e">
        <f>COUNTIFS(#REF!,CALCULATION[[#This Row],[PACKFORMULA]],GLOBAL_DATA[Impl_Yes],1)</f>
        <v>#REF!</v>
      </c>
      <c r="BA3" s="118">
        <f>IFERROR(CALCULATION[[#This Row],[COMPLETED]]/CALCULATION[[#This Row],[IN SCOPE]],0)</f>
        <v>0</v>
      </c>
      <c r="BB3" s="136" t="e">
        <f>COUNTIFS(#REF!,CALCULATION[[#This Row],[PACKFORMULA]],GLOBAL_DATA[Target status],"&lt;&gt;"&amp;DATA!$J$15)</f>
        <v>#REF!</v>
      </c>
      <c r="BC3" s="166">
        <f>IFERROR(ROUND(SUMIFS(GLOBAL_DATA[Target scope],#REF!,CALCULATION[[#This Row],[PACKFORMULA]],GLOBAL_DATA[Target status],"&lt;&gt;"&amp;DATA!$J$15)/CALCULATION[[#This Row],[IN SCOPE]],4),0)</f>
        <v>0</v>
      </c>
      <c r="BD3" s="104">
        <f>IFERROR(ROUND(CALCULATION[[#This Row],[RISK ACCEPTED (FULL MEASURE)]]/CALCULATION[[#This Row],[IN SCOPE]],4),0)</f>
        <v>0</v>
      </c>
      <c r="BE3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3" s="74" t="e">
        <f>COUNTIFS(#REF!,CALCULATION[[#This Row],[PACKFORMULA]],GLOBAL_DATA[CISO assessment],"&lt;&gt;"&amp;DATA!$A$15)-COUNTIFS(#REF!,CALCULATION[[#This Row],[PACKFORMULA]],GLOBAL_DATA[CISO assessment],"")</f>
        <v>#REF!</v>
      </c>
      <c r="BG3" s="116" t="e">
        <f>COUNTIFS(#REF!,CALCULATION[[#This Row],[PACKFORMULA]],GLOBAL_DATA[CISO assessment],DATA!$A$15)+COUNTIFS(#REF!,CALCULATION[[#This Row],[PACKFORMULA]],GLOBAL_DATA[CISO assessment],"")</f>
        <v>#REF!</v>
      </c>
      <c r="BH3" s="134">
        <f>IFERROR(ROUND(SUMIF(#REF!,CALCULATION[[#This Row],[PACKFORMULA]],GLOBAL_DATA[Target scope])/CALCULATION[[#This Row],[IN SCOPE]],4),0)</f>
        <v>0</v>
      </c>
      <c r="BI3" s="105">
        <f>IFERROR(ROUND(SUMIFS(GLOBAL_DATA[Global Progress rate],#REF!,CALCULATION[[#This Row],[PACKFORMULA]],GLOBAL_DATA[Status],DATA!$J$6)/CALCULATION[[#This Row],[IN SCOPE]],4),0)</f>
        <v>0</v>
      </c>
      <c r="BJ3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3" s="105">
        <f>CALCULATION[[#This Row],[CURRENT IMPL DONE ]]+CALCULATION[[#This Row],[CURRENT IMPL CHECKED CISO &amp; VERIFIED]]</f>
        <v>0</v>
      </c>
      <c r="BL3" s="105">
        <f>CALCULATION[[#This Row],[CURRENT IMPLEMENTATION]]-CALCULATION[[#This Row],[CURRENT IMPL DONE ]]-CALCULATION[[#This Row],[CURRENT IMPL CHECKED CISO &amp; VERIFIED]]</f>
        <v>0</v>
      </c>
      <c r="BM3" s="105">
        <f>IFERROR(ROUND(SUMIF(#REF!,CALCULATION[[#This Row],[PACKFORMULA]],GLOBAL_DATA[Global Progress rate])/CALCULATION[[#This Row],[IN SCOPE]],4),0)</f>
        <v>0</v>
      </c>
      <c r="BN3" s="75" t="e">
        <f>COUNTIFS(#REF!,CALCULATION[[#This Row],[PACKFORMULA]],GLOBAL_DATA[Impl_Date],"&gt;31/12/2019",GLOBAL_DATA[Impl_Date],"&lt;01/01/2021",GLOBAL_DATA[Impl_Yes],1)</f>
        <v>#REF!</v>
      </c>
      <c r="BO3" s="74" t="e">
        <f>COUNTIFS(#REF!,CALCULATION[[#This Row],[PACKFORMULA]],GLOBAL_DATA[Impl_Date],"&gt;31/12/2019",GLOBAL_DATA[Impl_Date],"&lt;01/01/2021")</f>
        <v>#REF!</v>
      </c>
      <c r="BP3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3" s="73" t="e">
        <f>COUNTIFS(#REF!,CALCULATION[[#This Row],[PACKFORMULA]],GLOBAL_DATA[Impl_Date],"&gt;31/12/2020",GLOBAL_DATA[Impl_Date],"&lt;01/01/2022",GLOBAL_DATA[Impl_Yes],1)</f>
        <v>#REF!</v>
      </c>
      <c r="BR3" s="73" t="e">
        <f>COUNTIFS(#REF!,CALCULATION[[#This Row],[PACKFORMULA]],GLOBAL_DATA[Impl_Date],"&gt;31/12/2020",GLOBAL_DATA[Impl_Date],"&lt;01/01/2022")</f>
        <v>#REF!</v>
      </c>
      <c r="BS3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3" s="73" t="e">
        <f>COUNTIFS(#REF!,CALCULATION[[#This Row],[PACKFORMULA]],GLOBAL_DATA[Impl_Date],"&gt;31/12/2021",GLOBAL_DATA[Impl_Date],"&lt;01/01/2023",GLOBAL_DATA[Impl_Yes],1)</f>
        <v>#REF!</v>
      </c>
      <c r="BU3" s="73" t="e">
        <f>COUNTIFS(#REF!,CALCULATION[[#This Row],[PACKFORMULA]],GLOBAL_DATA[Impl_Date],"&gt;31/12/2021",GLOBAL_DATA[Impl_Date],"&lt;01/01/2023")</f>
        <v>#REF!</v>
      </c>
      <c r="BV3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3" s="131" t="e">
        <f>COUNTIFS(#REF!,CALCULATION[[#This Row],[PACKFORMULA]],GLOBAL_DATA[Impl_Date],"&gt;31/12/2022",GLOBAL_DATA[Impl_Date],"&lt;01/01/2024",GLOBAL_DATA[Impl_Yes],1)</f>
        <v>#REF!</v>
      </c>
      <c r="BX3" s="131" t="e">
        <f>COUNTIFS(#REF!,CALCULATION[[#This Row],[PACKFORMULA]],GLOBAL_DATA[Impl_Date],"&gt;31/12/2022")</f>
        <v>#REF!</v>
      </c>
      <c r="BY3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3" s="103">
        <f>CALCULATION[[#This Row],[% 2020 COMMITTED]]+CALCULATION[[#This Row],[% 2021 COMMITTED]]+CALCULATION[[#This Row],[% 2022 COMMITTED]]+CALCULATION[[#This Row],[% 2023 COMMITTED]]</f>
        <v>0</v>
      </c>
      <c r="CA3" s="111">
        <f>CALCULATION[[#This Row],[CURRENT IMPLEMENTATION]]</f>
        <v>0</v>
      </c>
      <c r="CB3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  <c r="CD3" s="112"/>
    </row>
    <row r="4" spans="1:82" x14ac:dyDescent="0.25">
      <c r="A4" s="76" t="s">
        <v>3</v>
      </c>
      <c r="B4" s="76" t="s">
        <v>3</v>
      </c>
      <c r="C4" s="113">
        <v>1</v>
      </c>
      <c r="D4" s="130">
        <v>0.05</v>
      </c>
      <c r="E4" s="76" t="e">
        <f>COUNTIFS(#REF!,CALCULATION[[#This Row],[PACKFORMULA]],#REF!,"P0",GLOBAL_DATA[Status],Status_No_Project)</f>
        <v>#REF!</v>
      </c>
      <c r="F4" s="76" t="e">
        <f>COUNTIFS(#REF!,CALCULATION[[#This Row],[PACKFORMULA]],#REF!,"P1",GLOBAL_DATA[Status],Status_No_Project)</f>
        <v>#REF!</v>
      </c>
      <c r="G4" s="76" t="e">
        <f>COUNTIFS(#REF!,CALCULATION[[#This Row],[PACKFORMULA]],#REF!,"&gt;=P2",GLOBAL_DATA[Status],Status_No_Project)</f>
        <v>#REF!</v>
      </c>
      <c r="H4" s="76" t="e">
        <f>COUNTIFS(#REF!,CALCULATION[[#This Row],[PACKFORMULA]],GLOBAL_DATA[Status],CALCULATION[[#Headers],[NO PROJECT]])</f>
        <v>#REF!</v>
      </c>
      <c r="I4" s="76" t="e">
        <f>COUNTIFS(#REF!,CALCULATION[[#This Row],[PACKFORMULA]],#REF!,"P0",GLOBAL_DATA[Status],DATA!$J$4)</f>
        <v>#REF!</v>
      </c>
      <c r="J4" s="76" t="e">
        <f>COUNTIFS(#REF!,CALCULATION[[#This Row],[PACKFORMULA]],#REF!,"P1",GLOBAL_DATA[Status],DATA!$J$4)</f>
        <v>#REF!</v>
      </c>
      <c r="K4" s="76" t="e">
        <f>COUNTIFS(#REF!,CALCULATION[[#This Row],[PACKFORMULA]],#REF!,"&gt;=P2",GLOBAL_DATA[Status],DATA!$J$4)</f>
        <v>#REF!</v>
      </c>
      <c r="L4" s="76" t="e">
        <f>COUNTIFS(#REF!,CALCULATION[[#This Row],[PACKFORMULA]],GLOBAL_DATA[Status],CALCULATION[[#Headers],[TO BE STARTED]])</f>
        <v>#REF!</v>
      </c>
      <c r="M4" s="76" t="e">
        <f>COUNTIFS(#REF!,CALCULATION[[#This Row],[PACKFORMULA]],#REF!,"P0",GLOBAL_DATA[Status],DATA!$J$5)</f>
        <v>#REF!</v>
      </c>
      <c r="N4" s="76" t="e">
        <f>COUNTIFS(#REF!,CALCULATION[[#This Row],[PACKFORMULA]],#REF!,"P1",GLOBAL_DATA[Status],DATA!$J$5)</f>
        <v>#REF!</v>
      </c>
      <c r="O4" s="76" t="e">
        <f>COUNTIFS(#REF!,CALCULATION[[#This Row],[PACKFORMULA]],#REF!,"&gt;=P2",GLOBAL_DATA[Status],DATA!$J$5)</f>
        <v>#REF!</v>
      </c>
      <c r="P4" s="76" t="e">
        <f>COUNTIFS(#REF!,CALCULATION[[#This Row],[PACKFORMULA]],GLOBAL_DATA[Status],CALCULATION[[#Headers],[IN PROGRESS]])</f>
        <v>#REF!</v>
      </c>
      <c r="Q4" s="76" t="e">
        <f>COUNTIFS(#REF!,CALCULATION[[#This Row],[PACKFORMULA]],#REF!,"P0",GLOBAL_DATA[Status],DATA!$J$6)</f>
        <v>#REF!</v>
      </c>
      <c r="R4" s="76" t="e">
        <f>COUNTIFS(#REF!,CALCULATION[[#This Row],[PACKFORMULA]],#REF!,"P1",GLOBAL_DATA[Status],DATA!$J$6)</f>
        <v>#REF!</v>
      </c>
      <c r="S4" s="76" t="e">
        <f>COUNTIFS(#REF!,CALCULATION[[#This Row],[PACKFORMULA]],#REF!,"&gt;=P2",GLOBAL_DATA[Status],DATA!$J$6)</f>
        <v>#REF!</v>
      </c>
      <c r="T4" s="76" t="e">
        <f>COUNTIFS(#REF!,CALCULATION[[#This Row],[PACKFORMULA]],GLOBAL_DATA[Status],CALCULATION[[#Headers],[DONE]])</f>
        <v>#REF!</v>
      </c>
      <c r="U4" s="76" t="e">
        <f>COUNTIFS(#REF!,CALCULATION[[#This Row],[PACKFORMULA]],#REF!,"P0",GLOBAL_DATA[Status],DATA!$J$7)</f>
        <v>#REF!</v>
      </c>
      <c r="V4" s="76" t="e">
        <f>COUNTIFS(#REF!,CALCULATION[[#This Row],[PACKFORMULA]],#REF!,"P1",GLOBAL_DATA[Status],DATA!$J$7)</f>
        <v>#REF!</v>
      </c>
      <c r="W4" s="76" t="e">
        <f>COUNTIFS(#REF!,CALCULATION[[#This Row],[PACKFORMULA]],#REF!,"&gt;=P2",GLOBAL_DATA[Status],DATA!$J$7)</f>
        <v>#REF!</v>
      </c>
      <c r="X4" s="76" t="e">
        <f>COUNTIFS(#REF!,CALCULATION[[#This Row],[PACKFORMULA]],GLOBAL_DATA[Status],CALCULATION[[#Headers],[CHECKED CISO]])</f>
        <v>#REF!</v>
      </c>
      <c r="Y4" s="76" t="e">
        <f>COUNTIFS(#REF!,CALCULATION[[#This Row],[PACKFORMULA]],#REF!,"P0",GLOBAL_DATA[Status],DATA!$J$8)</f>
        <v>#REF!</v>
      </c>
      <c r="Z4" s="76" t="e">
        <f>COUNTIFS(#REF!,CALCULATION[[#This Row],[PACKFORMULA]],#REF!,"P1",GLOBAL_DATA[Status],DATA!$J$8)</f>
        <v>#REF!</v>
      </c>
      <c r="AA4" s="76" t="e">
        <f>COUNTIFS(#REF!,CALCULATION[[#This Row],[PACKFORMULA]],#REF!,"&gt;=P2",GLOBAL_DATA[Status],DATA!$J$8)</f>
        <v>#REF!</v>
      </c>
      <c r="AB4" s="76" t="e">
        <f>COUNTIFS(#REF!,CALCULATION[[#This Row],[PACKFORMULA]],GLOBAL_DATA[Status],CALCULATION[[#Headers],[VERIFIED]])</f>
        <v>#REF!</v>
      </c>
      <c r="AC4" s="76" t="e">
        <f>COUNTIFS(#REF!,CALCULATION[[#This Row],[PACKFORMULA]],#REF!,"P0",GLOBAL_DATA[Status],"&lt;&gt;"&amp;Status_No_Project)</f>
        <v>#REF!</v>
      </c>
      <c r="AD4" s="76" t="e">
        <f>COUNTIFS(#REF!,CALCULATION[[#This Row],[PACKFORMULA]],#REF!,"P1",GLOBAL_DATA[Status],"&lt;&gt;"&amp;Status_No_Project)</f>
        <v>#REF!</v>
      </c>
      <c r="AE4" s="76" t="e">
        <f>COUNTIFS(#REF!,CALCULATION[[#This Row],[PACKFORMULA]],#REF!,"&gt;=P2",GLOBAL_DATA[Status],"&lt;&gt;"&amp;Status_No_Project)</f>
        <v>#REF!</v>
      </c>
      <c r="AF4" s="79" t="e">
        <f>COUNTIFS(#REF!,CALCULATION[[#This Row],[PACKFORMULA]],GLOBAL_DATA[Status],"&lt;&gt;"&amp;Status_No_Project)</f>
        <v>#REF!</v>
      </c>
      <c r="AG4" s="96" t="e">
        <f>COUNTIFS(#REF!,CALCULATION[[#This Row],[PACKFORMULA]],#REF!,"P0",GLOBAL_DATA[Target status],DATA!$J$12)</f>
        <v>#REF!</v>
      </c>
      <c r="AH4" s="96" t="e">
        <f>COUNTIFS(#REF!,CALCULATION[[#This Row],[PACKFORMULA]],#REF!,"P1",GLOBAL_DATA[Target status],DATA!$J$12)</f>
        <v>#REF!</v>
      </c>
      <c r="AI4" s="96" t="e">
        <f>COUNTIFS(#REF!,CALCULATION[[#This Row],[PACKFORMULA]],#REF!,"&gt;P1",GLOBAL_DATA[Target status],DATA!$J$12)</f>
        <v>#REF!</v>
      </c>
      <c r="AJ4" s="76" t="e">
        <f>COUNTIFS(#REF!,CALCULATION[[#This Row],[PACKFORMULA]],GLOBAL_DATA[Target status],DATA!$J$12)</f>
        <v>#REF!</v>
      </c>
      <c r="AK4" s="76" t="e">
        <f>COUNTIFS(#REF!,CALCULATION[[#This Row],[PACKFORMULA]],GLOBAL_DATA[Target status],DATA!$J$13,#REF!,"P0")</f>
        <v>#REF!</v>
      </c>
      <c r="AL4" s="76" t="e">
        <f>COUNTIFS(#REF!,CALCULATION[[#This Row],[PACKFORMULA]],GLOBAL_DATA[Target status],DATA!$J$13,#REF!,"P1")</f>
        <v>#REF!</v>
      </c>
      <c r="AM4" s="76" t="e">
        <f>COUNTIFS(#REF!,CALCULATION[[#This Row],[PACKFORMULA]],GLOBAL_DATA[Target status],DATA!$J$13,#REF!,"&gt;P1")</f>
        <v>#REF!</v>
      </c>
      <c r="AN4" s="73" t="e">
        <f>COUNTIFS(#REF!,CALCULATION[[#This Row],[PACKFORMULA]],GLOBAL_DATA[Target status],CALCULATION[[#Headers],[PARTIAL IMPLEMENTATION + RA]])</f>
        <v>#REF!</v>
      </c>
      <c r="AO4" s="102">
        <f>1-CALCULATION[[#This Row],[IN SCOPE %]]</f>
        <v>1</v>
      </c>
      <c r="AP4" s="73" t="e">
        <f>COUNTIFS(#REF!,CALCULATION[[#This Row],[PACKFORMULA]],GLOBAL_DATA[Target status],CALCULATION[[#Headers],[FULL IMPLEMENTATION]])</f>
        <v>#REF!</v>
      </c>
      <c r="AQ4" s="73" t="e">
        <f>COUNTIFS(#REF!,CALCULATION[[#This Row],[PACKFORMULA]],GLOBAL_DATA[Target status],CALCULATION[[#Headers],[NOT APPLICABLE]])</f>
        <v>#REF!</v>
      </c>
      <c r="AR4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4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4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4" s="80" t="e">
        <f>CALCULATION[[#This Row],[PARTIAL IMPLEMENTATION + RA]]+CALCULATION[[#This Row],[FULL IMPLEMENTATION]]</f>
        <v>#REF!</v>
      </c>
      <c r="AV4" s="115" t="e">
        <f>CALCULATION[[#This Row],[IN PROGRESS]]+CALCULATION[[#This Row],[TO BE STARTED]]</f>
        <v>#REF!</v>
      </c>
      <c r="AW4" s="73" t="e">
        <f>COUNTIFS(#REF!,CALCULATION[[#This Row],[PACKFORMULA]],#REF!,"P0",GLOBAL_DATA[Impl_Yes],1)</f>
        <v>#REF!</v>
      </c>
      <c r="AX4" s="73" t="e">
        <f>COUNTIFS(#REF!,CALCULATION[[#This Row],[PACKFORMULA]],#REF!,"P1",GLOBAL_DATA[Impl_Yes],1)</f>
        <v>#REF!</v>
      </c>
      <c r="AY4" s="73" t="e">
        <f>COUNTIFS(#REF!,CALCULATION[[#This Row],[PACKFORMULA]],#REF!,"&gt;P1",GLOBAL_DATA[Impl_Yes],1)</f>
        <v>#REF!</v>
      </c>
      <c r="AZ4" s="73" t="e">
        <f>COUNTIFS(#REF!,CALCULATION[[#This Row],[PACKFORMULA]],GLOBAL_DATA[Impl_Yes],1)</f>
        <v>#REF!</v>
      </c>
      <c r="BA4" s="118">
        <f>IFERROR(CALCULATION[[#This Row],[COMPLETED]]/CALCULATION[[#This Row],[IN SCOPE]],0)</f>
        <v>0</v>
      </c>
      <c r="BB4" s="136" t="e">
        <f>COUNTIFS(#REF!,CALCULATION[[#This Row],[PACKFORMULA]],GLOBAL_DATA[Target status],"&lt;&gt;"&amp;DATA!$J$15)</f>
        <v>#REF!</v>
      </c>
      <c r="BC4" s="166">
        <f>IFERROR(ROUND(SUMIFS(GLOBAL_DATA[Target scope],#REF!,CALCULATION[[#This Row],[PACKFORMULA]],GLOBAL_DATA[Target status],"&lt;&gt;"&amp;DATA!$J$15)/CALCULATION[[#This Row],[IN SCOPE]],4),0)</f>
        <v>0</v>
      </c>
      <c r="BD4" s="104">
        <f>IFERROR(ROUND(CALCULATION[[#This Row],[RISK ACCEPTED (FULL MEASURE)]]/CALCULATION[[#This Row],[IN SCOPE]],4),0)</f>
        <v>0</v>
      </c>
      <c r="BE4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4" s="74" t="e">
        <f>COUNTIFS(#REF!,CALCULATION[[#This Row],[PACKFORMULA]],GLOBAL_DATA[CISO assessment],"&lt;&gt;"&amp;DATA!$A$15)-COUNTIFS(#REF!,CALCULATION[[#This Row],[PACKFORMULA]],GLOBAL_DATA[CISO assessment],"")</f>
        <v>#REF!</v>
      </c>
      <c r="BG4" s="116" t="e">
        <f>COUNTIFS(#REF!,CALCULATION[[#This Row],[PACKFORMULA]],GLOBAL_DATA[CISO assessment],DATA!$A$15)+COUNTIFS(#REF!,CALCULATION[[#This Row],[PACKFORMULA]],GLOBAL_DATA[CISO assessment],"")</f>
        <v>#REF!</v>
      </c>
      <c r="BH4" s="134">
        <f>IFERROR(ROUND(SUMIF(#REF!,CALCULATION[[#This Row],[PACKFORMULA]],GLOBAL_DATA[Target scope])/CALCULATION[[#This Row],[IN SCOPE]],4),0)</f>
        <v>0</v>
      </c>
      <c r="BI4" s="105">
        <f>IFERROR(ROUND(SUMIFS(GLOBAL_DATA[Global Progress rate],#REF!,CALCULATION[[#This Row],[PACKFORMULA]],GLOBAL_DATA[Status],DATA!$J$6)/CALCULATION[[#This Row],[IN SCOPE]],4),0)</f>
        <v>0</v>
      </c>
      <c r="BJ4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4" s="105">
        <f>CALCULATION[[#This Row],[CURRENT IMPL DONE ]]+CALCULATION[[#This Row],[CURRENT IMPL CHECKED CISO &amp; VERIFIED]]</f>
        <v>0</v>
      </c>
      <c r="BL4" s="105">
        <f>CALCULATION[[#This Row],[CURRENT IMPLEMENTATION]]-CALCULATION[[#This Row],[CURRENT IMPL DONE ]]-CALCULATION[[#This Row],[CURRENT IMPL CHECKED CISO &amp; VERIFIED]]</f>
        <v>0</v>
      </c>
      <c r="BM4" s="105">
        <f>IFERROR(ROUND(SUMIF(#REF!,CALCULATION[[#This Row],[PACKFORMULA]],GLOBAL_DATA[Global Progress rate])/CALCULATION[[#This Row],[IN SCOPE]],4),0)</f>
        <v>0</v>
      </c>
      <c r="BN4" s="75" t="e">
        <f>COUNTIFS(#REF!,CALCULATION[[#This Row],[PACKFORMULA]],GLOBAL_DATA[Impl_Date],"&gt;31/12/2019",GLOBAL_DATA[Impl_Date],"&lt;01/01/2021",GLOBAL_DATA[Impl_Yes],1)</f>
        <v>#REF!</v>
      </c>
      <c r="BO4" s="74" t="e">
        <f>COUNTIFS(#REF!,CALCULATION[[#This Row],[PACKFORMULA]],GLOBAL_DATA[Impl_Date],"&gt;31/12/2019",GLOBAL_DATA[Impl_Date],"&lt;01/01/2021")</f>
        <v>#REF!</v>
      </c>
      <c r="BP4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4" s="73" t="e">
        <f>COUNTIFS(#REF!,CALCULATION[[#This Row],[PACKFORMULA]],GLOBAL_DATA[Impl_Date],"&gt;31/12/2020",GLOBAL_DATA[Impl_Date],"&lt;01/01/2022",GLOBAL_DATA[Impl_Yes],1)</f>
        <v>#REF!</v>
      </c>
      <c r="BR4" s="73" t="e">
        <f>COUNTIFS(#REF!,CALCULATION[[#This Row],[PACKFORMULA]],GLOBAL_DATA[Impl_Date],"&gt;31/12/2020",GLOBAL_DATA[Impl_Date],"&lt;01/01/2022")</f>
        <v>#REF!</v>
      </c>
      <c r="BS4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4" s="73" t="e">
        <f>COUNTIFS(#REF!,CALCULATION[[#This Row],[PACKFORMULA]],GLOBAL_DATA[Impl_Date],"&gt;31/12/2021",GLOBAL_DATA[Impl_Date],"&lt;01/01/2023",GLOBAL_DATA[Impl_Yes],1)</f>
        <v>#REF!</v>
      </c>
      <c r="BU4" s="73" t="e">
        <f>COUNTIFS(#REF!,CALCULATION[[#This Row],[PACKFORMULA]],GLOBAL_DATA[Impl_Date],"&gt;31/12/2021",GLOBAL_DATA[Impl_Date],"&lt;01/01/2023")</f>
        <v>#REF!</v>
      </c>
      <c r="BV4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4" s="131" t="e">
        <f>COUNTIFS(#REF!,CALCULATION[[#This Row],[PACKFORMULA]],GLOBAL_DATA[Impl_Date],"&gt;31/12/2022",GLOBAL_DATA[Impl_Date],"&lt;01/01/2024",GLOBAL_DATA[Impl_Yes],1)</f>
        <v>#REF!</v>
      </c>
      <c r="BX4" s="131" t="e">
        <f>COUNTIFS(#REF!,CALCULATION[[#This Row],[PACKFORMULA]],GLOBAL_DATA[Impl_Date],"&gt;31/12/2022")</f>
        <v>#REF!</v>
      </c>
      <c r="BY4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4" s="103">
        <f>CALCULATION[[#This Row],[% 2020 COMMITTED]]+CALCULATION[[#This Row],[% 2021 COMMITTED]]+CALCULATION[[#This Row],[% 2022 COMMITTED]]+CALCULATION[[#This Row],[% 2023 COMMITTED]]</f>
        <v>0</v>
      </c>
      <c r="CA4" s="111">
        <f>CALCULATION[[#This Row],[CURRENT IMPLEMENTATION]]</f>
        <v>0</v>
      </c>
      <c r="CB4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5" spans="1:82" x14ac:dyDescent="0.25">
      <c r="A5" s="76" t="s">
        <v>4</v>
      </c>
      <c r="B5" s="76" t="s">
        <v>4</v>
      </c>
      <c r="C5" s="113">
        <v>1</v>
      </c>
      <c r="D5" s="130">
        <v>0.05</v>
      </c>
      <c r="E5" s="76" t="e">
        <f>COUNTIFS(#REF!,CALCULATION[[#This Row],[PACKFORMULA]],#REF!,"P0",GLOBAL_DATA[Status],Status_No_Project)</f>
        <v>#REF!</v>
      </c>
      <c r="F5" s="76" t="e">
        <f>COUNTIFS(#REF!,CALCULATION[[#This Row],[PACKFORMULA]],#REF!,"P1",GLOBAL_DATA[Status],Status_No_Project)</f>
        <v>#REF!</v>
      </c>
      <c r="G5" s="76" t="e">
        <f>COUNTIFS(#REF!,CALCULATION[[#This Row],[PACKFORMULA]],#REF!,"&gt;=P2",GLOBAL_DATA[Status],Status_No_Project)</f>
        <v>#REF!</v>
      </c>
      <c r="H5" s="76" t="e">
        <f>COUNTIFS(#REF!,CALCULATION[[#This Row],[PACKFORMULA]],GLOBAL_DATA[Status],CALCULATION[[#Headers],[NO PROJECT]])</f>
        <v>#REF!</v>
      </c>
      <c r="I5" s="76" t="e">
        <f>COUNTIFS(#REF!,CALCULATION[[#This Row],[PACKFORMULA]],#REF!,"P0",GLOBAL_DATA[Status],DATA!$J$4)</f>
        <v>#REF!</v>
      </c>
      <c r="J5" s="76" t="e">
        <f>COUNTIFS(#REF!,CALCULATION[[#This Row],[PACKFORMULA]],#REF!,"P1",GLOBAL_DATA[Status],DATA!$J$4)</f>
        <v>#REF!</v>
      </c>
      <c r="K5" s="76" t="e">
        <f>COUNTIFS(#REF!,CALCULATION[[#This Row],[PACKFORMULA]],#REF!,"&gt;=P2",GLOBAL_DATA[Status],DATA!$J$4)</f>
        <v>#REF!</v>
      </c>
      <c r="L5" s="76" t="e">
        <f>COUNTIFS(#REF!,CALCULATION[[#This Row],[PACKFORMULA]],GLOBAL_DATA[Status],CALCULATION[[#Headers],[TO BE STARTED]])</f>
        <v>#REF!</v>
      </c>
      <c r="M5" s="76" t="e">
        <f>COUNTIFS(#REF!,CALCULATION[[#This Row],[PACKFORMULA]],#REF!,"P0",GLOBAL_DATA[Status],DATA!$J$5)</f>
        <v>#REF!</v>
      </c>
      <c r="N5" s="76" t="e">
        <f>COUNTIFS(#REF!,CALCULATION[[#This Row],[PACKFORMULA]],#REF!,"P1",GLOBAL_DATA[Status],DATA!$J$5)</f>
        <v>#REF!</v>
      </c>
      <c r="O5" s="76" t="e">
        <f>COUNTIFS(#REF!,CALCULATION[[#This Row],[PACKFORMULA]],#REF!,"&gt;=P2",GLOBAL_DATA[Status],DATA!$J$5)</f>
        <v>#REF!</v>
      </c>
      <c r="P5" s="76" t="e">
        <f>COUNTIFS(#REF!,CALCULATION[[#This Row],[PACKFORMULA]],GLOBAL_DATA[Status],CALCULATION[[#Headers],[IN PROGRESS]])</f>
        <v>#REF!</v>
      </c>
      <c r="Q5" s="76" t="e">
        <f>COUNTIFS(#REF!,CALCULATION[[#This Row],[PACKFORMULA]],#REF!,"P0",GLOBAL_DATA[Status],DATA!$J$6)</f>
        <v>#REF!</v>
      </c>
      <c r="R5" s="76" t="e">
        <f>COUNTIFS(#REF!,CALCULATION[[#This Row],[PACKFORMULA]],#REF!,"P1",GLOBAL_DATA[Status],DATA!$J$6)</f>
        <v>#REF!</v>
      </c>
      <c r="S5" s="76" t="e">
        <f>COUNTIFS(#REF!,CALCULATION[[#This Row],[PACKFORMULA]],#REF!,"&gt;=P2",GLOBAL_DATA[Status],DATA!$J$6)</f>
        <v>#REF!</v>
      </c>
      <c r="T5" s="76" t="e">
        <f>COUNTIFS(#REF!,CALCULATION[[#This Row],[PACKFORMULA]],GLOBAL_DATA[Status],CALCULATION[[#Headers],[DONE]])</f>
        <v>#REF!</v>
      </c>
      <c r="U5" s="76" t="e">
        <f>COUNTIFS(#REF!,CALCULATION[[#This Row],[PACKFORMULA]],#REF!,"P0",GLOBAL_DATA[Status],DATA!$J$7)</f>
        <v>#REF!</v>
      </c>
      <c r="V5" s="76" t="e">
        <f>COUNTIFS(#REF!,CALCULATION[[#This Row],[PACKFORMULA]],#REF!,"P1",GLOBAL_DATA[Status],DATA!$J$7)</f>
        <v>#REF!</v>
      </c>
      <c r="W5" s="76" t="e">
        <f>COUNTIFS(#REF!,CALCULATION[[#This Row],[PACKFORMULA]],#REF!,"&gt;=P2",GLOBAL_DATA[Status],DATA!$J$7)</f>
        <v>#REF!</v>
      </c>
      <c r="X5" s="76" t="e">
        <f>COUNTIFS(#REF!,CALCULATION[[#This Row],[PACKFORMULA]],GLOBAL_DATA[Status],CALCULATION[[#Headers],[CHECKED CISO]])</f>
        <v>#REF!</v>
      </c>
      <c r="Y5" s="76" t="e">
        <f>COUNTIFS(#REF!,CALCULATION[[#This Row],[PACKFORMULA]],#REF!,"P0",GLOBAL_DATA[Status],DATA!$J$8)</f>
        <v>#REF!</v>
      </c>
      <c r="Z5" s="76" t="e">
        <f>COUNTIFS(#REF!,CALCULATION[[#This Row],[PACKFORMULA]],#REF!,"P1",GLOBAL_DATA[Status],DATA!$J$8)</f>
        <v>#REF!</v>
      </c>
      <c r="AA5" s="76" t="e">
        <f>COUNTIFS(#REF!,CALCULATION[[#This Row],[PACKFORMULA]],#REF!,"&gt;=P2",GLOBAL_DATA[Status],DATA!$J$8)</f>
        <v>#REF!</v>
      </c>
      <c r="AB5" s="76" t="e">
        <f>COUNTIFS(#REF!,CALCULATION[[#This Row],[PACKFORMULA]],GLOBAL_DATA[Status],CALCULATION[[#Headers],[VERIFIED]])</f>
        <v>#REF!</v>
      </c>
      <c r="AC5" s="76" t="e">
        <f>COUNTIFS(#REF!,CALCULATION[[#This Row],[PACKFORMULA]],#REF!,"P0",GLOBAL_DATA[Status],"&lt;&gt;"&amp;Status_No_Project)</f>
        <v>#REF!</v>
      </c>
      <c r="AD5" s="76" t="e">
        <f>COUNTIFS(#REF!,CALCULATION[[#This Row],[PACKFORMULA]],#REF!,"P1",GLOBAL_DATA[Status],"&lt;&gt;"&amp;Status_No_Project)</f>
        <v>#REF!</v>
      </c>
      <c r="AE5" s="76" t="e">
        <f>COUNTIFS(#REF!,CALCULATION[[#This Row],[PACKFORMULA]],#REF!,"&gt;=P2",GLOBAL_DATA[Status],"&lt;&gt;"&amp;Status_No_Project)</f>
        <v>#REF!</v>
      </c>
      <c r="AF5" s="79" t="e">
        <f>COUNTIFS(#REF!,CALCULATION[[#This Row],[PACKFORMULA]],GLOBAL_DATA[Status],"&lt;&gt;"&amp;Status_No_Project)</f>
        <v>#REF!</v>
      </c>
      <c r="AG5" s="96" t="e">
        <f>COUNTIFS(#REF!,CALCULATION[[#This Row],[PACKFORMULA]],#REF!,"P0",GLOBAL_DATA[Target status],DATA!$J$12)</f>
        <v>#REF!</v>
      </c>
      <c r="AH5" s="96" t="e">
        <f>COUNTIFS(#REF!,CALCULATION[[#This Row],[PACKFORMULA]],#REF!,"P1",GLOBAL_DATA[Target status],DATA!$J$12)</f>
        <v>#REF!</v>
      </c>
      <c r="AI5" s="96" t="e">
        <f>COUNTIFS(#REF!,CALCULATION[[#This Row],[PACKFORMULA]],#REF!,"&gt;P1",GLOBAL_DATA[Target status],DATA!$J$12)</f>
        <v>#REF!</v>
      </c>
      <c r="AJ5" s="76" t="e">
        <f>COUNTIFS(#REF!,CALCULATION[[#This Row],[PACKFORMULA]],GLOBAL_DATA[Target status],DATA!$J$12)</f>
        <v>#REF!</v>
      </c>
      <c r="AK5" s="76" t="e">
        <f>COUNTIFS(#REF!,CALCULATION[[#This Row],[PACKFORMULA]],GLOBAL_DATA[Target status],DATA!$J$13,#REF!,"P0")</f>
        <v>#REF!</v>
      </c>
      <c r="AL5" s="76" t="e">
        <f>COUNTIFS(#REF!,CALCULATION[[#This Row],[PACKFORMULA]],GLOBAL_DATA[Target status],DATA!$J$13,#REF!,"P1")</f>
        <v>#REF!</v>
      </c>
      <c r="AM5" s="76" t="e">
        <f>COUNTIFS(#REF!,CALCULATION[[#This Row],[PACKFORMULA]],GLOBAL_DATA[Target status],DATA!$J$13,#REF!,"&gt;P1")</f>
        <v>#REF!</v>
      </c>
      <c r="AN5" s="73" t="e">
        <f>COUNTIFS(#REF!,CALCULATION[[#This Row],[PACKFORMULA]],GLOBAL_DATA[Target status],CALCULATION[[#Headers],[PARTIAL IMPLEMENTATION + RA]])</f>
        <v>#REF!</v>
      </c>
      <c r="AO5" s="102">
        <f>1-CALCULATION[[#This Row],[IN SCOPE %]]</f>
        <v>1</v>
      </c>
      <c r="AP5" s="73" t="e">
        <f>COUNTIFS(#REF!,CALCULATION[[#This Row],[PACKFORMULA]],GLOBAL_DATA[Target status],CALCULATION[[#Headers],[FULL IMPLEMENTATION]])</f>
        <v>#REF!</v>
      </c>
      <c r="AQ5" s="73" t="e">
        <f>COUNTIFS(#REF!,CALCULATION[[#This Row],[PACKFORMULA]],GLOBAL_DATA[Target status],CALCULATION[[#Headers],[NOT APPLICABLE]])</f>
        <v>#REF!</v>
      </c>
      <c r="AR5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5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5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5" s="80" t="e">
        <f>CALCULATION[[#This Row],[PARTIAL IMPLEMENTATION + RA]]+CALCULATION[[#This Row],[FULL IMPLEMENTATION]]</f>
        <v>#REF!</v>
      </c>
      <c r="AV5" s="115" t="e">
        <f>CALCULATION[[#This Row],[IN PROGRESS]]+CALCULATION[[#This Row],[TO BE STARTED]]</f>
        <v>#REF!</v>
      </c>
      <c r="AW5" s="73" t="e">
        <f>COUNTIFS(#REF!,CALCULATION[[#This Row],[PACKFORMULA]],#REF!,"P0",GLOBAL_DATA[Impl_Yes],1)</f>
        <v>#REF!</v>
      </c>
      <c r="AX5" s="73" t="e">
        <f>COUNTIFS(#REF!,CALCULATION[[#This Row],[PACKFORMULA]],#REF!,"P1",GLOBAL_DATA[Impl_Yes],1)</f>
        <v>#REF!</v>
      </c>
      <c r="AY5" s="73" t="e">
        <f>COUNTIFS(#REF!,CALCULATION[[#This Row],[PACKFORMULA]],#REF!,"&gt;P1",GLOBAL_DATA[Impl_Yes],1)</f>
        <v>#REF!</v>
      </c>
      <c r="AZ5" s="73" t="e">
        <f>COUNTIFS(#REF!,CALCULATION[[#This Row],[PACKFORMULA]],GLOBAL_DATA[Impl_Yes],1)</f>
        <v>#REF!</v>
      </c>
      <c r="BA5" s="118">
        <f>IFERROR(CALCULATION[[#This Row],[COMPLETED]]/CALCULATION[[#This Row],[IN SCOPE]],0)</f>
        <v>0</v>
      </c>
      <c r="BB5" s="136" t="e">
        <f>COUNTIFS(#REF!,CALCULATION[[#This Row],[PACKFORMULA]],GLOBAL_DATA[Target status],"&lt;&gt;"&amp;DATA!$J$15)</f>
        <v>#REF!</v>
      </c>
      <c r="BC5" s="166">
        <f>IFERROR(ROUND(SUMIFS(GLOBAL_DATA[Target scope],#REF!,CALCULATION[[#This Row],[PACKFORMULA]],GLOBAL_DATA[Target status],"&lt;&gt;"&amp;DATA!$J$15)/CALCULATION[[#This Row],[IN SCOPE]],4),0)</f>
        <v>0</v>
      </c>
      <c r="BD5" s="104">
        <f>IFERROR(ROUND(CALCULATION[[#This Row],[RISK ACCEPTED (FULL MEASURE)]]/CALCULATION[[#This Row],[IN SCOPE]],4),0)</f>
        <v>0</v>
      </c>
      <c r="BE5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5" s="74" t="e">
        <f>COUNTIFS(#REF!,CALCULATION[[#This Row],[PACKFORMULA]],GLOBAL_DATA[CISO assessment],"&lt;&gt;"&amp;DATA!$A$15)-COUNTIFS(#REF!,CALCULATION[[#This Row],[PACKFORMULA]],GLOBAL_DATA[CISO assessment],"")</f>
        <v>#REF!</v>
      </c>
      <c r="BG5" s="116" t="e">
        <f>COUNTIFS(#REF!,CALCULATION[[#This Row],[PACKFORMULA]],GLOBAL_DATA[CISO assessment],DATA!$A$15)+COUNTIFS(#REF!,CALCULATION[[#This Row],[PACKFORMULA]],GLOBAL_DATA[CISO assessment],"")</f>
        <v>#REF!</v>
      </c>
      <c r="BH5" s="134">
        <f>IFERROR(ROUND(SUMIF(#REF!,CALCULATION[[#This Row],[PACKFORMULA]],GLOBAL_DATA[Target scope])/CALCULATION[[#This Row],[IN SCOPE]],4),0)</f>
        <v>0</v>
      </c>
      <c r="BI5" s="105">
        <f>IFERROR(ROUND(SUMIFS(GLOBAL_DATA[Global Progress rate],#REF!,CALCULATION[[#This Row],[PACKFORMULA]],GLOBAL_DATA[Status],DATA!$J$6)/CALCULATION[[#This Row],[IN SCOPE]],4),0)</f>
        <v>0</v>
      </c>
      <c r="BJ5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5" s="105">
        <f>CALCULATION[[#This Row],[CURRENT IMPL DONE ]]+CALCULATION[[#This Row],[CURRENT IMPL CHECKED CISO &amp; VERIFIED]]</f>
        <v>0</v>
      </c>
      <c r="BL5" s="105">
        <f>CALCULATION[[#This Row],[CURRENT IMPLEMENTATION]]-CALCULATION[[#This Row],[CURRENT IMPL DONE ]]-CALCULATION[[#This Row],[CURRENT IMPL CHECKED CISO &amp; VERIFIED]]</f>
        <v>0</v>
      </c>
      <c r="BM5" s="105">
        <f>IFERROR(ROUND(SUMIF(#REF!,CALCULATION[[#This Row],[PACKFORMULA]],GLOBAL_DATA[Global Progress rate])/CALCULATION[[#This Row],[IN SCOPE]],4),0)</f>
        <v>0</v>
      </c>
      <c r="BN5" s="75" t="e">
        <f>COUNTIFS(#REF!,CALCULATION[[#This Row],[PACKFORMULA]],GLOBAL_DATA[Impl_Date],"&gt;31/12/2019",GLOBAL_DATA[Impl_Date],"&lt;01/01/2021",GLOBAL_DATA[Impl_Yes],1)</f>
        <v>#REF!</v>
      </c>
      <c r="BO5" s="74" t="e">
        <f>COUNTIFS(#REF!,CALCULATION[[#This Row],[PACKFORMULA]],GLOBAL_DATA[Impl_Date],"&gt;31/12/2019",GLOBAL_DATA[Impl_Date],"&lt;01/01/2021")</f>
        <v>#REF!</v>
      </c>
      <c r="BP5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5" s="73" t="e">
        <f>COUNTIFS(#REF!,CALCULATION[[#This Row],[PACKFORMULA]],GLOBAL_DATA[Impl_Date],"&gt;31/12/2020",GLOBAL_DATA[Impl_Date],"&lt;01/01/2022",GLOBAL_DATA[Impl_Yes],1)</f>
        <v>#REF!</v>
      </c>
      <c r="BR5" s="73" t="e">
        <f>COUNTIFS(#REF!,CALCULATION[[#This Row],[PACKFORMULA]],GLOBAL_DATA[Impl_Date],"&gt;31/12/2020",GLOBAL_DATA[Impl_Date],"&lt;01/01/2022")</f>
        <v>#REF!</v>
      </c>
      <c r="BS5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5" s="73" t="e">
        <f>COUNTIFS(#REF!,CALCULATION[[#This Row],[PACKFORMULA]],GLOBAL_DATA[Impl_Date],"&gt;31/12/2021",GLOBAL_DATA[Impl_Date],"&lt;01/01/2023",GLOBAL_DATA[Impl_Yes],1)</f>
        <v>#REF!</v>
      </c>
      <c r="BU5" s="73" t="e">
        <f>COUNTIFS(#REF!,CALCULATION[[#This Row],[PACKFORMULA]],GLOBAL_DATA[Impl_Date],"&gt;31/12/2021",GLOBAL_DATA[Impl_Date],"&lt;01/01/2023")</f>
        <v>#REF!</v>
      </c>
      <c r="BV5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5" s="131" t="e">
        <f>COUNTIFS(#REF!,CALCULATION[[#This Row],[PACKFORMULA]],GLOBAL_DATA[Impl_Date],"&gt;31/12/2022",GLOBAL_DATA[Impl_Date],"&lt;01/01/2024",GLOBAL_DATA[Impl_Yes],1)</f>
        <v>#REF!</v>
      </c>
      <c r="BX5" s="131" t="e">
        <f>COUNTIFS(#REF!,CALCULATION[[#This Row],[PACKFORMULA]],GLOBAL_DATA[Impl_Date],"&gt;31/12/2022")</f>
        <v>#REF!</v>
      </c>
      <c r="BY5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5" s="103">
        <f>CALCULATION[[#This Row],[% 2020 COMMITTED]]+CALCULATION[[#This Row],[% 2021 COMMITTED]]+CALCULATION[[#This Row],[% 2022 COMMITTED]]+CALCULATION[[#This Row],[% 2023 COMMITTED]]</f>
        <v>0</v>
      </c>
      <c r="CA5" s="111">
        <f>CALCULATION[[#This Row],[CURRENT IMPLEMENTATION]]</f>
        <v>0</v>
      </c>
      <c r="CB5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6" spans="1:82" x14ac:dyDescent="0.25">
      <c r="A6" s="76" t="s">
        <v>5</v>
      </c>
      <c r="B6" s="76" t="s">
        <v>5</v>
      </c>
      <c r="C6" s="113">
        <v>1</v>
      </c>
      <c r="D6" s="130">
        <v>0.05</v>
      </c>
      <c r="E6" s="76" t="e">
        <f>COUNTIFS(#REF!,CALCULATION[[#This Row],[PACKFORMULA]],#REF!,"P0",GLOBAL_DATA[Status],Status_No_Project)</f>
        <v>#REF!</v>
      </c>
      <c r="F6" s="76" t="e">
        <f>COUNTIFS(#REF!,CALCULATION[[#This Row],[PACKFORMULA]],#REF!,"P1",GLOBAL_DATA[Status],Status_No_Project)</f>
        <v>#REF!</v>
      </c>
      <c r="G6" s="76" t="e">
        <f>COUNTIFS(#REF!,CALCULATION[[#This Row],[PACKFORMULA]],#REF!,"&gt;=P2",GLOBAL_DATA[Status],Status_No_Project)</f>
        <v>#REF!</v>
      </c>
      <c r="H6" s="76" t="e">
        <f>COUNTIFS(#REF!,CALCULATION[[#This Row],[PACKFORMULA]],GLOBAL_DATA[Status],CALCULATION[[#Headers],[NO PROJECT]])</f>
        <v>#REF!</v>
      </c>
      <c r="I6" s="76" t="e">
        <f>COUNTIFS(#REF!,CALCULATION[[#This Row],[PACKFORMULA]],#REF!,"P0",GLOBAL_DATA[Status],DATA!$J$4)</f>
        <v>#REF!</v>
      </c>
      <c r="J6" s="76" t="e">
        <f>COUNTIFS(#REF!,CALCULATION[[#This Row],[PACKFORMULA]],#REF!,"P1",GLOBAL_DATA[Status],DATA!$J$4)</f>
        <v>#REF!</v>
      </c>
      <c r="K6" s="76" t="e">
        <f>COUNTIFS(#REF!,CALCULATION[[#This Row],[PACKFORMULA]],#REF!,"&gt;=P2",GLOBAL_DATA[Status],DATA!$J$4)</f>
        <v>#REF!</v>
      </c>
      <c r="L6" s="76" t="e">
        <f>COUNTIFS(#REF!,CALCULATION[[#This Row],[PACKFORMULA]],GLOBAL_DATA[Status],CALCULATION[[#Headers],[TO BE STARTED]])</f>
        <v>#REF!</v>
      </c>
      <c r="M6" s="76" t="e">
        <f>COUNTIFS(#REF!,CALCULATION[[#This Row],[PACKFORMULA]],#REF!,"P0",GLOBAL_DATA[Status],DATA!$J$5)</f>
        <v>#REF!</v>
      </c>
      <c r="N6" s="76" t="e">
        <f>COUNTIFS(#REF!,CALCULATION[[#This Row],[PACKFORMULA]],#REF!,"P1",GLOBAL_DATA[Status],DATA!$J$5)</f>
        <v>#REF!</v>
      </c>
      <c r="O6" s="76" t="e">
        <f>COUNTIFS(#REF!,CALCULATION[[#This Row],[PACKFORMULA]],#REF!,"&gt;=P2",GLOBAL_DATA[Status],DATA!$J$5)</f>
        <v>#REF!</v>
      </c>
      <c r="P6" s="76" t="e">
        <f>COUNTIFS(#REF!,CALCULATION[[#This Row],[PACKFORMULA]],GLOBAL_DATA[Status],CALCULATION[[#Headers],[IN PROGRESS]])</f>
        <v>#REF!</v>
      </c>
      <c r="Q6" s="76" t="e">
        <f>COUNTIFS(#REF!,CALCULATION[[#This Row],[PACKFORMULA]],#REF!,"P0",GLOBAL_DATA[Status],DATA!$J$6)</f>
        <v>#REF!</v>
      </c>
      <c r="R6" s="76" t="e">
        <f>COUNTIFS(#REF!,CALCULATION[[#This Row],[PACKFORMULA]],#REF!,"P1",GLOBAL_DATA[Status],DATA!$J$6)</f>
        <v>#REF!</v>
      </c>
      <c r="S6" s="76" t="e">
        <f>COUNTIFS(#REF!,CALCULATION[[#This Row],[PACKFORMULA]],#REF!,"&gt;=P2",GLOBAL_DATA[Status],DATA!$J$6)</f>
        <v>#REF!</v>
      </c>
      <c r="T6" s="76" t="e">
        <f>COUNTIFS(#REF!,CALCULATION[[#This Row],[PACKFORMULA]],GLOBAL_DATA[Status],CALCULATION[[#Headers],[DONE]])</f>
        <v>#REF!</v>
      </c>
      <c r="U6" s="76" t="e">
        <f>COUNTIFS(#REF!,CALCULATION[[#This Row],[PACKFORMULA]],#REF!,"P0",GLOBAL_DATA[Status],DATA!$J$7)</f>
        <v>#REF!</v>
      </c>
      <c r="V6" s="76" t="e">
        <f>COUNTIFS(#REF!,CALCULATION[[#This Row],[PACKFORMULA]],#REF!,"P1",GLOBAL_DATA[Status],DATA!$J$7)</f>
        <v>#REF!</v>
      </c>
      <c r="W6" s="76" t="e">
        <f>COUNTIFS(#REF!,CALCULATION[[#This Row],[PACKFORMULA]],#REF!,"&gt;=P2",GLOBAL_DATA[Status],DATA!$J$7)</f>
        <v>#REF!</v>
      </c>
      <c r="X6" s="76" t="e">
        <f>COUNTIFS(#REF!,CALCULATION[[#This Row],[PACKFORMULA]],GLOBAL_DATA[Status],CALCULATION[[#Headers],[CHECKED CISO]])</f>
        <v>#REF!</v>
      </c>
      <c r="Y6" s="76" t="e">
        <f>COUNTIFS(#REF!,CALCULATION[[#This Row],[PACKFORMULA]],#REF!,"P0",GLOBAL_DATA[Status],DATA!$J$8)</f>
        <v>#REF!</v>
      </c>
      <c r="Z6" s="76" t="e">
        <f>COUNTIFS(#REF!,CALCULATION[[#This Row],[PACKFORMULA]],#REF!,"P1",GLOBAL_DATA[Status],DATA!$J$8)</f>
        <v>#REF!</v>
      </c>
      <c r="AA6" s="76" t="e">
        <f>COUNTIFS(#REF!,CALCULATION[[#This Row],[PACKFORMULA]],#REF!,"&gt;=P2",GLOBAL_DATA[Status],DATA!$J$8)</f>
        <v>#REF!</v>
      </c>
      <c r="AB6" s="76" t="e">
        <f>COUNTIFS(#REF!,CALCULATION[[#This Row],[PACKFORMULA]],GLOBAL_DATA[Status],CALCULATION[[#Headers],[VERIFIED]])</f>
        <v>#REF!</v>
      </c>
      <c r="AC6" s="76" t="e">
        <f>COUNTIFS(#REF!,CALCULATION[[#This Row],[PACKFORMULA]],#REF!,"P0",GLOBAL_DATA[Status],"&lt;&gt;"&amp;Status_No_Project)</f>
        <v>#REF!</v>
      </c>
      <c r="AD6" s="76" t="e">
        <f>COUNTIFS(#REF!,CALCULATION[[#This Row],[PACKFORMULA]],#REF!,"P1",GLOBAL_DATA[Status],"&lt;&gt;"&amp;Status_No_Project)</f>
        <v>#REF!</v>
      </c>
      <c r="AE6" s="76" t="e">
        <f>COUNTIFS(#REF!,CALCULATION[[#This Row],[PACKFORMULA]],#REF!,"&gt;=P2",GLOBAL_DATA[Status],"&lt;&gt;"&amp;Status_No_Project)</f>
        <v>#REF!</v>
      </c>
      <c r="AF6" s="79" t="e">
        <f>COUNTIFS(#REF!,CALCULATION[[#This Row],[PACKFORMULA]],GLOBAL_DATA[Status],"&lt;&gt;"&amp;Status_No_Project)</f>
        <v>#REF!</v>
      </c>
      <c r="AG6" s="96" t="e">
        <f>COUNTIFS(#REF!,CALCULATION[[#This Row],[PACKFORMULA]],#REF!,"P0",GLOBAL_DATA[Target status],DATA!$J$12)</f>
        <v>#REF!</v>
      </c>
      <c r="AH6" s="96" t="e">
        <f>COUNTIFS(#REF!,CALCULATION[[#This Row],[PACKFORMULA]],#REF!,"P1",GLOBAL_DATA[Target status],DATA!$J$12)</f>
        <v>#REF!</v>
      </c>
      <c r="AI6" s="96" t="e">
        <f>COUNTIFS(#REF!,CALCULATION[[#This Row],[PACKFORMULA]],#REF!,"&gt;P1",GLOBAL_DATA[Target status],DATA!$J$12)</f>
        <v>#REF!</v>
      </c>
      <c r="AJ6" s="76" t="e">
        <f>COUNTIFS(#REF!,CALCULATION[[#This Row],[PACKFORMULA]],GLOBAL_DATA[Target status],DATA!$J$12)</f>
        <v>#REF!</v>
      </c>
      <c r="AK6" s="76" t="e">
        <f>COUNTIFS(#REF!,CALCULATION[[#This Row],[PACKFORMULA]],GLOBAL_DATA[Target status],DATA!$J$13,#REF!,"P0")</f>
        <v>#REF!</v>
      </c>
      <c r="AL6" s="76" t="e">
        <f>COUNTIFS(#REF!,CALCULATION[[#This Row],[PACKFORMULA]],GLOBAL_DATA[Target status],DATA!$J$13,#REF!,"P1")</f>
        <v>#REF!</v>
      </c>
      <c r="AM6" s="76" t="e">
        <f>COUNTIFS(#REF!,CALCULATION[[#This Row],[PACKFORMULA]],GLOBAL_DATA[Target status],DATA!$J$13,#REF!,"&gt;P1")</f>
        <v>#REF!</v>
      </c>
      <c r="AN6" s="73" t="e">
        <f>COUNTIFS(#REF!,CALCULATION[[#This Row],[PACKFORMULA]],GLOBAL_DATA[Target status],CALCULATION[[#Headers],[PARTIAL IMPLEMENTATION + RA]])</f>
        <v>#REF!</v>
      </c>
      <c r="AO6" s="102">
        <f>1-CALCULATION[[#This Row],[IN SCOPE %]]</f>
        <v>1</v>
      </c>
      <c r="AP6" s="73" t="e">
        <f>COUNTIFS(#REF!,CALCULATION[[#This Row],[PACKFORMULA]],GLOBAL_DATA[Target status],CALCULATION[[#Headers],[FULL IMPLEMENTATION]])</f>
        <v>#REF!</v>
      </c>
      <c r="AQ6" s="73" t="e">
        <f>COUNTIFS(#REF!,CALCULATION[[#This Row],[PACKFORMULA]],GLOBAL_DATA[Target status],CALCULATION[[#Headers],[NOT APPLICABLE]])</f>
        <v>#REF!</v>
      </c>
      <c r="AR6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6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6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6" s="80" t="e">
        <f>CALCULATION[[#This Row],[PARTIAL IMPLEMENTATION + RA]]+CALCULATION[[#This Row],[FULL IMPLEMENTATION]]</f>
        <v>#REF!</v>
      </c>
      <c r="AV6" s="115" t="e">
        <f>CALCULATION[[#This Row],[IN PROGRESS]]+CALCULATION[[#This Row],[TO BE STARTED]]</f>
        <v>#REF!</v>
      </c>
      <c r="AW6" s="73" t="e">
        <f>COUNTIFS(#REF!,CALCULATION[[#This Row],[PACKFORMULA]],#REF!,"P0",GLOBAL_DATA[Impl_Yes],1)</f>
        <v>#REF!</v>
      </c>
      <c r="AX6" s="73" t="e">
        <f>COUNTIFS(#REF!,CALCULATION[[#This Row],[PACKFORMULA]],#REF!,"P1",GLOBAL_DATA[Impl_Yes],1)</f>
        <v>#REF!</v>
      </c>
      <c r="AY6" s="73" t="e">
        <f>COUNTIFS(#REF!,CALCULATION[[#This Row],[PACKFORMULA]],#REF!,"&gt;P1",GLOBAL_DATA[Impl_Yes],1)</f>
        <v>#REF!</v>
      </c>
      <c r="AZ6" s="73" t="e">
        <f>COUNTIFS(#REF!,CALCULATION[[#This Row],[PACKFORMULA]],GLOBAL_DATA[Impl_Yes],1)</f>
        <v>#REF!</v>
      </c>
      <c r="BA6" s="118">
        <f>IFERROR(CALCULATION[[#This Row],[COMPLETED]]/CALCULATION[[#This Row],[IN SCOPE]],0)</f>
        <v>0</v>
      </c>
      <c r="BB6" s="136" t="e">
        <f>COUNTIFS(#REF!,CALCULATION[[#This Row],[PACKFORMULA]],GLOBAL_DATA[Target status],"&lt;&gt;"&amp;DATA!$J$15)</f>
        <v>#REF!</v>
      </c>
      <c r="BC6" s="166">
        <f>IFERROR(ROUND(SUMIFS(GLOBAL_DATA[Target scope],#REF!,CALCULATION[[#This Row],[PACKFORMULA]],GLOBAL_DATA[Target status],"&lt;&gt;"&amp;DATA!$J$15)/CALCULATION[[#This Row],[IN SCOPE]],4),0)</f>
        <v>0</v>
      </c>
      <c r="BD6" s="104">
        <f>IFERROR(ROUND(CALCULATION[[#This Row],[RISK ACCEPTED (FULL MEASURE)]]/CALCULATION[[#This Row],[IN SCOPE]],4),0)</f>
        <v>0</v>
      </c>
      <c r="BE6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6" s="74" t="e">
        <f>COUNTIFS(#REF!,CALCULATION[[#This Row],[PACKFORMULA]],GLOBAL_DATA[CISO assessment],"&lt;&gt;"&amp;DATA!$A$15)-COUNTIFS(#REF!,CALCULATION[[#This Row],[PACKFORMULA]],GLOBAL_DATA[CISO assessment],"")</f>
        <v>#REF!</v>
      </c>
      <c r="BG6" s="116" t="e">
        <f>COUNTIFS(#REF!,CALCULATION[[#This Row],[PACKFORMULA]],GLOBAL_DATA[CISO assessment],DATA!$A$15)+COUNTIFS(#REF!,CALCULATION[[#This Row],[PACKFORMULA]],GLOBAL_DATA[CISO assessment],"")</f>
        <v>#REF!</v>
      </c>
      <c r="BH6" s="134">
        <f>IFERROR(ROUND(SUMIF(#REF!,CALCULATION[[#This Row],[PACKFORMULA]],GLOBAL_DATA[Target scope])/CALCULATION[[#This Row],[IN SCOPE]],4),0)</f>
        <v>0</v>
      </c>
      <c r="BI6" s="105">
        <f>IFERROR(ROUND(SUMIFS(GLOBAL_DATA[Global Progress rate],#REF!,CALCULATION[[#This Row],[PACKFORMULA]],GLOBAL_DATA[Status],DATA!$J$6)/CALCULATION[[#This Row],[IN SCOPE]],4),0)</f>
        <v>0</v>
      </c>
      <c r="BJ6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6" s="105">
        <f>CALCULATION[[#This Row],[CURRENT IMPL DONE ]]+CALCULATION[[#This Row],[CURRENT IMPL CHECKED CISO &amp; VERIFIED]]</f>
        <v>0</v>
      </c>
      <c r="BL6" s="105">
        <f>CALCULATION[[#This Row],[CURRENT IMPLEMENTATION]]-CALCULATION[[#This Row],[CURRENT IMPL DONE ]]-CALCULATION[[#This Row],[CURRENT IMPL CHECKED CISO &amp; VERIFIED]]</f>
        <v>0</v>
      </c>
      <c r="BM6" s="105">
        <f>IFERROR(ROUND(SUMIF(#REF!,CALCULATION[[#This Row],[PACKFORMULA]],GLOBAL_DATA[Global Progress rate])/CALCULATION[[#This Row],[IN SCOPE]],4),0)</f>
        <v>0</v>
      </c>
      <c r="BN6" s="75" t="e">
        <f>COUNTIFS(#REF!,CALCULATION[[#This Row],[PACKFORMULA]],GLOBAL_DATA[Impl_Date],"&gt;31/12/2019",GLOBAL_DATA[Impl_Date],"&lt;01/01/2021",GLOBAL_DATA[Impl_Yes],1)</f>
        <v>#REF!</v>
      </c>
      <c r="BO6" s="74" t="e">
        <f>COUNTIFS(#REF!,CALCULATION[[#This Row],[PACKFORMULA]],GLOBAL_DATA[Impl_Date],"&gt;31/12/2019",GLOBAL_DATA[Impl_Date],"&lt;01/01/2021")</f>
        <v>#REF!</v>
      </c>
      <c r="BP6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6" s="73" t="e">
        <f>COUNTIFS(#REF!,CALCULATION[[#This Row],[PACKFORMULA]],GLOBAL_DATA[Impl_Date],"&gt;31/12/2020",GLOBAL_DATA[Impl_Date],"&lt;01/01/2022",GLOBAL_DATA[Impl_Yes],1)</f>
        <v>#REF!</v>
      </c>
      <c r="BR6" s="73" t="e">
        <f>COUNTIFS(#REF!,CALCULATION[[#This Row],[PACKFORMULA]],GLOBAL_DATA[Impl_Date],"&gt;31/12/2020",GLOBAL_DATA[Impl_Date],"&lt;01/01/2022")</f>
        <v>#REF!</v>
      </c>
      <c r="BS6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6" s="73" t="e">
        <f>COUNTIFS(#REF!,CALCULATION[[#This Row],[PACKFORMULA]],GLOBAL_DATA[Impl_Date],"&gt;31/12/2021",GLOBAL_DATA[Impl_Date],"&lt;01/01/2023",GLOBAL_DATA[Impl_Yes],1)</f>
        <v>#REF!</v>
      </c>
      <c r="BU6" s="73" t="e">
        <f>COUNTIFS(#REF!,CALCULATION[[#This Row],[PACKFORMULA]],GLOBAL_DATA[Impl_Date],"&gt;31/12/2021",GLOBAL_DATA[Impl_Date],"&lt;01/01/2023")</f>
        <v>#REF!</v>
      </c>
      <c r="BV6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6" s="131" t="e">
        <f>COUNTIFS(#REF!,CALCULATION[[#This Row],[PACKFORMULA]],GLOBAL_DATA[Impl_Date],"&gt;31/12/2022",GLOBAL_DATA[Impl_Date],"&lt;01/01/2024",GLOBAL_DATA[Impl_Yes],1)</f>
        <v>#REF!</v>
      </c>
      <c r="BX6" s="131" t="e">
        <f>COUNTIFS(#REF!,CALCULATION[[#This Row],[PACKFORMULA]],GLOBAL_DATA[Impl_Date],"&gt;31/12/2022")</f>
        <v>#REF!</v>
      </c>
      <c r="BY6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6" s="103">
        <f>CALCULATION[[#This Row],[% 2020 COMMITTED]]+CALCULATION[[#This Row],[% 2021 COMMITTED]]+CALCULATION[[#This Row],[% 2022 COMMITTED]]+CALCULATION[[#This Row],[% 2023 COMMITTED]]</f>
        <v>0</v>
      </c>
      <c r="CA6" s="111">
        <f>CALCULATION[[#This Row],[CURRENT IMPLEMENTATION]]</f>
        <v>0</v>
      </c>
      <c r="CB6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7" spans="1:82" x14ac:dyDescent="0.25">
      <c r="A7" s="76" t="s">
        <v>6</v>
      </c>
      <c r="B7" s="76" t="s">
        <v>6</v>
      </c>
      <c r="C7" s="113">
        <v>1</v>
      </c>
      <c r="D7" s="130">
        <v>0.05</v>
      </c>
      <c r="E7" s="76" t="e">
        <f>COUNTIFS(#REF!,CALCULATION[[#This Row],[PACKFORMULA]],#REF!,"P0",GLOBAL_DATA[Status],Status_No_Project)</f>
        <v>#REF!</v>
      </c>
      <c r="F7" s="76" t="e">
        <f>COUNTIFS(#REF!,CALCULATION[[#This Row],[PACKFORMULA]],#REF!,"P1",GLOBAL_DATA[Status],Status_No_Project)</f>
        <v>#REF!</v>
      </c>
      <c r="G7" s="76" t="e">
        <f>COUNTIFS(#REF!,CALCULATION[[#This Row],[PACKFORMULA]],#REF!,"&gt;=P2",GLOBAL_DATA[Status],Status_No_Project)</f>
        <v>#REF!</v>
      </c>
      <c r="H7" s="76" t="e">
        <f>COUNTIFS(#REF!,CALCULATION[[#This Row],[PACKFORMULA]],GLOBAL_DATA[Status],CALCULATION[[#Headers],[NO PROJECT]])</f>
        <v>#REF!</v>
      </c>
      <c r="I7" s="76" t="e">
        <f>COUNTIFS(#REF!,CALCULATION[[#This Row],[PACKFORMULA]],#REF!,"P0",GLOBAL_DATA[Status],DATA!$J$4)</f>
        <v>#REF!</v>
      </c>
      <c r="J7" s="76" t="e">
        <f>COUNTIFS(#REF!,CALCULATION[[#This Row],[PACKFORMULA]],#REF!,"P1",GLOBAL_DATA[Status],DATA!$J$4)</f>
        <v>#REF!</v>
      </c>
      <c r="K7" s="76" t="e">
        <f>COUNTIFS(#REF!,CALCULATION[[#This Row],[PACKFORMULA]],#REF!,"&gt;=P2",GLOBAL_DATA[Status],DATA!$J$4)</f>
        <v>#REF!</v>
      </c>
      <c r="L7" s="76" t="e">
        <f>COUNTIFS(#REF!,CALCULATION[[#This Row],[PACKFORMULA]],GLOBAL_DATA[Status],CALCULATION[[#Headers],[TO BE STARTED]])</f>
        <v>#REF!</v>
      </c>
      <c r="M7" s="76" t="e">
        <f>COUNTIFS(#REF!,CALCULATION[[#This Row],[PACKFORMULA]],#REF!,"P0",GLOBAL_DATA[Status],DATA!$J$5)</f>
        <v>#REF!</v>
      </c>
      <c r="N7" s="76" t="e">
        <f>COUNTIFS(#REF!,CALCULATION[[#This Row],[PACKFORMULA]],#REF!,"P1",GLOBAL_DATA[Status],DATA!$J$5)</f>
        <v>#REF!</v>
      </c>
      <c r="O7" s="76" t="e">
        <f>COUNTIFS(#REF!,CALCULATION[[#This Row],[PACKFORMULA]],#REF!,"&gt;=P2",GLOBAL_DATA[Status],DATA!$J$5)</f>
        <v>#REF!</v>
      </c>
      <c r="P7" s="76" t="e">
        <f>COUNTIFS(#REF!,CALCULATION[[#This Row],[PACKFORMULA]],GLOBAL_DATA[Status],CALCULATION[[#Headers],[IN PROGRESS]])</f>
        <v>#REF!</v>
      </c>
      <c r="Q7" s="76" t="e">
        <f>COUNTIFS(#REF!,CALCULATION[[#This Row],[PACKFORMULA]],#REF!,"P0",GLOBAL_DATA[Status],DATA!$J$6)</f>
        <v>#REF!</v>
      </c>
      <c r="R7" s="76" t="e">
        <f>COUNTIFS(#REF!,CALCULATION[[#This Row],[PACKFORMULA]],#REF!,"P1",GLOBAL_DATA[Status],DATA!$J$6)</f>
        <v>#REF!</v>
      </c>
      <c r="S7" s="76" t="e">
        <f>COUNTIFS(#REF!,CALCULATION[[#This Row],[PACKFORMULA]],#REF!,"&gt;=P2",GLOBAL_DATA[Status],DATA!$J$6)</f>
        <v>#REF!</v>
      </c>
      <c r="T7" s="76" t="e">
        <f>COUNTIFS(#REF!,CALCULATION[[#This Row],[PACKFORMULA]],GLOBAL_DATA[Status],CALCULATION[[#Headers],[DONE]])</f>
        <v>#REF!</v>
      </c>
      <c r="U7" s="76" t="e">
        <f>COUNTIFS(#REF!,CALCULATION[[#This Row],[PACKFORMULA]],#REF!,"P0",GLOBAL_DATA[Status],DATA!$J$7)</f>
        <v>#REF!</v>
      </c>
      <c r="V7" s="76" t="e">
        <f>COUNTIFS(#REF!,CALCULATION[[#This Row],[PACKFORMULA]],#REF!,"P1",GLOBAL_DATA[Status],DATA!$J$7)</f>
        <v>#REF!</v>
      </c>
      <c r="W7" s="76" t="e">
        <f>COUNTIFS(#REF!,CALCULATION[[#This Row],[PACKFORMULA]],#REF!,"&gt;=P2",GLOBAL_DATA[Status],DATA!$J$7)</f>
        <v>#REF!</v>
      </c>
      <c r="X7" s="76" t="e">
        <f>COUNTIFS(#REF!,CALCULATION[[#This Row],[PACKFORMULA]],GLOBAL_DATA[Status],CALCULATION[[#Headers],[CHECKED CISO]])</f>
        <v>#REF!</v>
      </c>
      <c r="Y7" s="76" t="e">
        <f>COUNTIFS(#REF!,CALCULATION[[#This Row],[PACKFORMULA]],#REF!,"P0",GLOBAL_DATA[Status],DATA!$J$8)</f>
        <v>#REF!</v>
      </c>
      <c r="Z7" s="76" t="e">
        <f>COUNTIFS(#REF!,CALCULATION[[#This Row],[PACKFORMULA]],#REF!,"P1",GLOBAL_DATA[Status],DATA!$J$8)</f>
        <v>#REF!</v>
      </c>
      <c r="AA7" s="76" t="e">
        <f>COUNTIFS(#REF!,CALCULATION[[#This Row],[PACKFORMULA]],#REF!,"&gt;=P2",GLOBAL_DATA[Status],DATA!$J$8)</f>
        <v>#REF!</v>
      </c>
      <c r="AB7" s="76" t="e">
        <f>COUNTIFS(#REF!,CALCULATION[[#This Row],[PACKFORMULA]],GLOBAL_DATA[Status],CALCULATION[[#Headers],[VERIFIED]])</f>
        <v>#REF!</v>
      </c>
      <c r="AC7" s="76" t="e">
        <f>COUNTIFS(#REF!,CALCULATION[[#This Row],[PACKFORMULA]],#REF!,"P0",GLOBAL_DATA[Status],"&lt;&gt;"&amp;Status_No_Project)</f>
        <v>#REF!</v>
      </c>
      <c r="AD7" s="76" t="e">
        <f>COUNTIFS(#REF!,CALCULATION[[#This Row],[PACKFORMULA]],#REF!,"P1",GLOBAL_DATA[Status],"&lt;&gt;"&amp;Status_No_Project)</f>
        <v>#REF!</v>
      </c>
      <c r="AE7" s="76" t="e">
        <f>COUNTIFS(#REF!,CALCULATION[[#This Row],[PACKFORMULA]],#REF!,"&gt;=P2",GLOBAL_DATA[Status],"&lt;&gt;"&amp;Status_No_Project)</f>
        <v>#REF!</v>
      </c>
      <c r="AF7" s="79" t="e">
        <f>COUNTIFS(#REF!,CALCULATION[[#This Row],[PACKFORMULA]],GLOBAL_DATA[Status],"&lt;&gt;"&amp;Status_No_Project)</f>
        <v>#REF!</v>
      </c>
      <c r="AG7" s="96" t="e">
        <f>COUNTIFS(#REF!,CALCULATION[[#This Row],[PACKFORMULA]],#REF!,"P0",GLOBAL_DATA[Target status],DATA!$J$12)</f>
        <v>#REF!</v>
      </c>
      <c r="AH7" s="96" t="e">
        <f>COUNTIFS(#REF!,CALCULATION[[#This Row],[PACKFORMULA]],#REF!,"P1",GLOBAL_DATA[Target status],DATA!$J$12)</f>
        <v>#REF!</v>
      </c>
      <c r="AI7" s="96" t="e">
        <f>COUNTIFS(#REF!,CALCULATION[[#This Row],[PACKFORMULA]],#REF!,"&gt;P1",GLOBAL_DATA[Target status],DATA!$J$12)</f>
        <v>#REF!</v>
      </c>
      <c r="AJ7" s="76" t="e">
        <f>COUNTIFS(#REF!,CALCULATION[[#This Row],[PACKFORMULA]],GLOBAL_DATA[Target status],DATA!$J$12)</f>
        <v>#REF!</v>
      </c>
      <c r="AK7" s="76" t="e">
        <f>COUNTIFS(#REF!,CALCULATION[[#This Row],[PACKFORMULA]],GLOBAL_DATA[Target status],DATA!$J$13,#REF!,"P0")</f>
        <v>#REF!</v>
      </c>
      <c r="AL7" s="76" t="e">
        <f>COUNTIFS(#REF!,CALCULATION[[#This Row],[PACKFORMULA]],GLOBAL_DATA[Target status],DATA!$J$13,#REF!,"P1")</f>
        <v>#REF!</v>
      </c>
      <c r="AM7" s="76" t="e">
        <f>COUNTIFS(#REF!,CALCULATION[[#This Row],[PACKFORMULA]],GLOBAL_DATA[Target status],DATA!$J$13,#REF!,"&gt;P1")</f>
        <v>#REF!</v>
      </c>
      <c r="AN7" s="73" t="e">
        <f>COUNTIFS(#REF!,CALCULATION[[#This Row],[PACKFORMULA]],GLOBAL_DATA[Target status],CALCULATION[[#Headers],[PARTIAL IMPLEMENTATION + RA]])</f>
        <v>#REF!</v>
      </c>
      <c r="AO7" s="102">
        <f>1-CALCULATION[[#This Row],[IN SCOPE %]]</f>
        <v>1</v>
      </c>
      <c r="AP7" s="73" t="e">
        <f>COUNTIFS(#REF!,CALCULATION[[#This Row],[PACKFORMULA]],GLOBAL_DATA[Target status],CALCULATION[[#Headers],[FULL IMPLEMENTATION]])</f>
        <v>#REF!</v>
      </c>
      <c r="AQ7" s="73" t="e">
        <f>COUNTIFS(#REF!,CALCULATION[[#This Row],[PACKFORMULA]],GLOBAL_DATA[Target status],CALCULATION[[#Headers],[NOT APPLICABLE]])</f>
        <v>#REF!</v>
      </c>
      <c r="AR7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7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7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7" s="80" t="e">
        <f>CALCULATION[[#This Row],[PARTIAL IMPLEMENTATION + RA]]+CALCULATION[[#This Row],[FULL IMPLEMENTATION]]</f>
        <v>#REF!</v>
      </c>
      <c r="AV7" s="115" t="e">
        <f>CALCULATION[[#This Row],[IN PROGRESS]]+CALCULATION[[#This Row],[TO BE STARTED]]</f>
        <v>#REF!</v>
      </c>
      <c r="AW7" s="73" t="e">
        <f>COUNTIFS(#REF!,CALCULATION[[#This Row],[PACKFORMULA]],#REF!,"P0",GLOBAL_DATA[Impl_Yes],1)</f>
        <v>#REF!</v>
      </c>
      <c r="AX7" s="73" t="e">
        <f>COUNTIFS(#REF!,CALCULATION[[#This Row],[PACKFORMULA]],#REF!,"P1",GLOBAL_DATA[Impl_Yes],1)</f>
        <v>#REF!</v>
      </c>
      <c r="AY7" s="73" t="e">
        <f>COUNTIFS(#REF!,CALCULATION[[#This Row],[PACKFORMULA]],#REF!,"&gt;P1",GLOBAL_DATA[Impl_Yes],1)</f>
        <v>#REF!</v>
      </c>
      <c r="AZ7" s="73" t="e">
        <f>COUNTIFS(#REF!,CALCULATION[[#This Row],[PACKFORMULA]],GLOBAL_DATA[Impl_Yes],1)</f>
        <v>#REF!</v>
      </c>
      <c r="BA7" s="118">
        <f>IFERROR(CALCULATION[[#This Row],[COMPLETED]]/CALCULATION[[#This Row],[IN SCOPE]],0)</f>
        <v>0</v>
      </c>
      <c r="BB7" s="136" t="e">
        <f>COUNTIFS(#REF!,CALCULATION[[#This Row],[PACKFORMULA]],GLOBAL_DATA[Target status],"&lt;&gt;"&amp;DATA!$J$15)</f>
        <v>#REF!</v>
      </c>
      <c r="BC7" s="166">
        <f>IFERROR(ROUND(SUMIFS(GLOBAL_DATA[Target scope],#REF!,CALCULATION[[#This Row],[PACKFORMULA]],GLOBAL_DATA[Target status],"&lt;&gt;"&amp;DATA!$J$15)/CALCULATION[[#This Row],[IN SCOPE]],4),0)</f>
        <v>0</v>
      </c>
      <c r="BD7" s="104">
        <f>IFERROR(ROUND(CALCULATION[[#This Row],[RISK ACCEPTED (FULL MEASURE)]]/CALCULATION[[#This Row],[IN SCOPE]],4),0)</f>
        <v>0</v>
      </c>
      <c r="BE7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7" s="74" t="e">
        <f>COUNTIFS(#REF!,CALCULATION[[#This Row],[PACKFORMULA]],GLOBAL_DATA[CISO assessment],"&lt;&gt;"&amp;DATA!$A$15)-COUNTIFS(#REF!,CALCULATION[[#This Row],[PACKFORMULA]],GLOBAL_DATA[CISO assessment],"")</f>
        <v>#REF!</v>
      </c>
      <c r="BG7" s="116" t="e">
        <f>COUNTIFS(#REF!,CALCULATION[[#This Row],[PACKFORMULA]],GLOBAL_DATA[CISO assessment],DATA!$A$15)+COUNTIFS(#REF!,CALCULATION[[#This Row],[PACKFORMULA]],GLOBAL_DATA[CISO assessment],"")</f>
        <v>#REF!</v>
      </c>
      <c r="BH7" s="134">
        <f>IFERROR(ROUND(SUMIF(#REF!,CALCULATION[[#This Row],[PACKFORMULA]],GLOBAL_DATA[Target scope])/CALCULATION[[#This Row],[IN SCOPE]],4),0)</f>
        <v>0</v>
      </c>
      <c r="BI7" s="105">
        <f>IFERROR(ROUND(SUMIFS(GLOBAL_DATA[Global Progress rate],#REF!,CALCULATION[[#This Row],[PACKFORMULA]],GLOBAL_DATA[Status],DATA!$J$6)/CALCULATION[[#This Row],[IN SCOPE]],4),0)</f>
        <v>0</v>
      </c>
      <c r="BJ7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7" s="105">
        <f>CALCULATION[[#This Row],[CURRENT IMPL DONE ]]+CALCULATION[[#This Row],[CURRENT IMPL CHECKED CISO &amp; VERIFIED]]</f>
        <v>0</v>
      </c>
      <c r="BL7" s="105">
        <f>CALCULATION[[#This Row],[CURRENT IMPLEMENTATION]]-CALCULATION[[#This Row],[CURRENT IMPL DONE ]]-CALCULATION[[#This Row],[CURRENT IMPL CHECKED CISO &amp; VERIFIED]]</f>
        <v>0</v>
      </c>
      <c r="BM7" s="105">
        <f>IFERROR(ROUND(SUMIF(#REF!,CALCULATION[[#This Row],[PACKFORMULA]],GLOBAL_DATA[Global Progress rate])/CALCULATION[[#This Row],[IN SCOPE]],4),0)</f>
        <v>0</v>
      </c>
      <c r="BN7" s="75" t="e">
        <f>COUNTIFS(#REF!,CALCULATION[[#This Row],[PACKFORMULA]],GLOBAL_DATA[Impl_Date],"&gt;31/12/2019",GLOBAL_DATA[Impl_Date],"&lt;01/01/2021",GLOBAL_DATA[Impl_Yes],1)</f>
        <v>#REF!</v>
      </c>
      <c r="BO7" s="74" t="e">
        <f>COUNTIFS(#REF!,CALCULATION[[#This Row],[PACKFORMULA]],GLOBAL_DATA[Impl_Date],"&gt;31/12/2019",GLOBAL_DATA[Impl_Date],"&lt;01/01/2021")</f>
        <v>#REF!</v>
      </c>
      <c r="BP7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7" s="73" t="e">
        <f>COUNTIFS(#REF!,CALCULATION[[#This Row],[PACKFORMULA]],GLOBAL_DATA[Impl_Date],"&gt;31/12/2020",GLOBAL_DATA[Impl_Date],"&lt;01/01/2022",GLOBAL_DATA[Impl_Yes],1)</f>
        <v>#REF!</v>
      </c>
      <c r="BR7" s="73" t="e">
        <f>COUNTIFS(#REF!,CALCULATION[[#This Row],[PACKFORMULA]],GLOBAL_DATA[Impl_Date],"&gt;31/12/2020",GLOBAL_DATA[Impl_Date],"&lt;01/01/2022")</f>
        <v>#REF!</v>
      </c>
      <c r="BS7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7" s="73" t="e">
        <f>COUNTIFS(#REF!,CALCULATION[[#This Row],[PACKFORMULA]],GLOBAL_DATA[Impl_Date],"&gt;31/12/2021",GLOBAL_DATA[Impl_Date],"&lt;01/01/2023",GLOBAL_DATA[Impl_Yes],1)</f>
        <v>#REF!</v>
      </c>
      <c r="BU7" s="73" t="e">
        <f>COUNTIFS(#REF!,CALCULATION[[#This Row],[PACKFORMULA]],GLOBAL_DATA[Impl_Date],"&gt;31/12/2021",GLOBAL_DATA[Impl_Date],"&lt;01/01/2023")</f>
        <v>#REF!</v>
      </c>
      <c r="BV7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7" s="131" t="e">
        <f>COUNTIFS(#REF!,CALCULATION[[#This Row],[PACKFORMULA]],GLOBAL_DATA[Impl_Date],"&gt;31/12/2022",GLOBAL_DATA[Impl_Date],"&lt;01/01/2024",GLOBAL_DATA[Impl_Yes],1)</f>
        <v>#REF!</v>
      </c>
      <c r="BX7" s="131" t="e">
        <f>COUNTIFS(#REF!,CALCULATION[[#This Row],[PACKFORMULA]],GLOBAL_DATA[Impl_Date],"&gt;31/12/2022")</f>
        <v>#REF!</v>
      </c>
      <c r="BY7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7" s="103">
        <f>CALCULATION[[#This Row],[% 2020 COMMITTED]]+CALCULATION[[#This Row],[% 2021 COMMITTED]]+CALCULATION[[#This Row],[% 2022 COMMITTED]]+CALCULATION[[#This Row],[% 2023 COMMITTED]]</f>
        <v>0</v>
      </c>
      <c r="CA7" s="111">
        <f>CALCULATION[[#This Row],[CURRENT IMPLEMENTATION]]</f>
        <v>0</v>
      </c>
      <c r="CB7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8" spans="1:82" x14ac:dyDescent="0.25">
      <c r="A8" s="76" t="s">
        <v>7</v>
      </c>
      <c r="B8" s="76" t="s">
        <v>7</v>
      </c>
      <c r="C8" s="113">
        <v>1</v>
      </c>
      <c r="D8" s="130">
        <v>0.05</v>
      </c>
      <c r="E8" s="76" t="e">
        <f>COUNTIFS(#REF!,CALCULATION[[#This Row],[PACKFORMULA]],#REF!,"P0",GLOBAL_DATA[Status],Status_No_Project)</f>
        <v>#REF!</v>
      </c>
      <c r="F8" s="76" t="e">
        <f>COUNTIFS(#REF!,CALCULATION[[#This Row],[PACKFORMULA]],#REF!,"P1",GLOBAL_DATA[Status],Status_No_Project)</f>
        <v>#REF!</v>
      </c>
      <c r="G8" s="76" t="e">
        <f>COUNTIFS(#REF!,CALCULATION[[#This Row],[PACKFORMULA]],#REF!,"&gt;=P2",GLOBAL_DATA[Status],Status_No_Project)</f>
        <v>#REF!</v>
      </c>
      <c r="H8" s="76" t="e">
        <f>COUNTIFS(#REF!,CALCULATION[[#This Row],[PACKFORMULA]],GLOBAL_DATA[Status],CALCULATION[[#Headers],[NO PROJECT]])</f>
        <v>#REF!</v>
      </c>
      <c r="I8" s="76" t="e">
        <f>COUNTIFS(#REF!,CALCULATION[[#This Row],[PACKFORMULA]],#REF!,"P0",GLOBAL_DATA[Status],DATA!$J$4)</f>
        <v>#REF!</v>
      </c>
      <c r="J8" s="76" t="e">
        <f>COUNTIFS(#REF!,CALCULATION[[#This Row],[PACKFORMULA]],#REF!,"P1",GLOBAL_DATA[Status],DATA!$J$4)</f>
        <v>#REF!</v>
      </c>
      <c r="K8" s="76" t="e">
        <f>COUNTIFS(#REF!,CALCULATION[[#This Row],[PACKFORMULA]],#REF!,"&gt;=P2",GLOBAL_DATA[Status],DATA!$J$4)</f>
        <v>#REF!</v>
      </c>
      <c r="L8" s="76" t="e">
        <f>COUNTIFS(#REF!,CALCULATION[[#This Row],[PACKFORMULA]],GLOBAL_DATA[Status],CALCULATION[[#Headers],[TO BE STARTED]])</f>
        <v>#REF!</v>
      </c>
      <c r="M8" s="76" t="e">
        <f>COUNTIFS(#REF!,CALCULATION[[#This Row],[PACKFORMULA]],#REF!,"P0",GLOBAL_DATA[Status],DATA!$J$5)</f>
        <v>#REF!</v>
      </c>
      <c r="N8" s="76" t="e">
        <f>COUNTIFS(#REF!,CALCULATION[[#This Row],[PACKFORMULA]],#REF!,"P1",GLOBAL_DATA[Status],DATA!$J$5)</f>
        <v>#REF!</v>
      </c>
      <c r="O8" s="76" t="e">
        <f>COUNTIFS(#REF!,CALCULATION[[#This Row],[PACKFORMULA]],#REF!,"&gt;=P2",GLOBAL_DATA[Status],DATA!$J$5)</f>
        <v>#REF!</v>
      </c>
      <c r="P8" s="76" t="e">
        <f>COUNTIFS(#REF!,CALCULATION[[#This Row],[PACKFORMULA]],GLOBAL_DATA[Status],CALCULATION[[#Headers],[IN PROGRESS]])</f>
        <v>#REF!</v>
      </c>
      <c r="Q8" s="76" t="e">
        <f>COUNTIFS(#REF!,CALCULATION[[#This Row],[PACKFORMULA]],#REF!,"P0",GLOBAL_DATA[Status],DATA!$J$6)</f>
        <v>#REF!</v>
      </c>
      <c r="R8" s="76" t="e">
        <f>COUNTIFS(#REF!,CALCULATION[[#This Row],[PACKFORMULA]],#REF!,"P1",GLOBAL_DATA[Status],DATA!$J$6)</f>
        <v>#REF!</v>
      </c>
      <c r="S8" s="76" t="e">
        <f>COUNTIFS(#REF!,CALCULATION[[#This Row],[PACKFORMULA]],#REF!,"&gt;=P2",GLOBAL_DATA[Status],DATA!$J$6)</f>
        <v>#REF!</v>
      </c>
      <c r="T8" s="76" t="e">
        <f>COUNTIFS(#REF!,CALCULATION[[#This Row],[PACKFORMULA]],GLOBAL_DATA[Status],CALCULATION[[#Headers],[DONE]])</f>
        <v>#REF!</v>
      </c>
      <c r="U8" s="76" t="e">
        <f>COUNTIFS(#REF!,CALCULATION[[#This Row],[PACKFORMULA]],#REF!,"P0",GLOBAL_DATA[Status],DATA!$J$7)</f>
        <v>#REF!</v>
      </c>
      <c r="V8" s="76" t="e">
        <f>COUNTIFS(#REF!,CALCULATION[[#This Row],[PACKFORMULA]],#REF!,"P1",GLOBAL_DATA[Status],DATA!$J$7)</f>
        <v>#REF!</v>
      </c>
      <c r="W8" s="76" t="e">
        <f>COUNTIFS(#REF!,CALCULATION[[#This Row],[PACKFORMULA]],#REF!,"&gt;=P2",GLOBAL_DATA[Status],DATA!$J$7)</f>
        <v>#REF!</v>
      </c>
      <c r="X8" s="76" t="e">
        <f>COUNTIFS(#REF!,CALCULATION[[#This Row],[PACKFORMULA]],GLOBAL_DATA[Status],CALCULATION[[#Headers],[CHECKED CISO]])</f>
        <v>#REF!</v>
      </c>
      <c r="Y8" s="76" t="e">
        <f>COUNTIFS(#REF!,CALCULATION[[#This Row],[PACKFORMULA]],#REF!,"P0",GLOBAL_DATA[Status],DATA!$J$8)</f>
        <v>#REF!</v>
      </c>
      <c r="Z8" s="76" t="e">
        <f>COUNTIFS(#REF!,CALCULATION[[#This Row],[PACKFORMULA]],#REF!,"P1",GLOBAL_DATA[Status],DATA!$J$8)</f>
        <v>#REF!</v>
      </c>
      <c r="AA8" s="76" t="e">
        <f>COUNTIFS(#REF!,CALCULATION[[#This Row],[PACKFORMULA]],#REF!,"&gt;=P2",GLOBAL_DATA[Status],DATA!$J$8)</f>
        <v>#REF!</v>
      </c>
      <c r="AB8" s="76" t="e">
        <f>COUNTIFS(#REF!,CALCULATION[[#This Row],[PACKFORMULA]],GLOBAL_DATA[Status],CALCULATION[[#Headers],[VERIFIED]])</f>
        <v>#REF!</v>
      </c>
      <c r="AC8" s="76" t="e">
        <f>COUNTIFS(#REF!,CALCULATION[[#This Row],[PACKFORMULA]],#REF!,"P0",GLOBAL_DATA[Status],"&lt;&gt;"&amp;Status_No_Project)</f>
        <v>#REF!</v>
      </c>
      <c r="AD8" s="76" t="e">
        <f>COUNTIFS(#REF!,CALCULATION[[#This Row],[PACKFORMULA]],#REF!,"P1",GLOBAL_DATA[Status],"&lt;&gt;"&amp;Status_No_Project)</f>
        <v>#REF!</v>
      </c>
      <c r="AE8" s="76" t="e">
        <f>COUNTIFS(#REF!,CALCULATION[[#This Row],[PACKFORMULA]],#REF!,"&gt;=P2",GLOBAL_DATA[Status],"&lt;&gt;"&amp;Status_No_Project)</f>
        <v>#REF!</v>
      </c>
      <c r="AF8" s="79" t="e">
        <f>COUNTIFS(#REF!,CALCULATION[[#This Row],[PACKFORMULA]],GLOBAL_DATA[Status],"&lt;&gt;"&amp;Status_No_Project)</f>
        <v>#REF!</v>
      </c>
      <c r="AG8" s="96" t="e">
        <f>COUNTIFS(#REF!,CALCULATION[[#This Row],[PACKFORMULA]],#REF!,"P0",GLOBAL_DATA[Target status],DATA!$J$12)</f>
        <v>#REF!</v>
      </c>
      <c r="AH8" s="96" t="e">
        <f>COUNTIFS(#REF!,CALCULATION[[#This Row],[PACKFORMULA]],#REF!,"P1",GLOBAL_DATA[Target status],DATA!$J$12)</f>
        <v>#REF!</v>
      </c>
      <c r="AI8" s="96" t="e">
        <f>COUNTIFS(#REF!,CALCULATION[[#This Row],[PACKFORMULA]],#REF!,"&gt;P1",GLOBAL_DATA[Target status],DATA!$J$12)</f>
        <v>#REF!</v>
      </c>
      <c r="AJ8" s="76" t="e">
        <f>COUNTIFS(#REF!,CALCULATION[[#This Row],[PACKFORMULA]],GLOBAL_DATA[Target status],DATA!$J$12)</f>
        <v>#REF!</v>
      </c>
      <c r="AK8" s="76" t="e">
        <f>COUNTIFS(#REF!,CALCULATION[[#This Row],[PACKFORMULA]],GLOBAL_DATA[Target status],DATA!$J$13,#REF!,"P0")</f>
        <v>#REF!</v>
      </c>
      <c r="AL8" s="76" t="e">
        <f>COUNTIFS(#REF!,CALCULATION[[#This Row],[PACKFORMULA]],GLOBAL_DATA[Target status],DATA!$J$13,#REF!,"P1")</f>
        <v>#REF!</v>
      </c>
      <c r="AM8" s="76" t="e">
        <f>COUNTIFS(#REF!,CALCULATION[[#This Row],[PACKFORMULA]],GLOBAL_DATA[Target status],DATA!$J$13,#REF!,"&gt;P1")</f>
        <v>#REF!</v>
      </c>
      <c r="AN8" s="73" t="e">
        <f>COUNTIFS(#REF!,CALCULATION[[#This Row],[PACKFORMULA]],GLOBAL_DATA[Target status],CALCULATION[[#Headers],[PARTIAL IMPLEMENTATION + RA]])</f>
        <v>#REF!</v>
      </c>
      <c r="AO8" s="102">
        <f>1-CALCULATION[[#This Row],[IN SCOPE %]]</f>
        <v>1</v>
      </c>
      <c r="AP8" s="73" t="e">
        <f>COUNTIFS(#REF!,CALCULATION[[#This Row],[PACKFORMULA]],GLOBAL_DATA[Target status],CALCULATION[[#Headers],[FULL IMPLEMENTATION]])</f>
        <v>#REF!</v>
      </c>
      <c r="AQ8" s="73" t="e">
        <f>COUNTIFS(#REF!,CALCULATION[[#This Row],[PACKFORMULA]],GLOBAL_DATA[Target status],CALCULATION[[#Headers],[NOT APPLICABLE]])</f>
        <v>#REF!</v>
      </c>
      <c r="AR8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8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8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8" s="80" t="e">
        <f>CALCULATION[[#This Row],[PARTIAL IMPLEMENTATION + RA]]+CALCULATION[[#This Row],[FULL IMPLEMENTATION]]</f>
        <v>#REF!</v>
      </c>
      <c r="AV8" s="115" t="e">
        <f>CALCULATION[[#This Row],[IN PROGRESS]]+CALCULATION[[#This Row],[TO BE STARTED]]</f>
        <v>#REF!</v>
      </c>
      <c r="AW8" s="73" t="e">
        <f>COUNTIFS(#REF!,CALCULATION[[#This Row],[PACKFORMULA]],#REF!,"P0",GLOBAL_DATA[Impl_Yes],1)</f>
        <v>#REF!</v>
      </c>
      <c r="AX8" s="73" t="e">
        <f>COUNTIFS(#REF!,CALCULATION[[#This Row],[PACKFORMULA]],#REF!,"P1",GLOBAL_DATA[Impl_Yes],1)</f>
        <v>#REF!</v>
      </c>
      <c r="AY8" s="73" t="e">
        <f>COUNTIFS(#REF!,CALCULATION[[#This Row],[PACKFORMULA]],#REF!,"&gt;P1",GLOBAL_DATA[Impl_Yes],1)</f>
        <v>#REF!</v>
      </c>
      <c r="AZ8" s="73" t="e">
        <f>COUNTIFS(#REF!,CALCULATION[[#This Row],[PACKFORMULA]],GLOBAL_DATA[Impl_Yes],1)</f>
        <v>#REF!</v>
      </c>
      <c r="BA8" s="118">
        <f>IFERROR(CALCULATION[[#This Row],[COMPLETED]]/CALCULATION[[#This Row],[IN SCOPE]],0)</f>
        <v>0</v>
      </c>
      <c r="BB8" s="136" t="e">
        <f>COUNTIFS(#REF!,CALCULATION[[#This Row],[PACKFORMULA]],GLOBAL_DATA[Target status],"&lt;&gt;"&amp;DATA!$J$15)</f>
        <v>#REF!</v>
      </c>
      <c r="BC8" s="166">
        <f>IFERROR(ROUND(SUMIFS(GLOBAL_DATA[Target scope],#REF!,CALCULATION[[#This Row],[PACKFORMULA]],GLOBAL_DATA[Target status],"&lt;&gt;"&amp;DATA!$J$15)/CALCULATION[[#This Row],[IN SCOPE]],4),0)</f>
        <v>0</v>
      </c>
      <c r="BD8" s="104">
        <f>IFERROR(ROUND(CALCULATION[[#This Row],[RISK ACCEPTED (FULL MEASURE)]]/CALCULATION[[#This Row],[IN SCOPE]],4),0)</f>
        <v>0</v>
      </c>
      <c r="BE8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8" s="74" t="e">
        <f>COUNTIFS(#REF!,CALCULATION[[#This Row],[PACKFORMULA]],GLOBAL_DATA[CISO assessment],"&lt;&gt;"&amp;DATA!$A$15)-COUNTIFS(#REF!,CALCULATION[[#This Row],[PACKFORMULA]],GLOBAL_DATA[CISO assessment],"")</f>
        <v>#REF!</v>
      </c>
      <c r="BG8" s="116" t="e">
        <f>COUNTIFS(#REF!,CALCULATION[[#This Row],[PACKFORMULA]],GLOBAL_DATA[CISO assessment],DATA!$A$15)+COUNTIFS(#REF!,CALCULATION[[#This Row],[PACKFORMULA]],GLOBAL_DATA[CISO assessment],"")</f>
        <v>#REF!</v>
      </c>
      <c r="BH8" s="134">
        <f>IFERROR(ROUND(SUMIF(#REF!,CALCULATION[[#This Row],[PACKFORMULA]],GLOBAL_DATA[Target scope])/CALCULATION[[#This Row],[IN SCOPE]],4),0)</f>
        <v>0</v>
      </c>
      <c r="BI8" s="105">
        <f>IFERROR(ROUND(SUMIFS(GLOBAL_DATA[Global Progress rate],#REF!,CALCULATION[[#This Row],[PACKFORMULA]],GLOBAL_DATA[Status],DATA!$J$6)/CALCULATION[[#This Row],[IN SCOPE]],4),0)</f>
        <v>0</v>
      </c>
      <c r="BJ8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8" s="105">
        <f>CALCULATION[[#This Row],[CURRENT IMPL DONE ]]+CALCULATION[[#This Row],[CURRENT IMPL CHECKED CISO &amp; VERIFIED]]</f>
        <v>0</v>
      </c>
      <c r="BL8" s="105">
        <f>CALCULATION[[#This Row],[CURRENT IMPLEMENTATION]]-CALCULATION[[#This Row],[CURRENT IMPL DONE ]]-CALCULATION[[#This Row],[CURRENT IMPL CHECKED CISO &amp; VERIFIED]]</f>
        <v>0</v>
      </c>
      <c r="BM8" s="105">
        <f>IFERROR(ROUND(SUMIF(#REF!,CALCULATION[[#This Row],[PACKFORMULA]],GLOBAL_DATA[Global Progress rate])/CALCULATION[[#This Row],[IN SCOPE]],4),0)</f>
        <v>0</v>
      </c>
      <c r="BN8" s="75" t="e">
        <f>COUNTIFS(#REF!,CALCULATION[[#This Row],[PACKFORMULA]],GLOBAL_DATA[Impl_Date],"&gt;31/12/2019",GLOBAL_DATA[Impl_Date],"&lt;01/01/2021",GLOBAL_DATA[Impl_Yes],1)</f>
        <v>#REF!</v>
      </c>
      <c r="BO8" s="74" t="e">
        <f>COUNTIFS(#REF!,CALCULATION[[#This Row],[PACKFORMULA]],GLOBAL_DATA[Impl_Date],"&gt;31/12/2019",GLOBAL_DATA[Impl_Date],"&lt;01/01/2021")</f>
        <v>#REF!</v>
      </c>
      <c r="BP8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8" s="73" t="e">
        <f>COUNTIFS(#REF!,CALCULATION[[#This Row],[PACKFORMULA]],GLOBAL_DATA[Impl_Date],"&gt;31/12/2020",GLOBAL_DATA[Impl_Date],"&lt;01/01/2022",GLOBAL_DATA[Impl_Yes],1)</f>
        <v>#REF!</v>
      </c>
      <c r="BR8" s="73" t="e">
        <f>COUNTIFS(#REF!,CALCULATION[[#This Row],[PACKFORMULA]],GLOBAL_DATA[Impl_Date],"&gt;31/12/2020",GLOBAL_DATA[Impl_Date],"&lt;01/01/2022")</f>
        <v>#REF!</v>
      </c>
      <c r="BS8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8" s="73" t="e">
        <f>COUNTIFS(#REF!,CALCULATION[[#This Row],[PACKFORMULA]],GLOBAL_DATA[Impl_Date],"&gt;31/12/2021",GLOBAL_DATA[Impl_Date],"&lt;01/01/2023",GLOBAL_DATA[Impl_Yes],1)</f>
        <v>#REF!</v>
      </c>
      <c r="BU8" s="73" t="e">
        <f>COUNTIFS(#REF!,CALCULATION[[#This Row],[PACKFORMULA]],GLOBAL_DATA[Impl_Date],"&gt;31/12/2021",GLOBAL_DATA[Impl_Date],"&lt;01/01/2023")</f>
        <v>#REF!</v>
      </c>
      <c r="BV8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8" s="131" t="e">
        <f>COUNTIFS(#REF!,CALCULATION[[#This Row],[PACKFORMULA]],GLOBAL_DATA[Impl_Date],"&gt;31/12/2022",GLOBAL_DATA[Impl_Date],"&lt;01/01/2024",GLOBAL_DATA[Impl_Yes],1)</f>
        <v>#REF!</v>
      </c>
      <c r="BX8" s="131" t="e">
        <f>COUNTIFS(#REF!,CALCULATION[[#This Row],[PACKFORMULA]],GLOBAL_DATA[Impl_Date],"&gt;31/12/2022")</f>
        <v>#REF!</v>
      </c>
      <c r="BY8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8" s="103">
        <f>CALCULATION[[#This Row],[% 2020 COMMITTED]]+CALCULATION[[#This Row],[% 2021 COMMITTED]]+CALCULATION[[#This Row],[% 2022 COMMITTED]]+CALCULATION[[#This Row],[% 2023 COMMITTED]]</f>
        <v>0</v>
      </c>
      <c r="CA8" s="111">
        <f>CALCULATION[[#This Row],[CURRENT IMPLEMENTATION]]</f>
        <v>0</v>
      </c>
      <c r="CB8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9" spans="1:82" x14ac:dyDescent="0.25">
      <c r="A9" s="76" t="s">
        <v>8</v>
      </c>
      <c r="B9" s="76" t="s">
        <v>8</v>
      </c>
      <c r="C9" s="113">
        <v>1</v>
      </c>
      <c r="D9" s="130">
        <v>0.05</v>
      </c>
      <c r="E9" s="76" t="e">
        <f>COUNTIFS(#REF!,CALCULATION[[#This Row],[PACKFORMULA]],#REF!,"P0",GLOBAL_DATA[Status],Status_No_Project)</f>
        <v>#REF!</v>
      </c>
      <c r="F9" s="76" t="e">
        <f>COUNTIFS(#REF!,CALCULATION[[#This Row],[PACKFORMULA]],#REF!,"P1",GLOBAL_DATA[Status],Status_No_Project)</f>
        <v>#REF!</v>
      </c>
      <c r="G9" s="76" t="e">
        <f>COUNTIFS(#REF!,CALCULATION[[#This Row],[PACKFORMULA]],#REF!,"&gt;=P2",GLOBAL_DATA[Status],Status_No_Project)</f>
        <v>#REF!</v>
      </c>
      <c r="H9" s="76" t="e">
        <f>COUNTIFS(#REF!,CALCULATION[[#This Row],[PACKFORMULA]],GLOBAL_DATA[Status],CALCULATION[[#Headers],[NO PROJECT]])</f>
        <v>#REF!</v>
      </c>
      <c r="I9" s="76" t="e">
        <f>COUNTIFS(#REF!,CALCULATION[[#This Row],[PACKFORMULA]],#REF!,"P0",GLOBAL_DATA[Status],DATA!$J$4)</f>
        <v>#REF!</v>
      </c>
      <c r="J9" s="76" t="e">
        <f>COUNTIFS(#REF!,CALCULATION[[#This Row],[PACKFORMULA]],#REF!,"P1",GLOBAL_DATA[Status],DATA!$J$4)</f>
        <v>#REF!</v>
      </c>
      <c r="K9" s="76" t="e">
        <f>COUNTIFS(#REF!,CALCULATION[[#This Row],[PACKFORMULA]],#REF!,"&gt;=P2",GLOBAL_DATA[Status],DATA!$J$4)</f>
        <v>#REF!</v>
      </c>
      <c r="L9" s="76" t="e">
        <f>COUNTIFS(#REF!,CALCULATION[[#This Row],[PACKFORMULA]],GLOBAL_DATA[Status],CALCULATION[[#Headers],[TO BE STARTED]])</f>
        <v>#REF!</v>
      </c>
      <c r="M9" s="76" t="e">
        <f>COUNTIFS(#REF!,CALCULATION[[#This Row],[PACKFORMULA]],#REF!,"P0",GLOBAL_DATA[Status],DATA!$J$5)</f>
        <v>#REF!</v>
      </c>
      <c r="N9" s="76" t="e">
        <f>COUNTIFS(#REF!,CALCULATION[[#This Row],[PACKFORMULA]],#REF!,"P1",GLOBAL_DATA[Status],DATA!$J$5)</f>
        <v>#REF!</v>
      </c>
      <c r="O9" s="76" t="e">
        <f>COUNTIFS(#REF!,CALCULATION[[#This Row],[PACKFORMULA]],#REF!,"&gt;=P2",GLOBAL_DATA[Status],DATA!$J$5)</f>
        <v>#REF!</v>
      </c>
      <c r="P9" s="76" t="e">
        <f>COUNTIFS(#REF!,CALCULATION[[#This Row],[PACKFORMULA]],GLOBAL_DATA[Status],CALCULATION[[#Headers],[IN PROGRESS]])</f>
        <v>#REF!</v>
      </c>
      <c r="Q9" s="76" t="e">
        <f>COUNTIFS(#REF!,CALCULATION[[#This Row],[PACKFORMULA]],#REF!,"P0",GLOBAL_DATA[Status],DATA!$J$6)</f>
        <v>#REF!</v>
      </c>
      <c r="R9" s="76" t="e">
        <f>COUNTIFS(#REF!,CALCULATION[[#This Row],[PACKFORMULA]],#REF!,"P1",GLOBAL_DATA[Status],DATA!$J$6)</f>
        <v>#REF!</v>
      </c>
      <c r="S9" s="76" t="e">
        <f>COUNTIFS(#REF!,CALCULATION[[#This Row],[PACKFORMULA]],#REF!,"&gt;=P2",GLOBAL_DATA[Status],DATA!$J$6)</f>
        <v>#REF!</v>
      </c>
      <c r="T9" s="76" t="e">
        <f>COUNTIFS(#REF!,CALCULATION[[#This Row],[PACKFORMULA]],GLOBAL_DATA[Status],CALCULATION[[#Headers],[DONE]])</f>
        <v>#REF!</v>
      </c>
      <c r="U9" s="76" t="e">
        <f>COUNTIFS(#REF!,CALCULATION[[#This Row],[PACKFORMULA]],#REF!,"P0",GLOBAL_DATA[Status],DATA!$J$7)</f>
        <v>#REF!</v>
      </c>
      <c r="V9" s="76" t="e">
        <f>COUNTIFS(#REF!,CALCULATION[[#This Row],[PACKFORMULA]],#REF!,"P1",GLOBAL_DATA[Status],DATA!$J$7)</f>
        <v>#REF!</v>
      </c>
      <c r="W9" s="76" t="e">
        <f>COUNTIFS(#REF!,CALCULATION[[#This Row],[PACKFORMULA]],#REF!,"&gt;=P2",GLOBAL_DATA[Status],DATA!$J$7)</f>
        <v>#REF!</v>
      </c>
      <c r="X9" s="76" t="e">
        <f>COUNTIFS(#REF!,CALCULATION[[#This Row],[PACKFORMULA]],GLOBAL_DATA[Status],CALCULATION[[#Headers],[CHECKED CISO]])</f>
        <v>#REF!</v>
      </c>
      <c r="Y9" s="76" t="e">
        <f>COUNTIFS(#REF!,CALCULATION[[#This Row],[PACKFORMULA]],#REF!,"P0",GLOBAL_DATA[Status],DATA!$J$8)</f>
        <v>#REF!</v>
      </c>
      <c r="Z9" s="76" t="e">
        <f>COUNTIFS(#REF!,CALCULATION[[#This Row],[PACKFORMULA]],#REF!,"P1",GLOBAL_DATA[Status],DATA!$J$8)</f>
        <v>#REF!</v>
      </c>
      <c r="AA9" s="76" t="e">
        <f>COUNTIFS(#REF!,CALCULATION[[#This Row],[PACKFORMULA]],#REF!,"&gt;=P2",GLOBAL_DATA[Status],DATA!$J$8)</f>
        <v>#REF!</v>
      </c>
      <c r="AB9" s="76" t="e">
        <f>COUNTIFS(#REF!,CALCULATION[[#This Row],[PACKFORMULA]],GLOBAL_DATA[Status],CALCULATION[[#Headers],[VERIFIED]])</f>
        <v>#REF!</v>
      </c>
      <c r="AC9" s="76" t="e">
        <f>COUNTIFS(#REF!,CALCULATION[[#This Row],[PACKFORMULA]],#REF!,"P0",GLOBAL_DATA[Status],"&lt;&gt;"&amp;Status_No_Project)</f>
        <v>#REF!</v>
      </c>
      <c r="AD9" s="76" t="e">
        <f>COUNTIFS(#REF!,CALCULATION[[#This Row],[PACKFORMULA]],#REF!,"P1",GLOBAL_DATA[Status],"&lt;&gt;"&amp;Status_No_Project)</f>
        <v>#REF!</v>
      </c>
      <c r="AE9" s="76" t="e">
        <f>COUNTIFS(#REF!,CALCULATION[[#This Row],[PACKFORMULA]],#REF!,"&gt;=P2",GLOBAL_DATA[Status],"&lt;&gt;"&amp;Status_No_Project)</f>
        <v>#REF!</v>
      </c>
      <c r="AF9" s="79" t="e">
        <f>COUNTIFS(#REF!,CALCULATION[[#This Row],[PACKFORMULA]],GLOBAL_DATA[Status],"&lt;&gt;"&amp;Status_No_Project)</f>
        <v>#REF!</v>
      </c>
      <c r="AG9" s="96" t="e">
        <f>COUNTIFS(#REF!,CALCULATION[[#This Row],[PACKFORMULA]],#REF!,"P0",GLOBAL_DATA[Target status],DATA!$J$12)</f>
        <v>#REF!</v>
      </c>
      <c r="AH9" s="96" t="e">
        <f>COUNTIFS(#REF!,CALCULATION[[#This Row],[PACKFORMULA]],#REF!,"P1",GLOBAL_DATA[Target status],DATA!$J$12)</f>
        <v>#REF!</v>
      </c>
      <c r="AI9" s="96" t="e">
        <f>COUNTIFS(#REF!,CALCULATION[[#This Row],[PACKFORMULA]],#REF!,"&gt;P1",GLOBAL_DATA[Target status],DATA!$J$12)</f>
        <v>#REF!</v>
      </c>
      <c r="AJ9" s="76" t="e">
        <f>COUNTIFS(#REF!,CALCULATION[[#This Row],[PACKFORMULA]],GLOBAL_DATA[Target status],DATA!$J$12)</f>
        <v>#REF!</v>
      </c>
      <c r="AK9" s="76" t="e">
        <f>COUNTIFS(#REF!,CALCULATION[[#This Row],[PACKFORMULA]],GLOBAL_DATA[Target status],DATA!$J$13,#REF!,"P0")</f>
        <v>#REF!</v>
      </c>
      <c r="AL9" s="76" t="e">
        <f>COUNTIFS(#REF!,CALCULATION[[#This Row],[PACKFORMULA]],GLOBAL_DATA[Target status],DATA!$J$13,#REF!,"P1")</f>
        <v>#REF!</v>
      </c>
      <c r="AM9" s="76" t="e">
        <f>COUNTIFS(#REF!,CALCULATION[[#This Row],[PACKFORMULA]],GLOBAL_DATA[Target status],DATA!$J$13,#REF!,"&gt;P1")</f>
        <v>#REF!</v>
      </c>
      <c r="AN9" s="73" t="e">
        <f>COUNTIFS(#REF!,CALCULATION[[#This Row],[PACKFORMULA]],GLOBAL_DATA[Target status],CALCULATION[[#Headers],[PARTIAL IMPLEMENTATION + RA]])</f>
        <v>#REF!</v>
      </c>
      <c r="AO9" s="102">
        <f>1-CALCULATION[[#This Row],[IN SCOPE %]]</f>
        <v>1</v>
      </c>
      <c r="AP9" s="73" t="e">
        <f>COUNTIFS(#REF!,CALCULATION[[#This Row],[PACKFORMULA]],GLOBAL_DATA[Target status],CALCULATION[[#Headers],[FULL IMPLEMENTATION]])</f>
        <v>#REF!</v>
      </c>
      <c r="AQ9" s="73" t="e">
        <f>COUNTIFS(#REF!,CALCULATION[[#This Row],[PACKFORMULA]],GLOBAL_DATA[Target status],CALCULATION[[#Headers],[NOT APPLICABLE]])</f>
        <v>#REF!</v>
      </c>
      <c r="AR9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9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9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9" s="80" t="e">
        <f>CALCULATION[[#This Row],[PARTIAL IMPLEMENTATION + RA]]+CALCULATION[[#This Row],[FULL IMPLEMENTATION]]</f>
        <v>#REF!</v>
      </c>
      <c r="AV9" s="115" t="e">
        <f>CALCULATION[[#This Row],[IN PROGRESS]]+CALCULATION[[#This Row],[TO BE STARTED]]</f>
        <v>#REF!</v>
      </c>
      <c r="AW9" s="73" t="e">
        <f>COUNTIFS(#REF!,CALCULATION[[#This Row],[PACKFORMULA]],#REF!,"P0",GLOBAL_DATA[Impl_Yes],1)</f>
        <v>#REF!</v>
      </c>
      <c r="AX9" s="73" t="e">
        <f>COUNTIFS(#REF!,CALCULATION[[#This Row],[PACKFORMULA]],#REF!,"P1",GLOBAL_DATA[Impl_Yes],1)</f>
        <v>#REF!</v>
      </c>
      <c r="AY9" s="73" t="e">
        <f>COUNTIFS(#REF!,CALCULATION[[#This Row],[PACKFORMULA]],#REF!,"&gt;P1",GLOBAL_DATA[Impl_Yes],1)</f>
        <v>#REF!</v>
      </c>
      <c r="AZ9" s="73" t="e">
        <f>COUNTIFS(#REF!,CALCULATION[[#This Row],[PACKFORMULA]],GLOBAL_DATA[Impl_Yes],1)</f>
        <v>#REF!</v>
      </c>
      <c r="BA9" s="118">
        <f>IFERROR(CALCULATION[[#This Row],[COMPLETED]]/CALCULATION[[#This Row],[IN SCOPE]],0)</f>
        <v>0</v>
      </c>
      <c r="BB9" s="136" t="e">
        <f>COUNTIFS(#REF!,CALCULATION[[#This Row],[PACKFORMULA]],GLOBAL_DATA[Target status],"&lt;&gt;"&amp;DATA!$J$15)</f>
        <v>#REF!</v>
      </c>
      <c r="BC9" s="166">
        <f>IFERROR(ROUND(SUMIFS(GLOBAL_DATA[Target scope],#REF!,CALCULATION[[#This Row],[PACKFORMULA]],GLOBAL_DATA[Target status],"&lt;&gt;"&amp;DATA!$J$15)/CALCULATION[[#This Row],[IN SCOPE]],4),0)</f>
        <v>0</v>
      </c>
      <c r="BD9" s="104">
        <f>IFERROR(ROUND(CALCULATION[[#This Row],[RISK ACCEPTED (FULL MEASURE)]]/CALCULATION[[#This Row],[IN SCOPE]],4),0)</f>
        <v>0</v>
      </c>
      <c r="BE9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9" s="74" t="e">
        <f>COUNTIFS(#REF!,CALCULATION[[#This Row],[PACKFORMULA]],GLOBAL_DATA[CISO assessment],"&lt;&gt;"&amp;DATA!$A$15)-COUNTIFS(#REF!,CALCULATION[[#This Row],[PACKFORMULA]],GLOBAL_DATA[CISO assessment],"")</f>
        <v>#REF!</v>
      </c>
      <c r="BG9" s="116" t="e">
        <f>COUNTIFS(#REF!,CALCULATION[[#This Row],[PACKFORMULA]],GLOBAL_DATA[CISO assessment],DATA!$A$15)+COUNTIFS(#REF!,CALCULATION[[#This Row],[PACKFORMULA]],GLOBAL_DATA[CISO assessment],"")</f>
        <v>#REF!</v>
      </c>
      <c r="BH9" s="134">
        <f>IFERROR(ROUND(SUMIF(#REF!,CALCULATION[[#This Row],[PACKFORMULA]],GLOBAL_DATA[Target scope])/CALCULATION[[#This Row],[IN SCOPE]],4),0)</f>
        <v>0</v>
      </c>
      <c r="BI9" s="105">
        <f>IFERROR(ROUND(SUMIFS(GLOBAL_DATA[Global Progress rate],#REF!,CALCULATION[[#This Row],[PACKFORMULA]],GLOBAL_DATA[Status],DATA!$J$6)/CALCULATION[[#This Row],[IN SCOPE]],4),0)</f>
        <v>0</v>
      </c>
      <c r="BJ9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9" s="105">
        <f>CALCULATION[[#This Row],[CURRENT IMPL DONE ]]+CALCULATION[[#This Row],[CURRENT IMPL CHECKED CISO &amp; VERIFIED]]</f>
        <v>0</v>
      </c>
      <c r="BL9" s="105">
        <f>CALCULATION[[#This Row],[CURRENT IMPLEMENTATION]]-CALCULATION[[#This Row],[CURRENT IMPL DONE ]]-CALCULATION[[#This Row],[CURRENT IMPL CHECKED CISO &amp; VERIFIED]]</f>
        <v>0</v>
      </c>
      <c r="BM9" s="105">
        <f>IFERROR(ROUND(SUMIF(#REF!,CALCULATION[[#This Row],[PACKFORMULA]],GLOBAL_DATA[Global Progress rate])/CALCULATION[[#This Row],[IN SCOPE]],4),0)</f>
        <v>0</v>
      </c>
      <c r="BN9" s="75" t="e">
        <f>COUNTIFS(#REF!,CALCULATION[[#This Row],[PACKFORMULA]],GLOBAL_DATA[Impl_Date],"&gt;31/12/2019",GLOBAL_DATA[Impl_Date],"&lt;01/01/2021",GLOBAL_DATA[Impl_Yes],1)</f>
        <v>#REF!</v>
      </c>
      <c r="BO9" s="74" t="e">
        <f>COUNTIFS(#REF!,CALCULATION[[#This Row],[PACKFORMULA]],GLOBAL_DATA[Impl_Date],"&gt;31/12/2019",GLOBAL_DATA[Impl_Date],"&lt;01/01/2021")</f>
        <v>#REF!</v>
      </c>
      <c r="BP9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9" s="73" t="e">
        <f>COUNTIFS(#REF!,CALCULATION[[#This Row],[PACKFORMULA]],GLOBAL_DATA[Impl_Date],"&gt;31/12/2020",GLOBAL_DATA[Impl_Date],"&lt;01/01/2022",GLOBAL_DATA[Impl_Yes],1)</f>
        <v>#REF!</v>
      </c>
      <c r="BR9" s="73" t="e">
        <f>COUNTIFS(#REF!,CALCULATION[[#This Row],[PACKFORMULA]],GLOBAL_DATA[Impl_Date],"&gt;31/12/2020",GLOBAL_DATA[Impl_Date],"&lt;01/01/2022")</f>
        <v>#REF!</v>
      </c>
      <c r="BS9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9" s="73" t="e">
        <f>COUNTIFS(#REF!,CALCULATION[[#This Row],[PACKFORMULA]],GLOBAL_DATA[Impl_Date],"&gt;31/12/2021",GLOBAL_DATA[Impl_Date],"&lt;01/01/2023",GLOBAL_DATA[Impl_Yes],1)</f>
        <v>#REF!</v>
      </c>
      <c r="BU9" s="73" t="e">
        <f>COUNTIFS(#REF!,CALCULATION[[#This Row],[PACKFORMULA]],GLOBAL_DATA[Impl_Date],"&gt;31/12/2021",GLOBAL_DATA[Impl_Date],"&lt;01/01/2023")</f>
        <v>#REF!</v>
      </c>
      <c r="BV9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9" s="131" t="e">
        <f>COUNTIFS(#REF!,CALCULATION[[#This Row],[PACKFORMULA]],GLOBAL_DATA[Impl_Date],"&gt;31/12/2022",GLOBAL_DATA[Impl_Date],"&lt;01/01/2024",GLOBAL_DATA[Impl_Yes],1)</f>
        <v>#REF!</v>
      </c>
      <c r="BX9" s="131" t="e">
        <f>COUNTIFS(#REF!,CALCULATION[[#This Row],[PACKFORMULA]],GLOBAL_DATA[Impl_Date],"&gt;31/12/2022")</f>
        <v>#REF!</v>
      </c>
      <c r="BY9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9" s="103">
        <f>CALCULATION[[#This Row],[% 2020 COMMITTED]]+CALCULATION[[#This Row],[% 2021 COMMITTED]]+CALCULATION[[#This Row],[% 2022 COMMITTED]]+CALCULATION[[#This Row],[% 2023 COMMITTED]]</f>
        <v>0</v>
      </c>
      <c r="CA9" s="111">
        <f>CALCULATION[[#This Row],[CURRENT IMPLEMENTATION]]</f>
        <v>0</v>
      </c>
      <c r="CB9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0" spans="1:82" x14ac:dyDescent="0.25">
      <c r="A10" s="76" t="s">
        <v>9</v>
      </c>
      <c r="B10" s="76" t="s">
        <v>9</v>
      </c>
      <c r="C10" s="113">
        <v>1</v>
      </c>
      <c r="D10" s="130">
        <v>0.05</v>
      </c>
      <c r="E10" s="76" t="e">
        <f>COUNTIFS(#REF!,CALCULATION[[#This Row],[PACKFORMULA]],#REF!,"P0",GLOBAL_DATA[Status],Status_No_Project)</f>
        <v>#REF!</v>
      </c>
      <c r="F10" s="76" t="e">
        <f>COUNTIFS(#REF!,CALCULATION[[#This Row],[PACKFORMULA]],#REF!,"P1",GLOBAL_DATA[Status],Status_No_Project)</f>
        <v>#REF!</v>
      </c>
      <c r="G10" s="76" t="e">
        <f>COUNTIFS(#REF!,CALCULATION[[#This Row],[PACKFORMULA]],#REF!,"&gt;=P2",GLOBAL_DATA[Status],Status_No_Project)</f>
        <v>#REF!</v>
      </c>
      <c r="H10" s="76" t="e">
        <f>COUNTIFS(#REF!,CALCULATION[[#This Row],[PACKFORMULA]],GLOBAL_DATA[Status],CALCULATION[[#Headers],[NO PROJECT]])</f>
        <v>#REF!</v>
      </c>
      <c r="I10" s="76" t="e">
        <f>COUNTIFS(#REF!,CALCULATION[[#This Row],[PACKFORMULA]],#REF!,"P0",GLOBAL_DATA[Status],DATA!$J$4)</f>
        <v>#REF!</v>
      </c>
      <c r="J10" s="76" t="e">
        <f>COUNTIFS(#REF!,CALCULATION[[#This Row],[PACKFORMULA]],#REF!,"P1",GLOBAL_DATA[Status],DATA!$J$4)</f>
        <v>#REF!</v>
      </c>
      <c r="K10" s="76" t="e">
        <f>COUNTIFS(#REF!,CALCULATION[[#This Row],[PACKFORMULA]],#REF!,"&gt;=P2",GLOBAL_DATA[Status],DATA!$J$4)</f>
        <v>#REF!</v>
      </c>
      <c r="L10" s="76" t="e">
        <f>COUNTIFS(#REF!,CALCULATION[[#This Row],[PACKFORMULA]],GLOBAL_DATA[Status],CALCULATION[[#Headers],[TO BE STARTED]])</f>
        <v>#REF!</v>
      </c>
      <c r="M10" s="76" t="e">
        <f>COUNTIFS(#REF!,CALCULATION[[#This Row],[PACKFORMULA]],#REF!,"P0",GLOBAL_DATA[Status],DATA!$J$5)</f>
        <v>#REF!</v>
      </c>
      <c r="N10" s="76" t="e">
        <f>COUNTIFS(#REF!,CALCULATION[[#This Row],[PACKFORMULA]],#REF!,"P1",GLOBAL_DATA[Status],DATA!$J$5)</f>
        <v>#REF!</v>
      </c>
      <c r="O10" s="76" t="e">
        <f>COUNTIFS(#REF!,CALCULATION[[#This Row],[PACKFORMULA]],#REF!,"&gt;=P2",GLOBAL_DATA[Status],DATA!$J$5)</f>
        <v>#REF!</v>
      </c>
      <c r="P10" s="76" t="e">
        <f>COUNTIFS(#REF!,CALCULATION[[#This Row],[PACKFORMULA]],GLOBAL_DATA[Status],CALCULATION[[#Headers],[IN PROGRESS]])</f>
        <v>#REF!</v>
      </c>
      <c r="Q10" s="76" t="e">
        <f>COUNTIFS(#REF!,CALCULATION[[#This Row],[PACKFORMULA]],#REF!,"P0",GLOBAL_DATA[Status],DATA!$J$6)</f>
        <v>#REF!</v>
      </c>
      <c r="R10" s="76" t="e">
        <f>COUNTIFS(#REF!,CALCULATION[[#This Row],[PACKFORMULA]],#REF!,"P1",GLOBAL_DATA[Status],DATA!$J$6)</f>
        <v>#REF!</v>
      </c>
      <c r="S10" s="76" t="e">
        <f>COUNTIFS(#REF!,CALCULATION[[#This Row],[PACKFORMULA]],#REF!,"&gt;=P2",GLOBAL_DATA[Status],DATA!$J$6)</f>
        <v>#REF!</v>
      </c>
      <c r="T10" s="76" t="e">
        <f>COUNTIFS(#REF!,CALCULATION[[#This Row],[PACKFORMULA]],GLOBAL_DATA[Status],CALCULATION[[#Headers],[DONE]])</f>
        <v>#REF!</v>
      </c>
      <c r="U10" s="76" t="e">
        <f>COUNTIFS(#REF!,CALCULATION[[#This Row],[PACKFORMULA]],#REF!,"P0",GLOBAL_DATA[Status],DATA!$J$7)</f>
        <v>#REF!</v>
      </c>
      <c r="V10" s="76" t="e">
        <f>COUNTIFS(#REF!,CALCULATION[[#This Row],[PACKFORMULA]],#REF!,"P1",GLOBAL_DATA[Status],DATA!$J$7)</f>
        <v>#REF!</v>
      </c>
      <c r="W10" s="76" t="e">
        <f>COUNTIFS(#REF!,CALCULATION[[#This Row],[PACKFORMULA]],#REF!,"&gt;=P2",GLOBAL_DATA[Status],DATA!$J$7)</f>
        <v>#REF!</v>
      </c>
      <c r="X10" s="76" t="e">
        <f>COUNTIFS(#REF!,CALCULATION[[#This Row],[PACKFORMULA]],GLOBAL_DATA[Status],CALCULATION[[#Headers],[CHECKED CISO]])</f>
        <v>#REF!</v>
      </c>
      <c r="Y10" s="76" t="e">
        <f>COUNTIFS(#REF!,CALCULATION[[#This Row],[PACKFORMULA]],#REF!,"P0",GLOBAL_DATA[Status],DATA!$J$8)</f>
        <v>#REF!</v>
      </c>
      <c r="Z10" s="76" t="e">
        <f>COUNTIFS(#REF!,CALCULATION[[#This Row],[PACKFORMULA]],#REF!,"P1",GLOBAL_DATA[Status],DATA!$J$8)</f>
        <v>#REF!</v>
      </c>
      <c r="AA10" s="76" t="e">
        <f>COUNTIFS(#REF!,CALCULATION[[#This Row],[PACKFORMULA]],#REF!,"&gt;=P2",GLOBAL_DATA[Status],DATA!$J$8)</f>
        <v>#REF!</v>
      </c>
      <c r="AB10" s="76" t="e">
        <f>COUNTIFS(#REF!,CALCULATION[[#This Row],[PACKFORMULA]],GLOBAL_DATA[Status],CALCULATION[[#Headers],[VERIFIED]])</f>
        <v>#REF!</v>
      </c>
      <c r="AC10" s="76" t="e">
        <f>COUNTIFS(#REF!,CALCULATION[[#This Row],[PACKFORMULA]],#REF!,"P0",GLOBAL_DATA[Status],"&lt;&gt;"&amp;Status_No_Project)</f>
        <v>#REF!</v>
      </c>
      <c r="AD10" s="76" t="e">
        <f>COUNTIFS(#REF!,CALCULATION[[#This Row],[PACKFORMULA]],#REF!,"P1",GLOBAL_DATA[Status],"&lt;&gt;"&amp;Status_No_Project)</f>
        <v>#REF!</v>
      </c>
      <c r="AE10" s="76" t="e">
        <f>COUNTIFS(#REF!,CALCULATION[[#This Row],[PACKFORMULA]],#REF!,"&gt;=P2",GLOBAL_DATA[Status],"&lt;&gt;"&amp;Status_No_Project)</f>
        <v>#REF!</v>
      </c>
      <c r="AF10" s="79" t="e">
        <f>COUNTIFS(#REF!,CALCULATION[[#This Row],[PACKFORMULA]],GLOBAL_DATA[Status],"&lt;&gt;"&amp;Status_No_Project)</f>
        <v>#REF!</v>
      </c>
      <c r="AG10" s="96" t="e">
        <f>COUNTIFS(#REF!,CALCULATION[[#This Row],[PACKFORMULA]],#REF!,"P0",GLOBAL_DATA[Target status],DATA!$J$12)</f>
        <v>#REF!</v>
      </c>
      <c r="AH10" s="96" t="e">
        <f>COUNTIFS(#REF!,CALCULATION[[#This Row],[PACKFORMULA]],#REF!,"P1",GLOBAL_DATA[Target status],DATA!$J$12)</f>
        <v>#REF!</v>
      </c>
      <c r="AI10" s="96" t="e">
        <f>COUNTIFS(#REF!,CALCULATION[[#This Row],[PACKFORMULA]],#REF!,"&gt;P1",GLOBAL_DATA[Target status],DATA!$J$12)</f>
        <v>#REF!</v>
      </c>
      <c r="AJ10" s="76" t="e">
        <f>COUNTIFS(#REF!,CALCULATION[[#This Row],[PACKFORMULA]],GLOBAL_DATA[Target status],DATA!$J$12)</f>
        <v>#REF!</v>
      </c>
      <c r="AK10" s="76" t="e">
        <f>COUNTIFS(#REF!,CALCULATION[[#This Row],[PACKFORMULA]],GLOBAL_DATA[Target status],DATA!$J$13,#REF!,"P0")</f>
        <v>#REF!</v>
      </c>
      <c r="AL10" s="76" t="e">
        <f>COUNTIFS(#REF!,CALCULATION[[#This Row],[PACKFORMULA]],GLOBAL_DATA[Target status],DATA!$J$13,#REF!,"P1")</f>
        <v>#REF!</v>
      </c>
      <c r="AM10" s="76" t="e">
        <f>COUNTIFS(#REF!,CALCULATION[[#This Row],[PACKFORMULA]],GLOBAL_DATA[Target status],DATA!$J$13,#REF!,"&gt;P1")</f>
        <v>#REF!</v>
      </c>
      <c r="AN10" s="73" t="e">
        <f>COUNTIFS(#REF!,CALCULATION[[#This Row],[PACKFORMULA]],GLOBAL_DATA[Target status],CALCULATION[[#Headers],[PARTIAL IMPLEMENTATION + RA]])</f>
        <v>#REF!</v>
      </c>
      <c r="AO10" s="102">
        <f>1-CALCULATION[[#This Row],[IN SCOPE %]]</f>
        <v>1</v>
      </c>
      <c r="AP10" s="73" t="e">
        <f>COUNTIFS(#REF!,CALCULATION[[#This Row],[PACKFORMULA]],GLOBAL_DATA[Target status],CALCULATION[[#Headers],[FULL IMPLEMENTATION]])</f>
        <v>#REF!</v>
      </c>
      <c r="AQ10" s="73" t="e">
        <f>COUNTIFS(#REF!,CALCULATION[[#This Row],[PACKFORMULA]],GLOBAL_DATA[Target status],CALCULATION[[#Headers],[NOT APPLICABLE]])</f>
        <v>#REF!</v>
      </c>
      <c r="AR10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10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10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10" s="80" t="e">
        <f>CALCULATION[[#This Row],[PARTIAL IMPLEMENTATION + RA]]+CALCULATION[[#This Row],[FULL IMPLEMENTATION]]</f>
        <v>#REF!</v>
      </c>
      <c r="AV10" s="115" t="e">
        <f>CALCULATION[[#This Row],[IN PROGRESS]]+CALCULATION[[#This Row],[TO BE STARTED]]</f>
        <v>#REF!</v>
      </c>
      <c r="AW10" s="73" t="e">
        <f>COUNTIFS(#REF!,CALCULATION[[#This Row],[PACKFORMULA]],#REF!,"P0",GLOBAL_DATA[Impl_Yes],1)</f>
        <v>#REF!</v>
      </c>
      <c r="AX10" s="73" t="e">
        <f>COUNTIFS(#REF!,CALCULATION[[#This Row],[PACKFORMULA]],#REF!,"P1",GLOBAL_DATA[Impl_Yes],1)</f>
        <v>#REF!</v>
      </c>
      <c r="AY10" s="73" t="e">
        <f>COUNTIFS(#REF!,CALCULATION[[#This Row],[PACKFORMULA]],#REF!,"&gt;P1",GLOBAL_DATA[Impl_Yes],1)</f>
        <v>#REF!</v>
      </c>
      <c r="AZ10" s="73" t="e">
        <f>COUNTIFS(#REF!,CALCULATION[[#This Row],[PACKFORMULA]],GLOBAL_DATA[Impl_Yes],1)</f>
        <v>#REF!</v>
      </c>
      <c r="BA10" s="118">
        <f>IFERROR(CALCULATION[[#This Row],[COMPLETED]]/CALCULATION[[#This Row],[IN SCOPE]],0)</f>
        <v>0</v>
      </c>
      <c r="BB10" s="136" t="e">
        <f>COUNTIFS(#REF!,CALCULATION[[#This Row],[PACKFORMULA]],GLOBAL_DATA[Target status],"&lt;&gt;"&amp;DATA!$J$15)</f>
        <v>#REF!</v>
      </c>
      <c r="BC10" s="166">
        <f>IFERROR(ROUND(SUMIFS(GLOBAL_DATA[Target scope],#REF!,CALCULATION[[#This Row],[PACKFORMULA]],GLOBAL_DATA[Target status],"&lt;&gt;"&amp;DATA!$J$15)/CALCULATION[[#This Row],[IN SCOPE]],4),0)</f>
        <v>0</v>
      </c>
      <c r="BD10" s="104">
        <f>IFERROR(ROUND(CALCULATION[[#This Row],[RISK ACCEPTED (FULL MEASURE)]]/CALCULATION[[#This Row],[IN SCOPE]],4),0)</f>
        <v>0</v>
      </c>
      <c r="BE10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10" s="74" t="e">
        <f>COUNTIFS(#REF!,CALCULATION[[#This Row],[PACKFORMULA]],GLOBAL_DATA[CISO assessment],"&lt;&gt;"&amp;DATA!$A$15)-COUNTIFS(#REF!,CALCULATION[[#This Row],[PACKFORMULA]],GLOBAL_DATA[CISO assessment],"")</f>
        <v>#REF!</v>
      </c>
      <c r="BG10" s="116" t="e">
        <f>COUNTIFS(#REF!,CALCULATION[[#This Row],[PACKFORMULA]],GLOBAL_DATA[CISO assessment],DATA!$A$15)+COUNTIFS(#REF!,CALCULATION[[#This Row],[PACKFORMULA]],GLOBAL_DATA[CISO assessment],"")</f>
        <v>#REF!</v>
      </c>
      <c r="BH10" s="134">
        <f>IFERROR(ROUND(SUMIF(#REF!,CALCULATION[[#This Row],[PACKFORMULA]],GLOBAL_DATA[Target scope])/CALCULATION[[#This Row],[IN SCOPE]],4),0)</f>
        <v>0</v>
      </c>
      <c r="BI10" s="105">
        <f>IFERROR(ROUND(SUMIFS(GLOBAL_DATA[Global Progress rate],#REF!,CALCULATION[[#This Row],[PACKFORMULA]],GLOBAL_DATA[Status],DATA!$J$6)/CALCULATION[[#This Row],[IN SCOPE]],4),0)</f>
        <v>0</v>
      </c>
      <c r="BJ10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10" s="105">
        <f>CALCULATION[[#This Row],[CURRENT IMPL DONE ]]+CALCULATION[[#This Row],[CURRENT IMPL CHECKED CISO &amp; VERIFIED]]</f>
        <v>0</v>
      </c>
      <c r="BL10" s="105">
        <f>CALCULATION[[#This Row],[CURRENT IMPLEMENTATION]]-CALCULATION[[#This Row],[CURRENT IMPL DONE ]]-CALCULATION[[#This Row],[CURRENT IMPL CHECKED CISO &amp; VERIFIED]]</f>
        <v>0</v>
      </c>
      <c r="BM10" s="105">
        <f>IFERROR(ROUND(SUMIF(#REF!,CALCULATION[[#This Row],[PACKFORMULA]],GLOBAL_DATA[Global Progress rate])/CALCULATION[[#This Row],[IN SCOPE]],4),0)</f>
        <v>0</v>
      </c>
      <c r="BN10" s="75" t="e">
        <f>COUNTIFS(#REF!,CALCULATION[[#This Row],[PACKFORMULA]],GLOBAL_DATA[Impl_Date],"&gt;31/12/2019",GLOBAL_DATA[Impl_Date],"&lt;01/01/2021",GLOBAL_DATA[Impl_Yes],1)</f>
        <v>#REF!</v>
      </c>
      <c r="BO10" s="74" t="e">
        <f>COUNTIFS(#REF!,CALCULATION[[#This Row],[PACKFORMULA]],GLOBAL_DATA[Impl_Date],"&gt;31/12/2019",GLOBAL_DATA[Impl_Date],"&lt;01/01/2021")</f>
        <v>#REF!</v>
      </c>
      <c r="BP10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10" s="73" t="e">
        <f>COUNTIFS(#REF!,CALCULATION[[#This Row],[PACKFORMULA]],GLOBAL_DATA[Impl_Date],"&gt;31/12/2020",GLOBAL_DATA[Impl_Date],"&lt;01/01/2022",GLOBAL_DATA[Impl_Yes],1)</f>
        <v>#REF!</v>
      </c>
      <c r="BR10" s="73" t="e">
        <f>COUNTIFS(#REF!,CALCULATION[[#This Row],[PACKFORMULA]],GLOBAL_DATA[Impl_Date],"&gt;31/12/2020",GLOBAL_DATA[Impl_Date],"&lt;01/01/2022")</f>
        <v>#REF!</v>
      </c>
      <c r="BS10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10" s="73" t="e">
        <f>COUNTIFS(#REF!,CALCULATION[[#This Row],[PACKFORMULA]],GLOBAL_DATA[Impl_Date],"&gt;31/12/2021",GLOBAL_DATA[Impl_Date],"&lt;01/01/2023",GLOBAL_DATA[Impl_Yes],1)</f>
        <v>#REF!</v>
      </c>
      <c r="BU10" s="73" t="e">
        <f>COUNTIFS(#REF!,CALCULATION[[#This Row],[PACKFORMULA]],GLOBAL_DATA[Impl_Date],"&gt;31/12/2021",GLOBAL_DATA[Impl_Date],"&lt;01/01/2023")</f>
        <v>#REF!</v>
      </c>
      <c r="BV10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10" s="131" t="e">
        <f>COUNTIFS(#REF!,CALCULATION[[#This Row],[PACKFORMULA]],GLOBAL_DATA[Impl_Date],"&gt;31/12/2022",GLOBAL_DATA[Impl_Date],"&lt;01/01/2024",GLOBAL_DATA[Impl_Yes],1)</f>
        <v>#REF!</v>
      </c>
      <c r="BX10" s="131" t="e">
        <f>COUNTIFS(#REF!,CALCULATION[[#This Row],[PACKFORMULA]],GLOBAL_DATA[Impl_Date],"&gt;31/12/2022")</f>
        <v>#REF!</v>
      </c>
      <c r="BY10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10" s="103">
        <f>CALCULATION[[#This Row],[% 2020 COMMITTED]]+CALCULATION[[#This Row],[% 2021 COMMITTED]]+CALCULATION[[#This Row],[% 2022 COMMITTED]]+CALCULATION[[#This Row],[% 2023 COMMITTED]]</f>
        <v>0</v>
      </c>
      <c r="CA10" s="111">
        <f>CALCULATION[[#This Row],[CURRENT IMPLEMENTATION]]</f>
        <v>0</v>
      </c>
      <c r="CB10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1" spans="1:82" x14ac:dyDescent="0.25">
      <c r="A11" s="76" t="s">
        <v>10</v>
      </c>
      <c r="B11" s="76" t="s">
        <v>10</v>
      </c>
      <c r="C11" s="113">
        <v>1</v>
      </c>
      <c r="D11" s="130">
        <v>0.05</v>
      </c>
      <c r="E11" s="76" t="e">
        <f>COUNTIFS(#REF!,CALCULATION[[#This Row],[PACKFORMULA]],#REF!,"P0",GLOBAL_DATA[Status],Status_No_Project)</f>
        <v>#REF!</v>
      </c>
      <c r="F11" s="76" t="e">
        <f>COUNTIFS(#REF!,CALCULATION[[#This Row],[PACKFORMULA]],#REF!,"P1",GLOBAL_DATA[Status],Status_No_Project)</f>
        <v>#REF!</v>
      </c>
      <c r="G11" s="76" t="e">
        <f>COUNTIFS(#REF!,CALCULATION[[#This Row],[PACKFORMULA]],#REF!,"&gt;=P2",GLOBAL_DATA[Status],Status_No_Project)</f>
        <v>#REF!</v>
      </c>
      <c r="H11" s="76" t="e">
        <f>COUNTIFS(#REF!,CALCULATION[[#This Row],[PACKFORMULA]],GLOBAL_DATA[Status],CALCULATION[[#Headers],[NO PROJECT]])</f>
        <v>#REF!</v>
      </c>
      <c r="I11" s="76" t="e">
        <f>COUNTIFS(#REF!,CALCULATION[[#This Row],[PACKFORMULA]],#REF!,"P0",GLOBAL_DATA[Status],DATA!$J$4)</f>
        <v>#REF!</v>
      </c>
      <c r="J11" s="76" t="e">
        <f>COUNTIFS(#REF!,CALCULATION[[#This Row],[PACKFORMULA]],#REF!,"P1",GLOBAL_DATA[Status],DATA!$J$4)</f>
        <v>#REF!</v>
      </c>
      <c r="K11" s="76" t="e">
        <f>COUNTIFS(#REF!,CALCULATION[[#This Row],[PACKFORMULA]],#REF!,"&gt;=P2",GLOBAL_DATA[Status],DATA!$J$4)</f>
        <v>#REF!</v>
      </c>
      <c r="L11" s="76" t="e">
        <f>COUNTIFS(#REF!,CALCULATION[[#This Row],[PACKFORMULA]],GLOBAL_DATA[Status],CALCULATION[[#Headers],[TO BE STARTED]])</f>
        <v>#REF!</v>
      </c>
      <c r="M11" s="76" t="e">
        <f>COUNTIFS(#REF!,CALCULATION[[#This Row],[PACKFORMULA]],#REF!,"P0",GLOBAL_DATA[Status],DATA!$J$5)</f>
        <v>#REF!</v>
      </c>
      <c r="N11" s="76" t="e">
        <f>COUNTIFS(#REF!,CALCULATION[[#This Row],[PACKFORMULA]],#REF!,"P1",GLOBAL_DATA[Status],DATA!$J$5)</f>
        <v>#REF!</v>
      </c>
      <c r="O11" s="76" t="e">
        <f>COUNTIFS(#REF!,CALCULATION[[#This Row],[PACKFORMULA]],#REF!,"&gt;=P2",GLOBAL_DATA[Status],DATA!$J$5)</f>
        <v>#REF!</v>
      </c>
      <c r="P11" s="76" t="e">
        <f>COUNTIFS(#REF!,CALCULATION[[#This Row],[PACKFORMULA]],GLOBAL_DATA[Status],CALCULATION[[#Headers],[IN PROGRESS]])</f>
        <v>#REF!</v>
      </c>
      <c r="Q11" s="76" t="e">
        <f>COUNTIFS(#REF!,CALCULATION[[#This Row],[PACKFORMULA]],#REF!,"P0",GLOBAL_DATA[Status],DATA!$J$6)</f>
        <v>#REF!</v>
      </c>
      <c r="R11" s="76" t="e">
        <f>COUNTIFS(#REF!,CALCULATION[[#This Row],[PACKFORMULA]],#REF!,"P1",GLOBAL_DATA[Status],DATA!$J$6)</f>
        <v>#REF!</v>
      </c>
      <c r="S11" s="76" t="e">
        <f>COUNTIFS(#REF!,CALCULATION[[#This Row],[PACKFORMULA]],#REF!,"&gt;=P2",GLOBAL_DATA[Status],DATA!$J$6)</f>
        <v>#REF!</v>
      </c>
      <c r="T11" s="76" t="e">
        <f>COUNTIFS(#REF!,CALCULATION[[#This Row],[PACKFORMULA]],GLOBAL_DATA[Status],CALCULATION[[#Headers],[DONE]])</f>
        <v>#REF!</v>
      </c>
      <c r="U11" s="76" t="e">
        <f>COUNTIFS(#REF!,CALCULATION[[#This Row],[PACKFORMULA]],#REF!,"P0",GLOBAL_DATA[Status],DATA!$J$7)</f>
        <v>#REF!</v>
      </c>
      <c r="V11" s="76" t="e">
        <f>COUNTIFS(#REF!,CALCULATION[[#This Row],[PACKFORMULA]],#REF!,"P1",GLOBAL_DATA[Status],DATA!$J$7)</f>
        <v>#REF!</v>
      </c>
      <c r="W11" s="76" t="e">
        <f>COUNTIFS(#REF!,CALCULATION[[#This Row],[PACKFORMULA]],#REF!,"&gt;=P2",GLOBAL_DATA[Status],DATA!$J$7)</f>
        <v>#REF!</v>
      </c>
      <c r="X11" s="76" t="e">
        <f>COUNTIFS(#REF!,CALCULATION[[#This Row],[PACKFORMULA]],GLOBAL_DATA[Status],CALCULATION[[#Headers],[CHECKED CISO]])</f>
        <v>#REF!</v>
      </c>
      <c r="Y11" s="76" t="e">
        <f>COUNTIFS(#REF!,CALCULATION[[#This Row],[PACKFORMULA]],#REF!,"P0",GLOBAL_DATA[Status],DATA!$J$8)</f>
        <v>#REF!</v>
      </c>
      <c r="Z11" s="76" t="e">
        <f>COUNTIFS(#REF!,CALCULATION[[#This Row],[PACKFORMULA]],#REF!,"P1",GLOBAL_DATA[Status],DATA!$J$8)</f>
        <v>#REF!</v>
      </c>
      <c r="AA11" s="76" t="e">
        <f>COUNTIFS(#REF!,CALCULATION[[#This Row],[PACKFORMULA]],#REF!,"&gt;=P2",GLOBAL_DATA[Status],DATA!$J$8)</f>
        <v>#REF!</v>
      </c>
      <c r="AB11" s="76" t="e">
        <f>COUNTIFS(#REF!,CALCULATION[[#This Row],[PACKFORMULA]],GLOBAL_DATA[Status],CALCULATION[[#Headers],[VERIFIED]])</f>
        <v>#REF!</v>
      </c>
      <c r="AC11" s="76" t="e">
        <f>COUNTIFS(#REF!,CALCULATION[[#This Row],[PACKFORMULA]],#REF!,"P0",GLOBAL_DATA[Status],"&lt;&gt;"&amp;Status_No_Project)</f>
        <v>#REF!</v>
      </c>
      <c r="AD11" s="76" t="e">
        <f>COUNTIFS(#REF!,CALCULATION[[#This Row],[PACKFORMULA]],#REF!,"P1",GLOBAL_DATA[Status],"&lt;&gt;"&amp;Status_No_Project)</f>
        <v>#REF!</v>
      </c>
      <c r="AE11" s="76" t="e">
        <f>COUNTIFS(#REF!,CALCULATION[[#This Row],[PACKFORMULA]],#REF!,"&gt;=P2",GLOBAL_DATA[Status],"&lt;&gt;"&amp;Status_No_Project)</f>
        <v>#REF!</v>
      </c>
      <c r="AF11" s="79" t="e">
        <f>COUNTIFS(#REF!,CALCULATION[[#This Row],[PACKFORMULA]],GLOBAL_DATA[Status],"&lt;&gt;"&amp;Status_No_Project)</f>
        <v>#REF!</v>
      </c>
      <c r="AG11" s="96" t="e">
        <f>COUNTIFS(#REF!,CALCULATION[[#This Row],[PACKFORMULA]],#REF!,"P0",GLOBAL_DATA[Target status],DATA!$J$12)</f>
        <v>#REF!</v>
      </c>
      <c r="AH11" s="96" t="e">
        <f>COUNTIFS(#REF!,CALCULATION[[#This Row],[PACKFORMULA]],#REF!,"P1",GLOBAL_DATA[Target status],DATA!$J$12)</f>
        <v>#REF!</v>
      </c>
      <c r="AI11" s="96" t="e">
        <f>COUNTIFS(#REF!,CALCULATION[[#This Row],[PACKFORMULA]],#REF!,"&gt;P1",GLOBAL_DATA[Target status],DATA!$J$12)</f>
        <v>#REF!</v>
      </c>
      <c r="AJ11" s="76" t="e">
        <f>COUNTIFS(#REF!,CALCULATION[[#This Row],[PACKFORMULA]],GLOBAL_DATA[Target status],DATA!$J$12)</f>
        <v>#REF!</v>
      </c>
      <c r="AK11" s="76" t="e">
        <f>COUNTIFS(#REF!,CALCULATION[[#This Row],[PACKFORMULA]],GLOBAL_DATA[Target status],DATA!$J$13,#REF!,"P0")</f>
        <v>#REF!</v>
      </c>
      <c r="AL11" s="76" t="e">
        <f>COUNTIFS(#REF!,CALCULATION[[#This Row],[PACKFORMULA]],GLOBAL_DATA[Target status],DATA!$J$13,#REF!,"P1")</f>
        <v>#REF!</v>
      </c>
      <c r="AM11" s="76" t="e">
        <f>COUNTIFS(#REF!,CALCULATION[[#This Row],[PACKFORMULA]],GLOBAL_DATA[Target status],DATA!$J$13,#REF!,"&gt;P1")</f>
        <v>#REF!</v>
      </c>
      <c r="AN11" s="73" t="e">
        <f>COUNTIFS(#REF!,CALCULATION[[#This Row],[PACKFORMULA]],GLOBAL_DATA[Target status],CALCULATION[[#Headers],[PARTIAL IMPLEMENTATION + RA]])</f>
        <v>#REF!</v>
      </c>
      <c r="AO11" s="102">
        <f>1-CALCULATION[[#This Row],[IN SCOPE %]]</f>
        <v>1</v>
      </c>
      <c r="AP11" s="73" t="e">
        <f>COUNTIFS(#REF!,CALCULATION[[#This Row],[PACKFORMULA]],GLOBAL_DATA[Target status],CALCULATION[[#Headers],[FULL IMPLEMENTATION]])</f>
        <v>#REF!</v>
      </c>
      <c r="AQ11" s="73" t="e">
        <f>COUNTIFS(#REF!,CALCULATION[[#This Row],[PACKFORMULA]],GLOBAL_DATA[Target status],CALCULATION[[#Headers],[NOT APPLICABLE]])</f>
        <v>#REF!</v>
      </c>
      <c r="AR11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11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11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11" s="80" t="e">
        <f>CALCULATION[[#This Row],[PARTIAL IMPLEMENTATION + RA]]+CALCULATION[[#This Row],[FULL IMPLEMENTATION]]</f>
        <v>#REF!</v>
      </c>
      <c r="AV11" s="115" t="e">
        <f>CALCULATION[[#This Row],[IN PROGRESS]]+CALCULATION[[#This Row],[TO BE STARTED]]</f>
        <v>#REF!</v>
      </c>
      <c r="AW11" s="73" t="e">
        <f>COUNTIFS(#REF!,CALCULATION[[#This Row],[PACKFORMULA]],#REF!,"P0",GLOBAL_DATA[Impl_Yes],1)</f>
        <v>#REF!</v>
      </c>
      <c r="AX11" s="73" t="e">
        <f>COUNTIFS(#REF!,CALCULATION[[#This Row],[PACKFORMULA]],#REF!,"P1",GLOBAL_DATA[Impl_Yes],1)</f>
        <v>#REF!</v>
      </c>
      <c r="AY11" s="73" t="e">
        <f>COUNTIFS(#REF!,CALCULATION[[#This Row],[PACKFORMULA]],#REF!,"&gt;P1",GLOBAL_DATA[Impl_Yes],1)</f>
        <v>#REF!</v>
      </c>
      <c r="AZ11" s="73" t="e">
        <f>COUNTIFS(#REF!,CALCULATION[[#This Row],[PACKFORMULA]],GLOBAL_DATA[Impl_Yes],1)</f>
        <v>#REF!</v>
      </c>
      <c r="BA11" s="118">
        <f>IFERROR(CALCULATION[[#This Row],[COMPLETED]]/CALCULATION[[#This Row],[IN SCOPE]],0)</f>
        <v>0</v>
      </c>
      <c r="BB11" s="136" t="e">
        <f>COUNTIFS(#REF!,CALCULATION[[#This Row],[PACKFORMULA]],GLOBAL_DATA[Target status],"&lt;&gt;"&amp;DATA!$J$15)</f>
        <v>#REF!</v>
      </c>
      <c r="BC11" s="166">
        <f>IFERROR(ROUND(SUMIFS(GLOBAL_DATA[Target scope],#REF!,CALCULATION[[#This Row],[PACKFORMULA]],GLOBAL_DATA[Target status],"&lt;&gt;"&amp;DATA!$J$15)/CALCULATION[[#This Row],[IN SCOPE]],4),0)</f>
        <v>0</v>
      </c>
      <c r="BD11" s="104">
        <f>IFERROR(ROUND(CALCULATION[[#This Row],[RISK ACCEPTED (FULL MEASURE)]]/CALCULATION[[#This Row],[IN SCOPE]],4),0)</f>
        <v>0</v>
      </c>
      <c r="BE11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11" s="74" t="e">
        <f>COUNTIFS(#REF!,CALCULATION[[#This Row],[PACKFORMULA]],GLOBAL_DATA[CISO assessment],"&lt;&gt;"&amp;DATA!$A$15)-COUNTIFS(#REF!,CALCULATION[[#This Row],[PACKFORMULA]],GLOBAL_DATA[CISO assessment],"")</f>
        <v>#REF!</v>
      </c>
      <c r="BG11" s="116" t="e">
        <f>COUNTIFS(#REF!,CALCULATION[[#This Row],[PACKFORMULA]],GLOBAL_DATA[CISO assessment],DATA!$A$15)+COUNTIFS(#REF!,CALCULATION[[#This Row],[PACKFORMULA]],GLOBAL_DATA[CISO assessment],"")</f>
        <v>#REF!</v>
      </c>
      <c r="BH11" s="134">
        <f>IFERROR(ROUND(SUMIF(#REF!,CALCULATION[[#This Row],[PACKFORMULA]],GLOBAL_DATA[Target scope])/CALCULATION[[#This Row],[IN SCOPE]],4),0)</f>
        <v>0</v>
      </c>
      <c r="BI11" s="105">
        <f>IFERROR(ROUND(SUMIFS(GLOBAL_DATA[Global Progress rate],#REF!,CALCULATION[[#This Row],[PACKFORMULA]],GLOBAL_DATA[Status],DATA!$J$6)/CALCULATION[[#This Row],[IN SCOPE]],4),0)</f>
        <v>0</v>
      </c>
      <c r="BJ11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11" s="105">
        <f>CALCULATION[[#This Row],[CURRENT IMPL DONE ]]+CALCULATION[[#This Row],[CURRENT IMPL CHECKED CISO &amp; VERIFIED]]</f>
        <v>0</v>
      </c>
      <c r="BL11" s="105">
        <f>CALCULATION[[#This Row],[CURRENT IMPLEMENTATION]]-CALCULATION[[#This Row],[CURRENT IMPL DONE ]]-CALCULATION[[#This Row],[CURRENT IMPL CHECKED CISO &amp; VERIFIED]]</f>
        <v>0</v>
      </c>
      <c r="BM11" s="105">
        <f>IFERROR(ROUND(SUMIF(#REF!,CALCULATION[[#This Row],[PACKFORMULA]],GLOBAL_DATA[Global Progress rate])/CALCULATION[[#This Row],[IN SCOPE]],4),0)</f>
        <v>0</v>
      </c>
      <c r="BN11" s="75" t="e">
        <f>COUNTIFS(#REF!,CALCULATION[[#This Row],[PACKFORMULA]],GLOBAL_DATA[Impl_Date],"&gt;31/12/2019",GLOBAL_DATA[Impl_Date],"&lt;01/01/2021",GLOBAL_DATA[Impl_Yes],1)</f>
        <v>#REF!</v>
      </c>
      <c r="BO11" s="74" t="e">
        <f>COUNTIFS(#REF!,CALCULATION[[#This Row],[PACKFORMULA]],GLOBAL_DATA[Impl_Date],"&gt;31/12/2019",GLOBAL_DATA[Impl_Date],"&lt;01/01/2021")</f>
        <v>#REF!</v>
      </c>
      <c r="BP11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11" s="73" t="e">
        <f>COUNTIFS(#REF!,CALCULATION[[#This Row],[PACKFORMULA]],GLOBAL_DATA[Impl_Date],"&gt;31/12/2020",GLOBAL_DATA[Impl_Date],"&lt;01/01/2022",GLOBAL_DATA[Impl_Yes],1)</f>
        <v>#REF!</v>
      </c>
      <c r="BR11" s="73" t="e">
        <f>COUNTIFS(#REF!,CALCULATION[[#This Row],[PACKFORMULA]],GLOBAL_DATA[Impl_Date],"&gt;31/12/2020",GLOBAL_DATA[Impl_Date],"&lt;01/01/2022")</f>
        <v>#REF!</v>
      </c>
      <c r="BS11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11" s="73" t="e">
        <f>COUNTIFS(#REF!,CALCULATION[[#This Row],[PACKFORMULA]],GLOBAL_DATA[Impl_Date],"&gt;31/12/2021",GLOBAL_DATA[Impl_Date],"&lt;01/01/2023",GLOBAL_DATA[Impl_Yes],1)</f>
        <v>#REF!</v>
      </c>
      <c r="BU11" s="73" t="e">
        <f>COUNTIFS(#REF!,CALCULATION[[#This Row],[PACKFORMULA]],GLOBAL_DATA[Impl_Date],"&gt;31/12/2021",GLOBAL_DATA[Impl_Date],"&lt;01/01/2023")</f>
        <v>#REF!</v>
      </c>
      <c r="BV11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11" s="131" t="e">
        <f>COUNTIFS(#REF!,CALCULATION[[#This Row],[PACKFORMULA]],GLOBAL_DATA[Impl_Date],"&gt;31/12/2022",GLOBAL_DATA[Impl_Date],"&lt;01/01/2024",GLOBAL_DATA[Impl_Yes],1)</f>
        <v>#REF!</v>
      </c>
      <c r="BX11" s="131" t="e">
        <f>COUNTIFS(#REF!,CALCULATION[[#This Row],[PACKFORMULA]],GLOBAL_DATA[Impl_Date],"&gt;31/12/2022")</f>
        <v>#REF!</v>
      </c>
      <c r="BY11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11" s="103">
        <f>CALCULATION[[#This Row],[% 2020 COMMITTED]]+CALCULATION[[#This Row],[% 2021 COMMITTED]]+CALCULATION[[#This Row],[% 2022 COMMITTED]]+CALCULATION[[#This Row],[% 2023 COMMITTED]]</f>
        <v>0</v>
      </c>
      <c r="CA11" s="111">
        <f>CALCULATION[[#This Row],[CURRENT IMPLEMENTATION]]</f>
        <v>0</v>
      </c>
      <c r="CB11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2" spans="1:82" x14ac:dyDescent="0.25">
      <c r="A12" s="76" t="s">
        <v>533</v>
      </c>
      <c r="B12" s="76" t="s">
        <v>533</v>
      </c>
      <c r="C12" s="113">
        <v>1</v>
      </c>
      <c r="D12" s="130">
        <v>0.05</v>
      </c>
      <c r="E12" s="76" t="e">
        <f>COUNTIFS(#REF!,CALCULATION[[#This Row],[PACKFORMULA]],#REF!,"P0",GLOBAL_DATA[Status],Status_No_Project)</f>
        <v>#REF!</v>
      </c>
      <c r="F12" s="76" t="e">
        <f>COUNTIFS(#REF!,CALCULATION[[#This Row],[PACKFORMULA]],#REF!,"P1",GLOBAL_DATA[Status],Status_No_Project)</f>
        <v>#REF!</v>
      </c>
      <c r="G12" s="76" t="e">
        <f>COUNTIFS(#REF!,CALCULATION[[#This Row],[PACKFORMULA]],#REF!,"&gt;=P2",GLOBAL_DATA[Status],Status_No_Project)</f>
        <v>#REF!</v>
      </c>
      <c r="H12" s="76" t="e">
        <f>COUNTIFS(#REF!,CALCULATION[[#This Row],[PACKFORMULA]],GLOBAL_DATA[Status],CALCULATION[[#Headers],[NO PROJECT]])</f>
        <v>#REF!</v>
      </c>
      <c r="I12" s="76" t="e">
        <f>COUNTIFS(#REF!,CALCULATION[[#This Row],[PACKFORMULA]],#REF!,"P0",GLOBAL_DATA[Status],DATA!$J$4)</f>
        <v>#REF!</v>
      </c>
      <c r="J12" s="76" t="e">
        <f>COUNTIFS(#REF!,CALCULATION[[#This Row],[PACKFORMULA]],#REF!,"P1",GLOBAL_DATA[Status],DATA!$J$4)</f>
        <v>#REF!</v>
      </c>
      <c r="K12" s="76" t="e">
        <f>COUNTIFS(#REF!,CALCULATION[[#This Row],[PACKFORMULA]],#REF!,"&gt;=P2",GLOBAL_DATA[Status],DATA!$J$4)</f>
        <v>#REF!</v>
      </c>
      <c r="L12" s="76" t="e">
        <f>COUNTIFS(#REF!,CALCULATION[[#This Row],[PACKFORMULA]],GLOBAL_DATA[Status],CALCULATION[[#Headers],[TO BE STARTED]])</f>
        <v>#REF!</v>
      </c>
      <c r="M12" s="76" t="e">
        <f>COUNTIFS(#REF!,CALCULATION[[#This Row],[PACKFORMULA]],#REF!,"P0",GLOBAL_DATA[Status],DATA!$J$5)</f>
        <v>#REF!</v>
      </c>
      <c r="N12" s="76" t="e">
        <f>COUNTIFS(#REF!,CALCULATION[[#This Row],[PACKFORMULA]],#REF!,"P1",GLOBAL_DATA[Status],DATA!$J$5)</f>
        <v>#REF!</v>
      </c>
      <c r="O12" s="76" t="e">
        <f>COUNTIFS(#REF!,CALCULATION[[#This Row],[PACKFORMULA]],#REF!,"&gt;=P2",GLOBAL_DATA[Status],DATA!$J$5)</f>
        <v>#REF!</v>
      </c>
      <c r="P12" s="76" t="e">
        <f>COUNTIFS(#REF!,CALCULATION[[#This Row],[PACKFORMULA]],GLOBAL_DATA[Status],CALCULATION[[#Headers],[IN PROGRESS]])</f>
        <v>#REF!</v>
      </c>
      <c r="Q12" s="76" t="e">
        <f>COUNTIFS(#REF!,CALCULATION[[#This Row],[PACKFORMULA]],#REF!,"P0",GLOBAL_DATA[Status],DATA!$J$6)</f>
        <v>#REF!</v>
      </c>
      <c r="R12" s="76" t="e">
        <f>COUNTIFS(#REF!,CALCULATION[[#This Row],[PACKFORMULA]],#REF!,"P1",GLOBAL_DATA[Status],DATA!$J$6)</f>
        <v>#REF!</v>
      </c>
      <c r="S12" s="76" t="e">
        <f>COUNTIFS(#REF!,CALCULATION[[#This Row],[PACKFORMULA]],#REF!,"&gt;=P2",GLOBAL_DATA[Status],DATA!$J$6)</f>
        <v>#REF!</v>
      </c>
      <c r="T12" s="76" t="e">
        <f>COUNTIFS(#REF!,CALCULATION[[#This Row],[PACKFORMULA]],GLOBAL_DATA[Status],CALCULATION[[#Headers],[DONE]])</f>
        <v>#REF!</v>
      </c>
      <c r="U12" s="76" t="e">
        <f>COUNTIFS(#REF!,CALCULATION[[#This Row],[PACKFORMULA]],#REF!,"P0",GLOBAL_DATA[Status],DATA!$J$7)</f>
        <v>#REF!</v>
      </c>
      <c r="V12" s="76" t="e">
        <f>COUNTIFS(#REF!,CALCULATION[[#This Row],[PACKFORMULA]],#REF!,"P1",GLOBAL_DATA[Status],DATA!$J$7)</f>
        <v>#REF!</v>
      </c>
      <c r="W12" s="76" t="e">
        <f>COUNTIFS(#REF!,CALCULATION[[#This Row],[PACKFORMULA]],#REF!,"&gt;=P2",GLOBAL_DATA[Status],DATA!$J$7)</f>
        <v>#REF!</v>
      </c>
      <c r="X12" s="76" t="e">
        <f>COUNTIFS(#REF!,CALCULATION[[#This Row],[PACKFORMULA]],GLOBAL_DATA[Status],CALCULATION[[#Headers],[CHECKED CISO]])</f>
        <v>#REF!</v>
      </c>
      <c r="Y12" s="76" t="e">
        <f>COUNTIFS(#REF!,CALCULATION[[#This Row],[PACKFORMULA]],#REF!,"P0",GLOBAL_DATA[Status],DATA!$J$8)</f>
        <v>#REF!</v>
      </c>
      <c r="Z12" s="76" t="e">
        <f>COUNTIFS(#REF!,CALCULATION[[#This Row],[PACKFORMULA]],#REF!,"P1",GLOBAL_DATA[Status],DATA!$J$8)</f>
        <v>#REF!</v>
      </c>
      <c r="AA12" s="76" t="e">
        <f>COUNTIFS(#REF!,CALCULATION[[#This Row],[PACKFORMULA]],#REF!,"&gt;=P2",GLOBAL_DATA[Status],DATA!$J$8)</f>
        <v>#REF!</v>
      </c>
      <c r="AB12" s="76" t="e">
        <f>COUNTIFS(#REF!,CALCULATION[[#This Row],[PACKFORMULA]],GLOBAL_DATA[Status],CALCULATION[[#Headers],[VERIFIED]])</f>
        <v>#REF!</v>
      </c>
      <c r="AC12" s="76" t="e">
        <f>COUNTIFS(#REF!,CALCULATION[[#This Row],[PACKFORMULA]],#REF!,"P0",GLOBAL_DATA[Status],"&lt;&gt;"&amp;Status_No_Project)</f>
        <v>#REF!</v>
      </c>
      <c r="AD12" s="76" t="e">
        <f>COUNTIFS(#REF!,CALCULATION[[#This Row],[PACKFORMULA]],#REF!,"P1",GLOBAL_DATA[Status],"&lt;&gt;"&amp;Status_No_Project)</f>
        <v>#REF!</v>
      </c>
      <c r="AE12" s="76" t="e">
        <f>COUNTIFS(#REF!,CALCULATION[[#This Row],[PACKFORMULA]],#REF!,"&gt;=P2",GLOBAL_DATA[Status],"&lt;&gt;"&amp;Status_No_Project)</f>
        <v>#REF!</v>
      </c>
      <c r="AF12" s="79" t="e">
        <f>COUNTIFS(#REF!,CALCULATION[[#This Row],[PACKFORMULA]],GLOBAL_DATA[Status],"&lt;&gt;"&amp;Status_No_Project)</f>
        <v>#REF!</v>
      </c>
      <c r="AG12" s="96" t="e">
        <f>COUNTIFS(#REF!,CALCULATION[[#This Row],[PACKFORMULA]],#REF!,"P0",GLOBAL_DATA[Target status],DATA!$J$12)</f>
        <v>#REF!</v>
      </c>
      <c r="AH12" s="96" t="e">
        <f>COUNTIFS(#REF!,CALCULATION[[#This Row],[PACKFORMULA]],#REF!,"P1",GLOBAL_DATA[Target status],DATA!$J$12)</f>
        <v>#REF!</v>
      </c>
      <c r="AI12" s="96" t="e">
        <f>COUNTIFS(#REF!,CALCULATION[[#This Row],[PACKFORMULA]],#REF!,"&gt;P1",GLOBAL_DATA[Target status],DATA!$J$12)</f>
        <v>#REF!</v>
      </c>
      <c r="AJ12" s="76" t="e">
        <f>COUNTIFS(#REF!,CALCULATION[[#This Row],[PACKFORMULA]],GLOBAL_DATA[Target status],DATA!$J$12)</f>
        <v>#REF!</v>
      </c>
      <c r="AK12" s="76" t="e">
        <f>COUNTIFS(#REF!,CALCULATION[[#This Row],[PACKFORMULA]],GLOBAL_DATA[Target status],DATA!$J$13,#REF!,"P0")</f>
        <v>#REF!</v>
      </c>
      <c r="AL12" s="76" t="e">
        <f>COUNTIFS(#REF!,CALCULATION[[#This Row],[PACKFORMULA]],GLOBAL_DATA[Target status],DATA!$J$13,#REF!,"P1")</f>
        <v>#REF!</v>
      </c>
      <c r="AM12" s="76" t="e">
        <f>COUNTIFS(#REF!,CALCULATION[[#This Row],[PACKFORMULA]],GLOBAL_DATA[Target status],DATA!$J$13,#REF!,"&gt;P1")</f>
        <v>#REF!</v>
      </c>
      <c r="AN12" s="73" t="e">
        <f>COUNTIFS(#REF!,CALCULATION[[#This Row],[PACKFORMULA]],GLOBAL_DATA[Target status],CALCULATION[[#Headers],[PARTIAL IMPLEMENTATION + RA]])</f>
        <v>#REF!</v>
      </c>
      <c r="AO12" s="102">
        <f>1-CALCULATION[[#This Row],[IN SCOPE %]]</f>
        <v>1</v>
      </c>
      <c r="AP12" s="73" t="e">
        <f>COUNTIFS(#REF!,CALCULATION[[#This Row],[PACKFORMULA]],GLOBAL_DATA[Target status],CALCULATION[[#Headers],[FULL IMPLEMENTATION]])</f>
        <v>#REF!</v>
      </c>
      <c r="AQ12" s="73" t="e">
        <f>COUNTIFS(#REF!,CALCULATION[[#This Row],[PACKFORMULA]],GLOBAL_DATA[Target status],CALCULATION[[#Headers],[NOT APPLICABLE]])</f>
        <v>#REF!</v>
      </c>
      <c r="AR12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12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12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12" s="80" t="e">
        <f>CALCULATION[[#This Row],[PARTIAL IMPLEMENTATION + RA]]+CALCULATION[[#This Row],[FULL IMPLEMENTATION]]</f>
        <v>#REF!</v>
      </c>
      <c r="AV12" s="115" t="e">
        <f>CALCULATION[[#This Row],[IN PROGRESS]]+CALCULATION[[#This Row],[TO BE STARTED]]</f>
        <v>#REF!</v>
      </c>
      <c r="AW12" s="73" t="e">
        <f>COUNTIFS(#REF!,CALCULATION[[#This Row],[PACKFORMULA]],#REF!,"P0",GLOBAL_DATA[Impl_Yes],1)</f>
        <v>#REF!</v>
      </c>
      <c r="AX12" s="73" t="e">
        <f>COUNTIFS(#REF!,CALCULATION[[#This Row],[PACKFORMULA]],#REF!,"P1",GLOBAL_DATA[Impl_Yes],1)</f>
        <v>#REF!</v>
      </c>
      <c r="AY12" s="73" t="e">
        <f>COUNTIFS(#REF!,CALCULATION[[#This Row],[PACKFORMULA]],#REF!,"&gt;P1",GLOBAL_DATA[Impl_Yes],1)</f>
        <v>#REF!</v>
      </c>
      <c r="AZ12" s="73" t="e">
        <f>COUNTIFS(#REF!,CALCULATION[[#This Row],[PACKFORMULA]],GLOBAL_DATA[Impl_Yes],1)</f>
        <v>#REF!</v>
      </c>
      <c r="BA12" s="118">
        <f>IFERROR(CALCULATION[[#This Row],[COMPLETED]]/CALCULATION[[#This Row],[IN SCOPE]],0)</f>
        <v>0</v>
      </c>
      <c r="BB12" s="136" t="e">
        <f>COUNTIFS(#REF!,CALCULATION[[#This Row],[PACKFORMULA]],GLOBAL_DATA[Target status],"&lt;&gt;"&amp;DATA!$J$15)</f>
        <v>#REF!</v>
      </c>
      <c r="BC12" s="166">
        <f>IFERROR(ROUND(SUMIFS(GLOBAL_DATA[Target scope],#REF!,CALCULATION[[#This Row],[PACKFORMULA]],GLOBAL_DATA[Target status],"&lt;&gt;"&amp;DATA!$J$15)/CALCULATION[[#This Row],[IN SCOPE]],4),0)</f>
        <v>0</v>
      </c>
      <c r="BD12" s="104">
        <f>IFERROR(ROUND(CALCULATION[[#This Row],[RISK ACCEPTED (FULL MEASURE)]]/CALCULATION[[#This Row],[IN SCOPE]],4),0)</f>
        <v>0</v>
      </c>
      <c r="BE12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12" s="74" t="e">
        <f>COUNTIFS(#REF!,CALCULATION[[#This Row],[PACKFORMULA]],GLOBAL_DATA[CISO assessment],"&lt;&gt;"&amp;DATA!$A$15)-COUNTIFS(#REF!,CALCULATION[[#This Row],[PACKFORMULA]],GLOBAL_DATA[CISO assessment],"")</f>
        <v>#REF!</v>
      </c>
      <c r="BG12" s="116" t="e">
        <f>COUNTIFS(#REF!,CALCULATION[[#This Row],[PACKFORMULA]],GLOBAL_DATA[CISO assessment],DATA!$A$15)+COUNTIFS(#REF!,CALCULATION[[#This Row],[PACKFORMULA]],GLOBAL_DATA[CISO assessment],"")</f>
        <v>#REF!</v>
      </c>
      <c r="BH12" s="134">
        <f>IFERROR(ROUND(SUMIF(#REF!,CALCULATION[[#This Row],[PACKFORMULA]],GLOBAL_DATA[Target scope])/CALCULATION[[#This Row],[IN SCOPE]],4),0)</f>
        <v>0</v>
      </c>
      <c r="BI12" s="105">
        <f>IFERROR(ROUND(SUMIFS(GLOBAL_DATA[Global Progress rate],#REF!,CALCULATION[[#This Row],[PACKFORMULA]],GLOBAL_DATA[Status],DATA!$J$6)/CALCULATION[[#This Row],[IN SCOPE]],4),0)</f>
        <v>0</v>
      </c>
      <c r="BJ12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12" s="105">
        <f>CALCULATION[[#This Row],[CURRENT IMPL DONE ]]+CALCULATION[[#This Row],[CURRENT IMPL CHECKED CISO &amp; VERIFIED]]</f>
        <v>0</v>
      </c>
      <c r="BL12" s="105">
        <f>CALCULATION[[#This Row],[CURRENT IMPLEMENTATION]]-CALCULATION[[#This Row],[CURRENT IMPL DONE ]]-CALCULATION[[#This Row],[CURRENT IMPL CHECKED CISO &amp; VERIFIED]]</f>
        <v>0</v>
      </c>
      <c r="BM12" s="105">
        <f>IFERROR(ROUND(SUMIF(#REF!,CALCULATION[[#This Row],[PACKFORMULA]],GLOBAL_DATA[Global Progress rate])/CALCULATION[[#This Row],[IN SCOPE]],4),0)</f>
        <v>0</v>
      </c>
      <c r="BN12" s="75" t="e">
        <f>COUNTIFS(#REF!,CALCULATION[[#This Row],[PACKFORMULA]],GLOBAL_DATA[Impl_Date],"&gt;31/12/2019",GLOBAL_DATA[Impl_Date],"&lt;01/01/2021",GLOBAL_DATA[Impl_Yes],1)</f>
        <v>#REF!</v>
      </c>
      <c r="BO12" s="74" t="e">
        <f>COUNTIFS(#REF!,CALCULATION[[#This Row],[PACKFORMULA]],GLOBAL_DATA[Impl_Date],"&gt;31/12/2019",GLOBAL_DATA[Impl_Date],"&lt;01/01/2021")</f>
        <v>#REF!</v>
      </c>
      <c r="BP12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12" s="73" t="e">
        <f>COUNTIFS(#REF!,CALCULATION[[#This Row],[PACKFORMULA]],GLOBAL_DATA[Impl_Date],"&gt;31/12/2020",GLOBAL_DATA[Impl_Date],"&lt;01/01/2022",GLOBAL_DATA[Impl_Yes],1)</f>
        <v>#REF!</v>
      </c>
      <c r="BR12" s="73" t="e">
        <f>COUNTIFS(#REF!,CALCULATION[[#This Row],[PACKFORMULA]],GLOBAL_DATA[Impl_Date],"&gt;31/12/2020",GLOBAL_DATA[Impl_Date],"&lt;01/01/2022")</f>
        <v>#REF!</v>
      </c>
      <c r="BS12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12" s="73" t="e">
        <f>COUNTIFS(#REF!,CALCULATION[[#This Row],[PACKFORMULA]],GLOBAL_DATA[Impl_Date],"&gt;31/12/2021",GLOBAL_DATA[Impl_Date],"&lt;01/01/2023",GLOBAL_DATA[Impl_Yes],1)</f>
        <v>#REF!</v>
      </c>
      <c r="BU12" s="73" t="e">
        <f>COUNTIFS(#REF!,CALCULATION[[#This Row],[PACKFORMULA]],GLOBAL_DATA[Impl_Date],"&gt;31/12/2021",GLOBAL_DATA[Impl_Date],"&lt;01/01/2023")</f>
        <v>#REF!</v>
      </c>
      <c r="BV12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12" s="131" t="e">
        <f>COUNTIFS(#REF!,CALCULATION[[#This Row],[PACKFORMULA]],GLOBAL_DATA[Impl_Date],"&gt;31/12/2022",GLOBAL_DATA[Impl_Date],"&lt;01/01/2024",GLOBAL_DATA[Impl_Yes],1)</f>
        <v>#REF!</v>
      </c>
      <c r="BX12" s="131" t="e">
        <f>COUNTIFS(#REF!,CALCULATION[[#This Row],[PACKFORMULA]],GLOBAL_DATA[Impl_Date],"&gt;31/12/2022")</f>
        <v>#REF!</v>
      </c>
      <c r="BY12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12" s="103">
        <f>CALCULATION[[#This Row],[% 2020 COMMITTED]]+CALCULATION[[#This Row],[% 2021 COMMITTED]]+CALCULATION[[#This Row],[% 2022 COMMITTED]]+CALCULATION[[#This Row],[% 2023 COMMITTED]]</f>
        <v>0</v>
      </c>
      <c r="CA12" s="111">
        <f>CALCULATION[[#This Row],[CURRENT IMPLEMENTATION]]</f>
        <v>0</v>
      </c>
      <c r="CB12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3" spans="1:82" x14ac:dyDescent="0.25">
      <c r="A13" s="76" t="s">
        <v>548</v>
      </c>
      <c r="B13" s="76" t="s">
        <v>548</v>
      </c>
      <c r="C13" s="113">
        <v>1</v>
      </c>
      <c r="D13" s="130">
        <v>0.05</v>
      </c>
      <c r="E13" s="76" t="e">
        <f>COUNTIFS(#REF!,CALCULATION[[#This Row],[PACKFORMULA]],#REF!,"P0",GLOBAL_DATA[Status],Status_No_Project)</f>
        <v>#REF!</v>
      </c>
      <c r="F13" s="76" t="e">
        <f>COUNTIFS(#REF!,CALCULATION[[#This Row],[PACKFORMULA]],#REF!,"P1",GLOBAL_DATA[Status],Status_No_Project)</f>
        <v>#REF!</v>
      </c>
      <c r="G13" s="76" t="e">
        <f>COUNTIFS(#REF!,CALCULATION[[#This Row],[PACKFORMULA]],#REF!,"&gt;=P2",GLOBAL_DATA[Status],Status_No_Project)</f>
        <v>#REF!</v>
      </c>
      <c r="H13" s="76" t="e">
        <f>COUNTIFS(#REF!,CALCULATION[[#This Row],[PACKFORMULA]],GLOBAL_DATA[Status],CALCULATION[[#Headers],[NO PROJECT]])</f>
        <v>#REF!</v>
      </c>
      <c r="I13" s="76" t="e">
        <f>COUNTIFS(#REF!,CALCULATION[[#This Row],[PACKFORMULA]],#REF!,"P0",GLOBAL_DATA[Status],DATA!$J$4)</f>
        <v>#REF!</v>
      </c>
      <c r="J13" s="76" t="e">
        <f>COUNTIFS(#REF!,CALCULATION[[#This Row],[PACKFORMULA]],#REF!,"P1",GLOBAL_DATA[Status],DATA!$J$4)</f>
        <v>#REF!</v>
      </c>
      <c r="K13" s="76" t="e">
        <f>COUNTIFS(#REF!,CALCULATION[[#This Row],[PACKFORMULA]],#REF!,"&gt;=P2",GLOBAL_DATA[Status],DATA!$J$4)</f>
        <v>#REF!</v>
      </c>
      <c r="L13" s="76" t="e">
        <f>COUNTIFS(#REF!,CALCULATION[[#This Row],[PACKFORMULA]],GLOBAL_DATA[Status],CALCULATION[[#Headers],[TO BE STARTED]])</f>
        <v>#REF!</v>
      </c>
      <c r="M13" s="76" t="e">
        <f>COUNTIFS(#REF!,CALCULATION[[#This Row],[PACKFORMULA]],#REF!,"P0",GLOBAL_DATA[Status],DATA!$J$5)</f>
        <v>#REF!</v>
      </c>
      <c r="N13" s="76" t="e">
        <f>COUNTIFS(#REF!,CALCULATION[[#This Row],[PACKFORMULA]],#REF!,"P1",GLOBAL_DATA[Status],DATA!$J$5)</f>
        <v>#REF!</v>
      </c>
      <c r="O13" s="76" t="e">
        <f>COUNTIFS(#REF!,CALCULATION[[#This Row],[PACKFORMULA]],#REF!,"&gt;=P2",GLOBAL_DATA[Status],DATA!$J$5)</f>
        <v>#REF!</v>
      </c>
      <c r="P13" s="76" t="e">
        <f>COUNTIFS(#REF!,CALCULATION[[#This Row],[PACKFORMULA]],GLOBAL_DATA[Status],CALCULATION[[#Headers],[IN PROGRESS]])</f>
        <v>#REF!</v>
      </c>
      <c r="Q13" s="76" t="e">
        <f>COUNTIFS(#REF!,CALCULATION[[#This Row],[PACKFORMULA]],#REF!,"P0",GLOBAL_DATA[Status],DATA!$J$6)</f>
        <v>#REF!</v>
      </c>
      <c r="R13" s="76" t="e">
        <f>COUNTIFS(#REF!,CALCULATION[[#This Row],[PACKFORMULA]],#REF!,"P1",GLOBAL_DATA[Status],DATA!$J$6)</f>
        <v>#REF!</v>
      </c>
      <c r="S13" s="76" t="e">
        <f>COUNTIFS(#REF!,CALCULATION[[#This Row],[PACKFORMULA]],#REF!,"&gt;=P2",GLOBAL_DATA[Status],DATA!$J$6)</f>
        <v>#REF!</v>
      </c>
      <c r="T13" s="76" t="e">
        <f>COUNTIFS(#REF!,CALCULATION[[#This Row],[PACKFORMULA]],GLOBAL_DATA[Status],CALCULATION[[#Headers],[DONE]])</f>
        <v>#REF!</v>
      </c>
      <c r="U13" s="76" t="e">
        <f>COUNTIFS(#REF!,CALCULATION[[#This Row],[PACKFORMULA]],#REF!,"P0",GLOBAL_DATA[Status],DATA!$J$7)</f>
        <v>#REF!</v>
      </c>
      <c r="V13" s="76" t="e">
        <f>COUNTIFS(#REF!,CALCULATION[[#This Row],[PACKFORMULA]],#REF!,"P1",GLOBAL_DATA[Status],DATA!$J$7)</f>
        <v>#REF!</v>
      </c>
      <c r="W13" s="76" t="e">
        <f>COUNTIFS(#REF!,CALCULATION[[#This Row],[PACKFORMULA]],#REF!,"&gt;=P2",GLOBAL_DATA[Status],DATA!$J$7)</f>
        <v>#REF!</v>
      </c>
      <c r="X13" s="76" t="e">
        <f>COUNTIFS(#REF!,CALCULATION[[#This Row],[PACKFORMULA]],GLOBAL_DATA[Status],CALCULATION[[#Headers],[CHECKED CISO]])</f>
        <v>#REF!</v>
      </c>
      <c r="Y13" s="76" t="e">
        <f>COUNTIFS(#REF!,CALCULATION[[#This Row],[PACKFORMULA]],#REF!,"P0",GLOBAL_DATA[Status],DATA!$J$8)</f>
        <v>#REF!</v>
      </c>
      <c r="Z13" s="76" t="e">
        <f>COUNTIFS(#REF!,CALCULATION[[#This Row],[PACKFORMULA]],#REF!,"P1",GLOBAL_DATA[Status],DATA!$J$8)</f>
        <v>#REF!</v>
      </c>
      <c r="AA13" s="76" t="e">
        <f>COUNTIFS(#REF!,CALCULATION[[#This Row],[PACKFORMULA]],#REF!,"&gt;=P2",GLOBAL_DATA[Status],DATA!$J$8)</f>
        <v>#REF!</v>
      </c>
      <c r="AB13" s="76" t="e">
        <f>COUNTIFS(#REF!,CALCULATION[[#This Row],[PACKFORMULA]],GLOBAL_DATA[Status],CALCULATION[[#Headers],[VERIFIED]])</f>
        <v>#REF!</v>
      </c>
      <c r="AC13" s="76" t="e">
        <f>COUNTIFS(#REF!,CALCULATION[[#This Row],[PACKFORMULA]],#REF!,"P0",GLOBAL_DATA[Status],"&lt;&gt;"&amp;Status_No_Project)</f>
        <v>#REF!</v>
      </c>
      <c r="AD13" s="76" t="e">
        <f>COUNTIFS(#REF!,CALCULATION[[#This Row],[PACKFORMULA]],#REF!,"P1",GLOBAL_DATA[Status],"&lt;&gt;"&amp;Status_No_Project)</f>
        <v>#REF!</v>
      </c>
      <c r="AE13" s="76" t="e">
        <f>COUNTIFS(#REF!,CALCULATION[[#This Row],[PACKFORMULA]],#REF!,"&gt;=P2",GLOBAL_DATA[Status],"&lt;&gt;"&amp;Status_No_Project)</f>
        <v>#REF!</v>
      </c>
      <c r="AF13" s="79" t="e">
        <f>COUNTIFS(#REF!,CALCULATION[[#This Row],[PACKFORMULA]],GLOBAL_DATA[Status],"&lt;&gt;"&amp;Status_No_Project)</f>
        <v>#REF!</v>
      </c>
      <c r="AG13" s="96" t="e">
        <f>COUNTIFS(#REF!,CALCULATION[[#This Row],[PACKFORMULA]],#REF!,"P0",GLOBAL_DATA[Target status],DATA!$J$12)</f>
        <v>#REF!</v>
      </c>
      <c r="AH13" s="96" t="e">
        <f>COUNTIFS(#REF!,CALCULATION[[#This Row],[PACKFORMULA]],#REF!,"P1",GLOBAL_DATA[Target status],DATA!$J$12)</f>
        <v>#REF!</v>
      </c>
      <c r="AI13" s="96" t="e">
        <f>COUNTIFS(#REF!,CALCULATION[[#This Row],[PACKFORMULA]],#REF!,"&gt;P1",GLOBAL_DATA[Target status],DATA!$J$12)</f>
        <v>#REF!</v>
      </c>
      <c r="AJ13" s="76" t="e">
        <f>COUNTIFS(#REF!,CALCULATION[[#This Row],[PACKFORMULA]],GLOBAL_DATA[Target status],DATA!$J$12)</f>
        <v>#REF!</v>
      </c>
      <c r="AK13" s="76" t="e">
        <f>COUNTIFS(#REF!,CALCULATION[[#This Row],[PACKFORMULA]],GLOBAL_DATA[Target status],DATA!$J$13,#REF!,"P0")</f>
        <v>#REF!</v>
      </c>
      <c r="AL13" s="76" t="e">
        <f>COUNTIFS(#REF!,CALCULATION[[#This Row],[PACKFORMULA]],GLOBAL_DATA[Target status],DATA!$J$13,#REF!,"P1")</f>
        <v>#REF!</v>
      </c>
      <c r="AM13" s="76" t="e">
        <f>COUNTIFS(#REF!,CALCULATION[[#This Row],[PACKFORMULA]],GLOBAL_DATA[Target status],DATA!$J$13,#REF!,"&gt;P1")</f>
        <v>#REF!</v>
      </c>
      <c r="AN13" s="73" t="e">
        <f>COUNTIFS(#REF!,CALCULATION[[#This Row],[PACKFORMULA]],GLOBAL_DATA[Target status],CALCULATION[[#Headers],[PARTIAL IMPLEMENTATION + RA]])</f>
        <v>#REF!</v>
      </c>
      <c r="AO13" s="102">
        <f>1-CALCULATION[[#This Row],[IN SCOPE %]]</f>
        <v>1</v>
      </c>
      <c r="AP13" s="73" t="e">
        <f>COUNTIFS(#REF!,CALCULATION[[#This Row],[PACKFORMULA]],GLOBAL_DATA[Target status],CALCULATION[[#Headers],[FULL IMPLEMENTATION]])</f>
        <v>#REF!</v>
      </c>
      <c r="AQ13" s="73" t="e">
        <f>COUNTIFS(#REF!,CALCULATION[[#This Row],[PACKFORMULA]],GLOBAL_DATA[Target status],CALCULATION[[#Headers],[NOT APPLICABLE]])</f>
        <v>#REF!</v>
      </c>
      <c r="AR13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13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13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13" s="80" t="e">
        <f>CALCULATION[[#This Row],[PARTIAL IMPLEMENTATION + RA]]+CALCULATION[[#This Row],[FULL IMPLEMENTATION]]</f>
        <v>#REF!</v>
      </c>
      <c r="AV13" s="115" t="e">
        <f>CALCULATION[[#This Row],[IN PROGRESS]]+CALCULATION[[#This Row],[TO BE STARTED]]</f>
        <v>#REF!</v>
      </c>
      <c r="AW13" s="73" t="e">
        <f>COUNTIFS(#REF!,CALCULATION[[#This Row],[PACKFORMULA]],#REF!,"P0",GLOBAL_DATA[Impl_Yes],1)</f>
        <v>#REF!</v>
      </c>
      <c r="AX13" s="73" t="e">
        <f>COUNTIFS(#REF!,CALCULATION[[#This Row],[PACKFORMULA]],#REF!,"P1",GLOBAL_DATA[Impl_Yes],1)</f>
        <v>#REF!</v>
      </c>
      <c r="AY13" s="73" t="e">
        <f>COUNTIFS(#REF!,CALCULATION[[#This Row],[PACKFORMULA]],#REF!,"&gt;P1",GLOBAL_DATA[Impl_Yes],1)</f>
        <v>#REF!</v>
      </c>
      <c r="AZ13" s="73" t="e">
        <f>COUNTIFS(#REF!,CALCULATION[[#This Row],[PACKFORMULA]],GLOBAL_DATA[Impl_Yes],1)</f>
        <v>#REF!</v>
      </c>
      <c r="BA13" s="118">
        <f>IFERROR(CALCULATION[[#This Row],[COMPLETED]]/CALCULATION[[#This Row],[IN SCOPE]],0)</f>
        <v>0</v>
      </c>
      <c r="BB13" s="136" t="e">
        <f>COUNTIFS(#REF!,CALCULATION[[#This Row],[PACKFORMULA]],GLOBAL_DATA[Target status],"&lt;&gt;"&amp;DATA!$J$15)</f>
        <v>#REF!</v>
      </c>
      <c r="BC13" s="166">
        <f>IFERROR(ROUND(SUMIFS(GLOBAL_DATA[Target scope],#REF!,CALCULATION[[#This Row],[PACKFORMULA]],GLOBAL_DATA[Target status],"&lt;&gt;"&amp;DATA!$J$15)/CALCULATION[[#This Row],[IN SCOPE]],4),0)</f>
        <v>0</v>
      </c>
      <c r="BD13" s="104">
        <f>IFERROR(ROUND(CALCULATION[[#This Row],[RISK ACCEPTED (FULL MEASURE)]]/CALCULATION[[#This Row],[IN SCOPE]],4),0)</f>
        <v>0</v>
      </c>
      <c r="BE13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13" s="74" t="e">
        <f>COUNTIFS(#REF!,CALCULATION[[#This Row],[PACKFORMULA]],GLOBAL_DATA[CISO assessment],"&lt;&gt;"&amp;DATA!$A$15)-COUNTIFS(#REF!,CALCULATION[[#This Row],[PACKFORMULA]],GLOBAL_DATA[CISO assessment],"")</f>
        <v>#REF!</v>
      </c>
      <c r="BG13" s="116" t="e">
        <f>COUNTIFS(#REF!,CALCULATION[[#This Row],[PACKFORMULA]],GLOBAL_DATA[CISO assessment],DATA!$A$15)+COUNTIFS(#REF!,CALCULATION[[#This Row],[PACKFORMULA]],GLOBAL_DATA[CISO assessment],"")</f>
        <v>#REF!</v>
      </c>
      <c r="BH13" s="134">
        <f>IFERROR(ROUND(SUMIF(#REF!,CALCULATION[[#This Row],[PACKFORMULA]],GLOBAL_DATA[Target scope])/CALCULATION[[#This Row],[IN SCOPE]],4),0)</f>
        <v>0</v>
      </c>
      <c r="BI13" s="105">
        <f>IFERROR(ROUND(SUMIFS(GLOBAL_DATA[Global Progress rate],#REF!,CALCULATION[[#This Row],[PACKFORMULA]],GLOBAL_DATA[Status],DATA!$J$6)/CALCULATION[[#This Row],[IN SCOPE]],4),0)</f>
        <v>0</v>
      </c>
      <c r="BJ13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13" s="105">
        <f>CALCULATION[[#This Row],[CURRENT IMPL DONE ]]+CALCULATION[[#This Row],[CURRENT IMPL CHECKED CISO &amp; VERIFIED]]</f>
        <v>0</v>
      </c>
      <c r="BL13" s="105">
        <f>CALCULATION[[#This Row],[CURRENT IMPLEMENTATION]]-CALCULATION[[#This Row],[CURRENT IMPL DONE ]]-CALCULATION[[#This Row],[CURRENT IMPL CHECKED CISO &amp; VERIFIED]]</f>
        <v>0</v>
      </c>
      <c r="BM13" s="105">
        <f>IFERROR(ROUND(SUMIF(#REF!,CALCULATION[[#This Row],[PACKFORMULA]],GLOBAL_DATA[Global Progress rate])/CALCULATION[[#This Row],[IN SCOPE]],4),0)</f>
        <v>0</v>
      </c>
      <c r="BN13" s="75" t="e">
        <f>COUNTIFS(#REF!,CALCULATION[[#This Row],[PACKFORMULA]],GLOBAL_DATA[Impl_Date],"&gt;31/12/2019",GLOBAL_DATA[Impl_Date],"&lt;01/01/2021",GLOBAL_DATA[Impl_Yes],1)</f>
        <v>#REF!</v>
      </c>
      <c r="BO13" s="74" t="e">
        <f>COUNTIFS(#REF!,CALCULATION[[#This Row],[PACKFORMULA]],GLOBAL_DATA[Impl_Date],"&gt;31/12/2019",GLOBAL_DATA[Impl_Date],"&lt;01/01/2021")</f>
        <v>#REF!</v>
      </c>
      <c r="BP13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13" s="73" t="e">
        <f>COUNTIFS(#REF!,CALCULATION[[#This Row],[PACKFORMULA]],GLOBAL_DATA[Impl_Date],"&gt;31/12/2020",GLOBAL_DATA[Impl_Date],"&lt;01/01/2022",GLOBAL_DATA[Impl_Yes],1)</f>
        <v>#REF!</v>
      </c>
      <c r="BR13" s="73" t="e">
        <f>COUNTIFS(#REF!,CALCULATION[[#This Row],[PACKFORMULA]],GLOBAL_DATA[Impl_Date],"&gt;31/12/2020",GLOBAL_DATA[Impl_Date],"&lt;01/01/2022")</f>
        <v>#REF!</v>
      </c>
      <c r="BS13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13" s="73" t="e">
        <f>COUNTIFS(#REF!,CALCULATION[[#This Row],[PACKFORMULA]],GLOBAL_DATA[Impl_Date],"&gt;31/12/2021",GLOBAL_DATA[Impl_Date],"&lt;01/01/2023",GLOBAL_DATA[Impl_Yes],1)</f>
        <v>#REF!</v>
      </c>
      <c r="BU13" s="73" t="e">
        <f>COUNTIFS(#REF!,CALCULATION[[#This Row],[PACKFORMULA]],GLOBAL_DATA[Impl_Date],"&gt;31/12/2021",GLOBAL_DATA[Impl_Date],"&lt;01/01/2023")</f>
        <v>#REF!</v>
      </c>
      <c r="BV13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13" s="131" t="e">
        <f>COUNTIFS(#REF!,CALCULATION[[#This Row],[PACKFORMULA]],GLOBAL_DATA[Impl_Date],"&gt;31/12/2022",GLOBAL_DATA[Impl_Date],"&lt;01/01/2024",GLOBAL_DATA[Impl_Yes],1)</f>
        <v>#REF!</v>
      </c>
      <c r="BX13" s="131" t="e">
        <f>COUNTIFS(#REF!,CALCULATION[[#This Row],[PACKFORMULA]],GLOBAL_DATA[Impl_Date],"&gt;31/12/2022")</f>
        <v>#REF!</v>
      </c>
      <c r="BY13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13" s="103">
        <f>CALCULATION[[#This Row],[% 2020 COMMITTED]]+CALCULATION[[#This Row],[% 2021 COMMITTED]]+CALCULATION[[#This Row],[% 2022 COMMITTED]]+CALCULATION[[#This Row],[% 2023 COMMITTED]]</f>
        <v>0</v>
      </c>
      <c r="CA13" s="111">
        <f>CALCULATION[[#This Row],[CURRENT IMPLEMENTATION]]</f>
        <v>0</v>
      </c>
      <c r="CB13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4" spans="1:82" x14ac:dyDescent="0.25">
      <c r="A14" s="76" t="s">
        <v>530</v>
      </c>
      <c r="B14" s="76" t="s">
        <v>540</v>
      </c>
      <c r="C14" s="113">
        <v>1</v>
      </c>
      <c r="D14" s="130">
        <v>0.05</v>
      </c>
      <c r="E14" s="76" t="e">
        <f>COUNTIFS(#REF!,CALCULATION[[#This Row],[PACKFORMULA]],#REF!,"P0",GLOBAL_DATA[Status],Status_No_Project)</f>
        <v>#REF!</v>
      </c>
      <c r="F14" s="76" t="e">
        <f>COUNTIFS(#REF!,CALCULATION[[#This Row],[PACKFORMULA]],#REF!,"P1",GLOBAL_DATA[Status],Status_No_Project)</f>
        <v>#REF!</v>
      </c>
      <c r="G14" s="76" t="e">
        <f>COUNTIFS(#REF!,CALCULATION[[#This Row],[PACKFORMULA]],#REF!,"&gt;=P2",GLOBAL_DATA[Status],Status_No_Project)</f>
        <v>#REF!</v>
      </c>
      <c r="H14" s="76" t="e">
        <f>COUNTIFS(#REF!,CALCULATION[[#This Row],[PACKFORMULA]],GLOBAL_DATA[Status],CALCULATION[[#Headers],[NO PROJECT]])</f>
        <v>#REF!</v>
      </c>
      <c r="I14" s="76" t="e">
        <f>COUNTIFS(#REF!,CALCULATION[[#This Row],[PACKFORMULA]],#REF!,"P0",GLOBAL_DATA[Status],DATA!$J$4)</f>
        <v>#REF!</v>
      </c>
      <c r="J14" s="76" t="e">
        <f>COUNTIFS(#REF!,CALCULATION[[#This Row],[PACKFORMULA]],#REF!,"P1",GLOBAL_DATA[Status],DATA!$J$4)</f>
        <v>#REF!</v>
      </c>
      <c r="K14" s="76" t="e">
        <f>COUNTIFS(#REF!,CALCULATION[[#This Row],[PACKFORMULA]],#REF!,"&gt;=P2",GLOBAL_DATA[Status],DATA!$J$4)</f>
        <v>#REF!</v>
      </c>
      <c r="L14" s="76" t="e">
        <f>COUNTIFS(#REF!,CALCULATION[[#This Row],[PACKFORMULA]],GLOBAL_DATA[Status],CALCULATION[[#Headers],[TO BE STARTED]])</f>
        <v>#REF!</v>
      </c>
      <c r="M14" s="76" t="e">
        <f>COUNTIFS(#REF!,CALCULATION[[#This Row],[PACKFORMULA]],#REF!,"P0",GLOBAL_DATA[Status],DATA!$J$5)</f>
        <v>#REF!</v>
      </c>
      <c r="N14" s="76" t="e">
        <f>COUNTIFS(#REF!,CALCULATION[[#This Row],[PACKFORMULA]],#REF!,"P1",GLOBAL_DATA[Status],DATA!$J$5)</f>
        <v>#REF!</v>
      </c>
      <c r="O14" s="76" t="e">
        <f>COUNTIFS(#REF!,CALCULATION[[#This Row],[PACKFORMULA]],#REF!,"&gt;=P2",GLOBAL_DATA[Status],DATA!$J$5)</f>
        <v>#REF!</v>
      </c>
      <c r="P14" s="76" t="e">
        <f>COUNTIFS(#REF!,CALCULATION[[#This Row],[PACKFORMULA]],GLOBAL_DATA[Status],CALCULATION[[#Headers],[IN PROGRESS]])</f>
        <v>#REF!</v>
      </c>
      <c r="Q14" s="76" t="e">
        <f>COUNTIFS(#REF!,CALCULATION[[#This Row],[PACKFORMULA]],#REF!,"P0",GLOBAL_DATA[Status],DATA!$J$6)</f>
        <v>#REF!</v>
      </c>
      <c r="R14" s="76" t="e">
        <f>COUNTIFS(#REF!,CALCULATION[[#This Row],[PACKFORMULA]],#REF!,"P1",GLOBAL_DATA[Status],DATA!$J$6)</f>
        <v>#REF!</v>
      </c>
      <c r="S14" s="76" t="e">
        <f>COUNTIFS(#REF!,CALCULATION[[#This Row],[PACKFORMULA]],#REF!,"&gt;=P2",GLOBAL_DATA[Status],DATA!$J$6)</f>
        <v>#REF!</v>
      </c>
      <c r="T14" s="76" t="e">
        <f>COUNTIFS(#REF!,CALCULATION[[#This Row],[PACKFORMULA]],GLOBAL_DATA[Status],CALCULATION[[#Headers],[DONE]])</f>
        <v>#REF!</v>
      </c>
      <c r="U14" s="76" t="e">
        <f>COUNTIFS(#REF!,CALCULATION[[#This Row],[PACKFORMULA]],#REF!,"P0",GLOBAL_DATA[Status],DATA!$J$7)</f>
        <v>#REF!</v>
      </c>
      <c r="V14" s="76" t="e">
        <f>COUNTIFS(#REF!,CALCULATION[[#This Row],[PACKFORMULA]],#REF!,"P1",GLOBAL_DATA[Status],DATA!$J$7)</f>
        <v>#REF!</v>
      </c>
      <c r="W14" s="76" t="e">
        <f>COUNTIFS(#REF!,CALCULATION[[#This Row],[PACKFORMULA]],#REF!,"&gt;=P2",GLOBAL_DATA[Status],DATA!$J$7)</f>
        <v>#REF!</v>
      </c>
      <c r="X14" s="76" t="e">
        <f>COUNTIFS(#REF!,CALCULATION[[#This Row],[PACKFORMULA]],GLOBAL_DATA[Status],CALCULATION[[#Headers],[CHECKED CISO]])</f>
        <v>#REF!</v>
      </c>
      <c r="Y14" s="76" t="e">
        <f>COUNTIFS(#REF!,CALCULATION[[#This Row],[PACKFORMULA]],#REF!,"P0",GLOBAL_DATA[Status],DATA!$J$8)</f>
        <v>#REF!</v>
      </c>
      <c r="Z14" s="76" t="e">
        <f>COUNTIFS(#REF!,CALCULATION[[#This Row],[PACKFORMULA]],#REF!,"P1",GLOBAL_DATA[Status],DATA!$J$8)</f>
        <v>#REF!</v>
      </c>
      <c r="AA14" s="76" t="e">
        <f>COUNTIFS(#REF!,CALCULATION[[#This Row],[PACKFORMULA]],#REF!,"&gt;=P2",GLOBAL_DATA[Status],DATA!$J$8)</f>
        <v>#REF!</v>
      </c>
      <c r="AB14" s="76" t="e">
        <f>COUNTIFS(#REF!,CALCULATION[[#This Row],[PACKFORMULA]],GLOBAL_DATA[Status],CALCULATION[[#Headers],[VERIFIED]])</f>
        <v>#REF!</v>
      </c>
      <c r="AC14" s="76" t="e">
        <f>COUNTIFS(#REF!,CALCULATION[[#This Row],[PACKFORMULA]],#REF!,"P0",GLOBAL_DATA[Status],"&lt;&gt;"&amp;Status_No_Project)</f>
        <v>#REF!</v>
      </c>
      <c r="AD14" s="76" t="e">
        <f>COUNTIFS(#REF!,CALCULATION[[#This Row],[PACKFORMULA]],#REF!,"P1",GLOBAL_DATA[Status],"&lt;&gt;"&amp;Status_No_Project)</f>
        <v>#REF!</v>
      </c>
      <c r="AE14" s="76" t="e">
        <f>COUNTIFS(#REF!,CALCULATION[[#This Row],[PACKFORMULA]],#REF!,"&gt;=P2",GLOBAL_DATA[Status],"&lt;&gt;"&amp;Status_No_Project)</f>
        <v>#REF!</v>
      </c>
      <c r="AF14" s="79" t="e">
        <f>COUNTIFS(#REF!,CALCULATION[[#This Row],[PACKFORMULA]],GLOBAL_DATA[Status],"&lt;&gt;"&amp;Status_No_Project)</f>
        <v>#REF!</v>
      </c>
      <c r="AG14" s="96" t="e">
        <f>COUNTIFS(#REF!,CALCULATION[[#This Row],[PACKFORMULA]],#REF!,"P0",GLOBAL_DATA[Target status],DATA!$J$12)</f>
        <v>#REF!</v>
      </c>
      <c r="AH14" s="96" t="e">
        <f>COUNTIFS(#REF!,CALCULATION[[#This Row],[PACKFORMULA]],#REF!,"P1",GLOBAL_DATA[Target status],DATA!$J$12)</f>
        <v>#REF!</v>
      </c>
      <c r="AI14" s="96" t="e">
        <f>COUNTIFS(#REF!,CALCULATION[[#This Row],[PACKFORMULA]],#REF!,"&gt;P1",GLOBAL_DATA[Target status],DATA!$J$12)</f>
        <v>#REF!</v>
      </c>
      <c r="AJ14" s="76" t="e">
        <f>COUNTIFS(#REF!,CALCULATION[[#This Row],[PACKFORMULA]],GLOBAL_DATA[Target status],DATA!$J$12)</f>
        <v>#REF!</v>
      </c>
      <c r="AK14" s="76" t="e">
        <f>COUNTIFS(#REF!,CALCULATION[[#This Row],[PACKFORMULA]],GLOBAL_DATA[Target status],DATA!$J$13,#REF!,"P0")</f>
        <v>#REF!</v>
      </c>
      <c r="AL14" s="76" t="e">
        <f>COUNTIFS(#REF!,CALCULATION[[#This Row],[PACKFORMULA]],GLOBAL_DATA[Target status],DATA!$J$13,#REF!,"P1")</f>
        <v>#REF!</v>
      </c>
      <c r="AM14" s="76" t="e">
        <f>COUNTIFS(#REF!,CALCULATION[[#This Row],[PACKFORMULA]],GLOBAL_DATA[Target status],DATA!$J$13,#REF!,"&gt;P1")</f>
        <v>#REF!</v>
      </c>
      <c r="AN14" s="73" t="e">
        <f>COUNTIFS(#REF!,CALCULATION[[#This Row],[PACKFORMULA]],GLOBAL_DATA[Target status],CALCULATION[[#Headers],[PARTIAL IMPLEMENTATION + RA]])</f>
        <v>#REF!</v>
      </c>
      <c r="AO14" s="102">
        <f>1-CALCULATION[[#This Row],[IN SCOPE %]]</f>
        <v>1</v>
      </c>
      <c r="AP14" s="73" t="e">
        <f>COUNTIFS(#REF!,CALCULATION[[#This Row],[PACKFORMULA]],GLOBAL_DATA[Target status],CALCULATION[[#Headers],[FULL IMPLEMENTATION]])</f>
        <v>#REF!</v>
      </c>
      <c r="AQ14" s="73" t="e">
        <f>COUNTIFS(#REF!,CALCULATION[[#This Row],[PACKFORMULA]],GLOBAL_DATA[Target status],CALCULATION[[#Headers],[NOT APPLICABLE]])</f>
        <v>#REF!</v>
      </c>
      <c r="AR14" s="101" t="e">
        <f>COUNTIFS(#REF!,CALCULATION[[#This Row],[PACKFORMULA]],#REF!,"P0",GLOBAL_DATA[Target status],DATA!$J$13)+COUNTIFS(#REF!,CALCULATION[[#This Row],[PACKFORMULA]],#REF!,"P0",GLOBAL_DATA[Target status],DATA!$J$14)-CALCULATION[[#This Row],[COMPLETED P0]]</f>
        <v>#REF!</v>
      </c>
      <c r="AS14" s="101" t="e">
        <f>COUNTIFS(#REF!,CALCULATION[[#This Row],[PACKFORMULA]],#REF!,"P1",GLOBAL_DATA[Target status],DATA!$J$13)+COUNTIFS(#REF!,CALCULATION[[#This Row],[PACKFORMULA]],#REF!,"P1",GLOBAL_DATA[Target status],DATA!$J$14)-CALCULATION[[#This Row],[COMPLETED P1]]</f>
        <v>#REF!</v>
      </c>
      <c r="AT14" s="101" t="e">
        <f>COUNTIFS(#REF!,CALCULATION[[#This Row],[PACKFORMULA]],#REF!,"&gt;P1",GLOBAL_DATA[Target status],DATA!$J$13)+COUNTIFS(#REF!,CALCULATION[[#This Row],[PACKFORMULA]],#REF!,"&gt;P1",GLOBAL_DATA[Target status],DATA!$J$14)-CALCULATION[[#This Row],[COMPLETED P2&amp;3]]</f>
        <v>#REF!</v>
      </c>
      <c r="AU14" s="80" t="e">
        <f>CALCULATION[[#This Row],[PARTIAL IMPLEMENTATION + RA]]+CALCULATION[[#This Row],[FULL IMPLEMENTATION]]</f>
        <v>#REF!</v>
      </c>
      <c r="AV14" s="115" t="e">
        <f>CALCULATION[[#This Row],[IN PROGRESS]]+CALCULATION[[#This Row],[TO BE STARTED]]</f>
        <v>#REF!</v>
      </c>
      <c r="AW14" s="73" t="e">
        <f>COUNTIFS(#REF!,CALCULATION[[#This Row],[PACKFORMULA]],#REF!,"P0",GLOBAL_DATA[Impl_Yes],1)</f>
        <v>#REF!</v>
      </c>
      <c r="AX14" s="73" t="e">
        <f>COUNTIFS(#REF!,CALCULATION[[#This Row],[PACKFORMULA]],#REF!,"P1",GLOBAL_DATA[Impl_Yes],1)</f>
        <v>#REF!</v>
      </c>
      <c r="AY14" s="73" t="e">
        <f>COUNTIFS(#REF!,CALCULATION[[#This Row],[PACKFORMULA]],#REF!,"&gt;P1",GLOBAL_DATA[Impl_Yes],1)</f>
        <v>#REF!</v>
      </c>
      <c r="AZ14" s="73" t="e">
        <f>COUNTIFS(#REF!,CALCULATION[[#This Row],[PACKFORMULA]],GLOBAL_DATA[Impl_Yes],1)</f>
        <v>#REF!</v>
      </c>
      <c r="BA14" s="118">
        <f>IFERROR(CALCULATION[[#This Row],[COMPLETED]]/CALCULATION[[#This Row],[IN SCOPE]],0)</f>
        <v>0</v>
      </c>
      <c r="BB14" s="136" t="e">
        <f>COUNTIFS(#REF!,CALCULATION[[#This Row],[PACKFORMULA]],GLOBAL_DATA[Target status],"&lt;&gt;"&amp;DATA!$J$15)</f>
        <v>#REF!</v>
      </c>
      <c r="BC14" s="166">
        <f>IFERROR(ROUND(SUMIFS(GLOBAL_DATA[Target scope],#REF!,CALCULATION[[#This Row],[PACKFORMULA]],GLOBAL_DATA[Target status],"&lt;&gt;"&amp;DATA!$J$15)/CALCULATION[[#This Row],[IN SCOPE]],4),0)</f>
        <v>0</v>
      </c>
      <c r="BD14" s="104">
        <f>IFERROR(ROUND(CALCULATION[[#This Row],[RISK ACCEPTED (FULL MEASURE)]]/CALCULATION[[#This Row],[IN SCOPE]],4),0)</f>
        <v>0</v>
      </c>
      <c r="BE14" s="73" t="e">
        <f>IF((COUNTIFS(#REF!,CALCULATION[[#This Row],[PACKFORMULA]],GLOBAL_DATA[CISO Comments]," ")&gt;0),(COUNTIFS(#REF!,CALCULATION[[#This Row],[PACKFORMULA]],GLOBAL_DATA[CISO Comments],"&lt;&gt;"&amp;DATA!$A$15)),(COUNTIFS(#REF!,CALCULATION[[#This Row],[PACKFORMULA]],GLOBAL_DATA[CISO Comments]," ")&amp;" CISO assessment still empty"))</f>
        <v>#REF!</v>
      </c>
      <c r="BF14" s="74" t="e">
        <f>COUNTIFS(#REF!,CALCULATION[[#This Row],[PACKFORMULA]],GLOBAL_DATA[CISO assessment],"&lt;&gt;"&amp;DATA!$A$15)-COUNTIFS(#REF!,CALCULATION[[#This Row],[PACKFORMULA]],GLOBAL_DATA[CISO assessment],"")</f>
        <v>#REF!</v>
      </c>
      <c r="BG14" s="116" t="e">
        <f>COUNTIFS(#REF!,CALCULATION[[#This Row],[PACKFORMULA]],GLOBAL_DATA[CISO assessment],DATA!$A$15)+COUNTIFS(#REF!,CALCULATION[[#This Row],[PACKFORMULA]],GLOBAL_DATA[CISO assessment],"")</f>
        <v>#REF!</v>
      </c>
      <c r="BH14" s="134">
        <f>IFERROR(ROUND(SUMIF(#REF!,CALCULATION[[#This Row],[PACKFORMULA]],GLOBAL_DATA[Target scope])/CALCULATION[[#This Row],[IN SCOPE]],4),0)</f>
        <v>0</v>
      </c>
      <c r="BI14" s="105">
        <f>IFERROR(ROUND(SUMIFS(GLOBAL_DATA[Global Progress rate],#REF!,CALCULATION[[#This Row],[PACKFORMULA]],GLOBAL_DATA[Status],DATA!$J$6)/CALCULATION[[#This Row],[IN SCOPE]],4),0)</f>
        <v>0</v>
      </c>
      <c r="BJ14" s="105">
        <f>IF((IFERROR(ROUND(SUMIFS(GLOBAL_DATA[Global Progress rate],#REF!,CALCULATION[[#This Row],[PACKFORMULA]],GLOBAL_DATA[Impl_Yes],1)/CALCULATION[[#This Row],[IN SCOPE]],4),0)-CALCULATION[[#This Row],[CURRENT IMPL DONE ]])&lt;0,0,(IFERROR(ROUND(SUMIFS(GLOBAL_DATA[Global Progress rate],#REF!,CALCULATION[[#This Row],[PACKFORMULA]],GLOBAL_DATA[Impl_Yes],1)/CALCULATION[[#This Row],[IN SCOPE]],4),0)-CALCULATION[[#This Row],[CURRENT IMPL DONE ]]))</f>
        <v>0</v>
      </c>
      <c r="BK14" s="105">
        <f>CALCULATION[[#This Row],[CURRENT IMPL DONE ]]+CALCULATION[[#This Row],[CURRENT IMPL CHECKED CISO &amp; VERIFIED]]</f>
        <v>0</v>
      </c>
      <c r="BL14" s="105">
        <f>CALCULATION[[#This Row],[CURRENT IMPLEMENTATION]]-CALCULATION[[#This Row],[CURRENT IMPL DONE ]]-CALCULATION[[#This Row],[CURRENT IMPL CHECKED CISO &amp; VERIFIED]]</f>
        <v>0</v>
      </c>
      <c r="BM14" s="105">
        <f>IFERROR(ROUND(SUMIF(#REF!,CALCULATION[[#This Row],[PACKFORMULA]],GLOBAL_DATA[Global Progress rate])/CALCULATION[[#This Row],[IN SCOPE]],4),0)</f>
        <v>0</v>
      </c>
      <c r="BN14" s="75" t="e">
        <f>COUNTIFS(#REF!,CALCULATION[[#This Row],[PACKFORMULA]],GLOBAL_DATA[Impl_Date],"&gt;31/12/2019",GLOBAL_DATA[Impl_Date],"&lt;01/01/2021",GLOBAL_DATA[Impl_Yes],1)</f>
        <v>#REF!</v>
      </c>
      <c r="BO14" s="74" t="e">
        <f>COUNTIFS(#REF!,CALCULATION[[#This Row],[PACKFORMULA]],GLOBAL_DATA[Impl_Date],"&gt;31/12/2019",GLOBAL_DATA[Impl_Date],"&lt;01/01/2021")</f>
        <v>#REF!</v>
      </c>
      <c r="BP14" s="102">
        <f>IFERROR(ROUND(SUMIFS(GLOBAL_DATA[Target scope],#REF!,CALCULATION[[#This Row],[PACKFORMULA]],GLOBAL_DATA[Impl_Date],"&gt;31/12/2019",GLOBAL_DATA[Impl_Date],"&lt;01/01/2021")/CALCULATION[[#This Row],[IN SCOPE]],4),0)</f>
        <v>0</v>
      </c>
      <c r="BQ14" s="73" t="e">
        <f>COUNTIFS(#REF!,CALCULATION[[#This Row],[PACKFORMULA]],GLOBAL_DATA[Impl_Date],"&gt;31/12/2020",GLOBAL_DATA[Impl_Date],"&lt;01/01/2022",GLOBAL_DATA[Impl_Yes],1)</f>
        <v>#REF!</v>
      </c>
      <c r="BR14" s="73" t="e">
        <f>COUNTIFS(#REF!,CALCULATION[[#This Row],[PACKFORMULA]],GLOBAL_DATA[Impl_Date],"&gt;31/12/2020",GLOBAL_DATA[Impl_Date],"&lt;01/01/2022")</f>
        <v>#REF!</v>
      </c>
      <c r="BS14" s="103">
        <f>IFERROR(ROUND(SUMIFS(GLOBAL_DATA[Target scope],#REF!,CALCULATION[[#This Row],[PACKFORMULA]],GLOBAL_DATA[Impl_Date],"&gt;31/12/2020",GLOBAL_DATA[Impl_Date],"&lt;01/01/2022")/CALCULATION[[#This Row],[IN SCOPE]],4),0)</f>
        <v>0</v>
      </c>
      <c r="BT14" s="73" t="e">
        <f>COUNTIFS(#REF!,CALCULATION[[#This Row],[PACKFORMULA]],GLOBAL_DATA[Impl_Date],"&gt;31/12/2021",GLOBAL_DATA[Impl_Date],"&lt;01/01/2023",GLOBAL_DATA[Impl_Yes],1)</f>
        <v>#REF!</v>
      </c>
      <c r="BU14" s="73" t="e">
        <f>COUNTIFS(#REF!,CALCULATION[[#This Row],[PACKFORMULA]],GLOBAL_DATA[Impl_Date],"&gt;31/12/2021",GLOBAL_DATA[Impl_Date],"&lt;01/01/2023")</f>
        <v>#REF!</v>
      </c>
      <c r="BV14" s="103">
        <f>IFERROR(ROUND(SUMIFS(GLOBAL_DATA[Target scope],#REF!,CALCULATION[[#This Row],[PACKFORMULA]],GLOBAL_DATA[Impl_Date],"&gt;31/12/2021",GLOBAL_DATA[Impl_Date],"&lt;01/01/2023")/CALCULATION[[#This Row],[IN SCOPE]],4),0)</f>
        <v>0</v>
      </c>
      <c r="BW14" s="131" t="e">
        <f>COUNTIFS(#REF!,CALCULATION[[#This Row],[PACKFORMULA]],GLOBAL_DATA[Impl_Date],"&gt;31/12/2022",GLOBAL_DATA[Impl_Date],"&lt;01/01/2024",GLOBAL_DATA[Impl_Yes],1)</f>
        <v>#REF!</v>
      </c>
      <c r="BX14" s="131" t="e">
        <f>COUNTIFS(#REF!,CALCULATION[[#This Row],[PACKFORMULA]],GLOBAL_DATA[Impl_Date],"&gt;31/12/2022")</f>
        <v>#REF!</v>
      </c>
      <c r="BY14" s="103">
        <f>IFERROR(ROUND(SUMIFS(GLOBAL_DATA[Target scope],#REF!,CALCULATION[[#This Row],[PACKFORMULA]],GLOBAL_DATA[Impl_Date],"&gt;31/12/2022",GLOBAL_DATA[Impl_Date],"&lt;01/01/2024")/CALCULATION[[#This Row],[IN SCOPE]],4),0)</f>
        <v>0</v>
      </c>
      <c r="BZ14" s="103">
        <f>CALCULATION[[#This Row],[% 2020 COMMITTED]]+CALCULATION[[#This Row],[% 2021 COMMITTED]]+CALCULATION[[#This Row],[% 2022 COMMITTED]]+CALCULATION[[#This Row],[% 2023 COMMITTED]]</f>
        <v>0</v>
      </c>
      <c r="CA14" s="111">
        <f>CALCULATION[[#This Row],[CURRENT IMPLEMENTATION]]</f>
        <v>0</v>
      </c>
      <c r="CB14" s="105">
        <f>CALCULATION[[#This Row],[% 2020 COMMITTED]]+CALCULATION[[#This Row],[% 2021 COMMITTED]]+CALCULATION[[#This Row],[% 2022 COMMITTED]]+CALCULATION[[#This Row],[% 2023 COMMITTED]]-CALCULATION[[#This Row],[CURRENT IMPLEMENTATION]]</f>
        <v>0</v>
      </c>
    </row>
    <row r="15" spans="1:82" s="156" customFormat="1" x14ac:dyDescent="0.25">
      <c r="A15" s="76"/>
      <c r="B15" s="76"/>
      <c r="C15" s="113"/>
      <c r="D15" s="130"/>
      <c r="E15" s="126"/>
      <c r="F15" s="126"/>
      <c r="G15" s="126"/>
      <c r="H15" s="126"/>
      <c r="I15" s="126"/>
      <c r="J15" s="76"/>
      <c r="K15" s="76"/>
      <c r="L15" s="12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96"/>
      <c r="AG15" s="96"/>
      <c r="AH15" s="127"/>
      <c r="AI15" s="96"/>
      <c r="AJ15" s="126"/>
      <c r="AK15" s="126"/>
      <c r="AL15" s="76"/>
      <c r="AM15" s="76"/>
      <c r="AN15" s="76"/>
      <c r="AO15" s="147"/>
      <c r="AP15" s="76"/>
      <c r="AQ15" s="126"/>
      <c r="AR15" s="126"/>
      <c r="AS15" s="126"/>
      <c r="AT15" s="126"/>
      <c r="AU15" s="127"/>
      <c r="AV15" s="126"/>
      <c r="AW15" s="127"/>
      <c r="AX15" s="76"/>
      <c r="AY15" s="76"/>
      <c r="AZ15" s="76"/>
      <c r="BA15" s="148"/>
      <c r="BB15" s="149"/>
      <c r="BC15" s="133"/>
      <c r="BD15" s="150"/>
      <c r="BE15" s="76"/>
      <c r="BF15" s="151"/>
      <c r="BG15" s="96"/>
      <c r="BH15" s="134"/>
      <c r="BI15" s="152"/>
      <c r="BJ15" s="152"/>
      <c r="BK15" s="152"/>
      <c r="BL15" s="152"/>
      <c r="BM15" s="126"/>
      <c r="BN15" s="151"/>
      <c r="BO15" s="147"/>
      <c r="BP15" s="126"/>
      <c r="BQ15" s="76"/>
      <c r="BR15" s="153"/>
      <c r="BS15" s="126"/>
      <c r="BT15" s="126"/>
      <c r="BU15" s="153"/>
      <c r="BV15" s="154"/>
      <c r="BW15" s="154"/>
      <c r="BX15" s="153"/>
      <c r="BY15" s="153"/>
      <c r="BZ15" s="155"/>
      <c r="CA15" s="152"/>
    </row>
    <row r="16" spans="1:82" s="156" customFormat="1" x14ac:dyDescent="0.25">
      <c r="A16" s="76"/>
      <c r="B16" s="76"/>
      <c r="C16" s="113"/>
      <c r="D16" s="130"/>
      <c r="E16" s="126"/>
      <c r="F16" s="126"/>
      <c r="G16" s="126"/>
      <c r="H16" s="126"/>
      <c r="I16" s="126"/>
      <c r="J16" s="76"/>
      <c r="K16" s="76"/>
      <c r="L16" s="12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96"/>
      <c r="AG16" s="96"/>
      <c r="AH16" s="127"/>
      <c r="AI16" s="96"/>
      <c r="AJ16" s="126"/>
      <c r="AK16" s="126"/>
      <c r="AL16" s="76"/>
      <c r="AM16" s="76"/>
      <c r="AN16" s="76"/>
      <c r="AO16" s="147"/>
      <c r="AP16" s="76"/>
      <c r="AQ16" s="126"/>
      <c r="AR16" s="126"/>
      <c r="AS16" s="126"/>
      <c r="AT16" s="126"/>
      <c r="AU16" s="127"/>
      <c r="AV16" s="126"/>
      <c r="AW16" s="127"/>
      <c r="AX16" s="76"/>
      <c r="AY16" s="76"/>
      <c r="AZ16" s="76"/>
      <c r="BA16" s="148"/>
      <c r="BB16" s="149"/>
      <c r="BC16" s="133"/>
      <c r="BD16" s="150"/>
      <c r="BE16" s="76"/>
      <c r="BF16" s="151"/>
      <c r="BG16" s="96"/>
      <c r="BH16" s="134"/>
      <c r="BI16" s="152"/>
      <c r="BJ16" s="152"/>
      <c r="BK16" s="152"/>
      <c r="BL16" s="152"/>
      <c r="BM16" s="126"/>
      <c r="BN16" s="151"/>
      <c r="BO16" s="147"/>
      <c r="BP16" s="126"/>
      <c r="BQ16" s="76"/>
      <c r="BR16" s="153"/>
      <c r="BS16" s="126"/>
      <c r="BT16" s="126"/>
      <c r="BU16" s="153"/>
      <c r="BV16" s="154"/>
      <c r="BW16" s="154"/>
      <c r="BX16" s="153"/>
      <c r="BY16" s="153"/>
      <c r="BZ16" s="155"/>
      <c r="CA16" s="152"/>
    </row>
    <row r="17" spans="1:80" s="157" customFormat="1" x14ac:dyDescent="0.25">
      <c r="A17" s="76"/>
      <c r="B17" s="76"/>
      <c r="C17" s="113"/>
      <c r="D17" s="130"/>
      <c r="E17" s="126"/>
      <c r="F17" s="126"/>
      <c r="G17" s="126"/>
      <c r="H17" s="126"/>
      <c r="I17" s="126"/>
      <c r="J17" s="76"/>
      <c r="K17" s="76"/>
      <c r="L17" s="12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96"/>
      <c r="AG17" s="96"/>
      <c r="AH17" s="127"/>
      <c r="AI17" s="96"/>
      <c r="AJ17" s="126"/>
      <c r="AK17" s="126"/>
      <c r="AL17" s="76"/>
      <c r="AM17" s="76"/>
      <c r="AN17" s="76"/>
      <c r="AO17" s="147"/>
      <c r="AP17" s="76"/>
      <c r="AQ17" s="126"/>
      <c r="AR17" s="126"/>
      <c r="AS17" s="126"/>
      <c r="AT17" s="126"/>
      <c r="AU17" s="127"/>
      <c r="AV17" s="126"/>
      <c r="AW17" s="127"/>
      <c r="AX17" s="76"/>
      <c r="AY17" s="76"/>
      <c r="AZ17" s="76"/>
      <c r="BA17" s="148"/>
      <c r="BB17" s="149"/>
      <c r="BC17" s="133"/>
      <c r="BD17" s="150"/>
      <c r="BE17" s="76"/>
      <c r="BF17" s="151"/>
      <c r="BG17" s="96"/>
      <c r="BH17" s="134"/>
      <c r="BI17" s="152"/>
      <c r="BJ17" s="152"/>
      <c r="BK17" s="152"/>
      <c r="BL17" s="152"/>
      <c r="BM17" s="126"/>
      <c r="BN17" s="151"/>
      <c r="BO17" s="147"/>
      <c r="BP17" s="126"/>
      <c r="BQ17" s="76"/>
      <c r="BR17" s="153"/>
      <c r="BS17" s="126"/>
      <c r="BT17" s="126"/>
      <c r="BU17" s="153"/>
      <c r="BV17" s="154"/>
      <c r="BW17" s="154"/>
      <c r="BX17" s="153"/>
      <c r="BY17" s="153"/>
      <c r="BZ17" s="155"/>
      <c r="CA17" s="152"/>
      <c r="CB17" s="156"/>
    </row>
    <row r="18" spans="1:80" s="156" customFormat="1" ht="30" x14ac:dyDescent="0.25">
      <c r="A18" s="141" t="s">
        <v>551</v>
      </c>
      <c r="B18" s="141" t="s">
        <v>549</v>
      </c>
      <c r="C18" s="142"/>
      <c r="D18" s="143" t="s">
        <v>545</v>
      </c>
      <c r="E18" s="144"/>
      <c r="F18" s="144"/>
      <c r="G18" s="144"/>
      <c r="H18" s="144"/>
      <c r="I18" s="144"/>
      <c r="J18" s="141"/>
      <c r="K18" s="141"/>
      <c r="L18" s="144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4"/>
      <c r="AI18" s="141"/>
      <c r="AJ18" s="144"/>
      <c r="AK18" s="144"/>
      <c r="AL18" s="141"/>
      <c r="AM18" s="141"/>
      <c r="AN18" s="141"/>
      <c r="AO18" s="144" t="s">
        <v>546</v>
      </c>
      <c r="AP18" s="141"/>
      <c r="AQ18" s="144"/>
      <c r="AR18" s="144"/>
      <c r="AS18" s="144"/>
      <c r="AT18" s="144"/>
      <c r="AU18" s="144"/>
      <c r="AV18" s="144"/>
      <c r="AW18" s="144"/>
      <c r="AX18" s="141"/>
      <c r="AY18" s="141"/>
      <c r="AZ18" s="141"/>
      <c r="BA18" s="158"/>
      <c r="BB18" s="141" t="s">
        <v>550</v>
      </c>
      <c r="BC18" s="145"/>
      <c r="BD18" s="158"/>
      <c r="BE18" s="141"/>
      <c r="BF18" s="159"/>
      <c r="BG18" s="141"/>
      <c r="BH18" s="146" t="s">
        <v>543</v>
      </c>
      <c r="BI18" s="144" t="s">
        <v>547</v>
      </c>
      <c r="BJ18" s="144" t="s">
        <v>547</v>
      </c>
      <c r="BK18" s="158" t="s">
        <v>544</v>
      </c>
      <c r="BL18" s="144" t="s">
        <v>547</v>
      </c>
      <c r="BM18" s="144" t="s">
        <v>547</v>
      </c>
      <c r="BN18" s="159"/>
      <c r="BO18" s="145"/>
      <c r="BP18" s="144" t="s">
        <v>546</v>
      </c>
      <c r="BQ18" s="141"/>
      <c r="BR18" s="160"/>
      <c r="BS18" s="144" t="s">
        <v>546</v>
      </c>
      <c r="BT18" s="144"/>
      <c r="BU18" s="160"/>
      <c r="BV18" s="144" t="s">
        <v>546</v>
      </c>
      <c r="BW18" s="161"/>
      <c r="BX18" s="160"/>
      <c r="BY18" s="144" t="s">
        <v>546</v>
      </c>
      <c r="BZ18" s="162"/>
      <c r="CA18" s="158" t="s">
        <v>552</v>
      </c>
      <c r="CB18" s="144" t="s">
        <v>547</v>
      </c>
    </row>
    <row r="20" spans="1:80" x14ac:dyDescent="0.25">
      <c r="AD20"/>
      <c r="AE20"/>
      <c r="AF20"/>
      <c r="AG20"/>
      <c r="AH20"/>
      <c r="AI20"/>
      <c r="AO20"/>
      <c r="AP20"/>
      <c r="AQ20"/>
      <c r="AR20"/>
      <c r="AS20"/>
      <c r="AT20"/>
      <c r="AU20"/>
      <c r="AV20"/>
      <c r="AW20"/>
      <c r="AX20"/>
      <c r="AY20"/>
    </row>
    <row r="21" spans="1:80" x14ac:dyDescent="0.25">
      <c r="AD21"/>
      <c r="AE21"/>
      <c r="AF21"/>
      <c r="AG21"/>
      <c r="AH21"/>
      <c r="AI21"/>
      <c r="AO21"/>
      <c r="AP21"/>
      <c r="AQ21"/>
      <c r="AR21"/>
      <c r="AS21"/>
      <c r="AT21"/>
      <c r="AU21"/>
      <c r="AV21"/>
      <c r="AW21"/>
      <c r="AX21"/>
      <c r="AY21"/>
    </row>
    <row r="22" spans="1:80" x14ac:dyDescent="0.25">
      <c r="AD22"/>
      <c r="AE22"/>
      <c r="AF22"/>
      <c r="AG22"/>
      <c r="AH22"/>
      <c r="AI22"/>
      <c r="AR22"/>
      <c r="AS22"/>
      <c r="AT22"/>
      <c r="AU22"/>
      <c r="AV22"/>
      <c r="AW22"/>
      <c r="AX22"/>
      <c r="AY22"/>
    </row>
    <row r="23" spans="1:80" x14ac:dyDescent="0.25">
      <c r="AD23"/>
      <c r="AE23"/>
      <c r="AF23"/>
      <c r="AG23"/>
      <c r="AH23"/>
      <c r="AI23"/>
      <c r="AU23"/>
      <c r="AV23"/>
      <c r="AW23"/>
      <c r="AX23"/>
      <c r="AY23"/>
    </row>
    <row r="24" spans="1:80" x14ac:dyDescent="0.25">
      <c r="AD24"/>
      <c r="AE24"/>
      <c r="AF24"/>
      <c r="AG24"/>
      <c r="AH24"/>
      <c r="AI24"/>
    </row>
    <row r="25" spans="1:80" x14ac:dyDescent="0.25">
      <c r="AD25"/>
      <c r="AE25"/>
      <c r="AF25"/>
      <c r="AG25"/>
      <c r="AH25"/>
      <c r="AI25"/>
    </row>
    <row r="26" spans="1:80" x14ac:dyDescent="0.25">
      <c r="AD26"/>
      <c r="AE26"/>
      <c r="AF26"/>
      <c r="AG26"/>
      <c r="AH26"/>
      <c r="AI26"/>
    </row>
    <row r="27" spans="1:80" x14ac:dyDescent="0.25">
      <c r="AD27"/>
      <c r="AE27"/>
      <c r="AF27"/>
      <c r="AG27"/>
      <c r="AH27"/>
      <c r="AI27"/>
    </row>
    <row r="28" spans="1:80" x14ac:dyDescent="0.25">
      <c r="AD28"/>
      <c r="AE28"/>
      <c r="AF28"/>
      <c r="AG28"/>
      <c r="AH28"/>
      <c r="AI28"/>
    </row>
    <row r="29" spans="1:80" x14ac:dyDescent="0.25">
      <c r="AD29"/>
      <c r="AE29"/>
      <c r="AF29"/>
      <c r="AG29"/>
      <c r="AH29"/>
      <c r="AI29"/>
    </row>
    <row r="30" spans="1:80" x14ac:dyDescent="0.25">
      <c r="AD30"/>
      <c r="AE30"/>
      <c r="AF30"/>
      <c r="AG30"/>
      <c r="AH30"/>
      <c r="AI3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theme="1" tint="0.249977111117893"/>
  </sheetPr>
  <dimension ref="A1:AD60"/>
  <sheetViews>
    <sheetView zoomScaleNormal="100" workbookViewId="0">
      <selection activeCell="AL19" sqref="AL19:AQ19"/>
    </sheetView>
  </sheetViews>
  <sheetFormatPr baseColWidth="10" defaultColWidth="9.140625" defaultRowHeight="15" x14ac:dyDescent="0.25"/>
  <cols>
    <col min="1" max="1" width="19.28515625" style="1" customWidth="1"/>
    <col min="2" max="2" width="2" style="1" bestFit="1" customWidth="1"/>
    <col min="4" max="4" width="1.42578125" style="1" customWidth="1"/>
    <col min="5" max="5" width="27.7109375" style="1" bestFit="1" customWidth="1"/>
    <col min="6" max="6" width="33.28515625" style="1" bestFit="1" customWidth="1"/>
    <col min="7" max="7" width="12.28515625" style="1" bestFit="1" customWidth="1"/>
    <col min="8" max="8" width="12.28515625" style="1" customWidth="1"/>
    <col min="9" max="9" width="1.42578125" style="1" customWidth="1"/>
    <col min="10" max="10" width="29.5703125" style="1" bestFit="1" customWidth="1"/>
    <col min="11" max="11" width="15.7109375" style="1" bestFit="1" customWidth="1"/>
    <col min="12" max="12" width="1.28515625" style="1" customWidth="1"/>
    <col min="13" max="13" width="19.5703125" style="1" customWidth="1"/>
    <col min="14" max="14" width="1.140625" style="1" customWidth="1"/>
    <col min="15" max="15" width="6.5703125" style="1" bestFit="1" customWidth="1"/>
    <col min="16" max="16" width="15.28515625" style="1" bestFit="1" customWidth="1"/>
    <col min="17" max="17" width="15.28515625" style="1" customWidth="1"/>
    <col min="18" max="18" width="25.7109375" style="1" bestFit="1" customWidth="1"/>
    <col min="19" max="19" width="18.28515625" style="1" bestFit="1" customWidth="1"/>
    <col min="20" max="20" width="10.28515625" style="10" bestFit="1" customWidth="1"/>
    <col min="21" max="21" width="13.85546875" style="1" bestFit="1" customWidth="1"/>
    <col min="22" max="22" width="2" style="72" customWidth="1"/>
    <col min="23" max="23" width="27.7109375" style="1" bestFit="1" customWidth="1"/>
    <col min="24" max="24" width="27.7109375" style="1" customWidth="1"/>
    <col min="25" max="25" width="30.5703125" style="1" bestFit="1" customWidth="1"/>
    <col min="26" max="26" width="30.5703125" style="1" customWidth="1"/>
    <col min="27" max="27" width="17.42578125" style="1" bestFit="1" customWidth="1"/>
    <col min="28" max="28" width="20.5703125" style="1" bestFit="1" customWidth="1"/>
    <col min="29" max="29" width="51.5703125" style="1" bestFit="1" customWidth="1"/>
    <col min="30" max="30" width="11" style="1" customWidth="1"/>
    <col min="31" max="31" width="30.5703125" style="1" bestFit="1" customWidth="1"/>
    <col min="32" max="32" width="9.140625" style="1"/>
    <col min="33" max="33" width="34" style="1" customWidth="1"/>
    <col min="34" max="35" width="35.5703125" style="1" bestFit="1" customWidth="1"/>
    <col min="36" max="16384" width="9.140625" style="1"/>
  </cols>
  <sheetData>
    <row r="1" spans="1:30" x14ac:dyDescent="0.25">
      <c r="A1" s="82" t="s">
        <v>521</v>
      </c>
    </row>
    <row r="2" spans="1:30" x14ac:dyDescent="0.25">
      <c r="A2" s="40" t="s">
        <v>66</v>
      </c>
      <c r="B2" s="17"/>
      <c r="D2" s="17"/>
      <c r="E2" s="18" t="s">
        <v>0</v>
      </c>
      <c r="F2" s="18" t="s">
        <v>1</v>
      </c>
      <c r="G2" s="19" t="s">
        <v>67</v>
      </c>
      <c r="H2" s="19"/>
      <c r="I2" s="17"/>
      <c r="J2" s="18" t="s">
        <v>68</v>
      </c>
      <c r="K2" s="18" t="s">
        <v>36</v>
      </c>
      <c r="L2" s="20"/>
      <c r="M2" s="21" t="s">
        <v>29</v>
      </c>
      <c r="N2" s="17"/>
      <c r="O2" s="22" t="s">
        <v>64</v>
      </c>
      <c r="P2" s="22" t="s">
        <v>37</v>
      </c>
      <c r="Q2" s="22" t="s">
        <v>76</v>
      </c>
      <c r="R2" s="22" t="s">
        <v>38</v>
      </c>
      <c r="S2" s="22" t="s">
        <v>70</v>
      </c>
      <c r="T2" s="23" t="s">
        <v>69</v>
      </c>
      <c r="U2" s="24" t="s">
        <v>71</v>
      </c>
      <c r="V2" s="71"/>
      <c r="W2" s="17" t="s">
        <v>331</v>
      </c>
      <c r="X2" s="17" t="s">
        <v>332</v>
      </c>
      <c r="Y2" s="17" t="s">
        <v>333</v>
      </c>
      <c r="Z2" s="17" t="s">
        <v>334</v>
      </c>
      <c r="AA2" s="17" t="s">
        <v>108</v>
      </c>
      <c r="AB2" s="17" t="s">
        <v>109</v>
      </c>
      <c r="AC2" s="17" t="s">
        <v>110</v>
      </c>
      <c r="AD2" s="17"/>
    </row>
    <row r="3" spans="1:30" x14ac:dyDescent="0.25">
      <c r="A3" s="41" t="s">
        <v>455</v>
      </c>
      <c r="E3" s="1" t="s">
        <v>6</v>
      </c>
      <c r="F3" s="1" t="s">
        <v>19</v>
      </c>
      <c r="G3" s="1" t="s">
        <v>20</v>
      </c>
      <c r="J3" s="1" t="s">
        <v>465</v>
      </c>
      <c r="K3" s="3">
        <v>1</v>
      </c>
      <c r="L3" s="3"/>
      <c r="M3" s="2">
        <v>3</v>
      </c>
      <c r="O3" s="4">
        <v>1</v>
      </c>
      <c r="P3" s="5" t="s">
        <v>54</v>
      </c>
      <c r="Q3" s="5" t="s">
        <v>55</v>
      </c>
      <c r="R3" s="8" t="s">
        <v>75</v>
      </c>
      <c r="S3" s="5" t="s">
        <v>72</v>
      </c>
      <c r="T3" s="7">
        <v>3</v>
      </c>
      <c r="U3" s="5" t="s">
        <v>73</v>
      </c>
      <c r="W3" s="1" t="s">
        <v>6</v>
      </c>
      <c r="X3" s="11" t="s">
        <v>19</v>
      </c>
      <c r="Y3" s="1" t="s">
        <v>189</v>
      </c>
      <c r="Z3" s="11" t="s">
        <v>335</v>
      </c>
      <c r="AA3" s="1" t="s">
        <v>190</v>
      </c>
      <c r="AB3" s="1" t="s">
        <v>191</v>
      </c>
      <c r="AC3" s="1" t="s">
        <v>192</v>
      </c>
    </row>
    <row r="4" spans="1:30" x14ac:dyDescent="0.25">
      <c r="E4" s="1" t="s">
        <v>8</v>
      </c>
      <c r="F4" s="1" t="s">
        <v>8</v>
      </c>
      <c r="G4" s="1" t="s">
        <v>23</v>
      </c>
      <c r="J4" s="1" t="s">
        <v>31</v>
      </c>
      <c r="K4" s="3">
        <v>2</v>
      </c>
      <c r="L4" s="3"/>
      <c r="O4" s="4">
        <v>2</v>
      </c>
      <c r="P4" t="s">
        <v>41</v>
      </c>
      <c r="Q4" t="s">
        <v>40</v>
      </c>
      <c r="R4" t="s">
        <v>77</v>
      </c>
      <c r="S4" t="s">
        <v>78</v>
      </c>
      <c r="T4" s="7">
        <v>3</v>
      </c>
      <c r="U4" s="5" t="s">
        <v>79</v>
      </c>
      <c r="W4" s="1" t="s">
        <v>6</v>
      </c>
      <c r="X4" s="11" t="s">
        <v>19</v>
      </c>
      <c r="Y4" s="1" t="s">
        <v>193</v>
      </c>
      <c r="Z4" s="11" t="s">
        <v>336</v>
      </c>
      <c r="AA4" s="1" t="s">
        <v>194</v>
      </c>
      <c r="AB4" s="1" t="s">
        <v>195</v>
      </c>
      <c r="AC4" s="1" t="s">
        <v>196</v>
      </c>
    </row>
    <row r="5" spans="1:30" x14ac:dyDescent="0.25">
      <c r="A5" s="12" t="s">
        <v>537</v>
      </c>
      <c r="E5" s="1" t="s">
        <v>4</v>
      </c>
      <c r="F5" s="1" t="s">
        <v>15</v>
      </c>
      <c r="G5" s="1" t="s">
        <v>16</v>
      </c>
      <c r="J5" s="1" t="s">
        <v>32</v>
      </c>
      <c r="K5" s="3">
        <v>3</v>
      </c>
      <c r="L5" s="3"/>
      <c r="M5" s="17" t="s">
        <v>427</v>
      </c>
      <c r="O5" s="4">
        <v>3</v>
      </c>
      <c r="P5" s="5" t="s">
        <v>42</v>
      </c>
      <c r="Q5" s="5" t="s">
        <v>40</v>
      </c>
      <c r="R5" s="5" t="s">
        <v>77</v>
      </c>
      <c r="S5" s="5" t="s">
        <v>80</v>
      </c>
      <c r="T5" s="7">
        <v>3</v>
      </c>
      <c r="U5" s="5" t="s">
        <v>79</v>
      </c>
      <c r="W5" s="1" t="s">
        <v>6</v>
      </c>
      <c r="X5" s="11" t="s">
        <v>19</v>
      </c>
      <c r="Y5" s="1" t="s">
        <v>197</v>
      </c>
      <c r="Z5" s="11" t="s">
        <v>337</v>
      </c>
      <c r="AA5" s="1" t="s">
        <v>198</v>
      </c>
      <c r="AB5" s="1" t="s">
        <v>199</v>
      </c>
      <c r="AC5" s="1" t="s">
        <v>200</v>
      </c>
    </row>
    <row r="6" spans="1:30" x14ac:dyDescent="0.25">
      <c r="A6" s="132">
        <v>45291</v>
      </c>
      <c r="E6" s="1" t="s">
        <v>7</v>
      </c>
      <c r="F6" s="1" t="s">
        <v>21</v>
      </c>
      <c r="G6" s="1" t="s">
        <v>22</v>
      </c>
      <c r="J6" s="1" t="s">
        <v>33</v>
      </c>
      <c r="K6" s="3">
        <v>4</v>
      </c>
      <c r="L6" s="3"/>
      <c r="M6" s="1" t="s">
        <v>428</v>
      </c>
      <c r="O6" s="4">
        <v>4</v>
      </c>
      <c r="P6" s="5" t="s">
        <v>56</v>
      </c>
      <c r="Q6" s="5" t="s">
        <v>55</v>
      </c>
      <c r="R6" s="8" t="s">
        <v>75</v>
      </c>
      <c r="S6" s="5" t="s">
        <v>74</v>
      </c>
      <c r="T6" s="7">
        <v>1</v>
      </c>
      <c r="U6" s="5" t="s">
        <v>73</v>
      </c>
      <c r="W6" s="1" t="s">
        <v>6</v>
      </c>
      <c r="X6" s="11" t="s">
        <v>19</v>
      </c>
      <c r="Y6" s="1" t="s">
        <v>201</v>
      </c>
      <c r="Z6" s="11" t="s">
        <v>338</v>
      </c>
      <c r="AA6" s="1" t="s">
        <v>202</v>
      </c>
      <c r="AB6" s="1" t="s">
        <v>203</v>
      </c>
      <c r="AC6" s="1" t="s">
        <v>204</v>
      </c>
    </row>
    <row r="7" spans="1:30" x14ac:dyDescent="0.25">
      <c r="E7" s="1" t="s">
        <v>5</v>
      </c>
      <c r="F7" s="1" t="s">
        <v>17</v>
      </c>
      <c r="G7" s="1" t="s">
        <v>18</v>
      </c>
      <c r="J7" s="1" t="s">
        <v>35</v>
      </c>
      <c r="K7" s="3">
        <v>5</v>
      </c>
      <c r="L7" s="3"/>
      <c r="M7" s="1" t="s">
        <v>429</v>
      </c>
      <c r="O7" s="4">
        <v>5</v>
      </c>
      <c r="P7" s="5" t="s">
        <v>420</v>
      </c>
      <c r="Q7" s="5" t="s">
        <v>55</v>
      </c>
      <c r="R7" s="8" t="s">
        <v>75</v>
      </c>
      <c r="S7" s="5" t="s">
        <v>74</v>
      </c>
      <c r="T7" s="7">
        <v>3</v>
      </c>
      <c r="U7" s="5" t="s">
        <v>73</v>
      </c>
      <c r="W7" s="1" t="s">
        <v>6</v>
      </c>
      <c r="X7" s="11" t="s">
        <v>19</v>
      </c>
      <c r="Y7" s="1" t="s">
        <v>205</v>
      </c>
      <c r="Z7" s="11" t="s">
        <v>339</v>
      </c>
      <c r="AA7" s="1" t="s">
        <v>206</v>
      </c>
      <c r="AB7" s="1" t="s">
        <v>207</v>
      </c>
      <c r="AC7" s="1" t="s">
        <v>208</v>
      </c>
    </row>
    <row r="8" spans="1:30" x14ac:dyDescent="0.25">
      <c r="A8" s="12" t="s">
        <v>538</v>
      </c>
      <c r="E8" s="1" t="s">
        <v>2</v>
      </c>
      <c r="F8" s="1" t="s">
        <v>11</v>
      </c>
      <c r="G8" s="1" t="s">
        <v>12</v>
      </c>
      <c r="J8" s="1" t="s">
        <v>382</v>
      </c>
      <c r="K8" s="3">
        <v>6</v>
      </c>
      <c r="L8" s="3"/>
      <c r="O8" s="4">
        <v>6</v>
      </c>
      <c r="P8" s="5" t="s">
        <v>410</v>
      </c>
      <c r="Q8" s="5" t="s">
        <v>55</v>
      </c>
      <c r="R8" s="8" t="s">
        <v>75</v>
      </c>
      <c r="S8" s="5" t="s">
        <v>81</v>
      </c>
      <c r="T8" s="7">
        <v>2</v>
      </c>
      <c r="U8" s="5" t="s">
        <v>79</v>
      </c>
      <c r="W8" s="1" t="s">
        <v>6</v>
      </c>
      <c r="X8" s="11" t="s">
        <v>19</v>
      </c>
      <c r="Y8" s="1" t="s">
        <v>209</v>
      </c>
      <c r="Z8" s="11" t="s">
        <v>340</v>
      </c>
      <c r="AA8" s="1" t="s">
        <v>210</v>
      </c>
      <c r="AB8" s="1" t="s">
        <v>211</v>
      </c>
      <c r="AC8" s="1" t="s">
        <v>212</v>
      </c>
    </row>
    <row r="9" spans="1:30" x14ac:dyDescent="0.25">
      <c r="A9" s="132">
        <f>SYNTHESIS!ReportingDate</f>
        <v>44084</v>
      </c>
      <c r="E9" s="1" t="s">
        <v>10</v>
      </c>
      <c r="F9" s="1" t="s">
        <v>26</v>
      </c>
      <c r="G9" s="1" t="s">
        <v>27</v>
      </c>
      <c r="L9" s="3"/>
      <c r="O9" s="4">
        <v>7</v>
      </c>
      <c r="P9" t="s">
        <v>406</v>
      </c>
      <c r="Q9" s="5" t="s">
        <v>40</v>
      </c>
      <c r="R9" s="5" t="s">
        <v>82</v>
      </c>
      <c r="S9" s="5" t="s">
        <v>82</v>
      </c>
      <c r="T9" s="7">
        <v>3</v>
      </c>
      <c r="U9" s="5" t="s">
        <v>79</v>
      </c>
      <c r="W9" s="1" t="s">
        <v>8</v>
      </c>
      <c r="X9" s="11" t="s">
        <v>8</v>
      </c>
      <c r="Y9" s="1" t="s">
        <v>213</v>
      </c>
      <c r="Z9" s="11" t="s">
        <v>341</v>
      </c>
      <c r="AA9" s="1" t="s">
        <v>214</v>
      </c>
      <c r="AB9" s="1" t="s">
        <v>215</v>
      </c>
      <c r="AC9" s="1" t="s">
        <v>216</v>
      </c>
    </row>
    <row r="10" spans="1:30" x14ac:dyDescent="0.25">
      <c r="E10" s="1" t="s">
        <v>9</v>
      </c>
      <c r="F10" s="1" t="s">
        <v>24</v>
      </c>
      <c r="G10" s="1" t="s">
        <v>25</v>
      </c>
      <c r="L10" s="3"/>
      <c r="O10" s="4">
        <v>8</v>
      </c>
      <c r="P10" s="5" t="s">
        <v>57</v>
      </c>
      <c r="Q10" s="5" t="s">
        <v>55</v>
      </c>
      <c r="R10" s="8" t="s">
        <v>75</v>
      </c>
      <c r="S10" s="5" t="s">
        <v>83</v>
      </c>
      <c r="T10" s="7">
        <v>3</v>
      </c>
      <c r="U10" s="5" t="s">
        <v>73</v>
      </c>
      <c r="W10" s="1" t="s">
        <v>8</v>
      </c>
      <c r="X10" s="11" t="s">
        <v>8</v>
      </c>
      <c r="Y10" s="1" t="s">
        <v>217</v>
      </c>
      <c r="Z10" s="11" t="s">
        <v>342</v>
      </c>
      <c r="AA10" s="1" t="s">
        <v>218</v>
      </c>
      <c r="AB10" s="1" t="s">
        <v>219</v>
      </c>
      <c r="AC10" s="1" t="s">
        <v>220</v>
      </c>
    </row>
    <row r="11" spans="1:30" x14ac:dyDescent="0.25">
      <c r="E11" s="1" t="s">
        <v>3</v>
      </c>
      <c r="F11" s="1" t="s">
        <v>13</v>
      </c>
      <c r="G11" s="1" t="s">
        <v>14</v>
      </c>
      <c r="J11" s="17" t="s">
        <v>459</v>
      </c>
      <c r="K11" s="33" t="s">
        <v>458</v>
      </c>
      <c r="M11" s="17" t="s">
        <v>65</v>
      </c>
      <c r="O11" s="4">
        <v>9</v>
      </c>
      <c r="P11" s="5" t="s">
        <v>58</v>
      </c>
      <c r="Q11" s="5" t="s">
        <v>55</v>
      </c>
      <c r="R11" s="8" t="s">
        <v>75</v>
      </c>
      <c r="S11" s="5" t="s">
        <v>84</v>
      </c>
      <c r="T11" s="7">
        <v>2</v>
      </c>
      <c r="U11" s="5" t="s">
        <v>73</v>
      </c>
      <c r="W11" s="1" t="s">
        <v>8</v>
      </c>
      <c r="X11" s="11" t="s">
        <v>8</v>
      </c>
      <c r="Y11" s="1" t="s">
        <v>221</v>
      </c>
      <c r="Z11" s="11" t="s">
        <v>221</v>
      </c>
      <c r="AA11" s="1" t="s">
        <v>221</v>
      </c>
      <c r="AB11" s="1" t="s">
        <v>222</v>
      </c>
      <c r="AC11" s="1" t="s">
        <v>223</v>
      </c>
    </row>
    <row r="12" spans="1:30" x14ac:dyDescent="0.25">
      <c r="J12" s="27" t="s">
        <v>34</v>
      </c>
      <c r="K12" s="37">
        <v>0</v>
      </c>
      <c r="M12" s="6" t="s">
        <v>426</v>
      </c>
      <c r="O12" s="4">
        <v>10</v>
      </c>
      <c r="P12" s="5" t="s">
        <v>59</v>
      </c>
      <c r="Q12" s="5" t="s">
        <v>55</v>
      </c>
      <c r="R12" s="8" t="s">
        <v>75</v>
      </c>
      <c r="S12" s="5" t="s">
        <v>72</v>
      </c>
      <c r="T12" s="7">
        <v>3</v>
      </c>
      <c r="U12" s="5" t="s">
        <v>73</v>
      </c>
      <c r="W12" s="1" t="s">
        <v>8</v>
      </c>
      <c r="X12" s="11" t="s">
        <v>8</v>
      </c>
      <c r="Y12" s="1" t="s">
        <v>224</v>
      </c>
      <c r="Z12" s="11" t="s">
        <v>15</v>
      </c>
      <c r="AA12" s="1" t="s">
        <v>16</v>
      </c>
      <c r="AB12" s="1" t="s">
        <v>225</v>
      </c>
      <c r="AC12" s="1" t="s">
        <v>226</v>
      </c>
    </row>
    <row r="13" spans="1:30" x14ac:dyDescent="0.25">
      <c r="J13" s="27" t="s">
        <v>424</v>
      </c>
      <c r="K13" s="37">
        <v>0.01</v>
      </c>
      <c r="M13" s="6">
        <v>0</v>
      </c>
      <c r="O13" s="4">
        <v>11</v>
      </c>
      <c r="P13" s="5" t="s">
        <v>60</v>
      </c>
      <c r="Q13" s="5" t="s">
        <v>55</v>
      </c>
      <c r="R13" s="8" t="s">
        <v>75</v>
      </c>
      <c r="S13" s="5" t="s">
        <v>83</v>
      </c>
      <c r="T13" s="7">
        <v>1</v>
      </c>
      <c r="U13" s="5" t="s">
        <v>73</v>
      </c>
      <c r="W13" s="1" t="s">
        <v>8</v>
      </c>
      <c r="X13" s="11" t="s">
        <v>8</v>
      </c>
      <c r="Y13" s="1" t="s">
        <v>115</v>
      </c>
      <c r="Z13" s="11" t="s">
        <v>343</v>
      </c>
      <c r="AA13" s="1" t="s">
        <v>116</v>
      </c>
      <c r="AB13" s="1" t="s">
        <v>227</v>
      </c>
      <c r="AC13" s="1" t="s">
        <v>228</v>
      </c>
    </row>
    <row r="14" spans="1:30" x14ac:dyDescent="0.25">
      <c r="A14" s="17" t="s">
        <v>383</v>
      </c>
      <c r="E14" s="14" t="s">
        <v>386</v>
      </c>
      <c r="F14" s="14" t="s">
        <v>539</v>
      </c>
      <c r="G14" s="14" t="s">
        <v>387</v>
      </c>
      <c r="H14" s="26" t="s">
        <v>28</v>
      </c>
      <c r="J14" s="27" t="s">
        <v>423</v>
      </c>
      <c r="K14" s="37">
        <v>1</v>
      </c>
      <c r="M14" s="6">
        <v>0.2</v>
      </c>
      <c r="O14" s="4">
        <v>12</v>
      </c>
      <c r="P14" s="5" t="s">
        <v>62</v>
      </c>
      <c r="Q14" s="5" t="s">
        <v>61</v>
      </c>
      <c r="R14" s="8" t="s">
        <v>75</v>
      </c>
      <c r="S14" s="5" t="s">
        <v>87</v>
      </c>
      <c r="T14" s="7">
        <v>1</v>
      </c>
      <c r="U14" s="5" t="s">
        <v>73</v>
      </c>
      <c r="W14" s="1" t="s">
        <v>8</v>
      </c>
      <c r="X14" s="11" t="s">
        <v>8</v>
      </c>
      <c r="Y14" s="1" t="s">
        <v>229</v>
      </c>
      <c r="Z14" s="11" t="s">
        <v>344</v>
      </c>
      <c r="AA14" s="1" t="s">
        <v>230</v>
      </c>
      <c r="AB14" s="1" t="s">
        <v>231</v>
      </c>
      <c r="AC14" s="1" t="s">
        <v>232</v>
      </c>
    </row>
    <row r="15" spans="1:30" x14ac:dyDescent="0.25">
      <c r="A15" s="1" t="s">
        <v>384</v>
      </c>
      <c r="E15" s="13" t="s">
        <v>2</v>
      </c>
      <c r="F15" s="13" t="s">
        <v>2</v>
      </c>
      <c r="G15" s="25" t="s">
        <v>12</v>
      </c>
      <c r="H15" s="25">
        <v>1</v>
      </c>
      <c r="J15" s="27" t="s">
        <v>30</v>
      </c>
      <c r="K15" s="27" t="s">
        <v>30</v>
      </c>
      <c r="M15" s="6">
        <v>0.4</v>
      </c>
      <c r="O15" s="4">
        <v>13</v>
      </c>
      <c r="P15" s="5" t="s">
        <v>63</v>
      </c>
      <c r="Q15" s="5" t="s">
        <v>61</v>
      </c>
      <c r="R15" s="8" t="s">
        <v>75</v>
      </c>
      <c r="S15" s="5" t="s">
        <v>87</v>
      </c>
      <c r="T15" s="7">
        <v>2</v>
      </c>
      <c r="U15" s="5" t="s">
        <v>73</v>
      </c>
      <c r="W15" s="1" t="s">
        <v>8</v>
      </c>
      <c r="X15" s="11" t="s">
        <v>8</v>
      </c>
      <c r="Y15" s="1" t="s">
        <v>233</v>
      </c>
      <c r="Z15" s="11" t="s">
        <v>233</v>
      </c>
      <c r="AA15" s="1" t="s">
        <v>234</v>
      </c>
      <c r="AB15" s="1" t="s">
        <v>235</v>
      </c>
      <c r="AC15" s="1" t="s">
        <v>236</v>
      </c>
    </row>
    <row r="16" spans="1:30" x14ac:dyDescent="0.25">
      <c r="A16" s="1" t="s">
        <v>403</v>
      </c>
      <c r="E16" s="13" t="s">
        <v>3</v>
      </c>
      <c r="F16" s="13" t="s">
        <v>3</v>
      </c>
      <c r="G16" s="25" t="s">
        <v>14</v>
      </c>
      <c r="H16" s="25">
        <v>2</v>
      </c>
      <c r="M16" s="6">
        <v>0.6</v>
      </c>
      <c r="O16" s="4">
        <v>14</v>
      </c>
      <c r="P16" s="5" t="s">
        <v>43</v>
      </c>
      <c r="Q16" s="5" t="s">
        <v>40</v>
      </c>
      <c r="R16" s="5" t="s">
        <v>407</v>
      </c>
      <c r="S16" s="5" t="s">
        <v>88</v>
      </c>
      <c r="T16" s="7">
        <v>2</v>
      </c>
      <c r="U16" s="5" t="s">
        <v>79</v>
      </c>
      <c r="W16" s="1" t="s">
        <v>8</v>
      </c>
      <c r="X16" s="11" t="s">
        <v>8</v>
      </c>
      <c r="Y16" s="1" t="s">
        <v>237</v>
      </c>
      <c r="Z16" s="11" t="s">
        <v>345</v>
      </c>
      <c r="AA16" s="1" t="s">
        <v>238</v>
      </c>
      <c r="AB16" s="1" t="s">
        <v>239</v>
      </c>
      <c r="AC16" s="1" t="s">
        <v>240</v>
      </c>
    </row>
    <row r="17" spans="1:29" x14ac:dyDescent="0.25">
      <c r="A17" s="1" t="s">
        <v>385</v>
      </c>
      <c r="E17" s="13" t="s">
        <v>4</v>
      </c>
      <c r="F17" s="13" t="s">
        <v>4</v>
      </c>
      <c r="G17" s="25" t="s">
        <v>16</v>
      </c>
      <c r="H17" s="25">
        <v>3</v>
      </c>
      <c r="J17" s="17" t="s">
        <v>425</v>
      </c>
      <c r="K17" s="33" t="s">
        <v>36</v>
      </c>
      <c r="M17" s="6">
        <v>0.8</v>
      </c>
      <c r="O17" s="4">
        <v>15</v>
      </c>
      <c r="P17" s="5" t="s">
        <v>39</v>
      </c>
      <c r="Q17" s="5" t="s">
        <v>40</v>
      </c>
      <c r="R17" s="5" t="s">
        <v>89</v>
      </c>
      <c r="S17" s="5" t="s">
        <v>82</v>
      </c>
      <c r="T17" s="7">
        <v>1</v>
      </c>
      <c r="U17" s="5" t="s">
        <v>79</v>
      </c>
      <c r="W17" s="1" t="s">
        <v>8</v>
      </c>
      <c r="X17" s="11" t="s">
        <v>8</v>
      </c>
      <c r="Y17" s="1" t="s">
        <v>241</v>
      </c>
      <c r="Z17" s="11" t="s">
        <v>346</v>
      </c>
      <c r="AA17" s="1" t="s">
        <v>242</v>
      </c>
      <c r="AB17" s="1" t="s">
        <v>243</v>
      </c>
      <c r="AC17" s="1" t="s">
        <v>244</v>
      </c>
    </row>
    <row r="18" spans="1:29" x14ac:dyDescent="0.25">
      <c r="E18" s="13" t="s">
        <v>5</v>
      </c>
      <c r="F18" s="13" t="s">
        <v>5</v>
      </c>
      <c r="G18" s="25" t="s">
        <v>18</v>
      </c>
      <c r="H18" s="25">
        <v>4</v>
      </c>
      <c r="J18" s="27" t="s">
        <v>30</v>
      </c>
      <c r="K18" s="35">
        <v>1</v>
      </c>
      <c r="M18" s="28">
        <v>1</v>
      </c>
      <c r="O18" s="4">
        <v>16</v>
      </c>
      <c r="P18" s="5" t="s">
        <v>44</v>
      </c>
      <c r="Q18" s="5" t="s">
        <v>40</v>
      </c>
      <c r="R18" s="5" t="s">
        <v>90</v>
      </c>
      <c r="S18" s="5" t="s">
        <v>91</v>
      </c>
      <c r="T18" s="7">
        <v>3</v>
      </c>
      <c r="U18" s="5" t="s">
        <v>79</v>
      </c>
      <c r="W18" s="1" t="s">
        <v>8</v>
      </c>
      <c r="X18" s="11" t="s">
        <v>8</v>
      </c>
      <c r="Y18" s="1" t="s">
        <v>245</v>
      </c>
      <c r="Z18" s="11" t="s">
        <v>347</v>
      </c>
      <c r="AA18" s="1" t="s">
        <v>246</v>
      </c>
      <c r="AB18" s="1" t="s">
        <v>247</v>
      </c>
      <c r="AC18" s="1" t="s">
        <v>248</v>
      </c>
    </row>
    <row r="19" spans="1:29" x14ac:dyDescent="0.25">
      <c r="A19" s="1" t="s">
        <v>577</v>
      </c>
      <c r="E19" s="13" t="s">
        <v>6</v>
      </c>
      <c r="F19" s="13" t="s">
        <v>6</v>
      </c>
      <c r="G19" s="25" t="s">
        <v>20</v>
      </c>
      <c r="H19" s="25">
        <v>5</v>
      </c>
      <c r="J19" s="27" t="s">
        <v>461</v>
      </c>
      <c r="K19" s="35">
        <v>2</v>
      </c>
      <c r="O19" s="4">
        <v>17</v>
      </c>
      <c r="P19" s="5" t="s">
        <v>45</v>
      </c>
      <c r="Q19" s="5" t="s">
        <v>40</v>
      </c>
      <c r="R19" s="5" t="s">
        <v>90</v>
      </c>
      <c r="S19" s="5" t="s">
        <v>92</v>
      </c>
      <c r="T19" s="7">
        <v>3</v>
      </c>
      <c r="U19" s="5" t="s">
        <v>79</v>
      </c>
      <c r="W19" s="1" t="s">
        <v>4</v>
      </c>
      <c r="X19" s="11" t="s">
        <v>15</v>
      </c>
      <c r="Y19" s="1" t="s">
        <v>147</v>
      </c>
      <c r="Z19" s="11" t="s">
        <v>348</v>
      </c>
      <c r="AA19" s="1" t="s">
        <v>148</v>
      </c>
      <c r="AB19" s="1" t="s">
        <v>149</v>
      </c>
      <c r="AC19" s="1" t="s">
        <v>150</v>
      </c>
    </row>
    <row r="20" spans="1:29" x14ac:dyDescent="0.25">
      <c r="A20" s="1" t="s">
        <v>578</v>
      </c>
      <c r="E20" s="13" t="s">
        <v>7</v>
      </c>
      <c r="F20" s="13" t="s">
        <v>7</v>
      </c>
      <c r="G20" s="25" t="s">
        <v>22</v>
      </c>
      <c r="H20" s="25">
        <v>6</v>
      </c>
      <c r="J20" s="27" t="s">
        <v>462</v>
      </c>
      <c r="K20" s="35">
        <v>3</v>
      </c>
      <c r="O20" s="4">
        <v>18</v>
      </c>
      <c r="P20" s="5" t="s">
        <v>46</v>
      </c>
      <c r="Q20" s="5" t="s">
        <v>40</v>
      </c>
      <c r="R20" s="5" t="s">
        <v>94</v>
      </c>
      <c r="S20" s="5" t="s">
        <v>95</v>
      </c>
      <c r="T20" s="7">
        <v>3</v>
      </c>
      <c r="U20" s="5" t="s">
        <v>79</v>
      </c>
      <c r="W20" s="1" t="s">
        <v>4</v>
      </c>
      <c r="X20" s="11" t="s">
        <v>15</v>
      </c>
      <c r="Y20" s="1" t="s">
        <v>151</v>
      </c>
      <c r="Z20" s="11" t="s">
        <v>349</v>
      </c>
      <c r="AA20" s="1" t="s">
        <v>152</v>
      </c>
      <c r="AB20" s="1" t="s">
        <v>153</v>
      </c>
      <c r="AC20" s="1" t="s">
        <v>154</v>
      </c>
    </row>
    <row r="21" spans="1:29" x14ac:dyDescent="0.25">
      <c r="A21" s="1" t="s">
        <v>579</v>
      </c>
      <c r="E21" s="13" t="s">
        <v>8</v>
      </c>
      <c r="F21" s="13" t="s">
        <v>8</v>
      </c>
      <c r="G21" s="25" t="s">
        <v>23</v>
      </c>
      <c r="H21" s="25">
        <v>7</v>
      </c>
      <c r="J21" s="1" t="s">
        <v>32</v>
      </c>
      <c r="K21" s="35">
        <v>4</v>
      </c>
      <c r="O21" s="4">
        <v>19</v>
      </c>
      <c r="P21" s="5" t="s">
        <v>47</v>
      </c>
      <c r="Q21" s="5" t="s">
        <v>40</v>
      </c>
      <c r="R21" s="5" t="s">
        <v>94</v>
      </c>
      <c r="S21" s="5" t="s">
        <v>99</v>
      </c>
      <c r="T21" s="7">
        <v>3</v>
      </c>
      <c r="U21" s="5" t="s">
        <v>79</v>
      </c>
      <c r="W21" s="1" t="s">
        <v>4</v>
      </c>
      <c r="X21" s="11" t="s">
        <v>15</v>
      </c>
      <c r="Y21" s="1" t="s">
        <v>139</v>
      </c>
      <c r="Z21" s="11" t="s">
        <v>139</v>
      </c>
      <c r="AA21" s="1" t="s">
        <v>140</v>
      </c>
      <c r="AB21" s="1" t="s">
        <v>155</v>
      </c>
      <c r="AC21" s="1" t="s">
        <v>156</v>
      </c>
    </row>
    <row r="22" spans="1:29" x14ac:dyDescent="0.25">
      <c r="A22" s="1" t="s">
        <v>580</v>
      </c>
      <c r="E22" s="13" t="s">
        <v>9</v>
      </c>
      <c r="F22" s="13" t="s">
        <v>9</v>
      </c>
      <c r="G22" s="25" t="s">
        <v>25</v>
      </c>
      <c r="H22" s="25">
        <v>8</v>
      </c>
      <c r="J22" s="27" t="s">
        <v>463</v>
      </c>
      <c r="K22" s="35">
        <v>5</v>
      </c>
      <c r="O22" s="4">
        <v>20</v>
      </c>
      <c r="P22" s="9" t="s">
        <v>96</v>
      </c>
      <c r="Q22" s="9" t="s">
        <v>40</v>
      </c>
      <c r="R22" s="5" t="s">
        <v>94</v>
      </c>
      <c r="S22" s="5" t="s">
        <v>85</v>
      </c>
      <c r="T22" s="7">
        <v>3</v>
      </c>
      <c r="U22" s="5" t="s">
        <v>79</v>
      </c>
      <c r="W22" s="1" t="s">
        <v>4</v>
      </c>
      <c r="X22" s="11" t="s">
        <v>15</v>
      </c>
      <c r="Y22" s="1" t="s">
        <v>157</v>
      </c>
      <c r="Z22" s="11" t="s">
        <v>350</v>
      </c>
      <c r="AA22" s="1" t="s">
        <v>158</v>
      </c>
      <c r="AB22" s="1" t="s">
        <v>159</v>
      </c>
      <c r="AC22" s="1" t="s">
        <v>160</v>
      </c>
    </row>
    <row r="23" spans="1:29" x14ac:dyDescent="0.25">
      <c r="A23" s="1" t="s">
        <v>581</v>
      </c>
      <c r="E23" s="13" t="s">
        <v>10</v>
      </c>
      <c r="F23" s="13" t="s">
        <v>10</v>
      </c>
      <c r="G23" s="25" t="s">
        <v>27</v>
      </c>
      <c r="H23" s="25">
        <v>9</v>
      </c>
      <c r="J23" s="34" t="s">
        <v>464</v>
      </c>
      <c r="K23" s="35">
        <v>6</v>
      </c>
      <c r="O23" s="4">
        <v>21</v>
      </c>
      <c r="P23" s="5" t="s">
        <v>48</v>
      </c>
      <c r="Q23" s="5" t="s">
        <v>40</v>
      </c>
      <c r="R23" s="5" t="s">
        <v>77</v>
      </c>
      <c r="S23" s="5" t="s">
        <v>100</v>
      </c>
      <c r="T23" s="7">
        <v>3</v>
      </c>
      <c r="U23" s="5" t="s">
        <v>79</v>
      </c>
      <c r="W23" s="1" t="s">
        <v>4</v>
      </c>
      <c r="X23" s="11" t="s">
        <v>15</v>
      </c>
      <c r="Y23" s="1" t="s">
        <v>161</v>
      </c>
      <c r="Z23" s="11" t="s">
        <v>351</v>
      </c>
      <c r="AA23" s="1" t="s">
        <v>162</v>
      </c>
      <c r="AB23" s="1" t="s">
        <v>163</v>
      </c>
      <c r="AC23" s="1" t="s">
        <v>164</v>
      </c>
    </row>
    <row r="24" spans="1:29" x14ac:dyDescent="0.25">
      <c r="A24" s="1" t="s">
        <v>582</v>
      </c>
      <c r="E24" s="29" t="s">
        <v>533</v>
      </c>
      <c r="F24" s="29" t="s">
        <v>533</v>
      </c>
      <c r="G24" s="139"/>
      <c r="H24" s="25">
        <v>10</v>
      </c>
      <c r="O24" s="4">
        <v>22</v>
      </c>
      <c r="P24" s="5" t="s">
        <v>101</v>
      </c>
      <c r="Q24" s="5" t="s">
        <v>40</v>
      </c>
      <c r="R24" s="5" t="s">
        <v>90</v>
      </c>
      <c r="S24" s="5" t="s">
        <v>101</v>
      </c>
      <c r="T24" s="7">
        <v>3</v>
      </c>
      <c r="U24" s="5" t="s">
        <v>79</v>
      </c>
      <c r="W24" s="1" t="s">
        <v>4</v>
      </c>
      <c r="X24" s="11" t="s">
        <v>15</v>
      </c>
      <c r="Y24" s="1" t="s">
        <v>165</v>
      </c>
      <c r="Z24" s="11" t="s">
        <v>165</v>
      </c>
      <c r="AA24" s="1" t="s">
        <v>166</v>
      </c>
      <c r="AB24" s="1" t="s">
        <v>167</v>
      </c>
      <c r="AC24" s="1" t="s">
        <v>168</v>
      </c>
    </row>
    <row r="25" spans="1:29" x14ac:dyDescent="0.25">
      <c r="A25" s="1" t="s">
        <v>583</v>
      </c>
      <c r="E25" s="29" t="s">
        <v>530</v>
      </c>
      <c r="F25" s="140" t="s">
        <v>540</v>
      </c>
      <c r="G25" s="139"/>
      <c r="H25" s="25">
        <v>11</v>
      </c>
      <c r="O25" s="4">
        <v>23</v>
      </c>
      <c r="P25" s="5" t="s">
        <v>49</v>
      </c>
      <c r="Q25" s="5" t="s">
        <v>40</v>
      </c>
      <c r="R25" s="5" t="s">
        <v>90</v>
      </c>
      <c r="S25" s="5" t="s">
        <v>102</v>
      </c>
      <c r="T25" s="7">
        <v>3</v>
      </c>
      <c r="U25" s="5" t="s">
        <v>73</v>
      </c>
      <c r="W25" s="1" t="s">
        <v>4</v>
      </c>
      <c r="X25" s="11" t="s">
        <v>15</v>
      </c>
      <c r="Y25" s="1" t="s">
        <v>169</v>
      </c>
      <c r="Z25" s="11" t="s">
        <v>352</v>
      </c>
      <c r="AA25" s="1" t="s">
        <v>170</v>
      </c>
      <c r="AB25" s="1" t="s">
        <v>171</v>
      </c>
      <c r="AC25" s="1" t="s">
        <v>172</v>
      </c>
    </row>
    <row r="26" spans="1:29" ht="30" x14ac:dyDescent="0.25">
      <c r="A26" s="1" t="s">
        <v>584</v>
      </c>
      <c r="O26" s="4">
        <v>24</v>
      </c>
      <c r="P26" t="s">
        <v>408</v>
      </c>
      <c r="Q26" t="s">
        <v>40</v>
      </c>
      <c r="R26" s="5" t="s">
        <v>90</v>
      </c>
      <c r="S26" t="s">
        <v>93</v>
      </c>
      <c r="T26" s="7">
        <v>3</v>
      </c>
      <c r="U26" s="5" t="s">
        <v>79</v>
      </c>
      <c r="W26" s="1" t="s">
        <v>7</v>
      </c>
      <c r="X26" s="11" t="s">
        <v>21</v>
      </c>
      <c r="Y26" s="1" t="s">
        <v>249</v>
      </c>
      <c r="Z26" s="11" t="s">
        <v>353</v>
      </c>
      <c r="AA26" s="1" t="s">
        <v>250</v>
      </c>
      <c r="AB26" s="1" t="s">
        <v>251</v>
      </c>
      <c r="AC26" s="1" t="s">
        <v>252</v>
      </c>
    </row>
    <row r="27" spans="1:29" x14ac:dyDescent="0.25">
      <c r="A27" s="1" t="s">
        <v>585</v>
      </c>
      <c r="O27" s="4">
        <v>25</v>
      </c>
      <c r="P27" s="5" t="s">
        <v>50</v>
      </c>
      <c r="Q27" s="5" t="s">
        <v>40</v>
      </c>
      <c r="R27" s="5" t="s">
        <v>90</v>
      </c>
      <c r="S27" s="5" t="s">
        <v>103</v>
      </c>
      <c r="T27" s="7">
        <v>3</v>
      </c>
      <c r="U27" s="5" t="s">
        <v>79</v>
      </c>
      <c r="W27" s="1" t="s">
        <v>7</v>
      </c>
      <c r="X27" s="11" t="s">
        <v>21</v>
      </c>
      <c r="Y27" s="1" t="s">
        <v>253</v>
      </c>
      <c r="Z27" s="11" t="s">
        <v>354</v>
      </c>
      <c r="AA27" s="1" t="s">
        <v>254</v>
      </c>
      <c r="AB27" s="1" t="s">
        <v>255</v>
      </c>
      <c r="AC27" s="1" t="s">
        <v>256</v>
      </c>
    </row>
    <row r="28" spans="1:29" x14ac:dyDescent="0.25">
      <c r="A28" s="1" t="s">
        <v>586</v>
      </c>
      <c r="O28" s="4">
        <v>26</v>
      </c>
      <c r="P28" s="5" t="s">
        <v>51</v>
      </c>
      <c r="Q28" s="5" t="s">
        <v>40</v>
      </c>
      <c r="R28" s="5" t="s">
        <v>82</v>
      </c>
      <c r="S28" s="5" t="s">
        <v>82</v>
      </c>
      <c r="T28" s="7">
        <v>2</v>
      </c>
      <c r="U28" s="5" t="s">
        <v>79</v>
      </c>
      <c r="W28" s="1" t="s">
        <v>7</v>
      </c>
      <c r="X28" s="11" t="s">
        <v>21</v>
      </c>
      <c r="Y28" s="1" t="s">
        <v>257</v>
      </c>
      <c r="Z28" s="11" t="s">
        <v>355</v>
      </c>
      <c r="AA28" s="1" t="s">
        <v>258</v>
      </c>
      <c r="AB28" s="1" t="s">
        <v>259</v>
      </c>
      <c r="AC28" s="1" t="s">
        <v>260</v>
      </c>
    </row>
    <row r="29" spans="1:29" x14ac:dyDescent="0.25">
      <c r="A29" s="1" t="s">
        <v>593</v>
      </c>
      <c r="O29" s="4">
        <v>27</v>
      </c>
      <c r="P29" s="5" t="s">
        <v>405</v>
      </c>
      <c r="Q29" s="5" t="s">
        <v>40</v>
      </c>
      <c r="R29" s="5" t="s">
        <v>94</v>
      </c>
      <c r="S29" s="5" t="s">
        <v>413</v>
      </c>
      <c r="T29" s="7">
        <v>2</v>
      </c>
      <c r="U29" s="5" t="s">
        <v>79</v>
      </c>
      <c r="W29" s="1" t="s">
        <v>7</v>
      </c>
      <c r="X29" s="11" t="s">
        <v>21</v>
      </c>
      <c r="Y29" s="1" t="s">
        <v>261</v>
      </c>
      <c r="Z29" s="11" t="s">
        <v>261</v>
      </c>
      <c r="AA29" s="1" t="s">
        <v>262</v>
      </c>
      <c r="AB29" s="1" t="s">
        <v>263</v>
      </c>
      <c r="AC29" s="1" t="s">
        <v>264</v>
      </c>
    </row>
    <row r="30" spans="1:29" x14ac:dyDescent="0.25">
      <c r="A30" s="1" t="s">
        <v>587</v>
      </c>
      <c r="O30" s="4">
        <v>28</v>
      </c>
      <c r="P30" s="9" t="s">
        <v>97</v>
      </c>
      <c r="Q30" s="9" t="s">
        <v>40</v>
      </c>
      <c r="R30" s="5" t="s">
        <v>94</v>
      </c>
      <c r="S30" s="5" t="s">
        <v>86</v>
      </c>
      <c r="T30" s="7">
        <v>3</v>
      </c>
      <c r="U30" s="5" t="s">
        <v>73</v>
      </c>
      <c r="W30" s="1" t="s">
        <v>7</v>
      </c>
      <c r="X30" s="11" t="s">
        <v>21</v>
      </c>
      <c r="Y30" s="1" t="s">
        <v>265</v>
      </c>
      <c r="Z30" s="11" t="s">
        <v>356</v>
      </c>
      <c r="AA30" s="1" t="s">
        <v>266</v>
      </c>
      <c r="AB30" s="1" t="s">
        <v>267</v>
      </c>
      <c r="AC30" s="1" t="s">
        <v>268</v>
      </c>
    </row>
    <row r="31" spans="1:29" ht="30" x14ac:dyDescent="0.25">
      <c r="A31" s="1" t="s">
        <v>588</v>
      </c>
      <c r="O31" s="4">
        <v>29</v>
      </c>
      <c r="P31" t="s">
        <v>409</v>
      </c>
      <c r="Q31" t="s">
        <v>40</v>
      </c>
      <c r="R31" t="s">
        <v>90</v>
      </c>
      <c r="S31" t="s">
        <v>98</v>
      </c>
      <c r="T31" s="7">
        <v>3</v>
      </c>
      <c r="U31" s="5" t="s">
        <v>79</v>
      </c>
      <c r="W31" s="1" t="s">
        <v>7</v>
      </c>
      <c r="X31" s="11" t="s">
        <v>21</v>
      </c>
      <c r="Y31" s="1" t="s">
        <v>269</v>
      </c>
      <c r="Z31" s="11" t="s">
        <v>357</v>
      </c>
      <c r="AA31" s="1" t="s">
        <v>270</v>
      </c>
      <c r="AB31" s="1" t="s">
        <v>271</v>
      </c>
      <c r="AC31" s="1" t="s">
        <v>272</v>
      </c>
    </row>
    <row r="32" spans="1:29" x14ac:dyDescent="0.25">
      <c r="A32" s="1" t="s">
        <v>589</v>
      </c>
      <c r="O32" s="4">
        <v>30</v>
      </c>
      <c r="P32" s="5" t="s">
        <v>52</v>
      </c>
      <c r="Q32" s="5" t="s">
        <v>40</v>
      </c>
      <c r="R32" s="5" t="s">
        <v>94</v>
      </c>
      <c r="S32" s="5" t="s">
        <v>104</v>
      </c>
      <c r="T32" s="7">
        <v>3</v>
      </c>
      <c r="U32" s="5" t="s">
        <v>79</v>
      </c>
      <c r="W32" s="1" t="s">
        <v>7</v>
      </c>
      <c r="X32" s="11" t="s">
        <v>21</v>
      </c>
      <c r="Y32" s="1" t="s">
        <v>273</v>
      </c>
      <c r="Z32" s="11" t="s">
        <v>358</v>
      </c>
      <c r="AA32" s="1" t="s">
        <v>274</v>
      </c>
      <c r="AB32" s="1" t="s">
        <v>275</v>
      </c>
      <c r="AC32" s="1" t="s">
        <v>276</v>
      </c>
    </row>
    <row r="33" spans="1:29" ht="30" x14ac:dyDescent="0.25">
      <c r="A33" s="1" t="s">
        <v>590</v>
      </c>
      <c r="O33" s="4">
        <v>31</v>
      </c>
      <c r="P33" s="5" t="s">
        <v>106</v>
      </c>
      <c r="Q33" s="5" t="s">
        <v>40</v>
      </c>
      <c r="R33" s="5" t="s">
        <v>90</v>
      </c>
      <c r="S33" s="5" t="s">
        <v>107</v>
      </c>
      <c r="T33" s="7">
        <v>3</v>
      </c>
      <c r="U33" s="5" t="s">
        <v>79</v>
      </c>
      <c r="W33" s="1" t="s">
        <v>7</v>
      </c>
      <c r="X33" s="11" t="s">
        <v>21</v>
      </c>
      <c r="Y33" s="1" t="s">
        <v>277</v>
      </c>
      <c r="Z33" s="11" t="s">
        <v>359</v>
      </c>
      <c r="AA33" s="1" t="s">
        <v>278</v>
      </c>
      <c r="AB33" s="1" t="s">
        <v>279</v>
      </c>
      <c r="AC33" s="1" t="s">
        <v>280</v>
      </c>
    </row>
    <row r="34" spans="1:29" ht="30" x14ac:dyDescent="0.25">
      <c r="A34" s="1" t="s">
        <v>562</v>
      </c>
      <c r="O34" s="4">
        <v>32</v>
      </c>
      <c r="P34" s="5" t="s">
        <v>53</v>
      </c>
      <c r="Q34" s="5" t="s">
        <v>40</v>
      </c>
      <c r="R34" s="5" t="s">
        <v>407</v>
      </c>
      <c r="S34" s="5" t="s">
        <v>105</v>
      </c>
      <c r="T34" s="7">
        <v>3</v>
      </c>
      <c r="U34" s="5" t="s">
        <v>79</v>
      </c>
      <c r="W34" s="1" t="s">
        <v>5</v>
      </c>
      <c r="X34" s="11" t="s">
        <v>17</v>
      </c>
      <c r="Y34" s="1" t="s">
        <v>297</v>
      </c>
      <c r="Z34" s="11" t="s">
        <v>360</v>
      </c>
      <c r="AA34" s="1" t="s">
        <v>298</v>
      </c>
      <c r="AB34" s="1" t="s">
        <v>321</v>
      </c>
      <c r="AC34" s="1" t="s">
        <v>322</v>
      </c>
    </row>
    <row r="35" spans="1:29" ht="30" x14ac:dyDescent="0.25">
      <c r="A35" s="1" t="s">
        <v>591</v>
      </c>
      <c r="W35" s="1" t="s">
        <v>5</v>
      </c>
      <c r="X35" s="11" t="s">
        <v>17</v>
      </c>
      <c r="Y35" s="1" t="s">
        <v>323</v>
      </c>
      <c r="Z35" s="11" t="s">
        <v>361</v>
      </c>
      <c r="AA35" s="1" t="s">
        <v>324</v>
      </c>
      <c r="AB35" s="1" t="s">
        <v>325</v>
      </c>
      <c r="AC35" s="1" t="s">
        <v>326</v>
      </c>
    </row>
    <row r="36" spans="1:29" ht="30" x14ac:dyDescent="0.25">
      <c r="A36" s="1" t="s">
        <v>592</v>
      </c>
      <c r="P36" s="15">
        <f>SUMPRODUCT(1/COUNTIF(DATA_EntityRegion[Entity],DATA_EntityRegion[Entity]))</f>
        <v>32</v>
      </c>
      <c r="Q36" s="15">
        <f>SUMPRODUCT(1/COUNTIF(DATA_EntityRegion[[BU ]],DATA_EntityRegion[[BU ]]))</f>
        <v>2.9999999999999991</v>
      </c>
      <c r="R36" s="15">
        <f>SUMPRODUCT(1/COUNTIF(DATA_EntityRegion[Region],DATA_EntityRegion[Region]))</f>
        <v>7.0000000000000018</v>
      </c>
      <c r="S36" s="15">
        <f>SUMPRODUCT(1/COUNTIF(DATA_EntityRegion[Country],DATA_EntityRegion[Country]))</f>
        <v>25.999999999999996</v>
      </c>
      <c r="W36" s="1" t="s">
        <v>5</v>
      </c>
      <c r="X36" s="11" t="s">
        <v>17</v>
      </c>
      <c r="Y36" s="1" t="s">
        <v>327</v>
      </c>
      <c r="Z36" s="11" t="s">
        <v>362</v>
      </c>
      <c r="AA36" s="1" t="s">
        <v>328</v>
      </c>
      <c r="AB36" s="1" t="s">
        <v>329</v>
      </c>
      <c r="AC36" s="1" t="s">
        <v>330</v>
      </c>
    </row>
    <row r="37" spans="1:29" x14ac:dyDescent="0.25">
      <c r="W37" s="1" t="s">
        <v>2</v>
      </c>
      <c r="X37" s="11" t="s">
        <v>11</v>
      </c>
      <c r="Y37" s="1" t="s">
        <v>111</v>
      </c>
      <c r="Z37" s="11" t="s">
        <v>363</v>
      </c>
      <c r="AA37" s="1" t="s">
        <v>112</v>
      </c>
      <c r="AB37" s="1" t="s">
        <v>113</v>
      </c>
      <c r="AC37" s="1" t="s">
        <v>114</v>
      </c>
    </row>
    <row r="38" spans="1:29" x14ac:dyDescent="0.25">
      <c r="W38" s="1" t="s">
        <v>2</v>
      </c>
      <c r="X38" s="11" t="s">
        <v>11</v>
      </c>
      <c r="Y38" s="1" t="s">
        <v>115</v>
      </c>
      <c r="Z38" s="11" t="s">
        <v>343</v>
      </c>
      <c r="AA38" s="1" t="s">
        <v>116</v>
      </c>
      <c r="AB38" s="1" t="s">
        <v>117</v>
      </c>
      <c r="AC38" s="1" t="s">
        <v>118</v>
      </c>
    </row>
    <row r="39" spans="1:29" x14ac:dyDescent="0.25">
      <c r="W39" s="1" t="s">
        <v>2</v>
      </c>
      <c r="X39" s="11" t="s">
        <v>11</v>
      </c>
      <c r="Y39" s="1" t="s">
        <v>119</v>
      </c>
      <c r="Z39" s="11" t="s">
        <v>364</v>
      </c>
      <c r="AA39" s="1" t="s">
        <v>120</v>
      </c>
      <c r="AB39" s="1" t="s">
        <v>121</v>
      </c>
      <c r="AC39" s="1" t="s">
        <v>122</v>
      </c>
    </row>
    <row r="40" spans="1:29" x14ac:dyDescent="0.25">
      <c r="W40" s="1" t="s">
        <v>2</v>
      </c>
      <c r="X40" s="11" t="s">
        <v>11</v>
      </c>
      <c r="Y40" s="1" t="s">
        <v>123</v>
      </c>
      <c r="Z40" s="11" t="s">
        <v>365</v>
      </c>
      <c r="AA40" s="1" t="s">
        <v>124</v>
      </c>
      <c r="AB40" s="1" t="s">
        <v>125</v>
      </c>
      <c r="AC40" s="1" t="s">
        <v>126</v>
      </c>
    </row>
    <row r="41" spans="1:29" x14ac:dyDescent="0.25">
      <c r="W41" s="1" t="s">
        <v>2</v>
      </c>
      <c r="X41" s="11" t="s">
        <v>11</v>
      </c>
      <c r="Y41" s="1" t="s">
        <v>127</v>
      </c>
      <c r="Z41" s="11" t="s">
        <v>366</v>
      </c>
      <c r="AA41" s="1" t="s">
        <v>128</v>
      </c>
      <c r="AB41" s="1" t="s">
        <v>129</v>
      </c>
      <c r="AC41" s="1" t="s">
        <v>130</v>
      </c>
    </row>
    <row r="42" spans="1:29" x14ac:dyDescent="0.25">
      <c r="W42" s="1" t="s">
        <v>2</v>
      </c>
      <c r="X42" s="11" t="s">
        <v>11</v>
      </c>
      <c r="Y42" s="1" t="s">
        <v>131</v>
      </c>
      <c r="Z42" s="11" t="s">
        <v>367</v>
      </c>
      <c r="AA42" s="1" t="s">
        <v>132</v>
      </c>
      <c r="AB42" s="1" t="s">
        <v>133</v>
      </c>
      <c r="AC42" s="1" t="s">
        <v>134</v>
      </c>
    </row>
    <row r="43" spans="1:29" x14ac:dyDescent="0.25">
      <c r="W43" s="1" t="s">
        <v>2</v>
      </c>
      <c r="X43" s="11" t="s">
        <v>11</v>
      </c>
      <c r="Y43" s="1" t="s">
        <v>135</v>
      </c>
      <c r="Z43" s="11" t="s">
        <v>368</v>
      </c>
      <c r="AA43" s="1" t="s">
        <v>136</v>
      </c>
      <c r="AB43" s="1" t="s">
        <v>137</v>
      </c>
      <c r="AC43" s="1" t="s">
        <v>138</v>
      </c>
    </row>
    <row r="44" spans="1:29" x14ac:dyDescent="0.25">
      <c r="W44" s="1" t="s">
        <v>2</v>
      </c>
      <c r="X44" s="11" t="s">
        <v>11</v>
      </c>
      <c r="Y44" s="1" t="s">
        <v>139</v>
      </c>
      <c r="Z44" s="11" t="s">
        <v>139</v>
      </c>
      <c r="AA44" s="1" t="s">
        <v>140</v>
      </c>
      <c r="AB44" s="1" t="s">
        <v>141</v>
      </c>
      <c r="AC44" s="1" t="s">
        <v>142</v>
      </c>
    </row>
    <row r="45" spans="1:29" x14ac:dyDescent="0.25">
      <c r="W45" s="1" t="s">
        <v>2</v>
      </c>
      <c r="X45" s="11" t="s">
        <v>11</v>
      </c>
      <c r="Y45" s="1" t="s">
        <v>143</v>
      </c>
      <c r="Z45" s="11" t="s">
        <v>369</v>
      </c>
      <c r="AA45" s="1" t="s">
        <v>144</v>
      </c>
      <c r="AB45" s="1" t="s">
        <v>145</v>
      </c>
      <c r="AC45" s="1" t="s">
        <v>146</v>
      </c>
    </row>
    <row r="46" spans="1:29" ht="30" x14ac:dyDescent="0.25">
      <c r="W46" s="1" t="s">
        <v>10</v>
      </c>
      <c r="X46" s="11" t="s">
        <v>26</v>
      </c>
      <c r="Y46" s="1" t="s">
        <v>281</v>
      </c>
      <c r="Z46" s="11" t="s">
        <v>370</v>
      </c>
      <c r="AA46" s="1" t="s">
        <v>282</v>
      </c>
      <c r="AB46" s="1" t="s">
        <v>283</v>
      </c>
      <c r="AC46" s="1" t="s">
        <v>284</v>
      </c>
    </row>
    <row r="47" spans="1:29" ht="30" x14ac:dyDescent="0.25">
      <c r="W47" s="1" t="s">
        <v>10</v>
      </c>
      <c r="X47" s="11" t="s">
        <v>26</v>
      </c>
      <c r="Y47" s="1" t="s">
        <v>285</v>
      </c>
      <c r="Z47" s="11" t="s">
        <v>371</v>
      </c>
      <c r="AA47" s="1" t="s">
        <v>286</v>
      </c>
      <c r="AB47" s="1" t="s">
        <v>287</v>
      </c>
      <c r="AC47" s="1" t="s">
        <v>288</v>
      </c>
    </row>
    <row r="48" spans="1:29" ht="30" x14ac:dyDescent="0.25">
      <c r="W48" s="1" t="s">
        <v>10</v>
      </c>
      <c r="X48" s="11" t="s">
        <v>26</v>
      </c>
      <c r="Y48" s="1" t="s">
        <v>289</v>
      </c>
      <c r="Z48" s="11" t="s">
        <v>372</v>
      </c>
      <c r="AA48" s="1" t="s">
        <v>290</v>
      </c>
      <c r="AB48" s="1" t="s">
        <v>291</v>
      </c>
      <c r="AC48" s="1" t="s">
        <v>292</v>
      </c>
    </row>
    <row r="49" spans="23:29" ht="30" x14ac:dyDescent="0.25">
      <c r="W49" s="1" t="s">
        <v>10</v>
      </c>
      <c r="X49" s="11" t="s">
        <v>26</v>
      </c>
      <c r="Y49" s="1" t="s">
        <v>293</v>
      </c>
      <c r="Z49" s="11" t="s">
        <v>293</v>
      </c>
      <c r="AA49" s="1" t="s">
        <v>294</v>
      </c>
      <c r="AB49" s="1" t="s">
        <v>295</v>
      </c>
      <c r="AC49" s="1" t="s">
        <v>296</v>
      </c>
    </row>
    <row r="50" spans="23:29" x14ac:dyDescent="0.25">
      <c r="W50" s="1" t="s">
        <v>9</v>
      </c>
      <c r="X50" s="11" t="s">
        <v>24</v>
      </c>
      <c r="Y50" s="1" t="s">
        <v>173</v>
      </c>
      <c r="Z50" s="11" t="s">
        <v>373</v>
      </c>
      <c r="AA50" s="1" t="s">
        <v>174</v>
      </c>
      <c r="AB50" s="1" t="s">
        <v>175</v>
      </c>
      <c r="AC50" s="1" t="s">
        <v>176</v>
      </c>
    </row>
    <row r="51" spans="23:29" x14ac:dyDescent="0.25">
      <c r="W51" s="1" t="s">
        <v>9</v>
      </c>
      <c r="X51" s="11" t="s">
        <v>24</v>
      </c>
      <c r="Y51" s="1" t="s">
        <v>177</v>
      </c>
      <c r="Z51" s="11" t="s">
        <v>374</v>
      </c>
      <c r="AA51" s="1" t="s">
        <v>178</v>
      </c>
      <c r="AB51" s="1" t="s">
        <v>179</v>
      </c>
      <c r="AC51" s="1" t="s">
        <v>180</v>
      </c>
    </row>
    <row r="52" spans="23:29" x14ac:dyDescent="0.25">
      <c r="W52" s="1" t="s">
        <v>9</v>
      </c>
      <c r="X52" s="11" t="s">
        <v>24</v>
      </c>
      <c r="Y52" s="1" t="s">
        <v>181</v>
      </c>
      <c r="Z52" s="11" t="s">
        <v>375</v>
      </c>
      <c r="AA52" s="1" t="s">
        <v>182</v>
      </c>
      <c r="AB52" s="1" t="s">
        <v>183</v>
      </c>
      <c r="AC52" s="1" t="s">
        <v>184</v>
      </c>
    </row>
    <row r="53" spans="23:29" x14ac:dyDescent="0.25">
      <c r="W53" s="1" t="s">
        <v>9</v>
      </c>
      <c r="X53" s="11" t="s">
        <v>24</v>
      </c>
      <c r="Y53" s="1" t="s">
        <v>185</v>
      </c>
      <c r="Z53" s="11" t="s">
        <v>376</v>
      </c>
      <c r="AA53" s="1" t="s">
        <v>186</v>
      </c>
      <c r="AB53" s="1" t="s">
        <v>187</v>
      </c>
      <c r="AC53" s="1" t="s">
        <v>188</v>
      </c>
    </row>
    <row r="54" spans="23:29" x14ac:dyDescent="0.25">
      <c r="W54" s="1" t="s">
        <v>3</v>
      </c>
      <c r="X54" s="11" t="s">
        <v>13</v>
      </c>
      <c r="Y54" s="1" t="s">
        <v>297</v>
      </c>
      <c r="Z54" s="11" t="s">
        <v>360</v>
      </c>
      <c r="AA54" s="1" t="s">
        <v>298</v>
      </c>
      <c r="AB54" s="1" t="s">
        <v>299</v>
      </c>
      <c r="AC54" s="1" t="s">
        <v>300</v>
      </c>
    </row>
    <row r="55" spans="23:29" x14ac:dyDescent="0.25">
      <c r="W55" s="1" t="s">
        <v>3</v>
      </c>
      <c r="X55" s="11" t="s">
        <v>13</v>
      </c>
      <c r="Y55" s="1" t="s">
        <v>301</v>
      </c>
      <c r="Z55" s="11" t="s">
        <v>377</v>
      </c>
      <c r="AA55" s="1" t="s">
        <v>302</v>
      </c>
      <c r="AB55" s="1" t="s">
        <v>303</v>
      </c>
      <c r="AC55" s="1" t="s">
        <v>304</v>
      </c>
    </row>
    <row r="56" spans="23:29" x14ac:dyDescent="0.25">
      <c r="W56" s="1" t="s">
        <v>3</v>
      </c>
      <c r="X56" s="11" t="s">
        <v>13</v>
      </c>
      <c r="Y56" s="1" t="s">
        <v>305</v>
      </c>
      <c r="Z56" s="11" t="s">
        <v>378</v>
      </c>
      <c r="AA56" s="1" t="s">
        <v>306</v>
      </c>
      <c r="AB56" s="1" t="s">
        <v>307</v>
      </c>
      <c r="AC56" s="1" t="s">
        <v>308</v>
      </c>
    </row>
    <row r="57" spans="23:29" x14ac:dyDescent="0.25">
      <c r="W57" s="1" t="s">
        <v>3</v>
      </c>
      <c r="X57" s="11" t="s">
        <v>13</v>
      </c>
      <c r="Y57" s="1" t="s">
        <v>309</v>
      </c>
      <c r="Z57" s="11" t="s">
        <v>379</v>
      </c>
      <c r="AA57" s="1" t="s">
        <v>310</v>
      </c>
      <c r="AB57" s="1" t="s">
        <v>311</v>
      </c>
      <c r="AC57" s="1" t="s">
        <v>312</v>
      </c>
    </row>
    <row r="58" spans="23:29" x14ac:dyDescent="0.25">
      <c r="W58" s="1" t="s">
        <v>3</v>
      </c>
      <c r="X58" s="11" t="s">
        <v>13</v>
      </c>
      <c r="Y58" s="1" t="s">
        <v>313</v>
      </c>
      <c r="Z58" s="11" t="s">
        <v>380</v>
      </c>
      <c r="AA58" s="1" t="s">
        <v>314</v>
      </c>
      <c r="AB58" s="1" t="s">
        <v>315</v>
      </c>
      <c r="AC58" s="1" t="s">
        <v>316</v>
      </c>
    </row>
    <row r="59" spans="23:29" x14ac:dyDescent="0.25">
      <c r="W59" s="1" t="s">
        <v>3</v>
      </c>
      <c r="X59" s="11" t="s">
        <v>13</v>
      </c>
      <c r="Y59" s="1" t="s">
        <v>317</v>
      </c>
      <c r="Z59" s="11" t="s">
        <v>381</v>
      </c>
      <c r="AA59" s="1" t="s">
        <v>318</v>
      </c>
      <c r="AB59" s="1" t="s">
        <v>319</v>
      </c>
      <c r="AC59" s="1" t="s">
        <v>320</v>
      </c>
    </row>
    <row r="60" spans="23:29" x14ac:dyDescent="0.25">
      <c r="W60" s="1">
        <f>SUMPRODUCT((DATA_ID[Pack EN]&lt;&gt;"")/(COUNTIF(DATA_ID[Pack EN],DATA_ID[Pack EN])))</f>
        <v>8.9999999999999929</v>
      </c>
      <c r="X60" s="12"/>
      <c r="Y60" s="1">
        <f>COUNTA(DATA_ID[Theme EN])</f>
        <v>57</v>
      </c>
      <c r="Z60" s="1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8" ma:contentTypeDescription="Create a new document." ma:contentTypeScope="" ma:versionID="c6b7120ab3ea4dcdc75d092724a3c87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11406a2da459fd35a865eb969aa04d3f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1C16AE-E3AE-40DF-A636-61E9BA2500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EFF61-C7C3-409E-AB85-3430E7A421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8AAE17-328D-4F01-8199-C4BDE81D730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e3fcf7f-4c3e-4ff8-b473-0b7d6da149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34</vt:i4>
      </vt:variant>
    </vt:vector>
  </HeadingPairs>
  <TitlesOfParts>
    <vt:vector size="38" baseType="lpstr">
      <vt:lpstr>SYNTHESIS</vt:lpstr>
      <vt:lpstr>SECURITY MEASURES</vt:lpstr>
      <vt:lpstr>CALCULATION</vt:lpstr>
      <vt:lpstr>DATA</vt:lpstr>
      <vt:lpstr>Checked</vt:lpstr>
      <vt:lpstr>DATA_DQA_1</vt:lpstr>
      <vt:lpstr>DATA_DQA_10</vt:lpstr>
      <vt:lpstr>DATA_DQA_11</vt:lpstr>
      <vt:lpstr>DATA_DQA_14</vt:lpstr>
      <vt:lpstr>DATA_DQA_15</vt:lpstr>
      <vt:lpstr>DATA_DQA_16</vt:lpstr>
      <vt:lpstr>DATA_DQA_18</vt:lpstr>
      <vt:lpstr>DATA_DQA_2</vt:lpstr>
      <vt:lpstr>DATA_QDA_12</vt:lpstr>
      <vt:lpstr>DATA_QDA_13</vt:lpstr>
      <vt:lpstr>DATA_QDA_17</vt:lpstr>
      <vt:lpstr>DATA_QDA_19</vt:lpstr>
      <vt:lpstr>DATA_QDA_3</vt:lpstr>
      <vt:lpstr>DATA_QDA_4</vt:lpstr>
      <vt:lpstr>DATA_QDA_5</vt:lpstr>
      <vt:lpstr>DATA_QDA_6</vt:lpstr>
      <vt:lpstr>DATA_QDA_7</vt:lpstr>
      <vt:lpstr>DATA_QDA_8</vt:lpstr>
      <vt:lpstr>DATA_QDA_9</vt:lpstr>
      <vt:lpstr>DATA_Status_INPROGRESS</vt:lpstr>
      <vt:lpstr>DATA_Status_TOBESTARTED</vt:lpstr>
      <vt:lpstr>Done</vt:lpstr>
      <vt:lpstr>full</vt:lpstr>
      <vt:lpstr>DATA!In_progress</vt:lpstr>
      <vt:lpstr>In_progress</vt:lpstr>
      <vt:lpstr>Progress_rate_0</vt:lpstr>
      <vt:lpstr>SYNTHESIS!ReportingDate</vt:lpstr>
      <vt:lpstr>Risk_accepted</vt:lpstr>
      <vt:lpstr>Status_No_Project</vt:lpstr>
      <vt:lpstr>Target_Not_Applicable</vt:lpstr>
      <vt:lpstr>THEME_P1</vt:lpstr>
      <vt:lpstr>DATA!To_be_started</vt:lpstr>
      <vt:lpstr>ValidityChecks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LARINA</dc:creator>
  <cp:lastModifiedBy>DUDORET Thomas (EXT) ResgTpsIsr</cp:lastModifiedBy>
  <cp:lastPrinted>2020-07-17T12:14:40Z</cp:lastPrinted>
  <dcterms:created xsi:type="dcterms:W3CDTF">2015-06-05T18:17:20Z</dcterms:created>
  <dcterms:modified xsi:type="dcterms:W3CDTF">2020-12-01T13:23:03Z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0x010100525E8187F8CC2F45AD4D85AD7CEC427F</vt:lpwstr>
  </property>
  <property fmtid="{D5CDD505-2E9C-101B-9397-08002B2CF9AE}" pid="3" name="MSIP_Label_7fa661c7-26ae-4657-b815-44993f82ceaf_Enabled">
    <vt:lpwstr>True</vt:lpwstr>
  </property>
  <property fmtid="{D5CDD505-2E9C-101B-9397-08002B2CF9AE}" pid="4" name="MSIP_Label_7fa661c7-26ae-4657-b815-44993f82ceaf_SiteId">
    <vt:lpwstr>c9a7d621-4bc4-4407-b730-f428e656aa9e</vt:lpwstr>
  </property>
  <property fmtid="{D5CDD505-2E9C-101B-9397-08002B2CF9AE}" pid="5" name="MSIP_Label_7fa661c7-26ae-4657-b815-44993f82ceaf_Owner">
    <vt:lpwstr>jerome.tissier@socgen.com</vt:lpwstr>
  </property>
  <property fmtid="{D5CDD505-2E9C-101B-9397-08002B2CF9AE}" pid="6" name="MSIP_Label_7fa661c7-26ae-4657-b815-44993f82ceaf_SetDate">
    <vt:lpwstr>2020-05-11T15:32:00.2919987Z</vt:lpwstr>
  </property>
  <property fmtid="{D5CDD505-2E9C-101B-9397-08002B2CF9AE}" pid="7" name="MSIP_Label_7fa661c7-26ae-4657-b815-44993f82ceaf_Name">
    <vt:lpwstr>C2 - Confidential</vt:lpwstr>
  </property>
  <property fmtid="{D5CDD505-2E9C-101B-9397-08002B2CF9AE}" pid="8" name="MSIP_Label_7fa661c7-26ae-4657-b815-44993f82ceaf_Application">
    <vt:lpwstr>Microsoft Azure Information Protection</vt:lpwstr>
  </property>
  <property fmtid="{D5CDD505-2E9C-101B-9397-08002B2CF9AE}" pid="9" name="MSIP_Label_7fa661c7-26ae-4657-b815-44993f82ceaf_ActionId">
    <vt:lpwstr>36a0910d-b482-4ec9-bf37-a6604561276b</vt:lpwstr>
  </property>
  <property fmtid="{D5CDD505-2E9C-101B-9397-08002B2CF9AE}" pid="10" name="MSIP_Label_7fa661c7-26ae-4657-b815-44993f82ceaf_Extended_MSFT_Method">
    <vt:lpwstr>Manual</vt:lpwstr>
  </property>
  <property fmtid="{D5CDD505-2E9C-101B-9397-08002B2CF9AE}" pid="11" name="Sensitivity">
    <vt:lpwstr>C2 - Confidential</vt:lpwstr>
  </property>
</Properties>
</file>