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activeX/activeX1.xml" ContentType="application/vnd.ms-office.activeX+xml"/>
  <Override PartName="/xl/activeX/activeX1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bs Conseil 2\Documents\Scolarité\IPSAS\3ème année\PFE\VBA\"/>
    </mc:Choice>
  </mc:AlternateContent>
  <xr:revisionPtr revIDLastSave="0" documentId="13_ncr:1000001_{877D4E34-8204-504E-9E67-52F15AA31E5E}" xr6:coauthVersionLast="45" xr6:coauthVersionMax="45" xr10:uidLastSave="{00000000-0000-0000-0000-000000000000}"/>
  <bookViews>
    <workbookView xWindow="-120" yWindow="-120" windowWidth="20730" windowHeight="11760" tabRatio="644" activeTab="4" xr2:uid="{00000000-000D-0000-FFFF-FFFF00000000}"/>
  </bookViews>
  <sheets>
    <sheet name="accueil" sheetId="1" r:id="rId1"/>
    <sheet name="articles" sheetId="2" r:id="rId2"/>
    <sheet name="achats" sheetId="11" r:id="rId3"/>
    <sheet name="commandes" sheetId="3" r:id="rId4"/>
    <sheet name="sauvegarde" sheetId="12" r:id="rId5"/>
    <sheet name="clients" sheetId="5" r:id="rId6"/>
    <sheet name="fournisseurs" sheetId="4" r:id="rId7"/>
    <sheet name="config" sheetId="7" r:id="rId8"/>
    <sheet name="Feuil3" sheetId="10" r:id="rId9"/>
  </sheets>
  <externalReferences>
    <externalReference r:id="rId10"/>
  </externalReferences>
  <definedNames>
    <definedName name="Client">Tableau1[Client]</definedName>
    <definedName name="Commande">Tableau5[Nr de Commande]</definedName>
    <definedName name="DonnéesExternes_1" localSheetId="8" hidden="1">Feuil3!$A$1:$E$10</definedName>
    <definedName name="Fournisseur">Tableau2[Fournisseur]</definedName>
    <definedName name="Nbre_de_couche">Tableau4[Nbre de couche]</definedName>
    <definedName name="Résistance">Tableau4[Résistance]</definedName>
    <definedName name="Sangle" localSheetId="8">Tableau4[Sangle]</definedName>
    <definedName name="Sangle">Tableau4[Sangle]</definedName>
    <definedName name="Type">Tableau4[Type]</definedName>
    <definedName name="_xlnm.Print_Area" localSheetId="2">achats!$A$5:$L$50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4" i="3" l="1"/>
  <c r="L23" i="3"/>
  <c r="L22" i="3"/>
  <c r="L21" i="3"/>
  <c r="E21" i="7"/>
  <c r="L20" i="3"/>
  <c r="L19" i="3"/>
  <c r="L18" i="3"/>
  <c r="L17" i="3"/>
  <c r="C24" i="11" a="1"/>
  <c r="C24" i="11"/>
  <c r="B24" i="11"/>
  <c r="L16" i="3"/>
  <c r="L15" i="3"/>
  <c r="L14" i="3"/>
  <c r="L13" i="3"/>
  <c r="L12" i="3"/>
  <c r="L11" i="3"/>
  <c r="L10" i="3"/>
  <c r="J16" i="11" a="1"/>
  <c r="J16" i="11"/>
  <c r="J17" i="11" a="1"/>
  <c r="J17" i="11"/>
  <c r="J24" i="11" a="1"/>
  <c r="J24" i="11"/>
  <c r="J25" i="11" a="1"/>
  <c r="J25" i="11"/>
  <c r="J26" i="11" a="1"/>
  <c r="J26" i="11"/>
  <c r="J27" i="11" a="1"/>
  <c r="J27" i="11"/>
  <c r="J28" i="11" a="1"/>
  <c r="J28" i="11"/>
  <c r="J29" i="11" a="1"/>
  <c r="J29" i="11"/>
  <c r="J30" i="11" a="1"/>
  <c r="J30" i="11"/>
  <c r="J31" i="11" a="1"/>
  <c r="J31" i="11"/>
  <c r="J32" i="11" a="1"/>
  <c r="J32" i="11"/>
  <c r="J33" i="11" a="1"/>
  <c r="J33" i="11"/>
  <c r="J34" i="11" a="1"/>
  <c r="J34" i="11"/>
  <c r="J35" i="11" a="1"/>
  <c r="J35" i="11"/>
  <c r="J36" i="11" a="1"/>
  <c r="J36" i="11"/>
  <c r="J37" i="11" a="1"/>
  <c r="J37" i="11"/>
  <c r="J38" i="11" a="1"/>
  <c r="J38" i="11"/>
  <c r="J39" i="11" a="1"/>
  <c r="J39" i="11"/>
  <c r="J40" i="11" a="1"/>
  <c r="J40" i="11"/>
  <c r="J41" i="11" a="1"/>
  <c r="J41" i="11"/>
  <c r="J42" i="11" a="1"/>
  <c r="J42" i="11"/>
  <c r="J43" i="11" a="1"/>
  <c r="J43" i="11"/>
  <c r="J44" i="11" a="1"/>
  <c r="J44" i="11"/>
  <c r="I24" i="11" a="1"/>
  <c r="I24" i="11"/>
  <c r="I25" i="11" a="1"/>
  <c r="I25" i="11"/>
  <c r="I26" i="11" a="1"/>
  <c r="I26" i="11"/>
  <c r="I27" i="11" a="1"/>
  <c r="I27" i="11"/>
  <c r="I28" i="11" a="1"/>
  <c r="I28" i="11"/>
  <c r="I29" i="11" a="1"/>
  <c r="I29" i="11"/>
  <c r="I30" i="11" a="1"/>
  <c r="I30" i="11"/>
  <c r="I31" i="11" a="1"/>
  <c r="I31" i="11"/>
  <c r="I32" i="11" a="1"/>
  <c r="I32" i="11"/>
  <c r="I33" i="11" a="1"/>
  <c r="I33" i="11"/>
  <c r="I34" i="11" a="1"/>
  <c r="I34" i="11"/>
  <c r="I35" i="11" a="1"/>
  <c r="I35" i="11"/>
  <c r="I36" i="11" a="1"/>
  <c r="I36" i="11"/>
  <c r="I37" i="11" a="1"/>
  <c r="I37" i="11"/>
  <c r="I38" i="11" a="1"/>
  <c r="I38" i="11"/>
  <c r="I39" i="11" a="1"/>
  <c r="I39" i="11"/>
  <c r="I40" i="11" a="1"/>
  <c r="I40" i="11"/>
  <c r="I41" i="11" a="1"/>
  <c r="I41" i="11"/>
  <c r="I42" i="11" a="1"/>
  <c r="I42" i="11"/>
  <c r="I43" i="11" a="1"/>
  <c r="I43" i="11"/>
  <c r="I44" i="11" a="1"/>
  <c r="I44" i="11"/>
  <c r="H24" i="11" a="1"/>
  <c r="H24" i="11"/>
  <c r="H25" i="11" a="1"/>
  <c r="H25" i="11"/>
  <c r="H26" i="11" a="1"/>
  <c r="H26" i="11"/>
  <c r="H27" i="11" a="1"/>
  <c r="H27" i="11"/>
  <c r="H28" i="11" a="1"/>
  <c r="H28" i="11"/>
  <c r="H29" i="11" a="1"/>
  <c r="H29" i="11"/>
  <c r="H30" i="11" a="1"/>
  <c r="H30" i="11"/>
  <c r="H31" i="11" a="1"/>
  <c r="H31" i="11"/>
  <c r="H32" i="11" a="1"/>
  <c r="H32" i="11"/>
  <c r="H33" i="11" a="1"/>
  <c r="H33" i="11"/>
  <c r="H34" i="11" a="1"/>
  <c r="H34" i="11"/>
  <c r="H35" i="11" a="1"/>
  <c r="H35" i="11"/>
  <c r="H36" i="11" a="1"/>
  <c r="H36" i="11"/>
  <c r="H37" i="11" a="1"/>
  <c r="H37" i="11"/>
  <c r="H38" i="11" a="1"/>
  <c r="H38" i="11"/>
  <c r="H39" i="11" a="1"/>
  <c r="H39" i="11"/>
  <c r="H40" i="11" a="1"/>
  <c r="H40" i="11"/>
  <c r="H41" i="11" a="1"/>
  <c r="H41" i="11"/>
  <c r="H42" i="11" a="1"/>
  <c r="H42" i="11"/>
  <c r="H43" i="11" a="1"/>
  <c r="H43" i="11"/>
  <c r="H44" i="11" a="1"/>
  <c r="H44" i="11"/>
  <c r="G24" i="11" a="1"/>
  <c r="G24" i="11"/>
  <c r="G25" i="11" a="1"/>
  <c r="G25" i="11"/>
  <c r="G26" i="11" a="1"/>
  <c r="G26" i="11"/>
  <c r="G27" i="11" a="1"/>
  <c r="G27" i="11"/>
  <c r="G28" i="11" a="1"/>
  <c r="G28" i="11"/>
  <c r="G29" i="11" a="1"/>
  <c r="G29" i="11"/>
  <c r="G30" i="11" a="1"/>
  <c r="G30" i="11"/>
  <c r="G31" i="11" a="1"/>
  <c r="G31" i="11"/>
  <c r="G32" i="11" a="1"/>
  <c r="G32" i="11"/>
  <c r="G33" i="11" a="1"/>
  <c r="G33" i="11"/>
  <c r="G34" i="11" a="1"/>
  <c r="G34" i="11"/>
  <c r="G35" i="11" a="1"/>
  <c r="G35" i="11"/>
  <c r="G36" i="11" a="1"/>
  <c r="G36" i="11"/>
  <c r="G37" i="11" a="1"/>
  <c r="G37" i="11"/>
  <c r="G38" i="11" a="1"/>
  <c r="G38" i="11"/>
  <c r="G39" i="11" a="1"/>
  <c r="G39" i="11"/>
  <c r="G40" i="11" a="1"/>
  <c r="G40" i="11"/>
  <c r="G41" i="11" a="1"/>
  <c r="G41" i="11"/>
  <c r="G42" i="11" a="1"/>
  <c r="G42" i="11"/>
  <c r="G43" i="11" a="1"/>
  <c r="G43" i="11"/>
  <c r="G44" i="11" a="1"/>
  <c r="G44" i="11"/>
  <c r="F24" i="11" a="1"/>
  <c r="F24" i="11"/>
  <c r="F25" i="11" a="1"/>
  <c r="F25" i="11"/>
  <c r="F26" i="11" a="1"/>
  <c r="F26" i="11"/>
  <c r="F27" i="11" a="1"/>
  <c r="F27" i="11"/>
  <c r="F28" i="11" a="1"/>
  <c r="F28" i="11"/>
  <c r="F29" i="11" a="1"/>
  <c r="F29" i="11"/>
  <c r="F30" i="11" a="1"/>
  <c r="F30" i="11"/>
  <c r="F31" i="11" a="1"/>
  <c r="F31" i="11"/>
  <c r="F32" i="11" a="1"/>
  <c r="F32" i="11"/>
  <c r="F33" i="11" a="1"/>
  <c r="F33" i="11"/>
  <c r="F34" i="11" a="1"/>
  <c r="F34" i="11"/>
  <c r="F35" i="11" a="1"/>
  <c r="F35" i="11"/>
  <c r="F36" i="11" a="1"/>
  <c r="F36" i="11"/>
  <c r="F37" i="11" a="1"/>
  <c r="F37" i="11"/>
  <c r="F38" i="11" a="1"/>
  <c r="F38" i="11"/>
  <c r="F39" i="11" a="1"/>
  <c r="F39" i="11"/>
  <c r="F40" i="11" a="1"/>
  <c r="F40" i="11"/>
  <c r="F41" i="11" a="1"/>
  <c r="F41" i="11"/>
  <c r="F42" i="11" a="1"/>
  <c r="F42" i="11"/>
  <c r="F43" i="11" a="1"/>
  <c r="F43" i="11"/>
  <c r="F44" i="11" a="1"/>
  <c r="F44" i="11"/>
  <c r="E24" i="11" a="1"/>
  <c r="E24" i="11"/>
  <c r="E25" i="11" a="1"/>
  <c r="E25" i="11"/>
  <c r="E26" i="11" a="1"/>
  <c r="E26" i="11"/>
  <c r="E27" i="11" a="1"/>
  <c r="E27" i="11"/>
  <c r="E28" i="11" a="1"/>
  <c r="E28" i="11"/>
  <c r="E29" i="11" a="1"/>
  <c r="E29" i="11"/>
  <c r="E30" i="11" a="1"/>
  <c r="E30" i="11"/>
  <c r="E31" i="11" a="1"/>
  <c r="E31" i="11"/>
  <c r="E32" i="11" a="1"/>
  <c r="E32" i="11"/>
  <c r="E33" i="11" a="1"/>
  <c r="E33" i="11"/>
  <c r="E34" i="11" a="1"/>
  <c r="E34" i="11"/>
  <c r="E35" i="11" a="1"/>
  <c r="E35" i="11"/>
  <c r="E36" i="11" a="1"/>
  <c r="E36" i="11"/>
  <c r="E37" i="11" a="1"/>
  <c r="E37" i="11"/>
  <c r="E38" i="11" a="1"/>
  <c r="E38" i="11"/>
  <c r="E39" i="11" a="1"/>
  <c r="E39" i="11"/>
  <c r="E40" i="11" a="1"/>
  <c r="E40" i="11"/>
  <c r="E41" i="11" a="1"/>
  <c r="E41" i="11"/>
  <c r="E42" i="11" a="1"/>
  <c r="E42" i="11"/>
  <c r="E43" i="11" a="1"/>
  <c r="E43" i="11"/>
  <c r="E44" i="11" a="1"/>
  <c r="E44" i="11"/>
  <c r="D24" i="11" a="1"/>
  <c r="D24" i="11"/>
  <c r="D25" i="11" a="1"/>
  <c r="D25" i="11"/>
  <c r="D26" i="11" a="1"/>
  <c r="D26" i="11"/>
  <c r="D27" i="11" a="1"/>
  <c r="D27" i="11"/>
  <c r="D28" i="11" a="1"/>
  <c r="D28" i="11"/>
  <c r="D29" i="11" a="1"/>
  <c r="D29" i="11"/>
  <c r="D30" i="11" a="1"/>
  <c r="D30" i="11"/>
  <c r="D31" i="11" a="1"/>
  <c r="D31" i="11"/>
  <c r="D32" i="11" a="1"/>
  <c r="D32" i="11"/>
  <c r="D33" i="11" a="1"/>
  <c r="D33" i="11"/>
  <c r="D34" i="11" a="1"/>
  <c r="D34" i="11"/>
  <c r="D35" i="11" a="1"/>
  <c r="D35" i="11"/>
  <c r="D36" i="11" a="1"/>
  <c r="D36" i="11"/>
  <c r="D37" i="11" a="1"/>
  <c r="D37" i="11"/>
  <c r="D38" i="11" a="1"/>
  <c r="D38" i="11"/>
  <c r="D39" i="11" a="1"/>
  <c r="D39" i="11"/>
  <c r="D40" i="11" a="1"/>
  <c r="D40" i="11"/>
  <c r="D41" i="11" a="1"/>
  <c r="D41" i="11"/>
  <c r="D42" i="11" a="1"/>
  <c r="D42" i="11"/>
  <c r="D43" i="11" a="1"/>
  <c r="D43" i="11"/>
  <c r="D44" i="11" a="1"/>
  <c r="D44" i="11"/>
  <c r="C25" i="11" a="1"/>
  <c r="C25" i="11"/>
  <c r="B25" i="11"/>
  <c r="C26" i="11" a="1"/>
  <c r="C26" i="11"/>
  <c r="B26" i="11"/>
  <c r="C27" i="11" a="1"/>
  <c r="C27" i="11"/>
  <c r="B27" i="11"/>
  <c r="C28" i="11" a="1"/>
  <c r="C28" i="11"/>
  <c r="B28" i="11"/>
  <c r="C29" i="11" a="1"/>
  <c r="C29" i="11"/>
  <c r="B29" i="11"/>
  <c r="C30" i="11" a="1"/>
  <c r="C30" i="11"/>
  <c r="B30" i="11"/>
  <c r="C31" i="11" a="1"/>
  <c r="C31" i="11"/>
  <c r="B31" i="11"/>
  <c r="C32" i="11" a="1"/>
  <c r="C32" i="11"/>
  <c r="B32" i="11"/>
  <c r="C33" i="11" a="1"/>
  <c r="C33" i="11"/>
  <c r="B33" i="11"/>
  <c r="C34" i="11" a="1"/>
  <c r="C34" i="11"/>
  <c r="B34" i="11"/>
  <c r="C35" i="11" a="1"/>
  <c r="C35" i="11"/>
  <c r="B35" i="11"/>
  <c r="C36" i="11" a="1"/>
  <c r="C36" i="11"/>
  <c r="B36" i="11"/>
  <c r="C37" i="11" a="1"/>
  <c r="C37" i="11"/>
  <c r="B37" i="11"/>
  <c r="C38" i="11" a="1"/>
  <c r="C38" i="11"/>
  <c r="B38" i="11"/>
  <c r="C39" i="11" a="1"/>
  <c r="C39" i="11"/>
  <c r="B39" i="11"/>
  <c r="C40" i="11" a="1"/>
  <c r="C40" i="11"/>
  <c r="B40" i="11"/>
  <c r="C41" i="11" a="1"/>
  <c r="C41" i="11"/>
  <c r="B41" i="11"/>
  <c r="C42" i="11" a="1"/>
  <c r="C42" i="11"/>
  <c r="B42" i="11"/>
  <c r="C43" i="11" a="1"/>
  <c r="C43" i="11"/>
  <c r="B43" i="11"/>
  <c r="C44" i="11" a="1"/>
  <c r="C44" i="11"/>
  <c r="B44" i="11"/>
  <c r="C23" i="11" a="1"/>
  <c r="C23" i="11"/>
  <c r="B23" i="11"/>
  <c r="D23" i="11" a="1"/>
  <c r="D23" i="11"/>
  <c r="E23" i="11" a="1"/>
  <c r="E23" i="11"/>
  <c r="F23" i="11" a="1"/>
  <c r="F23" i="11"/>
  <c r="G23" i="11" a="1"/>
  <c r="G23" i="11"/>
  <c r="H23" i="11" a="1"/>
  <c r="H23" i="11"/>
  <c r="I23" i="11" a="1"/>
  <c r="I23" i="11"/>
  <c r="J23" i="11" a="1"/>
  <c r="J23" i="11"/>
  <c r="K11" i="11" a="1"/>
  <c r="K11" i="11"/>
  <c r="C20" i="11"/>
  <c r="C19" i="11"/>
  <c r="C18" i="11"/>
  <c r="C17" i="11"/>
  <c r="C16" i="11"/>
  <c r="K31" i="11"/>
  <c r="K38" i="11"/>
  <c r="K34" i="11"/>
  <c r="K30" i="11"/>
  <c r="J20" i="11" a="1"/>
  <c r="J20" i="11"/>
  <c r="K28" i="11"/>
  <c r="K24" i="11"/>
  <c r="K32" i="11"/>
  <c r="K44" i="11"/>
  <c r="K40" i="11"/>
  <c r="K37" i="11"/>
  <c r="J19" i="11" a="1"/>
  <c r="J19" i="11"/>
  <c r="J18" i="11" a="1"/>
  <c r="J18" i="11"/>
  <c r="K41" i="11"/>
  <c r="K25" i="11"/>
  <c r="K23" i="11"/>
  <c r="K35" i="11"/>
  <c r="K36" i="11"/>
  <c r="K33" i="11"/>
  <c r="K42" i="11"/>
  <c r="K29" i="11"/>
  <c r="K26" i="11"/>
  <c r="K43" i="11"/>
  <c r="K27" i="11"/>
  <c r="K39" i="11"/>
  <c r="C23" i="2"/>
  <c r="L23" i="2"/>
  <c r="N23" i="2"/>
  <c r="C22" i="2"/>
  <c r="L22" i="2"/>
  <c r="N22" i="2"/>
  <c r="C21" i="2"/>
  <c r="L21" i="2"/>
  <c r="N21" i="2"/>
  <c r="C20" i="2"/>
  <c r="L20" i="2"/>
  <c r="N20" i="2"/>
  <c r="C19" i="2"/>
  <c r="L19" i="2"/>
  <c r="N19" i="2"/>
  <c r="K47" i="11"/>
  <c r="K48" i="11"/>
  <c r="K49" i="11"/>
  <c r="L6" i="3"/>
  <c r="E20" i="7"/>
  <c r="E19" i="7"/>
  <c r="C18" i="2"/>
  <c r="L18" i="2"/>
  <c r="N18" i="2"/>
  <c r="C17" i="2"/>
  <c r="L17" i="2"/>
  <c r="N17" i="2"/>
  <c r="C6" i="2"/>
  <c r="C7" i="2"/>
  <c r="C8" i="2"/>
  <c r="C9" i="2"/>
  <c r="C10" i="2"/>
  <c r="C11" i="2"/>
  <c r="C12" i="2"/>
  <c r="C13" i="2"/>
  <c r="C14" i="2"/>
  <c r="C15" i="2"/>
  <c r="C16" i="2"/>
  <c r="L16" i="2"/>
  <c r="N16" i="2"/>
  <c r="L15" i="2"/>
  <c r="N15" i="2"/>
  <c r="L14" i="2"/>
  <c r="N14" i="2"/>
  <c r="L13" i="2"/>
  <c r="N13" i="2"/>
  <c r="L12" i="2"/>
  <c r="N12" i="2"/>
  <c r="L11" i="2"/>
  <c r="N11" i="2"/>
  <c r="L10" i="2"/>
  <c r="N10" i="2"/>
  <c r="L9" i="2"/>
  <c r="N9" i="2"/>
  <c r="L8" i="2"/>
  <c r="N8" i="2"/>
  <c r="L6" i="2"/>
  <c r="N6" i="2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6" i="4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6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Feuil4" description="Connexion à la requête « Feuil4 » dans le classeur." type="5" refreshedVersion="6" background="1" saveData="1">
    <dbPr connection="Provider=Microsoft.Mashup.OleDb.1;Data Source=$Workbook$;Location=Feuil4;Extended Properties=&quot;&quot;" command="SELECT * FROM [Feuil4]"/>
  </connection>
</connections>
</file>

<file path=xl/sharedStrings.xml><?xml version="1.0" encoding="utf-8"?>
<sst xmlns="http://schemas.openxmlformats.org/spreadsheetml/2006/main" count="525" uniqueCount="172">
  <si>
    <t xml:space="preserve"> </t>
  </si>
  <si>
    <t>Adresse</t>
  </si>
  <si>
    <t>cp</t>
  </si>
  <si>
    <t>ville</t>
  </si>
  <si>
    <t>pays</t>
  </si>
  <si>
    <t>téléphone</t>
  </si>
  <si>
    <t>Mail</t>
  </si>
  <si>
    <t>groupe</t>
  </si>
  <si>
    <t>four1</t>
  </si>
  <si>
    <t>adresse1</t>
  </si>
  <si>
    <t>Turquie</t>
  </si>
  <si>
    <t>Istambull</t>
  </si>
  <si>
    <t>maildufournisseur@gmail,com</t>
  </si>
  <si>
    <t>four2</t>
  </si>
  <si>
    <t>adresse2</t>
  </si>
  <si>
    <t>four3</t>
  </si>
  <si>
    <t>adresse3</t>
  </si>
  <si>
    <t>four4</t>
  </si>
  <si>
    <t>adresse4</t>
  </si>
  <si>
    <t>four5</t>
  </si>
  <si>
    <t>adresse5</t>
  </si>
  <si>
    <t>four6</t>
  </si>
  <si>
    <t>adresse6</t>
  </si>
  <si>
    <t>four7</t>
  </si>
  <si>
    <t>adresse7</t>
  </si>
  <si>
    <t>four8</t>
  </si>
  <si>
    <t>adresse8</t>
  </si>
  <si>
    <t>four9</t>
  </si>
  <si>
    <t>adresse9</t>
  </si>
  <si>
    <t>four10</t>
  </si>
  <si>
    <t>adresse10</t>
  </si>
  <si>
    <t>four11</t>
  </si>
  <si>
    <t>adresse11</t>
  </si>
  <si>
    <t>four12</t>
  </si>
  <si>
    <t>adresse12</t>
  </si>
  <si>
    <t>four13</t>
  </si>
  <si>
    <t>adresse13</t>
  </si>
  <si>
    <t>four14</t>
  </si>
  <si>
    <t>adresse14</t>
  </si>
  <si>
    <t>four15</t>
  </si>
  <si>
    <t>adresse15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</si>
  <si>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</si>
  <si>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</si>
  <si>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</si>
  <si>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</si>
  <si>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</si>
  <si>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</si>
  <si>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</si>
  <si>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</si>
  <si>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</si>
  <si>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</si>
  <si>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</si>
  <si>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</si>
  <si>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</si>
  <si>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</si>
  <si>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</si>
  <si>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Colonne1</t>
  </si>
  <si>
    <t>four16</t>
  </si>
  <si>
    <t>adresse16</t>
  </si>
  <si>
    <t>four17</t>
  </si>
  <si>
    <t>adresse17</t>
  </si>
  <si>
    <t>four18</t>
  </si>
  <si>
    <t>adresse18</t>
  </si>
  <si>
    <t>Prix unité</t>
  </si>
  <si>
    <t xml:space="preserve">Flag </t>
  </si>
  <si>
    <t>VIDE</t>
  </si>
  <si>
    <t>&gt;10</t>
  </si>
  <si>
    <t>Largeur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</si>
  <si>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</si>
  <si>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</si>
  <si>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</si>
  <si>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</si>
  <si>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</si>
  <si>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</si>
  <si>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</si>
  <si>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</si>
  <si>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</si>
  <si>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</si>
  <si>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Référence</t>
  </si>
  <si>
    <t>Nr d'article</t>
  </si>
  <si>
    <t>Nr de couche</t>
  </si>
  <si>
    <t>Suffixe</t>
  </si>
  <si>
    <t>Article</t>
  </si>
  <si>
    <t>Art-</t>
  </si>
  <si>
    <t>JET</t>
  </si>
  <si>
    <t>2+1</t>
  </si>
  <si>
    <t>Sangle</t>
  </si>
  <si>
    <t>Type</t>
  </si>
  <si>
    <t>Nbre de couche</t>
  </si>
  <si>
    <t>Résistance</t>
  </si>
  <si>
    <t>Sangle JET OIL</t>
  </si>
  <si>
    <t>1+1</t>
  </si>
  <si>
    <t>MaxiGRIP</t>
  </si>
  <si>
    <t>1+2</t>
  </si>
  <si>
    <t>1+3</t>
  </si>
  <si>
    <t>2+2</t>
  </si>
  <si>
    <t>2+3</t>
  </si>
  <si>
    <t>3+1</t>
  </si>
  <si>
    <t>3+2</t>
  </si>
  <si>
    <t>Art-0004</t>
  </si>
  <si>
    <t>Art-0005</t>
  </si>
  <si>
    <t>Art-0006</t>
  </si>
  <si>
    <t>Art-0007</t>
  </si>
  <si>
    <t>Art-0008</t>
  </si>
  <si>
    <t>Art-0009</t>
  </si>
  <si>
    <t>Stock</t>
  </si>
  <si>
    <t>Valeur du stock</t>
  </si>
  <si>
    <t>Stock min</t>
  </si>
  <si>
    <t xml:space="preserve"> Largeur (mm)</t>
  </si>
  <si>
    <t>Longueur(ML)</t>
  </si>
  <si>
    <t>Art-0010</t>
  </si>
  <si>
    <t>Art-0011</t>
  </si>
  <si>
    <t>Art-0012</t>
  </si>
  <si>
    <t>JET OIL</t>
  </si>
  <si>
    <t>Art-0013</t>
  </si>
  <si>
    <t>Rayon</t>
  </si>
  <si>
    <t>ATM</t>
  </si>
  <si>
    <t>3+3</t>
  </si>
  <si>
    <t>Nr de Commande</t>
  </si>
  <si>
    <t>Date</t>
  </si>
  <si>
    <t xml:space="preserve">Prix </t>
  </si>
  <si>
    <t>Prix total</t>
  </si>
  <si>
    <t>Fournisseur</t>
  </si>
  <si>
    <t>Longueur</t>
  </si>
  <si>
    <t>Quantité</t>
  </si>
  <si>
    <t>Commande</t>
  </si>
  <si>
    <t>Com-</t>
  </si>
  <si>
    <t>Com-0004</t>
  </si>
  <si>
    <t>Nr.com :</t>
  </si>
  <si>
    <t>Adresse de livraison :</t>
  </si>
  <si>
    <t>Adresse de Facturation :</t>
  </si>
  <si>
    <t>Nom :</t>
  </si>
  <si>
    <t>Rue :</t>
  </si>
  <si>
    <t>Code Postal :</t>
  </si>
  <si>
    <t>Tél :</t>
  </si>
  <si>
    <t>Email :</t>
  </si>
  <si>
    <t>Nr.</t>
  </si>
  <si>
    <t>Total</t>
  </si>
  <si>
    <t>Art-0014</t>
  </si>
  <si>
    <t>Label1</t>
  </si>
  <si>
    <t>Art-0016</t>
  </si>
  <si>
    <t>Art-0017</t>
  </si>
  <si>
    <t>Com-0005</t>
  </si>
  <si>
    <t>Com-0006</t>
  </si>
  <si>
    <t>Longeur</t>
  </si>
  <si>
    <t>Prix</t>
  </si>
  <si>
    <t>TVA 20</t>
  </si>
  <si>
    <t>Total TTC</t>
  </si>
  <si>
    <t>Date :</t>
  </si>
  <si>
    <t>Com-0007</t>
  </si>
  <si>
    <t>Com-0008</t>
  </si>
  <si>
    <t>Com-0009</t>
  </si>
  <si>
    <t>Com-0010</t>
  </si>
  <si>
    <t>Com-0011</t>
  </si>
  <si>
    <t>Com-0012</t>
  </si>
  <si>
    <t>Com-0013</t>
  </si>
  <si>
    <t>Nr de facture</t>
  </si>
  <si>
    <t>Client</t>
  </si>
  <si>
    <t>Sauvegarde</t>
  </si>
  <si>
    <t>Type(E/S)</t>
  </si>
  <si>
    <t>Clients</t>
  </si>
  <si>
    <t>Fournisseurs</t>
  </si>
  <si>
    <t>Sauv-</t>
  </si>
  <si>
    <t>Label2</t>
  </si>
  <si>
    <t/>
  </si>
  <si>
    <t>Entrée</t>
  </si>
  <si>
    <t>Sortie</t>
  </si>
  <si>
    <t>Bon  de commande</t>
  </si>
  <si>
    <t>Com-0014</t>
  </si>
  <si>
    <t>Com-0015</t>
  </si>
  <si>
    <t>Com-0016</t>
  </si>
  <si>
    <t>Com-0017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</si>
</sst>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€&quot;#,##0.00_);\(&quot;€&quot;#,##0.00\)"/>
    <numFmt numFmtId="165" formatCode="&quot;Besoin&quot;"/>
    <numFmt numFmtId="166" formatCode="_-* #,##0.00\ [$€-40C]_-;\-* #,##0.00\ [$€-40C]_-;_-* &quot;-&quot;??\ [$€-40C]_-;_-@_-"/>
    <numFmt numFmtId="167" formatCode="m/d/yyyy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theme="1"/>
      </patternFill>
    </fill>
    <fill>
      <patternFill patternType="solid">
        <fgColor theme="0" tint="-0.14999847407452621"/>
        <bgColor theme="1"/>
      </patternFill>
    </fill>
  </fills>
  <borders count="1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6">
    <xf numFmtId="0" fontId="0" fillId="0" borderId="0" xfId="0"/>
    <xf numFmtId="0" fontId="2" fillId="0" borderId="0" xfId="1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Font="1" applyFill="1" applyBorder="1"/>
    <xf numFmtId="0" fontId="2" fillId="3" borderId="1" xfId="1" applyFont="1" applyFill="1" applyBorder="1"/>
    <xf numFmtId="0" fontId="0" fillId="3" borderId="2" xfId="0" applyFont="1" applyFill="1" applyBorder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4" borderId="3" xfId="0" applyFont="1" applyFill="1" applyBorder="1"/>
    <xf numFmtId="0" fontId="0" fillId="0" borderId="3" xfId="0" applyBorder="1"/>
    <xf numFmtId="164" fontId="0" fillId="0" borderId="0" xfId="0" applyNumberFormat="1" applyAlignment="1">
      <alignment horizontal="center" vertical="center"/>
    </xf>
    <xf numFmtId="0" fontId="0" fillId="0" borderId="0" xfId="0" applyNumberFormat="1"/>
    <xf numFmtId="166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NumberFormat="1" applyFont="1"/>
    <xf numFmtId="0" fontId="6" fillId="0" borderId="0" xfId="0" applyFont="1"/>
    <xf numFmtId="0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1" fontId="0" fillId="4" borderId="0" xfId="0" applyNumberFormat="1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1" fillId="5" borderId="7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0" fillId="7" borderId="9" xfId="0" applyFill="1" applyBorder="1"/>
    <xf numFmtId="0" fontId="0" fillId="7" borderId="10" xfId="0" applyFill="1" applyBorder="1"/>
    <xf numFmtId="0" fontId="0" fillId="6" borderId="9" xfId="0" applyFill="1" applyBorder="1"/>
    <xf numFmtId="0" fontId="0" fillId="6" borderId="10" xfId="0" applyFill="1" applyBorder="1"/>
    <xf numFmtId="22" fontId="0" fillId="0" borderId="0" xfId="0" applyNumberFormat="1"/>
    <xf numFmtId="166" fontId="0" fillId="0" borderId="0" xfId="0" applyNumberFormat="1"/>
    <xf numFmtId="0" fontId="0" fillId="8" borderId="0" xfId="0" applyFont="1" applyFill="1" applyBorder="1" applyAlignment="1">
      <alignment horizontal="center"/>
    </xf>
    <xf numFmtId="166" fontId="0" fillId="8" borderId="0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5" fillId="0" borderId="3" xfId="0" applyFont="1" applyBorder="1" applyAlignment="1">
      <alignment vertical="center"/>
    </xf>
    <xf numFmtId="20" fontId="7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Border="1"/>
    <xf numFmtId="0" fontId="0" fillId="3" borderId="0" xfId="0" applyFont="1" applyFill="1" applyBorder="1"/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6" fillId="8" borderId="4" xfId="0" applyFont="1" applyFill="1" applyBorder="1" applyAlignment="1">
      <alignment horizontal="center"/>
    </xf>
    <xf numFmtId="0" fontId="6" fillId="8" borderId="5" xfId="0" applyFont="1" applyFill="1" applyBorder="1" applyAlignment="1">
      <alignment horizontal="center"/>
    </xf>
    <xf numFmtId="166" fontId="6" fillId="8" borderId="5" xfId="0" applyNumberFormat="1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166" fontId="0" fillId="0" borderId="11" xfId="0" applyNumberFormat="1" applyBorder="1"/>
    <xf numFmtId="166" fontId="0" fillId="0" borderId="0" xfId="0" applyNumberFormat="1" applyBorder="1"/>
    <xf numFmtId="166" fontId="6" fillId="0" borderId="13" xfId="0" applyNumberFormat="1" applyFont="1" applyBorder="1"/>
    <xf numFmtId="166" fontId="6" fillId="0" borderId="14" xfId="0" applyNumberFormat="1" applyFont="1" applyBorder="1"/>
    <xf numFmtId="166" fontId="6" fillId="0" borderId="12" xfId="0" applyNumberFormat="1" applyFont="1" applyBorder="1"/>
    <xf numFmtId="0" fontId="6" fillId="0" borderId="15" xfId="0" applyFont="1" applyBorder="1"/>
    <xf numFmtId="0" fontId="6" fillId="0" borderId="16" xfId="0" applyFont="1" applyBorder="1"/>
    <xf numFmtId="0" fontId="6" fillId="0" borderId="12" xfId="0" applyFont="1" applyBorder="1"/>
    <xf numFmtId="14" fontId="6" fillId="8" borderId="5" xfId="0" applyNumberFormat="1" applyFont="1" applyFill="1" applyBorder="1" applyAlignment="1">
      <alignment horizontal="center"/>
    </xf>
    <xf numFmtId="14" fontId="0" fillId="8" borderId="0" xfId="0" applyNumberFormat="1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14" fontId="0" fillId="0" borderId="0" xfId="0" applyNumberFormat="1"/>
    <xf numFmtId="0" fontId="5" fillId="0" borderId="17" xfId="0" applyFont="1" applyBorder="1" applyAlignment="1">
      <alignment horizontal="center" vertical="center"/>
    </xf>
    <xf numFmtId="0" fontId="7" fillId="9" borderId="12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7" fontId="0" fillId="8" borderId="0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6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_-* #,##0.00\ [$€-40C]_-;\-* #,##0.00\ [$€-40C]_-;_-* &quot;-&quot;??\ [$€-40C]_-;_-@_-"/>
    </dxf>
    <dxf>
      <numFmt numFmtId="167" formatCode="m/d/yyyy"/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&quot;Besoin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C00000"/>
        </patternFill>
      </fill>
      <border>
        <top style="thin">
          <color auto="1"/>
        </top>
        <vertical/>
        <horizontal/>
      </border>
    </dxf>
    <dxf>
      <fill>
        <patternFill>
          <bgColor rgb="FF0070C0"/>
        </pattern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 /><Relationship Id="rId13" Type="http://schemas.openxmlformats.org/officeDocument/2006/relationships/styles" Target="styles.xml" /><Relationship Id="rId3" Type="http://schemas.openxmlformats.org/officeDocument/2006/relationships/worksheet" Target="worksheets/sheet3.xml" /><Relationship Id="rId7" Type="http://schemas.openxmlformats.org/officeDocument/2006/relationships/worksheet" Target="worksheets/sheet7.xml" /><Relationship Id="rId12" Type="http://schemas.openxmlformats.org/officeDocument/2006/relationships/connections" Target="connections.xml" /><Relationship Id="rId17" Type="http://schemas.microsoft.com/office/2006/relationships/vbaProject" Target="vbaProject.bin" /><Relationship Id="rId2" Type="http://schemas.openxmlformats.org/officeDocument/2006/relationships/worksheet" Target="worksheets/sheet2.xml" /><Relationship Id="rId16" Type="http://schemas.openxmlformats.org/officeDocument/2006/relationships/customXml" Target="../customXml/item1.xml" /><Relationship Id="rId1" Type="http://schemas.openxmlformats.org/officeDocument/2006/relationships/worksheet" Target="worksheets/sheet1.xml" /><Relationship Id="rId6" Type="http://schemas.openxmlformats.org/officeDocument/2006/relationships/worksheet" Target="worksheets/sheet6.xml" /><Relationship Id="rId11" Type="http://schemas.openxmlformats.org/officeDocument/2006/relationships/theme" Target="theme/theme1.xml" /><Relationship Id="rId5" Type="http://schemas.openxmlformats.org/officeDocument/2006/relationships/worksheet" Target="worksheets/sheet5.xml" /><Relationship Id="rId15" Type="http://schemas.openxmlformats.org/officeDocument/2006/relationships/calcChain" Target="calcChain.xml" /><Relationship Id="rId10" Type="http://schemas.openxmlformats.org/officeDocument/2006/relationships/externalLink" Target="externalLinks/externalLink1.xml" /><Relationship Id="rId4" Type="http://schemas.openxmlformats.org/officeDocument/2006/relationships/worksheet" Target="worksheets/sheet4.xml" /><Relationship Id="rId9" Type="http://schemas.openxmlformats.org/officeDocument/2006/relationships/worksheet" Target="worksheets/sheet9.xml" /><Relationship Id="rId14" Type="http://schemas.openxmlformats.org/officeDocument/2006/relationships/sharedStrings" Target="sharedStrings.xml" 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 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 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1</xdr:row>
          <xdr:rowOff>76200</xdr:rowOff>
        </xdr:from>
        <xdr:to>
          <xdr:col>2</xdr:col>
          <xdr:colOff>400050</xdr:colOff>
          <xdr:row>4</xdr:row>
          <xdr:rowOff>0</xdr:rowOff>
        </xdr:to>
        <xdr:sp macro="" textlink="">
          <xdr:nvSpPr>
            <xdr:cNvPr id="2064" name="CommandButton1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1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80024</xdr:colOff>
      <xdr:row>3</xdr:row>
      <xdr:rowOff>169361</xdr:rowOff>
    </xdr:from>
    <xdr:ext cx="2354554" cy="754564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165874" y="969461"/>
          <a:ext cx="2354554" cy="754564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4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DAN</a:t>
          </a:r>
          <a:r>
            <a:rPr lang="fr-FR" sz="44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TEST</a:t>
          </a:r>
        </a:p>
      </xdr:txBody>
    </xdr:sp>
    <xdr:clientData/>
  </xdr:oneCellAnchor>
  <xdr:oneCellAnchor>
    <xdr:from>
      <xdr:col>8</xdr:col>
      <xdr:colOff>98828</xdr:colOff>
      <xdr:row>4</xdr:row>
      <xdr:rowOff>181606</xdr:rowOff>
    </xdr:from>
    <xdr:ext cx="2442143" cy="405432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6535007" y="998035"/>
          <a:ext cx="2442143" cy="405432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0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cs typeface="Times New Roman" panose="02020603050405020304" pitchFamily="18" charset="0"/>
            </a:rPr>
            <a:t>BON DE COMMANDE</a:t>
          </a:r>
          <a:endParaRPr lang="fr-FR" sz="2000" b="1" cap="none" spc="0">
            <a:ln w="0"/>
            <a:solidFill>
              <a:srgbClr val="FF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+mn-lt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0</xdr:col>
      <xdr:colOff>719420</xdr:colOff>
      <xdr:row>11</xdr:row>
      <xdr:rowOff>126152</xdr:rowOff>
    </xdr:from>
    <xdr:ext cx="3819523" cy="421141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719420" y="2344917"/>
          <a:ext cx="3819523" cy="421141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l"/>
          <a:r>
            <a:rPr lang="fr-FR" sz="105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le numéro</a:t>
          </a:r>
          <a:r>
            <a:rPr lang="fr-FR" sz="105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suivant doit apparaitre sur toute la correspondance annexe, les papiers de livraison et les factures</a:t>
          </a:r>
          <a:endParaRPr lang="fr-FR" sz="105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bs%20Conseil%202/Documents/Scolarit&#233;/IPSAS/3&#232;me%20ann&#233;e/PFE/developpement%20application%20-%20Copie.xlsm" TargetMode="External" 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rticles"/>
      <sheetName val="commandes"/>
      <sheetName val="achats"/>
      <sheetName val="clients"/>
      <sheetName val="fournisseurs"/>
      <sheetName val="config"/>
      <sheetName val="Feuil3"/>
      <sheetName val="Feuil6"/>
      <sheetName val="developpement application - Cop"/>
    </sheetNames>
    <sheetDataSet>
      <sheetData sheetId="0" refreshError="1"/>
      <sheetData sheetId="1" refreshError="1"/>
      <sheetData sheetId="2"/>
      <sheetData sheetId="3"/>
      <sheetData sheetId="4" refreshError="1"/>
      <sheetData sheetId="5"/>
      <sheetData sheetId="6">
        <row r="26">
          <cell r="C26" t="str">
            <v>SOFAMIC</v>
          </cell>
        </row>
        <row r="27">
          <cell r="C27" t="str">
            <v>24 RUE MOHAMED YAICH ROUTE DE GREMDA KM 7</v>
          </cell>
        </row>
        <row r="28">
          <cell r="C28">
            <v>3000</v>
          </cell>
        </row>
        <row r="31">
          <cell r="C31" t="str">
            <v>(+216)55933656</v>
          </cell>
        </row>
        <row r="32">
          <cell r="C32" t="str">
            <v>douma901@gmail.com</v>
          </cell>
        </row>
      </sheetData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B5:Z23" totalsRowShown="0">
  <autoFilter ref="B5:Z23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</autoFilter>
  <tableColumns count="25">
    <tableColumn id="1" xr3:uid="{00000000-0010-0000-0000-000001000000}" name="Nr d'article" dataDxfId="60"/>
    <tableColumn id="2" xr3:uid="{00000000-0010-0000-0000-000002000000}" name="Référence" dataDxfId="59">
      <calculatedColumnFormula>CONCATENATE(config!B20,LEFT(articles!D6,3),articles!E6,"-",LEFT(articles!G6,1),RIGHT(articles!G6,1),articles!H6,)</calculatedColumnFormula>
    </tableColumn>
    <tableColumn id="23" xr3:uid="{4D4AC2E3-CAD2-4586-950C-E3C3F67F99B4}" name="Sangle" dataDxfId="58"/>
    <tableColumn id="25" xr3:uid="{FE5ABF4C-79EA-4D1F-B052-77780C9FB2B8}" name="Type" dataDxfId="57"/>
    <tableColumn id="3" xr3:uid="{00000000-0010-0000-0000-000003000000}" name="Nr de couche" dataDxfId="56"/>
    <tableColumn id="24" xr3:uid="{F51973A5-7498-4EA0-99E1-441D61AE3943}" name="Résistance" dataDxfId="55"/>
    <tableColumn id="4" xr3:uid="{00000000-0010-0000-0000-000004000000}" name=" Largeur (mm)" dataDxfId="54"/>
    <tableColumn id="5" xr3:uid="{00000000-0010-0000-0000-000005000000}" name="Longueur(ML)" dataDxfId="53"/>
    <tableColumn id="6" xr3:uid="{00000000-0010-0000-0000-000006000000}" name="Prix unité" dataDxfId="52"/>
    <tableColumn id="7" xr3:uid="{00000000-0010-0000-0000-000007000000}" name="Stock" dataDxfId="51"/>
    <tableColumn id="8" xr3:uid="{00000000-0010-0000-0000-000008000000}" name="Valeur du stock" dataDxfId="50">
      <calculatedColumnFormula>J6*K6</calculatedColumnFormula>
    </tableColumn>
    <tableColumn id="9" xr3:uid="{00000000-0010-0000-0000-000009000000}" name="Stock min" dataDxfId="49"/>
    <tableColumn id="10" xr3:uid="{00000000-0010-0000-0000-00000A000000}" name="Flag " dataDxfId="48">
      <calculatedColumnFormula>IF(K6&lt;=M6,1,"")</calculatedColumnFormula>
    </tableColumn>
    <tableColumn id="11" xr3:uid="{00000000-0010-0000-0000-00000B000000}" name="VIDE" dataDxfId="47"/>
    <tableColumn id="12" xr3:uid="{00000000-0010-0000-0000-00000C000000}" name="1" dataDxfId="46"/>
    <tableColumn id="13" xr3:uid="{00000000-0010-0000-0000-00000D000000}" name="2" dataDxfId="45"/>
    <tableColumn id="14" xr3:uid="{00000000-0010-0000-0000-00000E000000}" name="3" dataDxfId="44"/>
    <tableColumn id="15" xr3:uid="{00000000-0010-0000-0000-00000F000000}" name="4" dataDxfId="43"/>
    <tableColumn id="16" xr3:uid="{00000000-0010-0000-0000-000010000000}" name="5" dataDxfId="42"/>
    <tableColumn id="17" xr3:uid="{00000000-0010-0000-0000-000011000000}" name="6" dataDxfId="41"/>
    <tableColumn id="18" xr3:uid="{00000000-0010-0000-0000-000012000000}" name="7" dataDxfId="40"/>
    <tableColumn id="19" xr3:uid="{00000000-0010-0000-0000-000013000000}" name="8" dataDxfId="39"/>
    <tableColumn id="20" xr3:uid="{00000000-0010-0000-0000-000014000000}" name="9" dataDxfId="38"/>
    <tableColumn id="21" xr3:uid="{00000000-0010-0000-0000-000015000000}" name="10" dataDxfId="37"/>
    <tableColumn id="22" xr3:uid="{00000000-0010-0000-0000-000016000000}" name="&gt;10" dataDxfId="3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7F3601B-D1E4-4970-B056-418CBBE7F6C8}" name="Tableau5" displayName="Tableau5" ref="B5:M24" totalsRowShown="0" headerRowDxfId="34" tableBorderDxfId="33">
  <autoFilter ref="B5:M24" xr:uid="{7C2B4FF8-EACA-4851-8423-63EF0DFB8D4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AAD5E6BB-7D20-4EDD-9E1C-C32B8A67D3E1}" name="Nr de Commande"/>
    <tableColumn id="2" xr3:uid="{AE42B91A-15E5-4C84-8396-B10919FC1400}" name="Date" dataDxfId="32"/>
    <tableColumn id="3" xr3:uid="{4AB26818-CB57-488B-A1BD-F33657BBAB59}" name="Sangle"/>
    <tableColumn id="4" xr3:uid="{16714F68-7C3C-4330-A24D-0723E7FC3903}" name="Type"/>
    <tableColumn id="11" xr3:uid="{7B3AF1C4-89A6-4112-A9CB-792317F20AF6}" name="Nr de couche"/>
    <tableColumn id="12" xr3:uid="{D809012E-C42B-49F8-B5E1-F075601C70FF}" name="Résistance"/>
    <tableColumn id="5" xr3:uid="{7D300023-80CD-488B-81EF-89FF02A99FED}" name="Largeur"/>
    <tableColumn id="9" xr3:uid="{33BD8A3C-70B8-4EE6-93C3-7D6E69928A90}" name="Longueur"/>
    <tableColumn id="10" xr3:uid="{97DD670A-BF46-4E70-AF39-A8E83244CD10}" name="Quantité"/>
    <tableColumn id="6" xr3:uid="{1186C757-7AF5-4C03-9520-A2CC28FEA04A}" name="Prix "/>
    <tableColumn id="7" xr3:uid="{3B77F419-A892-4FE6-9F97-3470216F8CB3}" name="Prix total" dataDxfId="31">
      <calculatedColumnFormula>J6*K6</calculatedColumnFormula>
    </tableColumn>
    <tableColumn id="8" xr3:uid="{57A09AA0-047A-4B1D-89FF-2F821265C245}" name="Fournisseur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720857F-F3C2-4B3A-AD0D-746F7A30F974}" name="Tableau6" displayName="Tableau6" ref="B5:N27" totalsRowShown="0" headerRowDxfId="30" dataDxfId="29">
  <autoFilter ref="B5:N27" xr:uid="{72918B4D-A051-48A4-AC65-96AD616D882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0A1AE9FD-4012-4680-BA25-B20A5E1A447F}" name="Type(E/S)" dataDxfId="28"/>
    <tableColumn id="2" xr3:uid="{BEEFDC5F-A253-4B01-966F-B3AA465F610A}" name="Nr de facture" dataDxfId="27"/>
    <tableColumn id="3" xr3:uid="{6F8876FC-8E6E-4395-AB48-BC1A16C16E3E}" name="Bon  de commande" dataDxfId="26"/>
    <tableColumn id="4" xr3:uid="{44D53117-60A5-47CF-894B-D8FEC3908403}" name="Fournisseurs" dataDxfId="25"/>
    <tableColumn id="5" xr3:uid="{AF9D92F4-9C2A-4087-96E1-7EB856368585}" name="Clients" dataDxfId="24"/>
    <tableColumn id="7" xr3:uid="{1E9E217A-D9BD-46CC-BE39-3F19169A1AF2}" name="Sangle" dataDxfId="23"/>
    <tableColumn id="8" xr3:uid="{F61F72E6-9818-4303-A8B5-26632E38BEC9}" name="Type" dataDxfId="22"/>
    <tableColumn id="9" xr3:uid="{93604CDB-4E2D-4D5E-9CD3-BC4791218805}" name="Nr de couche" dataDxfId="21"/>
    <tableColumn id="10" xr3:uid="{296D06C2-37E2-423E-B869-2F605D76FA13}" name="Résistance" dataDxfId="20"/>
    <tableColumn id="14" xr3:uid="{B718812C-5DA3-43AF-A339-C2464D7FEB40}" name="Largeur" dataDxfId="19"/>
    <tableColumn id="15" xr3:uid="{0B390D31-6B9A-4DA4-B39A-1D7F517E1688}" name="Longeur" dataDxfId="18"/>
    <tableColumn id="11" xr3:uid="{08111DFE-7BBC-4910-A481-D970378BF995}" name="Quantité" dataDxfId="17"/>
    <tableColumn id="12" xr3:uid="{0AE580FA-BBE6-45E4-9BAF-F5633369337E}" name="Sauvegarde" dataDxfId="16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B5:I20" totalsRowShown="0">
  <autoFilter ref="B5:I20" xr:uid="{00000000-0009-0000-0100-000001000000}"/>
  <tableColumns count="8">
    <tableColumn id="1" xr3:uid="{00000000-0010-0000-0200-000001000000}" name="Client"/>
    <tableColumn id="2" xr3:uid="{00000000-0010-0000-0200-000002000000}" name="Adresse"/>
    <tableColumn id="3" xr3:uid="{00000000-0010-0000-0200-000003000000}" name="cp"/>
    <tableColumn id="4" xr3:uid="{00000000-0010-0000-0200-000004000000}" name="ville"/>
    <tableColumn id="5" xr3:uid="{00000000-0010-0000-0200-000005000000}" name="pays"/>
    <tableColumn id="6" xr3:uid="{00000000-0010-0000-0200-000006000000}" name="téléphone"/>
    <tableColumn id="7" xr3:uid="{00000000-0010-0000-0200-000007000000}" name="Mail" dataCellStyle="Lien hypertexte"/>
    <tableColumn id="8" xr3:uid="{00000000-0010-0000-0200-000008000000}" name="groupe">
      <calculatedColumnFormula>CONCATENATE(LEFT(F6,2),"-",D6,",",E6)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5:J23" totalsRowShown="0" headerRowDxfId="15" tableBorderDxfId="14">
  <autoFilter ref="B5:J23" xr:uid="{00000000-0009-0000-0100-000002000000}"/>
  <tableColumns count="9">
    <tableColumn id="1" xr3:uid="{00000000-0010-0000-0100-000001000000}" name="Fournisseur" dataDxfId="13"/>
    <tableColumn id="2" xr3:uid="{00000000-0010-0000-0100-000002000000}" name="Adresse" dataDxfId="12"/>
    <tableColumn id="3" xr3:uid="{00000000-0010-0000-0100-000003000000}" name="cp" dataDxfId="11"/>
    <tableColumn id="4" xr3:uid="{00000000-0010-0000-0100-000004000000}" name="ville" dataDxfId="10"/>
    <tableColumn id="5" xr3:uid="{00000000-0010-0000-0100-000005000000}" name="pays" dataDxfId="9"/>
    <tableColumn id="6" xr3:uid="{00000000-0010-0000-0100-000006000000}" name="téléphone" dataDxfId="8"/>
    <tableColumn id="7" xr3:uid="{00000000-0010-0000-0100-000007000000}" name="Mail" dataDxfId="7" dataCellStyle="Lien hypertexte"/>
    <tableColumn id="8" xr3:uid="{00000000-0010-0000-0100-000008000000}" name="groupe" dataDxfId="6">
      <calculatedColumnFormula>CONCATENATE(LEFT(F6,2),"-",D6,",",E6)</calculatedColumnFormula>
    </tableColumn>
    <tableColumn id="9" xr3:uid="{00000000-0010-0000-0100-000009000000}" name="Colonne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25AA093-E87B-466C-B6B6-EAF7EB3CDD38}" name="Tableau4" displayName="Tableau4" ref="G5:K15" totalsRowShown="0" headerRowDxfId="5">
  <autoFilter ref="G5:K15" xr:uid="{00FD3173-038E-40BE-B7B2-70158DC256F2}"/>
  <tableColumns count="5">
    <tableColumn id="1" xr3:uid="{4B006E9E-7637-460B-AEFD-40F4A2597909}" name="Sangle" dataDxfId="4"/>
    <tableColumn id="2" xr3:uid="{11303D80-EE25-4DD7-B93E-86739F7E64F1}" name="Type" dataDxfId="3"/>
    <tableColumn id="3" xr3:uid="{864505C0-3338-437B-B45E-F5292EE2234C}" name="Nbre de couche" dataDxfId="2"/>
    <tableColumn id="4" xr3:uid="{C00ECC22-3098-4CBF-A5FC-EE591E9230CF}" name="Résistance" dataDxfId="1"/>
    <tableColumn id="5" xr3:uid="{10D171E4-E890-4D7F-9DCA-00CCE37246C7}" name="Larg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 /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Relationship Id="rId6" Type="http://schemas.openxmlformats.org/officeDocument/2006/relationships/table" Target="../tables/table1.xml" /><Relationship Id="rId5" Type="http://schemas.openxmlformats.org/officeDocument/2006/relationships/image" Target="../media/image1.emf" /><Relationship Id="rId4" Type="http://schemas.openxmlformats.org/officeDocument/2006/relationships/control" Target="../activeX/activeX1.xml" 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 /><Relationship Id="rId1" Type="http://schemas.openxmlformats.org/officeDocument/2006/relationships/printerSettings" Target="../printerSettings/printerSettings2.bin" 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 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 /><Relationship Id="rId1" Type="http://schemas.openxmlformats.org/officeDocument/2006/relationships/printerSettings" Target="../printerSettings/printerSettings3.bin" 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maildufournisseur@gmail,com" TargetMode="External" /><Relationship Id="rId13" Type="http://schemas.openxmlformats.org/officeDocument/2006/relationships/hyperlink" Target="mailto:maildufournisseur@gmail,com" TargetMode="External" /><Relationship Id="rId3" Type="http://schemas.openxmlformats.org/officeDocument/2006/relationships/hyperlink" Target="mailto:maildufournisseur@gmail,com" TargetMode="External" /><Relationship Id="rId7" Type="http://schemas.openxmlformats.org/officeDocument/2006/relationships/hyperlink" Target="mailto:maildufournisseur@gmail,com" TargetMode="External" /><Relationship Id="rId12" Type="http://schemas.openxmlformats.org/officeDocument/2006/relationships/hyperlink" Target="mailto:maildufournisseur@gmail,com" TargetMode="External" /><Relationship Id="rId2" Type="http://schemas.openxmlformats.org/officeDocument/2006/relationships/hyperlink" Target="mailto:maildufournisseur@gmail,com" TargetMode="External" /><Relationship Id="rId16" Type="http://schemas.openxmlformats.org/officeDocument/2006/relationships/table" Target="../tables/table4.xml" /><Relationship Id="rId1" Type="http://schemas.openxmlformats.org/officeDocument/2006/relationships/hyperlink" Target="mailto:maildufournisseur@gmail,com" TargetMode="External" /><Relationship Id="rId6" Type="http://schemas.openxmlformats.org/officeDocument/2006/relationships/hyperlink" Target="mailto:maildufournisseur@gmail,com" TargetMode="External" /><Relationship Id="rId11" Type="http://schemas.openxmlformats.org/officeDocument/2006/relationships/hyperlink" Target="mailto:maildufournisseur@gmail,com" TargetMode="External" /><Relationship Id="rId5" Type="http://schemas.openxmlformats.org/officeDocument/2006/relationships/hyperlink" Target="mailto:maildufournisseur@gmail,com" TargetMode="External" /><Relationship Id="rId15" Type="http://schemas.openxmlformats.org/officeDocument/2006/relationships/hyperlink" Target="mailto:maildufournisseur@gmail,com" TargetMode="External" /><Relationship Id="rId10" Type="http://schemas.openxmlformats.org/officeDocument/2006/relationships/hyperlink" Target="mailto:maildufournisseur@gmail,com" TargetMode="External" /><Relationship Id="rId4" Type="http://schemas.openxmlformats.org/officeDocument/2006/relationships/hyperlink" Target="mailto:maildufournisseur@gmail,com" TargetMode="External" /><Relationship Id="rId9" Type="http://schemas.openxmlformats.org/officeDocument/2006/relationships/hyperlink" Target="mailto:maildufournisseur@gmail,com" TargetMode="External" /><Relationship Id="rId14" Type="http://schemas.openxmlformats.org/officeDocument/2006/relationships/hyperlink" Target="mailto:maildufournisseur@gmail,com" TargetMode="External" 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maildufournisseur@gmail,com" TargetMode="External" /><Relationship Id="rId13" Type="http://schemas.openxmlformats.org/officeDocument/2006/relationships/hyperlink" Target="mailto:maildufournisseur@gmail,com" TargetMode="External" /><Relationship Id="rId18" Type="http://schemas.openxmlformats.org/officeDocument/2006/relationships/hyperlink" Target="mailto:maildufournisseur@gmail,com" TargetMode="External" /><Relationship Id="rId3" Type="http://schemas.openxmlformats.org/officeDocument/2006/relationships/hyperlink" Target="mailto:maildufournisseur@gmail,com" TargetMode="External" /><Relationship Id="rId7" Type="http://schemas.openxmlformats.org/officeDocument/2006/relationships/hyperlink" Target="mailto:maildufournisseur@gmail,com" TargetMode="External" /><Relationship Id="rId12" Type="http://schemas.openxmlformats.org/officeDocument/2006/relationships/hyperlink" Target="mailto:maildufournisseur@gmail,com" TargetMode="External" /><Relationship Id="rId17" Type="http://schemas.openxmlformats.org/officeDocument/2006/relationships/hyperlink" Target="mailto:maildufournisseur@gmail,com" TargetMode="External" /><Relationship Id="rId2" Type="http://schemas.openxmlformats.org/officeDocument/2006/relationships/hyperlink" Target="mailto:maildufournisseur@gmail,com" TargetMode="External" /><Relationship Id="rId16" Type="http://schemas.openxmlformats.org/officeDocument/2006/relationships/hyperlink" Target="mailto:maildufournisseur@gmail,com" TargetMode="External" /><Relationship Id="rId1" Type="http://schemas.openxmlformats.org/officeDocument/2006/relationships/hyperlink" Target="mailto:maildufournisseur@gmail,com" TargetMode="External" /><Relationship Id="rId6" Type="http://schemas.openxmlformats.org/officeDocument/2006/relationships/hyperlink" Target="mailto:maildufournisseur@gmail,com" TargetMode="External" /><Relationship Id="rId11" Type="http://schemas.openxmlformats.org/officeDocument/2006/relationships/hyperlink" Target="mailto:maildufournisseur@gmail,com" TargetMode="External" /><Relationship Id="rId5" Type="http://schemas.openxmlformats.org/officeDocument/2006/relationships/hyperlink" Target="mailto:maildufournisseur@gmail,com" TargetMode="External" /><Relationship Id="rId15" Type="http://schemas.openxmlformats.org/officeDocument/2006/relationships/hyperlink" Target="mailto:maildufournisseur@gmail,com" TargetMode="External" /><Relationship Id="rId10" Type="http://schemas.openxmlformats.org/officeDocument/2006/relationships/hyperlink" Target="mailto:maildufournisseur@gmail,com" TargetMode="External" /><Relationship Id="rId19" Type="http://schemas.openxmlformats.org/officeDocument/2006/relationships/table" Target="../tables/table5.xml" /><Relationship Id="rId4" Type="http://schemas.openxmlformats.org/officeDocument/2006/relationships/hyperlink" Target="mailto:maildufournisseur@gmail,com" TargetMode="External" /><Relationship Id="rId9" Type="http://schemas.openxmlformats.org/officeDocument/2006/relationships/hyperlink" Target="mailto:maildufournisseur@gmail,com" TargetMode="External" /><Relationship Id="rId14" Type="http://schemas.openxmlformats.org/officeDocument/2006/relationships/hyperlink" Target="mailto:maildufournisseur@gmail,com" TargetMode="External" 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 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 /><Relationship Id="rId1" Type="http://schemas.openxmlformats.org/officeDocument/2006/relationships/printerSettings" Target="../printerSettings/printerSettings5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2"/>
  <sheetViews>
    <sheetView workbookViewId="0">
      <selection activeCell="C21" sqref="C21"/>
    </sheetView>
  </sheetViews>
  <sheetFormatPr defaultColWidth="10.76171875" defaultRowHeight="15" x14ac:dyDescent="0.2"/>
  <sheetData>
    <row r="1" spans="1:1" x14ac:dyDescent="0.2">
      <c r="A1" t="s">
        <v>0</v>
      </c>
    </row>
    <row r="21" spans="2:7" x14ac:dyDescent="0.2">
      <c r="B21" s="40"/>
      <c r="C21" s="40"/>
      <c r="D21" s="40"/>
      <c r="E21" s="40"/>
      <c r="F21" s="40"/>
      <c r="G21" s="40"/>
    </row>
    <row r="22" spans="2:7" x14ac:dyDescent="0.2">
      <c r="B22" s="40"/>
      <c r="C22" s="40"/>
      <c r="D22" s="40"/>
      <c r="E22" s="40"/>
      <c r="F22" s="40"/>
      <c r="G22" s="4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Z56"/>
  <sheetViews>
    <sheetView showGridLines="0" zoomScale="85" zoomScaleNormal="85" workbookViewId="0">
      <selection activeCell="H23" sqref="H23"/>
    </sheetView>
  </sheetViews>
  <sheetFormatPr defaultColWidth="10.76171875" defaultRowHeight="15" x14ac:dyDescent="0.2"/>
  <cols>
    <col min="2" max="10" width="14.66015625" style="7" customWidth="1"/>
    <col min="11" max="11" width="14.125" style="7" customWidth="1"/>
    <col min="12" max="12" width="16.54296875" style="7" customWidth="1"/>
    <col min="13" max="14" width="14.66015625" style="7" customWidth="1"/>
    <col min="15" max="15" width="2.015625" style="7" customWidth="1"/>
    <col min="16" max="24" width="4.16796875" style="7" customWidth="1"/>
    <col min="25" max="25" width="5.109375" style="7" customWidth="1"/>
    <col min="26" max="26" width="6.1875" style="7" customWidth="1"/>
  </cols>
  <sheetData>
    <row r="4" spans="2:26" x14ac:dyDescent="0.2">
      <c r="P4" s="7">
        <v>1</v>
      </c>
      <c r="Q4" s="7">
        <v>2</v>
      </c>
      <c r="R4" s="7">
        <v>3</v>
      </c>
      <c r="S4" s="7">
        <v>4</v>
      </c>
      <c r="T4" s="7">
        <v>5</v>
      </c>
      <c r="U4" s="7">
        <v>6</v>
      </c>
      <c r="V4" s="7">
        <v>7</v>
      </c>
      <c r="W4" s="7">
        <v>8</v>
      </c>
      <c r="X4" s="7">
        <v>9</v>
      </c>
      <c r="Y4" s="7">
        <v>10</v>
      </c>
    </row>
    <row r="5" spans="2:26" x14ac:dyDescent="0.2">
      <c r="B5" s="14" t="s">
        <v>79</v>
      </c>
      <c r="C5" s="14" t="s">
        <v>78</v>
      </c>
      <c r="D5" s="14" t="s">
        <v>86</v>
      </c>
      <c r="E5" s="14" t="s">
        <v>87</v>
      </c>
      <c r="F5" s="14" t="s">
        <v>80</v>
      </c>
      <c r="G5" s="14" t="s">
        <v>89</v>
      </c>
      <c r="H5" s="14" t="s">
        <v>108</v>
      </c>
      <c r="I5" s="14" t="s">
        <v>109</v>
      </c>
      <c r="J5" s="14" t="s">
        <v>63</v>
      </c>
      <c r="K5" s="14" t="s">
        <v>105</v>
      </c>
      <c r="L5" s="14" t="s">
        <v>106</v>
      </c>
      <c r="M5" s="14" t="s">
        <v>107</v>
      </c>
      <c r="N5" s="14" t="s">
        <v>64</v>
      </c>
      <c r="O5" s="7" t="s">
        <v>65</v>
      </c>
      <c r="P5" s="7" t="s">
        <v>68</v>
      </c>
      <c r="Q5" s="7" t="s">
        <v>69</v>
      </c>
      <c r="R5" s="7" t="s">
        <v>70</v>
      </c>
      <c r="S5" s="7" t="s">
        <v>71</v>
      </c>
      <c r="T5" s="7" t="s">
        <v>72</v>
      </c>
      <c r="U5" s="7" t="s">
        <v>73</v>
      </c>
      <c r="V5" s="7" t="s">
        <v>74</v>
      </c>
      <c r="W5" s="7" t="s">
        <v>75</v>
      </c>
      <c r="X5" s="7" t="s">
        <v>76</v>
      </c>
      <c r="Y5" s="7" t="s">
        <v>77</v>
      </c>
      <c r="Z5" s="7" t="s">
        <v>66</v>
      </c>
    </row>
    <row r="6" spans="2:26" x14ac:dyDescent="0.2">
      <c r="B6" s="18">
        <v>1</v>
      </c>
      <c r="C6" s="18" t="str">
        <f>CONCATENATE(config!B20,LEFT(articles!D6,3),articles!E6,"-",LEFT(articles!G6,1),RIGHT(articles!G6,1),articles!H6,)</f>
        <v>Commande-</v>
      </c>
      <c r="D6" s="18"/>
      <c r="E6" s="18"/>
      <c r="F6" s="18"/>
      <c r="G6" s="18"/>
      <c r="H6" s="19"/>
      <c r="I6" s="18"/>
      <c r="J6" s="18"/>
      <c r="K6" s="18"/>
      <c r="L6" s="20">
        <f>J6*K6</f>
        <v>0</v>
      </c>
      <c r="M6" s="18">
        <v>640</v>
      </c>
      <c r="N6" s="21">
        <f>IF(K6&lt;=M6,1,"")</f>
        <v>1</v>
      </c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2:26" x14ac:dyDescent="0.2">
      <c r="C7" s="7" t="str">
        <f>CONCATENATE(config!B21,LEFT(articles!D7,3),articles!E7,"-",LEFT(articles!G7,1),RIGHT(articles!G7,1),articles!H7,)</f>
        <v>Sauvegarde-</v>
      </c>
      <c r="L7" s="13"/>
      <c r="N7" s="8"/>
    </row>
    <row r="8" spans="2:26" x14ac:dyDescent="0.2">
      <c r="B8" s="7" t="s">
        <v>99</v>
      </c>
      <c r="C8" s="7" t="str">
        <f>CONCATENATE(config!B22,LEFT(articles!D8,3),articles!E8,"-",LEFT(articles!G8,1),RIGHT(articles!G8,1),articles!H8,)</f>
        <v>-2112</v>
      </c>
      <c r="F8" s="17">
        <v>2</v>
      </c>
      <c r="G8" s="7" t="s">
        <v>85</v>
      </c>
      <c r="H8" s="17">
        <v>12</v>
      </c>
      <c r="I8" s="17">
        <v>14</v>
      </c>
      <c r="J8" s="11">
        <v>4</v>
      </c>
      <c r="K8" s="7">
        <v>4</v>
      </c>
      <c r="L8" s="13">
        <f t="shared" ref="L8:L15" si="0">J8*K8</f>
        <v>16</v>
      </c>
      <c r="N8" s="8" t="str">
        <f t="shared" ref="N8:N15" si="1">IF(K8&lt;=M8,1,"")</f>
        <v/>
      </c>
    </row>
    <row r="9" spans="2:26" x14ac:dyDescent="0.2">
      <c r="B9" s="7" t="s">
        <v>100</v>
      </c>
      <c r="C9" s="7" t="str">
        <f>CONCATENATE(config!B23,LEFT(articles!D9,3),articles!E9,"-",LEFT(articles!G9,1),RIGHT(articles!G9,1),articles!H9,)</f>
        <v>San800-1555</v>
      </c>
      <c r="D9" s="7" t="s">
        <v>90</v>
      </c>
      <c r="E9" s="17">
        <v>800</v>
      </c>
      <c r="F9" s="7" t="s">
        <v>94</v>
      </c>
      <c r="G9" s="17">
        <v>125</v>
      </c>
      <c r="H9" s="17">
        <v>55</v>
      </c>
      <c r="I9" s="11">
        <v>100</v>
      </c>
      <c r="J9" s="11">
        <v>4</v>
      </c>
      <c r="L9" s="13">
        <f t="shared" si="0"/>
        <v>0</v>
      </c>
      <c r="N9" s="8">
        <f t="shared" si="1"/>
        <v>1</v>
      </c>
    </row>
    <row r="10" spans="2:26" x14ac:dyDescent="0.2">
      <c r="B10" s="7" t="s">
        <v>101</v>
      </c>
      <c r="C10" s="7" t="str">
        <f>CONCATENATE(config!B24,LEFT(articles!D10,3),articles!E10,"-",LEFT(articles!G10,1),RIGHT(articles!G10,1),articles!H10,)</f>
        <v>San630-20160</v>
      </c>
      <c r="D10" s="7" t="s">
        <v>90</v>
      </c>
      <c r="E10" s="17">
        <v>630</v>
      </c>
      <c r="F10" s="7" t="s">
        <v>93</v>
      </c>
      <c r="G10" s="17">
        <v>20</v>
      </c>
      <c r="H10" s="17">
        <v>160</v>
      </c>
      <c r="I10" s="11">
        <v>140</v>
      </c>
      <c r="J10" s="11">
        <v>22</v>
      </c>
      <c r="L10" s="13">
        <f t="shared" si="0"/>
        <v>0</v>
      </c>
      <c r="N10" s="8">
        <f t="shared" si="1"/>
        <v>1</v>
      </c>
    </row>
    <row r="11" spans="2:26" x14ac:dyDescent="0.2">
      <c r="B11" s="7" t="s">
        <v>102</v>
      </c>
      <c r="C11" s="7" t="str">
        <f>CONCATENATE(config!B25,LEFT(articles!D11,3),articles!E11,"-",LEFT(articles!G11,1),RIGHT(articles!G11,1),articles!H11,)</f>
        <v>San400-2211</v>
      </c>
      <c r="D11" s="7" t="s">
        <v>90</v>
      </c>
      <c r="E11" s="17">
        <v>400</v>
      </c>
      <c r="F11" s="7" t="s">
        <v>94</v>
      </c>
      <c r="G11" s="17">
        <v>2</v>
      </c>
      <c r="H11" s="17">
        <v>11</v>
      </c>
      <c r="I11" s="11">
        <v>20</v>
      </c>
      <c r="J11" s="11">
        <v>10</v>
      </c>
      <c r="L11" s="13">
        <f t="shared" si="0"/>
        <v>0</v>
      </c>
      <c r="N11" s="8">
        <f t="shared" si="1"/>
        <v>1</v>
      </c>
    </row>
    <row r="12" spans="2:26" x14ac:dyDescent="0.2">
      <c r="B12" s="7" t="s">
        <v>103</v>
      </c>
      <c r="C12" s="7" t="str">
        <f>CONCATENATE(config!B26,LEFT(articles!D12,3),articles!E12,"-",LEFT(articles!G12,1),RIGHT(articles!G12,1),articles!H12,)</f>
        <v>JET630-10112</v>
      </c>
      <c r="D12" s="7" t="s">
        <v>84</v>
      </c>
      <c r="E12" s="17">
        <v>630</v>
      </c>
      <c r="F12" s="7" t="s">
        <v>95</v>
      </c>
      <c r="G12" s="17">
        <v>10</v>
      </c>
      <c r="H12" s="17">
        <v>112</v>
      </c>
      <c r="I12" s="11">
        <v>1000</v>
      </c>
      <c r="J12" s="11">
        <v>25</v>
      </c>
      <c r="L12" s="13">
        <f t="shared" si="0"/>
        <v>0</v>
      </c>
      <c r="N12" s="8">
        <f t="shared" si="1"/>
        <v>1</v>
      </c>
    </row>
    <row r="13" spans="2:26" x14ac:dyDescent="0.2">
      <c r="B13" s="7" t="s">
        <v>104</v>
      </c>
      <c r="C13" s="7" t="str">
        <f>CONCATENATE(config!B27,LEFT(articles!D13,3),articles!E13,"-",LEFT(articles!G13,1),RIGHT(articles!G13,1),articles!H13,)</f>
        <v>JET500-1210</v>
      </c>
      <c r="D13" s="7" t="s">
        <v>84</v>
      </c>
      <c r="E13" s="17">
        <v>500</v>
      </c>
      <c r="F13" s="17">
        <v>2</v>
      </c>
      <c r="G13" s="7" t="s">
        <v>93</v>
      </c>
      <c r="H13" s="17">
        <v>10</v>
      </c>
      <c r="I13" s="17">
        <v>16</v>
      </c>
      <c r="J13" s="11">
        <v>5000</v>
      </c>
      <c r="K13" s="7">
        <v>10</v>
      </c>
      <c r="L13" s="13">
        <f t="shared" si="0"/>
        <v>50000</v>
      </c>
      <c r="M13" s="7">
        <v>20</v>
      </c>
      <c r="N13" s="8">
        <f t="shared" si="1"/>
        <v>1</v>
      </c>
    </row>
    <row r="14" spans="2:26" x14ac:dyDescent="0.2">
      <c r="B14" s="7" t="s">
        <v>110</v>
      </c>
      <c r="C14" s="7" t="str">
        <f>CONCATENATE(config!B28,LEFT(articles!D14,3),articles!E14,"-",LEFT(articles!G14,1),RIGHT(articles!G14,1),articles!H14,)</f>
        <v>JET500-13200</v>
      </c>
      <c r="D14" s="7" t="s">
        <v>84</v>
      </c>
      <c r="E14" s="17">
        <v>500</v>
      </c>
      <c r="F14" s="17">
        <v>1</v>
      </c>
      <c r="G14" s="7" t="s">
        <v>94</v>
      </c>
      <c r="H14" s="17">
        <v>200</v>
      </c>
      <c r="I14" s="17">
        <v>100</v>
      </c>
      <c r="J14" s="11">
        <v>5600</v>
      </c>
      <c r="L14" s="13">
        <f t="shared" si="0"/>
        <v>0</v>
      </c>
      <c r="M14" s="7">
        <v>29</v>
      </c>
      <c r="N14" s="8">
        <f t="shared" si="1"/>
        <v>1</v>
      </c>
    </row>
    <row r="15" spans="2:26" x14ac:dyDescent="0.2">
      <c r="B15" s="7" t="s">
        <v>111</v>
      </c>
      <c r="C15" s="7" t="str">
        <f>CONCATENATE(config!B29,LEFT(articles!D15,3),articles!E15,"-",LEFT(articles!G15,1),RIGHT(articles!G15,1),articles!H15,)</f>
        <v>JET500-2125</v>
      </c>
      <c r="D15" s="7" t="s">
        <v>84</v>
      </c>
      <c r="E15" s="17">
        <v>500</v>
      </c>
      <c r="F15" s="17">
        <v>2</v>
      </c>
      <c r="G15" s="7" t="s">
        <v>85</v>
      </c>
      <c r="H15" s="17">
        <v>25</v>
      </c>
      <c r="I15" s="17">
        <v>60</v>
      </c>
      <c r="J15" s="11">
        <v>1000</v>
      </c>
      <c r="L15" s="13">
        <f t="shared" si="0"/>
        <v>0</v>
      </c>
      <c r="M15" s="7">
        <v>20</v>
      </c>
      <c r="N15" s="8">
        <f t="shared" si="1"/>
        <v>1</v>
      </c>
    </row>
    <row r="16" spans="2:26" x14ac:dyDescent="0.2">
      <c r="B16" s="7" t="s">
        <v>112</v>
      </c>
      <c r="C16" s="7" t="str">
        <f>CONCATENATE(config!B30,LEFT(articles!D16,3),articles!E16,"-",LEFT(articles!G16,1),RIGHT(articles!G16,1),articles!H16,)</f>
        <v>JET400-2112</v>
      </c>
      <c r="D16" s="7" t="s">
        <v>84</v>
      </c>
      <c r="E16" s="17">
        <v>400</v>
      </c>
      <c r="F16" s="17">
        <v>2</v>
      </c>
      <c r="G16" s="7" t="s">
        <v>85</v>
      </c>
      <c r="H16" s="17">
        <v>12</v>
      </c>
      <c r="I16" s="17">
        <v>150</v>
      </c>
      <c r="J16" s="11">
        <v>1000</v>
      </c>
      <c r="L16" s="13">
        <f t="shared" ref="L16:L23" si="2">J16*K16</f>
        <v>0</v>
      </c>
      <c r="M16" s="7">
        <v>6</v>
      </c>
      <c r="N16" s="8">
        <f t="shared" ref="N16:N23" si="3">IF(K16&lt;=M16,1,"")</f>
        <v>1</v>
      </c>
    </row>
    <row r="17" spans="2:14" x14ac:dyDescent="0.2">
      <c r="B17" s="7" t="s">
        <v>114</v>
      </c>
      <c r="C17" s="17" t="str">
        <f>CONCATENATE(config!B31,LEFT(articles!D17,3),articles!E17,"-",LEFT(articles!G17,1),RIGHT(articles!G17,1),articles!H17,)</f>
        <v>JET400-2112</v>
      </c>
      <c r="D17" s="7" t="s">
        <v>113</v>
      </c>
      <c r="E17" s="17">
        <v>400</v>
      </c>
      <c r="F17" s="17">
        <v>1</v>
      </c>
      <c r="G17" s="7" t="s">
        <v>85</v>
      </c>
      <c r="H17" s="17">
        <v>12</v>
      </c>
      <c r="I17" s="17">
        <v>144</v>
      </c>
      <c r="J17" s="11">
        <v>110000</v>
      </c>
      <c r="L17" s="13">
        <f t="shared" si="2"/>
        <v>0</v>
      </c>
      <c r="M17" s="7">
        <v>100</v>
      </c>
      <c r="N17" s="8">
        <f t="shared" si="3"/>
        <v>1</v>
      </c>
    </row>
    <row r="18" spans="2:14" x14ac:dyDescent="0.2">
      <c r="C18" s="17" t="str">
        <f>CONCATENATE(config!B32,LEFT(articles!D18,3),articles!E18,"-",LEFT(articles!G18,1),RIGHT(articles!G18,1),articles!H18,)</f>
        <v>Max500-1310</v>
      </c>
      <c r="D18" s="7" t="s">
        <v>92</v>
      </c>
      <c r="E18" s="17">
        <v>500</v>
      </c>
      <c r="F18" s="17">
        <v>4</v>
      </c>
      <c r="G18" s="7" t="s">
        <v>94</v>
      </c>
      <c r="H18" s="17">
        <v>10</v>
      </c>
      <c r="I18" s="17">
        <v>11</v>
      </c>
      <c r="J18" s="11">
        <v>10000</v>
      </c>
      <c r="L18" s="13">
        <f t="shared" si="2"/>
        <v>0</v>
      </c>
      <c r="M18" s="7">
        <v>2</v>
      </c>
      <c r="N18" s="8">
        <f t="shared" si="3"/>
        <v>1</v>
      </c>
    </row>
    <row r="19" spans="2:14" x14ac:dyDescent="0.2">
      <c r="B19" s="7" t="s">
        <v>138</v>
      </c>
      <c r="C19" s="17" t="str">
        <f>CONCATENATE(config!B33,LEFT(articles!D19,3),articles!E19,"-",LEFT(articles!G19,1),RIGHT(articles!G19,1),articles!H19,)</f>
        <v>JET400-1211</v>
      </c>
      <c r="D19" s="7" t="s">
        <v>113</v>
      </c>
      <c r="E19" s="17">
        <v>400</v>
      </c>
      <c r="F19" s="17">
        <v>1</v>
      </c>
      <c r="G19" s="7" t="s">
        <v>93</v>
      </c>
      <c r="H19" s="17">
        <v>11</v>
      </c>
      <c r="I19" s="17">
        <v>120</v>
      </c>
      <c r="J19" s="11">
        <v>1000</v>
      </c>
      <c r="L19" s="13">
        <f t="shared" si="2"/>
        <v>0</v>
      </c>
      <c r="M19" s="7">
        <v>14</v>
      </c>
      <c r="N19" s="8">
        <f t="shared" si="3"/>
        <v>1</v>
      </c>
    </row>
    <row r="20" spans="2:14" x14ac:dyDescent="0.2">
      <c r="B20" s="7" t="s">
        <v>139</v>
      </c>
      <c r="C20" s="17" t="str">
        <f>CONCATENATE(config!B34,LEFT(articles!D20,3),articles!E20,"-",LEFT(articles!G20,1),RIGHT(articles!G20,1),articles!H20,)</f>
        <v>Max400-1212</v>
      </c>
      <c r="D20" s="7" t="s">
        <v>92</v>
      </c>
      <c r="E20" s="17">
        <v>400</v>
      </c>
      <c r="F20" s="17">
        <v>2</v>
      </c>
      <c r="G20" s="7" t="s">
        <v>93</v>
      </c>
      <c r="H20" s="17">
        <v>12</v>
      </c>
      <c r="I20" s="17">
        <v>10</v>
      </c>
      <c r="J20" s="11">
        <v>100</v>
      </c>
      <c r="L20" s="13">
        <f t="shared" si="2"/>
        <v>0</v>
      </c>
      <c r="M20" s="7">
        <v>1</v>
      </c>
      <c r="N20" s="8">
        <f t="shared" si="3"/>
        <v>1</v>
      </c>
    </row>
    <row r="21" spans="2:14" x14ac:dyDescent="0.2">
      <c r="B21" s="42" t="s">
        <v>139</v>
      </c>
      <c r="C21" s="43" t="str">
        <f>CONCATENATE(config!B35,LEFT(articles!D21,3),articles!E21,"-",LEFT(articles!G21,1),RIGHT(articles!G21,1),articles!H21,)</f>
        <v>JET500-1210</v>
      </c>
      <c r="D21" s="42" t="s">
        <v>113</v>
      </c>
      <c r="E21" s="43">
        <v>500</v>
      </c>
      <c r="F21" s="43">
        <v>2</v>
      </c>
      <c r="G21" s="42" t="s">
        <v>93</v>
      </c>
      <c r="H21" s="17">
        <v>10</v>
      </c>
      <c r="I21" s="17">
        <v>12</v>
      </c>
      <c r="J21" s="11">
        <v>14</v>
      </c>
      <c r="L21" s="13">
        <f t="shared" si="2"/>
        <v>0</v>
      </c>
      <c r="M21" s="7">
        <v>1</v>
      </c>
      <c r="N21" s="8">
        <f t="shared" si="3"/>
        <v>1</v>
      </c>
    </row>
    <row r="22" spans="2:14" x14ac:dyDescent="0.2">
      <c r="B22" s="42" t="s">
        <v>140</v>
      </c>
      <c r="C22" s="43" t="str">
        <f>CONCATENATE(config!B36,LEFT(articles!D22,3),articles!E22,"-",LEFT(articles!G22,1),RIGHT(articles!G22,1),articles!H22,)</f>
        <v>JET500-1210</v>
      </c>
      <c r="D22" s="42" t="s">
        <v>113</v>
      </c>
      <c r="E22" s="43">
        <v>500</v>
      </c>
      <c r="F22" s="43">
        <v>2</v>
      </c>
      <c r="G22" s="42" t="s">
        <v>93</v>
      </c>
      <c r="H22" s="17">
        <v>10</v>
      </c>
      <c r="I22" s="17">
        <v>110</v>
      </c>
      <c r="J22" s="11">
        <v>1000</v>
      </c>
      <c r="K22" s="7">
        <v>1</v>
      </c>
      <c r="L22" s="13">
        <f t="shared" si="2"/>
        <v>1000</v>
      </c>
      <c r="M22" s="7">
        <v>10</v>
      </c>
      <c r="N22" s="8">
        <f t="shared" si="3"/>
        <v>1</v>
      </c>
    </row>
    <row r="23" spans="2:14" x14ac:dyDescent="0.2">
      <c r="B23" s="7" t="s">
        <v>141</v>
      </c>
      <c r="C23" s="17" t="str">
        <f>CONCATENATE(config!B37,LEFT(articles!D23,3),articles!E23,"-",LEFT(articles!G23,1),RIGHT(articles!G23,1),articles!H23,)</f>
        <v>Max500-1310</v>
      </c>
      <c r="D23" s="7" t="s">
        <v>92</v>
      </c>
      <c r="E23" s="17">
        <v>500</v>
      </c>
      <c r="F23" s="17">
        <v>1</v>
      </c>
      <c r="G23" s="7" t="s">
        <v>94</v>
      </c>
      <c r="H23" s="17">
        <v>10</v>
      </c>
      <c r="I23" s="17">
        <v>12</v>
      </c>
      <c r="J23" s="11">
        <v>1000</v>
      </c>
      <c r="L23" s="13">
        <f t="shared" si="2"/>
        <v>0</v>
      </c>
      <c r="M23" s="7">
        <v>1</v>
      </c>
      <c r="N23" s="8">
        <f t="shared" si="3"/>
        <v>1</v>
      </c>
    </row>
    <row r="24" spans="2:14" x14ac:dyDescent="0.2">
      <c r="L24" s="13"/>
      <c r="N24" s="8"/>
    </row>
    <row r="25" spans="2:14" x14ac:dyDescent="0.2">
      <c r="L25" s="13"/>
      <c r="N25" s="8"/>
    </row>
    <row r="26" spans="2:14" x14ac:dyDescent="0.2">
      <c r="L26" s="13"/>
      <c r="N26" s="8"/>
    </row>
    <row r="27" spans="2:14" x14ac:dyDescent="0.2">
      <c r="L27" s="13"/>
      <c r="N27" s="8"/>
    </row>
    <row r="28" spans="2:14" x14ac:dyDescent="0.2">
      <c r="L28" s="13"/>
      <c r="N28" s="8"/>
    </row>
    <row r="29" spans="2:14" x14ac:dyDescent="0.2">
      <c r="L29" s="13"/>
      <c r="N29" s="8"/>
    </row>
    <row r="30" spans="2:14" x14ac:dyDescent="0.2">
      <c r="L30" s="13"/>
      <c r="N30" s="8"/>
    </row>
    <row r="31" spans="2:14" x14ac:dyDescent="0.2">
      <c r="L31" s="13"/>
      <c r="N31" s="8"/>
    </row>
    <row r="32" spans="2:14" x14ac:dyDescent="0.2">
      <c r="L32" s="13"/>
      <c r="N32" s="8"/>
    </row>
    <row r="33" spans="7:14" x14ac:dyDescent="0.2">
      <c r="L33" s="13"/>
      <c r="N33" s="8"/>
    </row>
    <row r="34" spans="7:14" x14ac:dyDescent="0.2">
      <c r="L34" s="13"/>
      <c r="N34" s="8"/>
    </row>
    <row r="35" spans="7:14" x14ac:dyDescent="0.2">
      <c r="L35" s="13"/>
      <c r="N35" s="8"/>
    </row>
    <row r="36" spans="7:14" x14ac:dyDescent="0.2">
      <c r="L36" s="13"/>
      <c r="N36" s="8"/>
    </row>
    <row r="37" spans="7:14" x14ac:dyDescent="0.2">
      <c r="G37" s="11"/>
      <c r="L37" s="13"/>
      <c r="N37" s="8"/>
    </row>
    <row r="38" spans="7:14" x14ac:dyDescent="0.2">
      <c r="G38" s="11"/>
      <c r="J38" s="11"/>
      <c r="L38" s="13"/>
      <c r="N38" s="8"/>
    </row>
    <row r="39" spans="7:14" x14ac:dyDescent="0.2">
      <c r="G39" s="11"/>
      <c r="J39" s="11"/>
      <c r="L39" s="13"/>
      <c r="N39" s="8"/>
    </row>
    <row r="40" spans="7:14" x14ac:dyDescent="0.2">
      <c r="G40" s="11"/>
      <c r="J40" s="11"/>
      <c r="L40" s="13"/>
      <c r="N40" s="8"/>
    </row>
    <row r="41" spans="7:14" x14ac:dyDescent="0.2">
      <c r="G41" s="11"/>
      <c r="J41" s="11"/>
      <c r="L41" s="13"/>
      <c r="N41" s="8"/>
    </row>
    <row r="42" spans="7:14" x14ac:dyDescent="0.2">
      <c r="G42" s="11"/>
      <c r="J42" s="11"/>
      <c r="L42" s="13"/>
      <c r="N42" s="8"/>
    </row>
    <row r="43" spans="7:14" x14ac:dyDescent="0.2">
      <c r="L43" s="13"/>
      <c r="N43" s="8"/>
    </row>
    <row r="44" spans="7:14" x14ac:dyDescent="0.2">
      <c r="L44" s="13"/>
      <c r="N44" s="8"/>
    </row>
    <row r="45" spans="7:14" x14ac:dyDescent="0.2">
      <c r="L45" s="13"/>
      <c r="N45" s="8"/>
    </row>
    <row r="46" spans="7:14" x14ac:dyDescent="0.2">
      <c r="L46" s="13"/>
      <c r="N46" s="8"/>
    </row>
    <row r="47" spans="7:14" x14ac:dyDescent="0.2">
      <c r="L47" s="13"/>
      <c r="N47" s="8"/>
    </row>
    <row r="48" spans="7:14" x14ac:dyDescent="0.2">
      <c r="L48" s="13"/>
      <c r="N48" s="8"/>
    </row>
    <row r="49" spans="12:14" x14ac:dyDescent="0.2">
      <c r="L49" s="13"/>
      <c r="N49" s="8"/>
    </row>
    <row r="50" spans="12:14" x14ac:dyDescent="0.2">
      <c r="L50" s="13"/>
      <c r="N50" s="8"/>
    </row>
    <row r="51" spans="12:14" x14ac:dyDescent="0.2">
      <c r="L51" s="13"/>
      <c r="N51" s="8"/>
    </row>
    <row r="52" spans="12:14" x14ac:dyDescent="0.2">
      <c r="L52" s="13"/>
    </row>
    <row r="53" spans="12:14" x14ac:dyDescent="0.2">
      <c r="L53" s="13"/>
    </row>
    <row r="54" spans="12:14" x14ac:dyDescent="0.2">
      <c r="L54" s="13"/>
    </row>
    <row r="55" spans="12:14" x14ac:dyDescent="0.2">
      <c r="L55" s="13"/>
      <c r="N55" s="8"/>
    </row>
    <row r="56" spans="12:14" x14ac:dyDescent="0.2">
      <c r="L56" s="13"/>
      <c r="N56" s="8"/>
    </row>
  </sheetData>
  <conditionalFormatting sqref="P6:Z23">
    <cfRule type="expression" dxfId="65" priority="8">
      <formula>$B6&lt;&gt;""</formula>
    </cfRule>
  </conditionalFormatting>
  <conditionalFormatting sqref="O5">
    <cfRule type="expression" dxfId="64" priority="1">
      <formula>$B6&lt;&gt;""</formula>
    </cfRule>
  </conditionalFormatting>
  <conditionalFormatting sqref="P6:Y23">
    <cfRule type="expression" dxfId="63" priority="9">
      <formula>AND($B6&lt;&gt;"",$K6&lt;$M6,$K6&gt;=P$4)</formula>
    </cfRule>
    <cfRule type="expression" dxfId="62" priority="10">
      <formula>AND($B6&lt;&gt;"",$K6&gt;=$M6,$K6&gt;=P$4)</formula>
    </cfRule>
  </conditionalFormatting>
  <conditionalFormatting sqref="Z6:Z23">
    <cfRule type="expression" dxfId="61" priority="11">
      <formula>AND($B6&lt;&gt;"",$K6&lt;$M6,$K6&gt;$Y$4)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64" r:id="rId4" name="CommandButton1">
          <controlPr defaultSize="0" autoLine="0" r:id="rId5">
            <anchor moveWithCells="1">
              <from>
                <xdr:col>0</xdr:col>
                <xdr:colOff>752475</xdr:colOff>
                <xdr:row>1</xdr:row>
                <xdr:rowOff>76200</xdr:rowOff>
              </from>
              <to>
                <xdr:col>2</xdr:col>
                <xdr:colOff>400050</xdr:colOff>
                <xdr:row>4</xdr:row>
                <xdr:rowOff>0</xdr:rowOff>
              </to>
            </anchor>
          </controlPr>
        </control>
      </mc:Choice>
      <mc:Fallback>
        <control shapeId="2064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2B0D96-B7F0-44C2-B813-160C56F844A3}">
  <sheetPr codeName="Feuil8">
    <pageSetUpPr fitToPage="1"/>
  </sheetPr>
  <dimension ref="A1:K49"/>
  <sheetViews>
    <sheetView topLeftCell="A7" zoomScale="85" zoomScaleNormal="85" workbookViewId="0">
      <selection activeCell="I23" sqref="I23"/>
    </sheetView>
  </sheetViews>
  <sheetFormatPr defaultColWidth="10.76171875" defaultRowHeight="15" x14ac:dyDescent="0.2"/>
  <cols>
    <col min="5" max="5" width="16.54296875" customWidth="1"/>
  </cols>
  <sheetData>
    <row r="1" spans="1:11" x14ac:dyDescent="0.2">
      <c r="A1" s="33"/>
      <c r="B1" s="33"/>
      <c r="C1" s="33"/>
      <c r="D1" s="33"/>
      <c r="E1" s="33"/>
      <c r="F1" s="33"/>
      <c r="G1" s="33"/>
      <c r="H1" s="33"/>
    </row>
    <row r="2" spans="1:11" x14ac:dyDescent="0.2">
      <c r="A2" s="33"/>
      <c r="B2" s="33"/>
      <c r="C2" s="33"/>
      <c r="D2" s="33"/>
      <c r="E2" s="33"/>
      <c r="F2" s="33"/>
      <c r="G2" s="33"/>
      <c r="H2" s="33"/>
    </row>
    <row r="3" spans="1:11" x14ac:dyDescent="0.2">
      <c r="A3" s="33"/>
      <c r="B3" s="33"/>
      <c r="C3" s="33"/>
      <c r="D3" s="33"/>
      <c r="E3" s="33"/>
      <c r="F3" s="33"/>
      <c r="G3" s="33"/>
      <c r="H3" s="33"/>
    </row>
    <row r="4" spans="1:11" x14ac:dyDescent="0.2">
      <c r="A4" s="33"/>
      <c r="B4" s="33"/>
      <c r="C4" s="33"/>
      <c r="D4" s="33"/>
      <c r="E4" s="33"/>
      <c r="F4" s="33"/>
      <c r="G4" s="33"/>
      <c r="H4" s="33"/>
    </row>
    <row r="5" spans="1:11" x14ac:dyDescent="0.2">
      <c r="A5" s="33"/>
      <c r="B5" s="33"/>
      <c r="C5" s="33"/>
      <c r="D5" s="33"/>
      <c r="E5" s="33"/>
      <c r="F5" s="33"/>
      <c r="G5" s="33"/>
      <c r="H5" s="33"/>
    </row>
    <row r="6" spans="1:11" x14ac:dyDescent="0.2">
      <c r="A6" s="33"/>
      <c r="B6" s="33"/>
      <c r="C6" s="33"/>
      <c r="D6" s="33"/>
      <c r="E6" s="33"/>
      <c r="F6" s="33"/>
      <c r="G6" s="33"/>
      <c r="H6" s="33"/>
    </row>
    <row r="7" spans="1:11" x14ac:dyDescent="0.2">
      <c r="A7" s="33"/>
      <c r="B7" s="33"/>
      <c r="C7" s="33"/>
      <c r="D7" s="33"/>
      <c r="E7" s="33"/>
      <c r="F7" s="33"/>
      <c r="G7" s="33"/>
      <c r="H7" s="33"/>
    </row>
    <row r="8" spans="1:11" x14ac:dyDescent="0.2">
      <c r="A8" s="33"/>
      <c r="B8" s="33"/>
      <c r="C8" s="33"/>
      <c r="D8" s="33"/>
      <c r="E8" s="33"/>
      <c r="F8" s="33"/>
      <c r="G8" s="33"/>
      <c r="H8" s="33"/>
    </row>
    <row r="9" spans="1:11" x14ac:dyDescent="0.2">
      <c r="A9" s="33"/>
      <c r="B9" s="33"/>
      <c r="C9" s="33"/>
      <c r="D9" s="33"/>
      <c r="E9" s="33"/>
      <c r="F9" s="33"/>
      <c r="G9" s="33"/>
      <c r="H9" s="33"/>
    </row>
    <row r="10" spans="1:11" ht="15.75" thickBot="1" x14ac:dyDescent="0.25">
      <c r="A10" s="33"/>
      <c r="C10" s="14"/>
      <c r="D10" s="33"/>
      <c r="E10" s="33"/>
      <c r="F10" s="33"/>
      <c r="G10" s="33"/>
      <c r="H10" s="33"/>
    </row>
    <row r="11" spans="1:11" ht="15.75" thickBot="1" x14ac:dyDescent="0.25">
      <c r="A11" s="33"/>
      <c r="B11" s="14" t="s">
        <v>128</v>
      </c>
      <c r="C11" s="62" t="s">
        <v>171</v>
      </c>
      <c r="D11" s="33"/>
      <c r="E11" s="33"/>
      <c r="F11" s="33"/>
      <c r="G11" s="33"/>
      <c r="H11" s="33"/>
      <c r="J11" t="s">
        <v>148</v>
      </c>
      <c r="K11" s="60" t="e">
        <f t="array" ref="K11">INDEX([1]!Tableau5[Date],MATCH([1]achats!$C$11,[1]!Tableau5[Nr de Commande],0))</f>
        <v>#REF!</v>
      </c>
    </row>
    <row r="12" spans="1:11" x14ac:dyDescent="0.2">
      <c r="A12" s="33"/>
      <c r="B12" s="33"/>
      <c r="C12" s="33"/>
      <c r="D12" s="33"/>
      <c r="E12" s="33"/>
      <c r="F12" s="33"/>
      <c r="G12" s="33"/>
      <c r="H12" s="33"/>
    </row>
    <row r="13" spans="1:11" x14ac:dyDescent="0.2">
      <c r="A13" s="33"/>
      <c r="B13" s="33"/>
      <c r="C13" s="33"/>
      <c r="D13" s="33"/>
      <c r="E13" s="33"/>
      <c r="F13" s="33"/>
      <c r="G13" s="33"/>
      <c r="H13" s="33"/>
    </row>
    <row r="14" spans="1:11" x14ac:dyDescent="0.2">
      <c r="A14" s="33"/>
    </row>
    <row r="15" spans="1:11" ht="15.75" thickBot="1" x14ac:dyDescent="0.25">
      <c r="A15" s="33"/>
      <c r="B15" s="34" t="s">
        <v>129</v>
      </c>
      <c r="C15" s="35"/>
      <c r="D15" s="33"/>
      <c r="I15" s="36" t="s">
        <v>130</v>
      </c>
      <c r="J15" s="33"/>
    </row>
    <row r="16" spans="1:11" x14ac:dyDescent="0.2">
      <c r="A16" s="33"/>
      <c r="B16" s="37" t="s">
        <v>131</v>
      </c>
      <c r="C16" s="33" t="str">
        <f>[1]config!C26</f>
        <v>SOFAMIC</v>
      </c>
      <c r="D16" s="33"/>
      <c r="I16" s="38" t="s">
        <v>131</v>
      </c>
      <c r="J16" s="33" t="str">
        <f t="array" ref="J16">IFERROR(INDEX(Tableau5[Fournisseur],MATCH(achats!$C$11,Tableau5[Nr de Commande],0)),"")</f>
        <v>four3</v>
      </c>
    </row>
    <row r="17" spans="1:11" x14ac:dyDescent="0.2">
      <c r="A17" s="33"/>
      <c r="B17" s="37" t="s">
        <v>132</v>
      </c>
      <c r="C17" s="59" t="str">
        <f>[1]config!C27</f>
        <v>24 RUE MOHAMED YAICH ROUTE DE GREMDA KM 7</v>
      </c>
      <c r="D17" s="33"/>
      <c r="I17" s="38" t="s">
        <v>132</v>
      </c>
      <c r="J17" s="59" t="str">
        <f t="array" ref="J17">IFERROR(INDEX(Tableau2[Adresse],MATCH(achats!$J$16,Tableau2[Fournisseur],0)),"")</f>
        <v>adresse3</v>
      </c>
    </row>
    <row r="18" spans="1:11" x14ac:dyDescent="0.2">
      <c r="A18" s="33"/>
      <c r="B18" s="38" t="s">
        <v>133</v>
      </c>
      <c r="C18" s="33">
        <f>[1]config!C28</f>
        <v>3000</v>
      </c>
      <c r="D18" s="33"/>
      <c r="I18" s="38" t="s">
        <v>133</v>
      </c>
      <c r="J18" s="33">
        <f t="array" ref="J18">IFERROR(INDEX(Tableau2[cp],MATCH(achats!$J$16,Tableau2[Fournisseur],0)),"")</f>
        <v>1002</v>
      </c>
    </row>
    <row r="19" spans="1:11" x14ac:dyDescent="0.2">
      <c r="A19" s="33" t="s">
        <v>0</v>
      </c>
      <c r="B19" s="37" t="s">
        <v>134</v>
      </c>
      <c r="C19" s="59" t="str">
        <f>[1]config!C31</f>
        <v>(+216)55933656</v>
      </c>
      <c r="D19" s="33"/>
      <c r="I19" s="38" t="s">
        <v>134</v>
      </c>
      <c r="J19" s="59">
        <f t="array" ref="J19">IFERROR(INDEX(Tableau2[téléphone],MATCH(achats!$J$16,Tableau2[Fournisseur],0)),"")</f>
        <v>777777779</v>
      </c>
    </row>
    <row r="20" spans="1:11" x14ac:dyDescent="0.2">
      <c r="A20" s="33"/>
      <c r="B20" s="37" t="s">
        <v>135</v>
      </c>
      <c r="C20" s="59" t="str">
        <f>[1]config!C32</f>
        <v>douma901@gmail.com</v>
      </c>
      <c r="D20" s="33"/>
      <c r="I20" s="38" t="s">
        <v>135</v>
      </c>
      <c r="J20" s="59" t="str">
        <f t="array" ref="J20">IFERROR(INDEX(Tableau2[Mail],MATCH(achats!$J$16,Tableau2[Fournisseur],0)),"")</f>
        <v>maildufournisseur@gmail,com</v>
      </c>
    </row>
    <row r="21" spans="1:11" x14ac:dyDescent="0.2">
      <c r="A21" s="33"/>
      <c r="H21" s="33"/>
    </row>
    <row r="22" spans="1:11" x14ac:dyDescent="0.2">
      <c r="A22" s="33"/>
      <c r="B22" s="61" t="s">
        <v>136</v>
      </c>
      <c r="C22" s="61" t="s">
        <v>86</v>
      </c>
      <c r="D22" s="61" t="s">
        <v>87</v>
      </c>
      <c r="E22" s="61" t="s">
        <v>88</v>
      </c>
      <c r="F22" s="61" t="s">
        <v>89</v>
      </c>
      <c r="G22" s="61" t="s">
        <v>67</v>
      </c>
      <c r="H22" s="61" t="s">
        <v>144</v>
      </c>
      <c r="I22" s="63" t="s">
        <v>124</v>
      </c>
      <c r="J22" s="63" t="s">
        <v>145</v>
      </c>
      <c r="K22" s="63" t="s">
        <v>137</v>
      </c>
    </row>
    <row r="23" spans="1:11" x14ac:dyDescent="0.2">
      <c r="A23" s="33"/>
      <c r="B23" s="44">
        <f>IF(C23&lt;&gt;"",ROW()-22,"")</f>
        <v>1</v>
      </c>
      <c r="C23" s="44" t="str">
        <f t="array" ref="C23">IFERROR(INDEX(Tableau5[Sangle],SMALL(IF(Tableau5[Nr de Commande]=achats!$C$11,ROW(Tableau5[Sangle])-5),ROW()-22)),"")</f>
        <v>MaxiGRIP</v>
      </c>
      <c r="D23" s="44">
        <f t="array" ref="D23">IFERROR(INDEX(Tableau5[Type],SMALL(IF(Tableau5[Nr de Commande]=achats!$C$11,ROW(Tableau5[Sangle])-5),ROW()-22)),"")</f>
        <v>400</v>
      </c>
      <c r="E23" s="44">
        <f t="array" ref="E23">IFERROR(INDEX(Tableau5[Nr de couche],SMALL(IF(Tableau5[Nr de Commande]=achats!$C$11,ROW(Tableau5[Sangle])-5),ROW()-22)),"")</f>
        <v>2</v>
      </c>
      <c r="F23" s="44" t="str">
        <f t="array" ref="F23">IFERROR(INDEX(Tableau5[Résistance],SMALL(IF(Tableau5[Nr de Commande]=achats!$C$11,ROW(Tableau5[Sangle])-5),ROW()-22)),"")</f>
        <v>1+1</v>
      </c>
      <c r="G23" s="44">
        <f t="array" ref="G23">IFERROR(INDEX(Tableau5[Largeur],SMALL(IF(Tableau5[Nr de Commande]=achats!$C$11,ROW(Tableau5[Sangle])-5),ROW()-22)),"")</f>
        <v>1000</v>
      </c>
      <c r="H23" s="44">
        <f t="array" ref="H23">IFERROR(INDEX(Tableau5[Longueur],SMALL(IF(Tableau5[Nr de Commande]=achats!$C$11,ROW(Tableau5[Sangle])-5),ROW()-22)),"")</f>
        <v>1111111111</v>
      </c>
      <c r="I23" s="44">
        <f t="array" ref="I23">IFERROR(INDEX(Tableau5[Quantité],SMALL(IF(Tableau5[Nr de Commande]=achats!$C$11,ROW(Tableau5[Sangle])-5),ROW()-22)),"")</f>
        <v>44</v>
      </c>
      <c r="J23" s="44">
        <f t="array" ref="J23">IFERROR(INDEX(Tableau5[[Prix ]],SMALL(IF(Tableau5[Nr de Commande]=achats!$C$11,ROW(Tableau5[[Prix ]])-5),ROW()-22)),"")</f>
        <v>0</v>
      </c>
      <c r="K23" s="49">
        <f>IFERROR(I23*J23,"")</f>
        <v>0</v>
      </c>
    </row>
    <row r="24" spans="1:11" x14ac:dyDescent="0.2">
      <c r="A24" s="33"/>
      <c r="B24" s="39" t="str">
        <f t="shared" ref="B24:B44" si="0">IF(C24&lt;&gt;"",ROW()-22,"")</f>
        <v/>
      </c>
      <c r="C24" s="39" t="str">
        <f t="array" ref="C24">IFERROR(INDEX(Tableau5[Sangle],SMALL(IF(Tableau5[Nr de Commande]=achats!$C$11,ROW(Tableau5[Sangle])-5),ROW()-22)),"")</f>
        <v/>
      </c>
      <c r="D24" s="39" t="str">
        <f t="array" ref="D24">IFERROR(INDEX(Tableau5[Type],SMALL(IF(Tableau5[Nr de Commande]=achats!$C$11,ROW(Tableau5[Sangle])-5),ROW()-22)),"")</f>
        <v/>
      </c>
      <c r="E24" s="39" t="str">
        <f t="array" ref="E24">IFERROR(INDEX(Tableau5[Nr de couche],SMALL(IF(Tableau5[Nr de Commande]=achats!$C$11,ROW(Tableau5[Sangle])-5),ROW()-22)),"")</f>
        <v/>
      </c>
      <c r="F24" s="39" t="str">
        <f t="array" ref="F24">IFERROR(INDEX(Tableau5[Résistance],SMALL(IF(Tableau5[Nr de Commande]=achats!$C$11,ROW(Tableau5[Sangle])-5),ROW()-22)),"")</f>
        <v/>
      </c>
      <c r="G24" s="39" t="str">
        <f t="array" ref="G24">IFERROR(INDEX(Tableau5[Largeur],SMALL(IF(Tableau5[Nr de Commande]=achats!$C$11,ROW(Tableau5[Sangle])-5),ROW()-22)),"")</f>
        <v/>
      </c>
      <c r="H24" s="39" t="str">
        <f t="array" ref="H24">IFERROR(INDEX(Tableau5[Longueur],SMALL(IF(Tableau5[Nr de Commande]=achats!$C$11,ROW(Tableau5[Sangle])-5),ROW()-22)),"")</f>
        <v/>
      </c>
      <c r="I24" s="39" t="str">
        <f t="array" ref="I24">IFERROR(INDEX(Tableau5[Quantité],SMALL(IF(Tableau5[Nr de Commande]=achats!$C$11,ROW(Tableau5[Sangle])-5),ROW()-22)),"")</f>
        <v/>
      </c>
      <c r="J24" s="39" t="str">
        <f t="array" ref="J24">IFERROR(INDEX(Tableau5[[Prix ]],SMALL(IF(Tableau5[Nr de Commande]=achats!$C$11,ROW(Tableau5[[Prix ]])-5),ROW()-22)),"")</f>
        <v/>
      </c>
      <c r="K24" s="50" t="str">
        <f t="shared" ref="K24:K44" si="1">IFERROR(I24*J24,"")</f>
        <v/>
      </c>
    </row>
    <row r="25" spans="1:11" x14ac:dyDescent="0.2">
      <c r="A25" s="33"/>
      <c r="B25" s="39" t="str">
        <f t="shared" si="0"/>
        <v/>
      </c>
      <c r="C25" s="39" t="str">
        <f t="array" ref="C25">IFERROR(INDEX(Tableau5[Sangle],SMALL(IF(Tableau5[Nr de Commande]=achats!$C$11,ROW(Tableau5[Sangle])-5),ROW()-22)),"")</f>
        <v/>
      </c>
      <c r="D25" s="39" t="str">
        <f t="array" ref="D25">IFERROR(INDEX(Tableau5[Type],SMALL(IF(Tableau5[Nr de Commande]=achats!$C$11,ROW(Tableau5[Sangle])-5),ROW()-22)),"")</f>
        <v/>
      </c>
      <c r="E25" s="39" t="str">
        <f t="array" ref="E25">IFERROR(INDEX(Tableau5[Nr de couche],SMALL(IF(Tableau5[Nr de Commande]=achats!$C$11,ROW(Tableau5[Sangle])-5),ROW()-22)),"")</f>
        <v/>
      </c>
      <c r="F25" s="39" t="str">
        <f t="array" ref="F25">IFERROR(INDEX(Tableau5[Résistance],SMALL(IF(Tableau5[Nr de Commande]=achats!$C$11,ROW(Tableau5[Sangle])-5),ROW()-22)),"")</f>
        <v/>
      </c>
      <c r="G25" s="39" t="str">
        <f t="array" ref="G25">IFERROR(INDEX(Tableau5[Largeur],SMALL(IF(Tableau5[Nr de Commande]=achats!$C$11,ROW(Tableau5[Sangle])-5),ROW()-22)),"")</f>
        <v/>
      </c>
      <c r="H25" s="39" t="str">
        <f t="array" ref="H25">IFERROR(INDEX(Tableau5[Longueur],SMALL(IF(Tableau5[Nr de Commande]=achats!$C$11,ROW(Tableau5[Sangle])-5),ROW()-22)),"")</f>
        <v/>
      </c>
      <c r="I25" s="39" t="str">
        <f t="array" ref="I25">IFERROR(INDEX(Tableau5[Quantité],SMALL(IF(Tableau5[Nr de Commande]=achats!$C$11,ROW(Tableau5[Sangle])-5),ROW()-22)),"")</f>
        <v/>
      </c>
      <c r="J25" s="39" t="str">
        <f t="array" ref="J25">IFERROR(INDEX(Tableau5[[Prix ]],SMALL(IF(Tableau5[Nr de Commande]=achats!$C$11,ROW(Tableau5[[Prix ]])-5),ROW()-22)),"")</f>
        <v/>
      </c>
      <c r="K25" s="50" t="str">
        <f t="shared" si="1"/>
        <v/>
      </c>
    </row>
    <row r="26" spans="1:11" x14ac:dyDescent="0.2">
      <c r="A26" s="33"/>
      <c r="B26" s="39" t="str">
        <f t="shared" si="0"/>
        <v/>
      </c>
      <c r="C26" s="39" t="str">
        <f t="array" ref="C26">IFERROR(INDEX(Tableau5[Sangle],SMALL(IF(Tableau5[Nr de Commande]=achats!$C$11,ROW(Tableau5[Sangle])-5),ROW()-22)),"")</f>
        <v/>
      </c>
      <c r="D26" s="39" t="str">
        <f t="array" ref="D26">IFERROR(INDEX(Tableau5[Type],SMALL(IF(Tableau5[Nr de Commande]=achats!$C$11,ROW(Tableau5[Sangle])-5),ROW()-22)),"")</f>
        <v/>
      </c>
      <c r="E26" s="39" t="str">
        <f t="array" ref="E26">IFERROR(INDEX(Tableau5[Nr de couche],SMALL(IF(Tableau5[Nr de Commande]=achats!$C$11,ROW(Tableau5[Sangle])-5),ROW()-22)),"")</f>
        <v/>
      </c>
      <c r="F26" s="39" t="str">
        <f t="array" ref="F26">IFERROR(INDEX(Tableau5[Résistance],SMALL(IF(Tableau5[Nr de Commande]=achats!$C$11,ROW(Tableau5[Sangle])-5),ROW()-22)),"")</f>
        <v/>
      </c>
      <c r="G26" s="39" t="str">
        <f t="array" ref="G26">IFERROR(INDEX(Tableau5[Largeur],SMALL(IF(Tableau5[Nr de Commande]=achats!$C$11,ROW(Tableau5[Sangle])-5),ROW()-22)),"")</f>
        <v/>
      </c>
      <c r="H26" s="39" t="str">
        <f t="array" ref="H26">IFERROR(INDEX(Tableau5[Longueur],SMALL(IF(Tableau5[Nr de Commande]=achats!$C$11,ROW(Tableau5[Sangle])-5),ROW()-22)),"")</f>
        <v/>
      </c>
      <c r="I26" s="39" t="str">
        <f t="array" ref="I26">IFERROR(INDEX(Tableau5[Quantité],SMALL(IF(Tableau5[Nr de Commande]=achats!$C$11,ROW(Tableau5[Sangle])-5),ROW()-22)),"")</f>
        <v/>
      </c>
      <c r="J26" s="39" t="str">
        <f t="array" ref="J26">IFERROR(INDEX(Tableau5[[Prix ]],SMALL(IF(Tableau5[Nr de Commande]=achats!$C$11,ROW(Tableau5[[Prix ]])-5),ROW()-22)),"")</f>
        <v/>
      </c>
      <c r="K26" s="50" t="str">
        <f t="shared" si="1"/>
        <v/>
      </c>
    </row>
    <row r="27" spans="1:11" x14ac:dyDescent="0.2">
      <c r="A27" s="33"/>
      <c r="B27" s="39" t="str">
        <f t="shared" si="0"/>
        <v/>
      </c>
      <c r="C27" s="39" t="str">
        <f t="array" ref="C27">IFERROR(INDEX(Tableau5[Sangle],SMALL(IF(Tableau5[Nr de Commande]=achats!$C$11,ROW(Tableau5[Sangle])-5),ROW()-22)),"")</f>
        <v/>
      </c>
      <c r="D27" s="39" t="str">
        <f t="array" ref="D27">IFERROR(INDEX(Tableau5[Type],SMALL(IF(Tableau5[Nr de Commande]=achats!$C$11,ROW(Tableau5[Sangle])-5),ROW()-22)),"")</f>
        <v/>
      </c>
      <c r="E27" s="39" t="str">
        <f t="array" ref="E27">IFERROR(INDEX(Tableau5[Nr de couche],SMALL(IF(Tableau5[Nr de Commande]=achats!$C$11,ROW(Tableau5[Sangle])-5),ROW()-22)),"")</f>
        <v/>
      </c>
      <c r="F27" s="39" t="str">
        <f t="array" ref="F27">IFERROR(INDEX(Tableau5[Résistance],SMALL(IF(Tableau5[Nr de Commande]=achats!$C$11,ROW(Tableau5[Sangle])-5),ROW()-22)),"")</f>
        <v/>
      </c>
      <c r="G27" s="39" t="str">
        <f t="array" ref="G27">IFERROR(INDEX(Tableau5[Largeur],SMALL(IF(Tableau5[Nr de Commande]=achats!$C$11,ROW(Tableau5[Sangle])-5),ROW()-22)),"")</f>
        <v/>
      </c>
      <c r="H27" s="39" t="str">
        <f t="array" ref="H27">IFERROR(INDEX(Tableau5[Longueur],SMALL(IF(Tableau5[Nr de Commande]=achats!$C$11,ROW(Tableau5[Sangle])-5),ROW()-22)),"")</f>
        <v/>
      </c>
      <c r="I27" s="39" t="str">
        <f t="array" ref="I27">IFERROR(INDEX(Tableau5[Quantité],SMALL(IF(Tableau5[Nr de Commande]=achats!$C$11,ROW(Tableau5[Sangle])-5),ROW()-22)),"")</f>
        <v/>
      </c>
      <c r="J27" s="39" t="str">
        <f t="array" ref="J27">IFERROR(INDEX(Tableau5[[Prix ]],SMALL(IF(Tableau5[Nr de Commande]=achats!$C$11,ROW(Tableau5[[Prix ]])-5),ROW()-22)),"")</f>
        <v/>
      </c>
      <c r="K27" s="50" t="str">
        <f t="shared" si="1"/>
        <v/>
      </c>
    </row>
    <row r="28" spans="1:11" x14ac:dyDescent="0.2">
      <c r="A28" s="33"/>
      <c r="B28" s="39" t="str">
        <f t="shared" si="0"/>
        <v/>
      </c>
      <c r="C28" s="39" t="str">
        <f t="array" ref="C28">IFERROR(INDEX(Tableau5[Sangle],SMALL(IF(Tableau5[Nr de Commande]=achats!$C$11,ROW(Tableau5[Sangle])-5),ROW()-22)),"")</f>
        <v/>
      </c>
      <c r="D28" s="39" t="str">
        <f t="array" ref="D28">IFERROR(INDEX(Tableau5[Type],SMALL(IF(Tableau5[Nr de Commande]=achats!$C$11,ROW(Tableau5[Sangle])-5),ROW()-22)),"")</f>
        <v/>
      </c>
      <c r="E28" s="39" t="str">
        <f t="array" ref="E28">IFERROR(INDEX(Tableau5[Nr de couche],SMALL(IF(Tableau5[Nr de Commande]=achats!$C$11,ROW(Tableau5[Sangle])-5),ROW()-22)),"")</f>
        <v/>
      </c>
      <c r="F28" s="39" t="str">
        <f t="array" ref="F28">IFERROR(INDEX(Tableau5[Résistance],SMALL(IF(Tableau5[Nr de Commande]=achats!$C$11,ROW(Tableau5[Sangle])-5),ROW()-22)),"")</f>
        <v/>
      </c>
      <c r="G28" s="39" t="str">
        <f t="array" ref="G28">IFERROR(INDEX(Tableau5[Largeur],SMALL(IF(Tableau5[Nr de Commande]=achats!$C$11,ROW(Tableau5[Sangle])-5),ROW()-22)),"")</f>
        <v/>
      </c>
      <c r="H28" s="39" t="str">
        <f t="array" ref="H28">IFERROR(INDEX(Tableau5[Longueur],SMALL(IF(Tableau5[Nr de Commande]=achats!$C$11,ROW(Tableau5[Sangle])-5),ROW()-22)),"")</f>
        <v/>
      </c>
      <c r="I28" s="39" t="str">
        <f t="array" ref="I28">IFERROR(INDEX(Tableau5[Quantité],SMALL(IF(Tableau5[Nr de Commande]=achats!$C$11,ROW(Tableau5[Sangle])-5),ROW()-22)),"")</f>
        <v/>
      </c>
      <c r="J28" s="39" t="str">
        <f t="array" ref="J28">IFERROR(INDEX(Tableau5[[Prix ]],SMALL(IF(Tableau5[Nr de Commande]=achats!$C$11,ROW(Tableau5[[Prix ]])-5),ROW()-22)),"")</f>
        <v/>
      </c>
      <c r="K28" s="50" t="str">
        <f t="shared" si="1"/>
        <v/>
      </c>
    </row>
    <row r="29" spans="1:11" x14ac:dyDescent="0.2">
      <c r="A29" s="33"/>
      <c r="B29" s="39" t="str">
        <f t="shared" si="0"/>
        <v/>
      </c>
      <c r="C29" s="39" t="str">
        <f t="array" ref="C29">IFERROR(INDEX(Tableau5[Sangle],SMALL(IF(Tableau5[Nr de Commande]=achats!$C$11,ROW(Tableau5[Sangle])-5),ROW()-22)),"")</f>
        <v/>
      </c>
      <c r="D29" s="39" t="str">
        <f t="array" ref="D29">IFERROR(INDEX(Tableau5[Type],SMALL(IF(Tableau5[Nr de Commande]=achats!$C$11,ROW(Tableau5[Sangle])-5),ROW()-22)),"")</f>
        <v/>
      </c>
      <c r="E29" s="39" t="str">
        <f t="array" ref="E29">IFERROR(INDEX(Tableau5[Nr de couche],SMALL(IF(Tableau5[Nr de Commande]=achats!$C$11,ROW(Tableau5[Sangle])-5),ROW()-22)),"")</f>
        <v/>
      </c>
      <c r="F29" s="39" t="str">
        <f t="array" ref="F29">IFERROR(INDEX(Tableau5[Résistance],SMALL(IF(Tableau5[Nr de Commande]=achats!$C$11,ROW(Tableau5[Sangle])-5),ROW()-22)),"")</f>
        <v/>
      </c>
      <c r="G29" s="39" t="str">
        <f t="array" ref="G29">IFERROR(INDEX(Tableau5[Largeur],SMALL(IF(Tableau5[Nr de Commande]=achats!$C$11,ROW(Tableau5[Sangle])-5),ROW()-22)),"")</f>
        <v/>
      </c>
      <c r="H29" s="39" t="str">
        <f t="array" ref="H29">IFERROR(INDEX(Tableau5[Longueur],SMALL(IF(Tableau5[Nr de Commande]=achats!$C$11,ROW(Tableau5[Sangle])-5),ROW()-22)),"")</f>
        <v/>
      </c>
      <c r="I29" s="39" t="str">
        <f t="array" ref="I29">IFERROR(INDEX(Tableau5[Quantité],SMALL(IF(Tableau5[Nr de Commande]=achats!$C$11,ROW(Tableau5[Sangle])-5),ROW()-22)),"")</f>
        <v/>
      </c>
      <c r="J29" s="39" t="str">
        <f t="array" ref="J29">IFERROR(INDEX(Tableau5[[Prix ]],SMALL(IF(Tableau5[Nr de Commande]=achats!$C$11,ROW(Tableau5[[Prix ]])-5),ROW()-22)),"")</f>
        <v/>
      </c>
      <c r="K29" s="50" t="str">
        <f t="shared" si="1"/>
        <v/>
      </c>
    </row>
    <row r="30" spans="1:11" x14ac:dyDescent="0.2">
      <c r="A30" s="33"/>
      <c r="B30" s="39" t="str">
        <f t="shared" si="0"/>
        <v/>
      </c>
      <c r="C30" s="39" t="str">
        <f t="array" ref="C30">IFERROR(INDEX(Tableau5[Sangle],SMALL(IF(Tableau5[Nr de Commande]=achats!$C$11,ROW(Tableau5[Sangle])-5),ROW()-22)),"")</f>
        <v/>
      </c>
      <c r="D30" s="39" t="str">
        <f t="array" ref="D30">IFERROR(INDEX(Tableau5[Type],SMALL(IF(Tableau5[Nr de Commande]=achats!$C$11,ROW(Tableau5[Sangle])-5),ROW()-22)),"")</f>
        <v/>
      </c>
      <c r="E30" s="39" t="str">
        <f t="array" ref="E30">IFERROR(INDEX(Tableau5[Nr de couche],SMALL(IF(Tableau5[Nr de Commande]=achats!$C$11,ROW(Tableau5[Sangle])-5),ROW()-22)),"")</f>
        <v/>
      </c>
      <c r="F30" s="39" t="str">
        <f t="array" ref="F30">IFERROR(INDEX(Tableau5[Résistance],SMALL(IF(Tableau5[Nr de Commande]=achats!$C$11,ROW(Tableau5[Sangle])-5),ROW()-22)),"")</f>
        <v/>
      </c>
      <c r="G30" s="39" t="str">
        <f t="array" ref="G30">IFERROR(INDEX(Tableau5[Largeur],SMALL(IF(Tableau5[Nr de Commande]=achats!$C$11,ROW(Tableau5[Sangle])-5),ROW()-22)),"")</f>
        <v/>
      </c>
      <c r="H30" s="39" t="str">
        <f t="array" ref="H30">IFERROR(INDEX(Tableau5[Longueur],SMALL(IF(Tableau5[Nr de Commande]=achats!$C$11,ROW(Tableau5[Sangle])-5),ROW()-22)),"")</f>
        <v/>
      </c>
      <c r="I30" s="39" t="str">
        <f t="array" ref="I30">IFERROR(INDEX(Tableau5[Quantité],SMALL(IF(Tableau5[Nr de Commande]=achats!$C$11,ROW(Tableau5[Sangle])-5),ROW()-22)),"")</f>
        <v/>
      </c>
      <c r="J30" s="39" t="str">
        <f t="array" ref="J30">IFERROR(INDEX(Tableau5[[Prix ]],SMALL(IF(Tableau5[Nr de Commande]=achats!$C$11,ROW(Tableau5[[Prix ]])-5),ROW()-22)),"")</f>
        <v/>
      </c>
      <c r="K30" s="50" t="str">
        <f t="shared" si="1"/>
        <v/>
      </c>
    </row>
    <row r="31" spans="1:11" x14ac:dyDescent="0.2">
      <c r="A31" s="33"/>
      <c r="B31" s="39" t="str">
        <f t="shared" si="0"/>
        <v/>
      </c>
      <c r="C31" s="39" t="str">
        <f t="array" ref="C31">IFERROR(INDEX(Tableau5[Sangle],SMALL(IF(Tableau5[Nr de Commande]=achats!$C$11,ROW(Tableau5[Sangle])-5),ROW()-22)),"")</f>
        <v/>
      </c>
      <c r="D31" s="39" t="str">
        <f t="array" ref="D31">IFERROR(INDEX(Tableau5[Type],SMALL(IF(Tableau5[Nr de Commande]=achats!$C$11,ROW(Tableau5[Sangle])-5),ROW()-22)),"")</f>
        <v/>
      </c>
      <c r="E31" s="39" t="str">
        <f t="array" ref="E31">IFERROR(INDEX(Tableau5[Nr de couche],SMALL(IF(Tableau5[Nr de Commande]=achats!$C$11,ROW(Tableau5[Sangle])-5),ROW()-22)),"")</f>
        <v/>
      </c>
      <c r="F31" s="39" t="str">
        <f t="array" ref="F31">IFERROR(INDEX(Tableau5[Résistance],SMALL(IF(Tableau5[Nr de Commande]=achats!$C$11,ROW(Tableau5[Sangle])-5),ROW()-22)),"")</f>
        <v/>
      </c>
      <c r="G31" s="39" t="str">
        <f t="array" ref="G31">IFERROR(INDEX(Tableau5[Largeur],SMALL(IF(Tableau5[Nr de Commande]=achats!$C$11,ROW(Tableau5[Sangle])-5),ROW()-22)),"")</f>
        <v/>
      </c>
      <c r="H31" s="39" t="str">
        <f t="array" ref="H31">IFERROR(INDEX(Tableau5[Longueur],SMALL(IF(Tableau5[Nr de Commande]=achats!$C$11,ROW(Tableau5[Sangle])-5),ROW()-22)),"")</f>
        <v/>
      </c>
      <c r="I31" s="39" t="str">
        <f t="array" ref="I31">IFERROR(INDEX(Tableau5[Quantité],SMALL(IF(Tableau5[Nr de Commande]=achats!$C$11,ROW(Tableau5[Sangle])-5),ROW()-22)),"")</f>
        <v/>
      </c>
      <c r="J31" s="39" t="str">
        <f t="array" ref="J31">IFERROR(INDEX(Tableau5[[Prix ]],SMALL(IF(Tableau5[Nr de Commande]=achats!$C$11,ROW(Tableau5[[Prix ]])-5),ROW()-22)),"")</f>
        <v/>
      </c>
      <c r="K31" s="50" t="str">
        <f t="shared" si="1"/>
        <v/>
      </c>
    </row>
    <row r="32" spans="1:11" x14ac:dyDescent="0.2">
      <c r="A32" s="33"/>
      <c r="B32" s="39" t="str">
        <f t="shared" si="0"/>
        <v/>
      </c>
      <c r="C32" s="39" t="str">
        <f t="array" ref="C32">IFERROR(INDEX(Tableau5[Sangle],SMALL(IF(Tableau5[Nr de Commande]=achats!$C$11,ROW(Tableau5[Sangle])-5),ROW()-22)),"")</f>
        <v/>
      </c>
      <c r="D32" s="39" t="str">
        <f t="array" ref="D32">IFERROR(INDEX(Tableau5[Type],SMALL(IF(Tableau5[Nr de Commande]=achats!$C$11,ROW(Tableau5[Sangle])-5),ROW()-22)),"")</f>
        <v/>
      </c>
      <c r="E32" s="39" t="str">
        <f t="array" ref="E32">IFERROR(INDEX(Tableau5[Nr de couche],SMALL(IF(Tableau5[Nr de Commande]=achats!$C$11,ROW(Tableau5[Sangle])-5),ROW()-22)),"")</f>
        <v/>
      </c>
      <c r="F32" s="39" t="str">
        <f t="array" ref="F32">IFERROR(INDEX(Tableau5[Résistance],SMALL(IF(Tableau5[Nr de Commande]=achats!$C$11,ROW(Tableau5[Sangle])-5),ROW()-22)),"")</f>
        <v/>
      </c>
      <c r="G32" s="39" t="str">
        <f t="array" ref="G32">IFERROR(INDEX(Tableau5[Largeur],SMALL(IF(Tableau5[Nr de Commande]=achats!$C$11,ROW(Tableau5[Sangle])-5),ROW()-22)),"")</f>
        <v/>
      </c>
      <c r="H32" s="39" t="str">
        <f t="array" ref="H32">IFERROR(INDEX(Tableau5[Longueur],SMALL(IF(Tableau5[Nr de Commande]=achats!$C$11,ROW(Tableau5[Sangle])-5),ROW()-22)),"")</f>
        <v/>
      </c>
      <c r="I32" s="39" t="str">
        <f t="array" ref="I32">IFERROR(INDEX(Tableau5[Quantité],SMALL(IF(Tableau5[Nr de Commande]=achats!$C$11,ROW(Tableau5[Sangle])-5),ROW()-22)),"")</f>
        <v/>
      </c>
      <c r="J32" s="39" t="str">
        <f t="array" ref="J32">IFERROR(INDEX(Tableau5[[Prix ]],SMALL(IF(Tableau5[Nr de Commande]=achats!$C$11,ROW(Tableau5[[Prix ]])-5),ROW()-22)),"")</f>
        <v/>
      </c>
      <c r="K32" s="50" t="str">
        <f t="shared" si="1"/>
        <v/>
      </c>
    </row>
    <row r="33" spans="1:11" x14ac:dyDescent="0.2">
      <c r="A33" s="33"/>
      <c r="B33" s="39" t="str">
        <f t="shared" si="0"/>
        <v/>
      </c>
      <c r="C33" s="39" t="str">
        <f t="array" ref="C33">IFERROR(INDEX(Tableau5[Sangle],SMALL(IF(Tableau5[Nr de Commande]=achats!$C$11,ROW(Tableau5[Sangle])-5),ROW()-22)),"")</f>
        <v/>
      </c>
      <c r="D33" s="39" t="str">
        <f t="array" ref="D33">IFERROR(INDEX(Tableau5[Type],SMALL(IF(Tableau5[Nr de Commande]=achats!$C$11,ROW(Tableau5[Sangle])-5),ROW()-22)),"")</f>
        <v/>
      </c>
      <c r="E33" s="39" t="str">
        <f t="array" ref="E33">IFERROR(INDEX(Tableau5[Nr de couche],SMALL(IF(Tableau5[Nr de Commande]=achats!$C$11,ROW(Tableau5[Sangle])-5),ROW()-22)),"")</f>
        <v/>
      </c>
      <c r="F33" s="39" t="str">
        <f t="array" ref="F33">IFERROR(INDEX(Tableau5[Résistance],SMALL(IF(Tableau5[Nr de Commande]=achats!$C$11,ROW(Tableau5[Sangle])-5),ROW()-22)),"")</f>
        <v/>
      </c>
      <c r="G33" s="39" t="str">
        <f t="array" ref="G33">IFERROR(INDEX(Tableau5[Largeur],SMALL(IF(Tableau5[Nr de Commande]=achats!$C$11,ROW(Tableau5[Sangle])-5),ROW()-22)),"")</f>
        <v/>
      </c>
      <c r="H33" s="39" t="str">
        <f t="array" ref="H33">IFERROR(INDEX(Tableau5[Longueur],SMALL(IF(Tableau5[Nr de Commande]=achats!$C$11,ROW(Tableau5[Sangle])-5),ROW()-22)),"")</f>
        <v/>
      </c>
      <c r="I33" s="39" t="str">
        <f t="array" ref="I33">IFERROR(INDEX(Tableau5[Quantité],SMALL(IF(Tableau5[Nr de Commande]=achats!$C$11,ROW(Tableau5[Sangle])-5),ROW()-22)),"")</f>
        <v/>
      </c>
      <c r="J33" s="39" t="str">
        <f t="array" ref="J33">IFERROR(INDEX(Tableau5[[Prix ]],SMALL(IF(Tableau5[Nr de Commande]=achats!$C$11,ROW(Tableau5[[Prix ]])-5),ROW()-22)),"")</f>
        <v/>
      </c>
      <c r="K33" s="50" t="str">
        <f t="shared" si="1"/>
        <v/>
      </c>
    </row>
    <row r="34" spans="1:11" x14ac:dyDescent="0.2">
      <c r="A34" s="33"/>
      <c r="B34" s="39" t="str">
        <f t="shared" si="0"/>
        <v/>
      </c>
      <c r="C34" s="39" t="str">
        <f t="array" ref="C34">IFERROR(INDEX(Tableau5[Sangle],SMALL(IF(Tableau5[Nr de Commande]=achats!$C$11,ROW(Tableau5[Sangle])-5),ROW()-22)),"")</f>
        <v/>
      </c>
      <c r="D34" s="39" t="str">
        <f t="array" ref="D34">IFERROR(INDEX(Tableau5[Type],SMALL(IF(Tableau5[Nr de Commande]=achats!$C$11,ROW(Tableau5[Sangle])-5),ROW()-22)),"")</f>
        <v/>
      </c>
      <c r="E34" s="39" t="str">
        <f t="array" ref="E34">IFERROR(INDEX(Tableau5[Nr de couche],SMALL(IF(Tableau5[Nr de Commande]=achats!$C$11,ROW(Tableau5[Sangle])-5),ROW()-22)),"")</f>
        <v/>
      </c>
      <c r="F34" s="39" t="str">
        <f t="array" ref="F34">IFERROR(INDEX(Tableau5[Résistance],SMALL(IF(Tableau5[Nr de Commande]=achats!$C$11,ROW(Tableau5[Sangle])-5),ROW()-22)),"")</f>
        <v/>
      </c>
      <c r="G34" s="39" t="str">
        <f t="array" ref="G34">IFERROR(INDEX(Tableau5[Largeur],SMALL(IF(Tableau5[Nr de Commande]=achats!$C$11,ROW(Tableau5[Sangle])-5),ROW()-22)),"")</f>
        <v/>
      </c>
      <c r="H34" s="39" t="str">
        <f t="array" ref="H34">IFERROR(INDEX(Tableau5[Longueur],SMALL(IF(Tableau5[Nr de Commande]=achats!$C$11,ROW(Tableau5[Sangle])-5),ROW()-22)),"")</f>
        <v/>
      </c>
      <c r="I34" s="39" t="str">
        <f t="array" ref="I34">IFERROR(INDEX(Tableau5[Quantité],SMALL(IF(Tableau5[Nr de Commande]=achats!$C$11,ROW(Tableau5[Sangle])-5),ROW()-22)),"")</f>
        <v/>
      </c>
      <c r="J34" s="39" t="str">
        <f t="array" ref="J34">IFERROR(INDEX(Tableau5[[Prix ]],SMALL(IF(Tableau5[Nr de Commande]=achats!$C$11,ROW(Tableau5[[Prix ]])-5),ROW()-22)),"")</f>
        <v/>
      </c>
      <c r="K34" s="50" t="str">
        <f t="shared" si="1"/>
        <v/>
      </c>
    </row>
    <row r="35" spans="1:11" x14ac:dyDescent="0.2">
      <c r="A35" s="33"/>
      <c r="B35" s="39" t="str">
        <f t="shared" si="0"/>
        <v/>
      </c>
      <c r="C35" s="39" t="str">
        <f t="array" ref="C35">IFERROR(INDEX(Tableau5[Sangle],SMALL(IF(Tableau5[Nr de Commande]=achats!$C$11,ROW(Tableau5[Sangle])-5),ROW()-22)),"")</f>
        <v/>
      </c>
      <c r="D35" s="39" t="str">
        <f t="array" ref="D35">IFERROR(INDEX(Tableau5[Type],SMALL(IF(Tableau5[Nr de Commande]=achats!$C$11,ROW(Tableau5[Sangle])-5),ROW()-22)),"")</f>
        <v/>
      </c>
      <c r="E35" s="39" t="str">
        <f t="array" ref="E35">IFERROR(INDEX(Tableau5[Nr de couche],SMALL(IF(Tableau5[Nr de Commande]=achats!$C$11,ROW(Tableau5[Sangle])-5),ROW()-22)),"")</f>
        <v/>
      </c>
      <c r="F35" s="39" t="str">
        <f t="array" ref="F35">IFERROR(INDEX(Tableau5[Résistance],SMALL(IF(Tableau5[Nr de Commande]=achats!$C$11,ROW(Tableau5[Sangle])-5),ROW()-22)),"")</f>
        <v/>
      </c>
      <c r="G35" s="39" t="str">
        <f t="array" ref="G35">IFERROR(INDEX(Tableau5[Largeur],SMALL(IF(Tableau5[Nr de Commande]=achats!$C$11,ROW(Tableau5[Sangle])-5),ROW()-22)),"")</f>
        <v/>
      </c>
      <c r="H35" s="39" t="str">
        <f t="array" ref="H35">IFERROR(INDEX(Tableau5[Longueur],SMALL(IF(Tableau5[Nr de Commande]=achats!$C$11,ROW(Tableau5[Sangle])-5),ROW()-22)),"")</f>
        <v/>
      </c>
      <c r="I35" s="39" t="str">
        <f t="array" ref="I35">IFERROR(INDEX(Tableau5[Quantité],SMALL(IF(Tableau5[Nr de Commande]=achats!$C$11,ROW(Tableau5[Sangle])-5),ROW()-22)),"")</f>
        <v/>
      </c>
      <c r="J35" s="39" t="str">
        <f t="array" ref="J35">IFERROR(INDEX(Tableau5[[Prix ]],SMALL(IF(Tableau5[Nr de Commande]=achats!$C$11,ROW(Tableau5[[Prix ]])-5),ROW()-22)),"")</f>
        <v/>
      </c>
      <c r="K35" s="50" t="str">
        <f t="shared" si="1"/>
        <v/>
      </c>
    </row>
    <row r="36" spans="1:11" x14ac:dyDescent="0.2">
      <c r="A36" s="33"/>
      <c r="B36" s="39" t="str">
        <f t="shared" si="0"/>
        <v/>
      </c>
      <c r="C36" s="39" t="str">
        <f t="array" ref="C36">IFERROR(INDEX(Tableau5[Sangle],SMALL(IF(Tableau5[Nr de Commande]=achats!$C$11,ROW(Tableau5[Sangle])-5),ROW()-22)),"")</f>
        <v/>
      </c>
      <c r="D36" s="39" t="str">
        <f t="array" ref="D36">IFERROR(INDEX(Tableau5[Type],SMALL(IF(Tableau5[Nr de Commande]=achats!$C$11,ROW(Tableau5[Sangle])-5),ROW()-22)),"")</f>
        <v/>
      </c>
      <c r="E36" s="39" t="str">
        <f t="array" ref="E36">IFERROR(INDEX(Tableau5[Nr de couche],SMALL(IF(Tableau5[Nr de Commande]=achats!$C$11,ROW(Tableau5[Sangle])-5),ROW()-22)),"")</f>
        <v/>
      </c>
      <c r="F36" s="39" t="str">
        <f t="array" ref="F36">IFERROR(INDEX(Tableau5[Résistance],SMALL(IF(Tableau5[Nr de Commande]=achats!$C$11,ROW(Tableau5[Sangle])-5),ROW()-22)),"")</f>
        <v/>
      </c>
      <c r="G36" s="39" t="str">
        <f t="array" ref="G36">IFERROR(INDEX(Tableau5[Largeur],SMALL(IF(Tableau5[Nr de Commande]=achats!$C$11,ROW(Tableau5[Sangle])-5),ROW()-22)),"")</f>
        <v/>
      </c>
      <c r="H36" s="39" t="str">
        <f t="array" ref="H36">IFERROR(INDEX(Tableau5[Longueur],SMALL(IF(Tableau5[Nr de Commande]=achats!$C$11,ROW(Tableau5[Sangle])-5),ROW()-22)),"")</f>
        <v/>
      </c>
      <c r="I36" s="39" t="str">
        <f t="array" ref="I36">IFERROR(INDEX(Tableau5[Quantité],SMALL(IF(Tableau5[Nr de Commande]=achats!$C$11,ROW(Tableau5[Sangle])-5),ROW()-22)),"")</f>
        <v/>
      </c>
      <c r="J36" s="39" t="str">
        <f t="array" ref="J36">IFERROR(INDEX(Tableau5[[Prix ]],SMALL(IF(Tableau5[Nr de Commande]=achats!$C$11,ROW(Tableau5[[Prix ]])-5),ROW()-22)),"")</f>
        <v/>
      </c>
      <c r="K36" s="50" t="str">
        <f t="shared" si="1"/>
        <v/>
      </c>
    </row>
    <row r="37" spans="1:11" x14ac:dyDescent="0.2">
      <c r="B37" s="39" t="str">
        <f t="shared" si="0"/>
        <v/>
      </c>
      <c r="C37" s="39" t="str">
        <f t="array" ref="C37">IFERROR(INDEX(Tableau5[Sangle],SMALL(IF(Tableau5[Nr de Commande]=achats!$C$11,ROW(Tableau5[Sangle])-5),ROW()-22)),"")</f>
        <v/>
      </c>
      <c r="D37" s="39" t="str">
        <f t="array" ref="D37">IFERROR(INDEX(Tableau5[Type],SMALL(IF(Tableau5[Nr de Commande]=achats!$C$11,ROW(Tableau5[Sangle])-5),ROW()-22)),"")</f>
        <v/>
      </c>
      <c r="E37" s="39" t="str">
        <f t="array" ref="E37">IFERROR(INDEX(Tableau5[Nr de couche],SMALL(IF(Tableau5[Nr de Commande]=achats!$C$11,ROW(Tableau5[Sangle])-5),ROW()-22)),"")</f>
        <v/>
      </c>
      <c r="F37" s="39" t="str">
        <f t="array" ref="F37">IFERROR(INDEX(Tableau5[Résistance],SMALL(IF(Tableau5[Nr de Commande]=achats!$C$11,ROW(Tableau5[Sangle])-5),ROW()-22)),"")</f>
        <v/>
      </c>
      <c r="G37" s="39" t="str">
        <f t="array" ref="G37">IFERROR(INDEX(Tableau5[Largeur],SMALL(IF(Tableau5[Nr de Commande]=achats!$C$11,ROW(Tableau5[Sangle])-5),ROW()-22)),"")</f>
        <v/>
      </c>
      <c r="H37" s="39" t="str">
        <f t="array" ref="H37">IFERROR(INDEX(Tableau5[Longueur],SMALL(IF(Tableau5[Nr de Commande]=achats!$C$11,ROW(Tableau5[Sangle])-5),ROW()-22)),"")</f>
        <v/>
      </c>
      <c r="I37" s="39" t="str">
        <f t="array" ref="I37">IFERROR(INDEX(Tableau5[Quantité],SMALL(IF(Tableau5[Nr de Commande]=achats!$C$11,ROW(Tableau5[Sangle])-5),ROW()-22)),"")</f>
        <v/>
      </c>
      <c r="J37" s="39" t="str">
        <f t="array" ref="J37">IFERROR(INDEX(Tableau5[[Prix ]],SMALL(IF(Tableau5[Nr de Commande]=achats!$C$11,ROW(Tableau5[[Prix ]])-5),ROW()-22)),"")</f>
        <v/>
      </c>
      <c r="K37" s="50" t="str">
        <f t="shared" si="1"/>
        <v/>
      </c>
    </row>
    <row r="38" spans="1:11" x14ac:dyDescent="0.2">
      <c r="B38" s="39" t="str">
        <f t="shared" si="0"/>
        <v/>
      </c>
      <c r="C38" s="39" t="str">
        <f t="array" ref="C38">IFERROR(INDEX(Tableau5[Sangle],SMALL(IF(Tableau5[Nr de Commande]=achats!$C$11,ROW(Tableau5[Sangle])-5),ROW()-22)),"")</f>
        <v/>
      </c>
      <c r="D38" s="39" t="str">
        <f t="array" ref="D38">IFERROR(INDEX(Tableau5[Type],SMALL(IF(Tableau5[Nr de Commande]=achats!$C$11,ROW(Tableau5[Sangle])-5),ROW()-22)),"")</f>
        <v/>
      </c>
      <c r="E38" s="39" t="str">
        <f t="array" ref="E38">IFERROR(INDEX(Tableau5[Nr de couche],SMALL(IF(Tableau5[Nr de Commande]=achats!$C$11,ROW(Tableau5[Sangle])-5),ROW()-22)),"")</f>
        <v/>
      </c>
      <c r="F38" s="39" t="str">
        <f t="array" ref="F38">IFERROR(INDEX(Tableau5[Résistance],SMALL(IF(Tableau5[Nr de Commande]=achats!$C$11,ROW(Tableau5[Sangle])-5),ROW()-22)),"")</f>
        <v/>
      </c>
      <c r="G38" s="39" t="str">
        <f t="array" ref="G38">IFERROR(INDEX(Tableau5[Largeur],SMALL(IF(Tableau5[Nr de Commande]=achats!$C$11,ROW(Tableau5[Sangle])-5),ROW()-22)),"")</f>
        <v/>
      </c>
      <c r="H38" s="39" t="str">
        <f t="array" ref="H38">IFERROR(INDEX(Tableau5[Longueur],SMALL(IF(Tableau5[Nr de Commande]=achats!$C$11,ROW(Tableau5[Sangle])-5),ROW()-22)),"")</f>
        <v/>
      </c>
      <c r="I38" s="39" t="str">
        <f t="array" ref="I38">IFERROR(INDEX(Tableau5[Quantité],SMALL(IF(Tableau5[Nr de Commande]=achats!$C$11,ROW(Tableau5[Sangle])-5),ROW()-22)),"")</f>
        <v/>
      </c>
      <c r="J38" s="39" t="str">
        <f t="array" ref="J38">IFERROR(INDEX(Tableau5[[Prix ]],SMALL(IF(Tableau5[Nr de Commande]=achats!$C$11,ROW(Tableau5[[Prix ]])-5),ROW()-22)),"")</f>
        <v/>
      </c>
      <c r="K38" s="50" t="str">
        <f t="shared" si="1"/>
        <v/>
      </c>
    </row>
    <row r="39" spans="1:11" x14ac:dyDescent="0.2">
      <c r="B39" s="39" t="str">
        <f t="shared" si="0"/>
        <v/>
      </c>
      <c r="C39" s="39" t="str">
        <f t="array" ref="C39">IFERROR(INDEX(Tableau5[Sangle],SMALL(IF(Tableau5[Nr de Commande]=achats!$C$11,ROW(Tableau5[Sangle])-5),ROW()-22)),"")</f>
        <v/>
      </c>
      <c r="D39" s="39" t="str">
        <f t="array" ref="D39">IFERROR(INDEX(Tableau5[Type],SMALL(IF(Tableau5[Nr de Commande]=achats!$C$11,ROW(Tableau5[Sangle])-5),ROW()-22)),"")</f>
        <v/>
      </c>
      <c r="E39" s="39" t="str">
        <f t="array" ref="E39">IFERROR(INDEX(Tableau5[Nr de couche],SMALL(IF(Tableau5[Nr de Commande]=achats!$C$11,ROW(Tableau5[Sangle])-5),ROW()-22)),"")</f>
        <v/>
      </c>
      <c r="F39" s="39" t="str">
        <f t="array" ref="F39">IFERROR(INDEX(Tableau5[Résistance],SMALL(IF(Tableau5[Nr de Commande]=achats!$C$11,ROW(Tableau5[Sangle])-5),ROW()-22)),"")</f>
        <v/>
      </c>
      <c r="G39" s="39" t="str">
        <f t="array" ref="G39">IFERROR(INDEX(Tableau5[Largeur],SMALL(IF(Tableau5[Nr de Commande]=achats!$C$11,ROW(Tableau5[Sangle])-5),ROW()-22)),"")</f>
        <v/>
      </c>
      <c r="H39" s="39" t="str">
        <f t="array" ref="H39">IFERROR(INDEX(Tableau5[Longueur],SMALL(IF(Tableau5[Nr de Commande]=achats!$C$11,ROW(Tableau5[Sangle])-5),ROW()-22)),"")</f>
        <v/>
      </c>
      <c r="I39" s="39" t="str">
        <f t="array" ref="I39">IFERROR(INDEX(Tableau5[Quantité],SMALL(IF(Tableau5[Nr de Commande]=achats!$C$11,ROW(Tableau5[Sangle])-5),ROW()-22)),"")</f>
        <v/>
      </c>
      <c r="J39" s="39" t="str">
        <f t="array" ref="J39">IFERROR(INDEX(Tableau5[[Prix ]],SMALL(IF(Tableau5[Nr de Commande]=achats!$C$11,ROW(Tableau5[[Prix ]])-5),ROW()-22)),"")</f>
        <v/>
      </c>
      <c r="K39" s="50" t="str">
        <f t="shared" si="1"/>
        <v/>
      </c>
    </row>
    <row r="40" spans="1:11" x14ac:dyDescent="0.2">
      <c r="B40" s="39" t="str">
        <f t="shared" si="0"/>
        <v/>
      </c>
      <c r="C40" s="39" t="str">
        <f t="array" ref="C40">IFERROR(INDEX(Tableau5[Sangle],SMALL(IF(Tableau5[Nr de Commande]=achats!$C$11,ROW(Tableau5[Sangle])-5),ROW()-22)),"")</f>
        <v/>
      </c>
      <c r="D40" s="39" t="str">
        <f t="array" ref="D40">IFERROR(INDEX(Tableau5[Type],SMALL(IF(Tableau5[Nr de Commande]=achats!$C$11,ROW(Tableau5[Sangle])-5),ROW()-22)),"")</f>
        <v/>
      </c>
      <c r="E40" s="39" t="str">
        <f t="array" ref="E40">IFERROR(INDEX(Tableau5[Nr de couche],SMALL(IF(Tableau5[Nr de Commande]=achats!$C$11,ROW(Tableau5[Sangle])-5),ROW()-22)),"")</f>
        <v/>
      </c>
      <c r="F40" s="39" t="str">
        <f t="array" ref="F40">IFERROR(INDEX(Tableau5[Résistance],SMALL(IF(Tableau5[Nr de Commande]=achats!$C$11,ROW(Tableau5[Sangle])-5),ROW()-22)),"")</f>
        <v/>
      </c>
      <c r="G40" s="39" t="str">
        <f t="array" ref="G40">IFERROR(INDEX(Tableau5[Largeur],SMALL(IF(Tableau5[Nr de Commande]=achats!$C$11,ROW(Tableau5[Sangle])-5),ROW()-22)),"")</f>
        <v/>
      </c>
      <c r="H40" s="39" t="str">
        <f t="array" ref="H40">IFERROR(INDEX(Tableau5[Longueur],SMALL(IF(Tableau5[Nr de Commande]=achats!$C$11,ROW(Tableau5[Sangle])-5),ROW()-22)),"")</f>
        <v/>
      </c>
      <c r="I40" s="39" t="str">
        <f t="array" ref="I40">IFERROR(INDEX(Tableau5[Quantité],SMALL(IF(Tableau5[Nr de Commande]=achats!$C$11,ROW(Tableau5[Sangle])-5),ROW()-22)),"")</f>
        <v/>
      </c>
      <c r="J40" s="39" t="str">
        <f t="array" ref="J40">IFERROR(INDEX(Tableau5[[Prix ]],SMALL(IF(Tableau5[Nr de Commande]=achats!$C$11,ROW(Tableau5[[Prix ]])-5),ROW()-22)),"")</f>
        <v/>
      </c>
      <c r="K40" s="50" t="str">
        <f t="shared" si="1"/>
        <v/>
      </c>
    </row>
    <row r="41" spans="1:11" x14ac:dyDescent="0.2">
      <c r="B41" s="39" t="str">
        <f t="shared" si="0"/>
        <v/>
      </c>
      <c r="C41" s="39" t="str">
        <f t="array" ref="C41">IFERROR(INDEX(Tableau5[Sangle],SMALL(IF(Tableau5[Nr de Commande]=achats!$C$11,ROW(Tableau5[Sangle])-5),ROW()-22)),"")</f>
        <v/>
      </c>
      <c r="D41" s="39" t="str">
        <f t="array" ref="D41">IFERROR(INDEX(Tableau5[Type],SMALL(IF(Tableau5[Nr de Commande]=achats!$C$11,ROW(Tableau5[Sangle])-5),ROW()-22)),"")</f>
        <v/>
      </c>
      <c r="E41" s="39" t="str">
        <f t="array" ref="E41">IFERROR(INDEX(Tableau5[Nr de couche],SMALL(IF(Tableau5[Nr de Commande]=achats!$C$11,ROW(Tableau5[Sangle])-5),ROW()-22)),"")</f>
        <v/>
      </c>
      <c r="F41" s="39" t="str">
        <f t="array" ref="F41">IFERROR(INDEX(Tableau5[Résistance],SMALL(IF(Tableau5[Nr de Commande]=achats!$C$11,ROW(Tableau5[Sangle])-5),ROW()-22)),"")</f>
        <v/>
      </c>
      <c r="G41" s="39" t="str">
        <f t="array" ref="G41">IFERROR(INDEX(Tableau5[Largeur],SMALL(IF(Tableau5[Nr de Commande]=achats!$C$11,ROW(Tableau5[Sangle])-5),ROW()-22)),"")</f>
        <v/>
      </c>
      <c r="H41" s="39" t="str">
        <f t="array" ref="H41">IFERROR(INDEX(Tableau5[Longueur],SMALL(IF(Tableau5[Nr de Commande]=achats!$C$11,ROW(Tableau5[Sangle])-5),ROW()-22)),"")</f>
        <v/>
      </c>
      <c r="I41" s="39" t="str">
        <f t="array" ref="I41">IFERROR(INDEX(Tableau5[Quantité],SMALL(IF(Tableau5[Nr de Commande]=achats!$C$11,ROW(Tableau5[Sangle])-5),ROW()-22)),"")</f>
        <v/>
      </c>
      <c r="J41" s="39" t="str">
        <f t="array" ref="J41">IFERROR(INDEX(Tableau5[[Prix ]],SMALL(IF(Tableau5[Nr de Commande]=achats!$C$11,ROW(Tableau5[[Prix ]])-5),ROW()-22)),"")</f>
        <v/>
      </c>
      <c r="K41" s="50" t="str">
        <f t="shared" si="1"/>
        <v/>
      </c>
    </row>
    <row r="42" spans="1:11" x14ac:dyDescent="0.2">
      <c r="B42" s="39" t="str">
        <f t="shared" si="0"/>
        <v/>
      </c>
      <c r="C42" s="39" t="str">
        <f t="array" ref="C42">IFERROR(INDEX(Tableau5[Sangle],SMALL(IF(Tableau5[Nr de Commande]=achats!$C$11,ROW(Tableau5[Sangle])-5),ROW()-22)),"")</f>
        <v/>
      </c>
      <c r="D42" s="39" t="str">
        <f t="array" ref="D42">IFERROR(INDEX(Tableau5[Type],SMALL(IF(Tableau5[Nr de Commande]=achats!$C$11,ROW(Tableau5[Sangle])-5),ROW()-22)),"")</f>
        <v/>
      </c>
      <c r="E42" s="39" t="str">
        <f t="array" ref="E42">IFERROR(INDEX(Tableau5[Nr de couche],SMALL(IF(Tableau5[Nr de Commande]=achats!$C$11,ROW(Tableau5[Sangle])-5),ROW()-22)),"")</f>
        <v/>
      </c>
      <c r="F42" s="39" t="str">
        <f t="array" ref="F42">IFERROR(INDEX(Tableau5[Résistance],SMALL(IF(Tableau5[Nr de Commande]=achats!$C$11,ROW(Tableau5[Sangle])-5),ROW()-22)),"")</f>
        <v/>
      </c>
      <c r="G42" s="39" t="str">
        <f t="array" ref="G42">IFERROR(INDEX(Tableau5[Largeur],SMALL(IF(Tableau5[Nr de Commande]=achats!$C$11,ROW(Tableau5[Sangle])-5),ROW()-22)),"")</f>
        <v/>
      </c>
      <c r="H42" s="39" t="str">
        <f t="array" ref="H42">IFERROR(INDEX(Tableau5[Longueur],SMALL(IF(Tableau5[Nr de Commande]=achats!$C$11,ROW(Tableau5[Sangle])-5),ROW()-22)),"")</f>
        <v/>
      </c>
      <c r="I42" s="39" t="str">
        <f t="array" ref="I42">IFERROR(INDEX(Tableau5[Quantité],SMALL(IF(Tableau5[Nr de Commande]=achats!$C$11,ROW(Tableau5[Sangle])-5),ROW()-22)),"")</f>
        <v/>
      </c>
      <c r="J42" s="39" t="str">
        <f t="array" ref="J42">IFERROR(INDEX(Tableau5[[Prix ]],SMALL(IF(Tableau5[Nr de Commande]=achats!$C$11,ROW(Tableau5[[Prix ]])-5),ROW()-22)),"")</f>
        <v/>
      </c>
      <c r="K42" s="50" t="str">
        <f t="shared" si="1"/>
        <v/>
      </c>
    </row>
    <row r="43" spans="1:11" x14ac:dyDescent="0.2">
      <c r="B43" s="39" t="str">
        <f t="shared" si="0"/>
        <v/>
      </c>
      <c r="C43" s="39" t="str">
        <f t="array" ref="C43">IFERROR(INDEX(Tableau5[Sangle],SMALL(IF(Tableau5[Nr de Commande]=achats!$C$11,ROW(Tableau5[Sangle])-5),ROW()-22)),"")</f>
        <v/>
      </c>
      <c r="D43" s="39" t="str">
        <f t="array" ref="D43">IFERROR(INDEX(Tableau5[Type],SMALL(IF(Tableau5[Nr de Commande]=achats!$C$11,ROW(Tableau5[Sangle])-5),ROW()-22)),"")</f>
        <v/>
      </c>
      <c r="E43" s="39" t="str">
        <f t="array" ref="E43">IFERROR(INDEX(Tableau5[Nr de couche],SMALL(IF(Tableau5[Nr de Commande]=achats!$C$11,ROW(Tableau5[Sangle])-5),ROW()-22)),"")</f>
        <v/>
      </c>
      <c r="F43" s="39" t="str">
        <f t="array" ref="F43">IFERROR(INDEX(Tableau5[Résistance],SMALL(IF(Tableau5[Nr de Commande]=achats!$C$11,ROW(Tableau5[Sangle])-5),ROW()-22)),"")</f>
        <v/>
      </c>
      <c r="G43" s="39" t="str">
        <f t="array" ref="G43">IFERROR(INDEX(Tableau5[Largeur],SMALL(IF(Tableau5[Nr de Commande]=achats!$C$11,ROW(Tableau5[Sangle])-5),ROW()-22)),"")</f>
        <v/>
      </c>
      <c r="H43" s="39" t="str">
        <f t="array" ref="H43">IFERROR(INDEX(Tableau5[Longueur],SMALL(IF(Tableau5[Nr de Commande]=achats!$C$11,ROW(Tableau5[Sangle])-5),ROW()-22)),"")</f>
        <v/>
      </c>
      <c r="I43" s="39" t="str">
        <f t="array" ref="I43">IFERROR(INDEX(Tableau5[Quantité],SMALL(IF(Tableau5[Nr de Commande]=achats!$C$11,ROW(Tableau5[Sangle])-5),ROW()-22)),"")</f>
        <v/>
      </c>
      <c r="J43" s="39" t="str">
        <f t="array" ref="J43">IFERROR(INDEX(Tableau5[[Prix ]],SMALL(IF(Tableau5[Nr de Commande]=achats!$C$11,ROW(Tableau5[[Prix ]])-5),ROW()-22)),"")</f>
        <v/>
      </c>
      <c r="K43" s="50" t="str">
        <f t="shared" si="1"/>
        <v/>
      </c>
    </row>
    <row r="44" spans="1:11" x14ac:dyDescent="0.2">
      <c r="B44" s="39" t="str">
        <f t="shared" si="0"/>
        <v/>
      </c>
      <c r="C44" s="39" t="str">
        <f t="array" ref="C44">IFERROR(INDEX(Tableau5[Sangle],SMALL(IF(Tableau5[Nr de Commande]=achats!$C$11,ROW(Tableau5[Sangle])-5),ROW()-22)),"")</f>
        <v/>
      </c>
      <c r="D44" s="39" t="str">
        <f t="array" ref="D44">IFERROR(INDEX(Tableau5[Type],SMALL(IF(Tableau5[Nr de Commande]=achats!$C$11,ROW(Tableau5[Sangle])-5),ROW()-22)),"")</f>
        <v/>
      </c>
      <c r="E44" s="39" t="str">
        <f t="array" ref="E44">IFERROR(INDEX(Tableau5[Nr de couche],SMALL(IF(Tableau5[Nr de Commande]=achats!$C$11,ROW(Tableau5[Sangle])-5),ROW()-22)),"")</f>
        <v/>
      </c>
      <c r="F44" s="39" t="str">
        <f t="array" ref="F44">IFERROR(INDEX(Tableau5[Résistance],SMALL(IF(Tableau5[Nr de Commande]=achats!$C$11,ROW(Tableau5[Sangle])-5),ROW()-22)),"")</f>
        <v/>
      </c>
      <c r="G44" s="39" t="str">
        <f t="array" ref="G44">IFERROR(INDEX(Tableau5[Largeur],SMALL(IF(Tableau5[Nr de Commande]=achats!$C$11,ROW(Tableau5[Sangle])-5),ROW()-22)),"")</f>
        <v/>
      </c>
      <c r="H44" s="39" t="str">
        <f t="array" ref="H44">IFERROR(INDEX(Tableau5[Longueur],SMALL(IF(Tableau5[Nr de Commande]=achats!$C$11,ROW(Tableau5[Sangle])-5),ROW()-22)),"")</f>
        <v/>
      </c>
      <c r="I44" s="39" t="str">
        <f t="array" ref="I44">IFERROR(INDEX(Tableau5[Quantité],SMALL(IF(Tableau5[Nr de Commande]=achats!$C$11,ROW(Tableau5[Sangle])-5),ROW()-22)),"")</f>
        <v/>
      </c>
      <c r="J44" s="39" t="str">
        <f t="array" ref="J44">IFERROR(INDEX(Tableau5[[Prix ]],SMALL(IF(Tableau5[Nr de Commande]=achats!$C$11,ROW(Tableau5[[Prix ]])-5),ROW()-22)),"")</f>
        <v/>
      </c>
      <c r="K44" s="50" t="str">
        <f t="shared" si="1"/>
        <v/>
      </c>
    </row>
    <row r="45" spans="1:11" ht="15.75" thickBot="1" x14ac:dyDescent="0.25">
      <c r="B45" s="10"/>
      <c r="C45" s="10"/>
      <c r="D45" s="10"/>
      <c r="E45" s="10"/>
      <c r="F45" s="10"/>
      <c r="G45" s="10"/>
      <c r="H45" s="10"/>
      <c r="I45" s="10"/>
      <c r="J45" s="10"/>
      <c r="K45" s="10"/>
    </row>
    <row r="46" spans="1:11" ht="15.75" thickBot="1" x14ac:dyDescent="0.25"/>
    <row r="47" spans="1:11" ht="15.75" thickBot="1" x14ac:dyDescent="0.25">
      <c r="J47" s="54" t="s">
        <v>137</v>
      </c>
      <c r="K47" s="51">
        <f>SUM(K23:K44)</f>
        <v>0</v>
      </c>
    </row>
    <row r="48" spans="1:11" ht="15.75" thickBot="1" x14ac:dyDescent="0.25">
      <c r="J48" s="56" t="s">
        <v>146</v>
      </c>
      <c r="K48" s="53">
        <f>K47*0.2</f>
        <v>0</v>
      </c>
    </row>
    <row r="49" spans="10:11" ht="15.75" thickBot="1" x14ac:dyDescent="0.25">
      <c r="J49" s="55" t="s">
        <v>147</v>
      </c>
      <c r="K49" s="52">
        <f>K48+K47</f>
        <v>0</v>
      </c>
    </row>
  </sheetData>
  <conditionalFormatting sqref="B25:K44 B24 D24:K24">
    <cfRule type="expression" dxfId="35" priority="1">
      <formula>$B24&lt;&gt;""</formula>
    </cfRule>
  </conditionalFormatting>
  <dataValidations count="1">
    <dataValidation type="list" allowBlank="1" showInputMessage="1" showErrorMessage="1" sqref="C11" xr:uid="{4502900A-7C0C-47B0-B676-707693866D02}">
      <formula1>Commande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5:M37"/>
  <sheetViews>
    <sheetView zoomScaleNormal="100" workbookViewId="0">
      <selection activeCell="A22" sqref="A22"/>
    </sheetView>
  </sheetViews>
  <sheetFormatPr defaultColWidth="10.76171875" defaultRowHeight="15" x14ac:dyDescent="0.2"/>
  <cols>
    <col min="1" max="2" width="17.08203125" customWidth="1"/>
    <col min="3" max="3" width="17.21875" customWidth="1"/>
    <col min="4" max="13" width="13.31640625" customWidth="1"/>
  </cols>
  <sheetData>
    <row r="5" spans="2:13" x14ac:dyDescent="0.2">
      <c r="B5" s="22" t="s">
        <v>118</v>
      </c>
      <c r="C5" s="23" t="s">
        <v>119</v>
      </c>
      <c r="D5" s="23" t="s">
        <v>86</v>
      </c>
      <c r="E5" s="23" t="s">
        <v>87</v>
      </c>
      <c r="F5" s="23" t="s">
        <v>80</v>
      </c>
      <c r="G5" s="23" t="s">
        <v>89</v>
      </c>
      <c r="H5" s="23" t="s">
        <v>67</v>
      </c>
      <c r="I5" s="23" t="s">
        <v>123</v>
      </c>
      <c r="J5" s="23" t="s">
        <v>124</v>
      </c>
      <c r="K5" s="23" t="s">
        <v>120</v>
      </c>
      <c r="L5" s="23" t="s">
        <v>121</v>
      </c>
      <c r="M5" s="24" t="s">
        <v>122</v>
      </c>
    </row>
    <row r="6" spans="2:13" x14ac:dyDescent="0.2">
      <c r="B6" s="45"/>
      <c r="C6" s="57"/>
      <c r="D6" s="46"/>
      <c r="E6" s="46"/>
      <c r="F6" s="46"/>
      <c r="G6" s="46"/>
      <c r="H6" s="46"/>
      <c r="I6" s="46"/>
      <c r="J6" s="46"/>
      <c r="K6" s="46"/>
      <c r="L6" s="47">
        <f t="shared" ref="L6" si="0">J6*K6</f>
        <v>0</v>
      </c>
      <c r="M6" s="48"/>
    </row>
    <row r="7" spans="2:13" x14ac:dyDescent="0.2">
      <c r="B7" s="31" t="s">
        <v>127</v>
      </c>
      <c r="C7" s="58">
        <v>43959.096168981479</v>
      </c>
      <c r="D7" s="31" t="s">
        <v>92</v>
      </c>
      <c r="E7" s="31">
        <v>400</v>
      </c>
      <c r="F7" s="31">
        <v>1</v>
      </c>
      <c r="G7" s="31" t="s">
        <v>113</v>
      </c>
      <c r="H7" s="31">
        <v>500</v>
      </c>
      <c r="I7" s="31">
        <v>2</v>
      </c>
      <c r="J7" s="31" t="s">
        <v>93</v>
      </c>
      <c r="K7" s="31">
        <v>10</v>
      </c>
      <c r="L7" s="32">
        <v>12</v>
      </c>
      <c r="M7" s="31">
        <v>1</v>
      </c>
    </row>
    <row r="8" spans="2:13" x14ac:dyDescent="0.2">
      <c r="B8" s="31" t="s">
        <v>142</v>
      </c>
      <c r="C8" s="58">
        <v>43959.339490740742</v>
      </c>
      <c r="D8" s="31" t="s">
        <v>92</v>
      </c>
      <c r="E8" s="31">
        <v>500</v>
      </c>
      <c r="F8" s="31">
        <v>2</v>
      </c>
      <c r="G8" s="31" t="s">
        <v>113</v>
      </c>
      <c r="H8" s="31">
        <v>500</v>
      </c>
      <c r="I8" s="31">
        <v>3</v>
      </c>
      <c r="J8" s="31" t="s">
        <v>93</v>
      </c>
      <c r="K8" s="31">
        <v>14</v>
      </c>
      <c r="L8" s="32">
        <v>20</v>
      </c>
      <c r="M8" s="31">
        <v>1</v>
      </c>
    </row>
    <row r="9" spans="2:13" x14ac:dyDescent="0.2">
      <c r="B9" s="31" t="s">
        <v>143</v>
      </c>
      <c r="C9" s="58">
        <v>43959.339988425927</v>
      </c>
      <c r="D9" s="31" t="s">
        <v>113</v>
      </c>
      <c r="E9" s="31">
        <v>400</v>
      </c>
      <c r="F9" s="31">
        <v>3</v>
      </c>
      <c r="G9" s="31" t="s">
        <v>113</v>
      </c>
      <c r="H9" s="31">
        <v>500</v>
      </c>
      <c r="I9" s="31">
        <v>2</v>
      </c>
      <c r="J9" s="31" t="s">
        <v>91</v>
      </c>
      <c r="K9" s="31">
        <v>10</v>
      </c>
      <c r="L9" s="32">
        <v>14</v>
      </c>
      <c r="M9" s="31">
        <v>15</v>
      </c>
    </row>
    <row r="10" spans="2:13" x14ac:dyDescent="0.2">
      <c r="B10" s="31" t="s">
        <v>149</v>
      </c>
      <c r="C10" s="58">
        <v>43961.24359953704</v>
      </c>
      <c r="D10" s="31" t="s">
        <v>113</v>
      </c>
      <c r="E10" s="31">
        <v>400</v>
      </c>
      <c r="F10" s="31">
        <v>3</v>
      </c>
      <c r="G10" s="31" t="s">
        <v>93</v>
      </c>
      <c r="H10" s="31">
        <v>12</v>
      </c>
      <c r="I10" s="31">
        <v>24</v>
      </c>
      <c r="J10" s="31">
        <v>10</v>
      </c>
      <c r="K10" s="31"/>
      <c r="L10" s="32">
        <f t="shared" ref="L10:L18" si="1">J10*K10</f>
        <v>0</v>
      </c>
      <c r="M10" s="31" t="s">
        <v>19</v>
      </c>
    </row>
    <row r="11" spans="2:13" x14ac:dyDescent="0.2">
      <c r="B11" s="31" t="s">
        <v>149</v>
      </c>
      <c r="C11" s="58">
        <v>43961.243611111109</v>
      </c>
      <c r="D11" s="31" t="s">
        <v>113</v>
      </c>
      <c r="E11" s="31">
        <v>800</v>
      </c>
      <c r="F11" s="31">
        <v>1</v>
      </c>
      <c r="G11" s="31" t="s">
        <v>97</v>
      </c>
      <c r="H11" s="31">
        <v>100</v>
      </c>
      <c r="I11" s="31">
        <v>200</v>
      </c>
      <c r="J11" s="31">
        <v>3</v>
      </c>
      <c r="K11" s="31"/>
      <c r="L11" s="32">
        <f t="shared" si="1"/>
        <v>0</v>
      </c>
      <c r="M11" s="31" t="s">
        <v>19</v>
      </c>
    </row>
    <row r="12" spans="2:13" x14ac:dyDescent="0.2">
      <c r="B12" s="31" t="s">
        <v>150</v>
      </c>
      <c r="C12" s="58">
        <v>43961.266041666669</v>
      </c>
      <c r="D12" s="31" t="s">
        <v>113</v>
      </c>
      <c r="E12" s="31">
        <v>630</v>
      </c>
      <c r="F12" s="31">
        <v>1</v>
      </c>
      <c r="G12" s="31" t="s">
        <v>93</v>
      </c>
      <c r="H12" s="31">
        <v>40</v>
      </c>
      <c r="I12" s="31">
        <v>600</v>
      </c>
      <c r="J12" s="31">
        <v>30</v>
      </c>
      <c r="K12" s="31"/>
      <c r="L12" s="32">
        <f t="shared" si="1"/>
        <v>0</v>
      </c>
      <c r="M12" s="31" t="s">
        <v>21</v>
      </c>
    </row>
    <row r="13" spans="2:13" x14ac:dyDescent="0.2">
      <c r="B13" s="31" t="s">
        <v>150</v>
      </c>
      <c r="C13" s="58">
        <v>43961.266041666669</v>
      </c>
      <c r="D13" s="31" t="s">
        <v>92</v>
      </c>
      <c r="E13" s="31">
        <v>500</v>
      </c>
      <c r="F13" s="31">
        <v>2</v>
      </c>
      <c r="G13" s="31" t="s">
        <v>95</v>
      </c>
      <c r="H13" s="31">
        <v>140</v>
      </c>
      <c r="I13" s="31">
        <v>380</v>
      </c>
      <c r="J13" s="31">
        <v>22</v>
      </c>
      <c r="K13" s="31"/>
      <c r="L13" s="32">
        <f t="shared" si="1"/>
        <v>0</v>
      </c>
      <c r="M13" s="31" t="s">
        <v>21</v>
      </c>
    </row>
    <row r="14" spans="2:13" x14ac:dyDescent="0.2">
      <c r="B14" s="31" t="s">
        <v>150</v>
      </c>
      <c r="C14" s="58">
        <v>43961.266041666669</v>
      </c>
      <c r="D14" s="31" t="s">
        <v>92</v>
      </c>
      <c r="E14" s="31">
        <v>800</v>
      </c>
      <c r="F14" s="31">
        <v>3</v>
      </c>
      <c r="G14" s="31" t="s">
        <v>96</v>
      </c>
      <c r="H14" s="31">
        <v>36</v>
      </c>
      <c r="I14" s="31">
        <v>400</v>
      </c>
      <c r="J14" s="31">
        <v>17</v>
      </c>
      <c r="K14" s="31"/>
      <c r="L14" s="32">
        <f t="shared" si="1"/>
        <v>0</v>
      </c>
      <c r="M14" s="31" t="s">
        <v>21</v>
      </c>
    </row>
    <row r="15" spans="2:13" x14ac:dyDescent="0.2">
      <c r="B15" s="31" t="s">
        <v>150</v>
      </c>
      <c r="C15" s="58">
        <v>43961.266041666669</v>
      </c>
      <c r="D15" s="31" t="s">
        <v>113</v>
      </c>
      <c r="E15" s="31">
        <v>400</v>
      </c>
      <c r="F15" s="31">
        <v>4</v>
      </c>
      <c r="G15" s="31" t="s">
        <v>98</v>
      </c>
      <c r="H15" s="31">
        <v>10</v>
      </c>
      <c r="I15" s="31">
        <v>200</v>
      </c>
      <c r="J15" s="31">
        <v>8</v>
      </c>
      <c r="K15" s="31"/>
      <c r="L15" s="32">
        <f t="shared" si="1"/>
        <v>0</v>
      </c>
      <c r="M15" s="31" t="s">
        <v>21</v>
      </c>
    </row>
    <row r="16" spans="2:13" x14ac:dyDescent="0.2">
      <c r="B16" s="31" t="s">
        <v>151</v>
      </c>
      <c r="C16" s="58">
        <v>43961.298587962963</v>
      </c>
      <c r="D16" s="31" t="s">
        <v>113</v>
      </c>
      <c r="E16" s="31">
        <v>500</v>
      </c>
      <c r="F16" s="31">
        <v>1</v>
      </c>
      <c r="G16" s="31" t="s">
        <v>93</v>
      </c>
      <c r="H16" s="31">
        <v>10</v>
      </c>
      <c r="I16" s="31">
        <v>10</v>
      </c>
      <c r="J16" s="31">
        <v>1</v>
      </c>
      <c r="K16" s="31"/>
      <c r="L16" s="32">
        <f t="shared" si="1"/>
        <v>0</v>
      </c>
      <c r="M16" s="31" t="s">
        <v>15</v>
      </c>
    </row>
    <row r="17" spans="2:13" x14ac:dyDescent="0.2">
      <c r="B17" s="31" t="s">
        <v>152</v>
      </c>
      <c r="C17" s="58">
        <v>43961.310833333337</v>
      </c>
      <c r="D17" s="31" t="s">
        <v>113</v>
      </c>
      <c r="E17" s="31">
        <v>500</v>
      </c>
      <c r="F17" s="31">
        <v>2</v>
      </c>
      <c r="G17" s="31" t="s">
        <v>94</v>
      </c>
      <c r="H17" s="31">
        <v>10</v>
      </c>
      <c r="I17" s="31">
        <v>104</v>
      </c>
      <c r="J17" s="31">
        <v>14</v>
      </c>
      <c r="K17" s="31"/>
      <c r="L17" s="32">
        <f t="shared" si="1"/>
        <v>0</v>
      </c>
      <c r="M17" s="31" t="s">
        <v>13</v>
      </c>
    </row>
    <row r="18" spans="2:13" x14ac:dyDescent="0.2">
      <c r="B18" s="31" t="s">
        <v>153</v>
      </c>
      <c r="C18" s="58">
        <v>43961.313703703701</v>
      </c>
      <c r="D18" s="31" t="s">
        <v>113</v>
      </c>
      <c r="E18" s="31">
        <v>500</v>
      </c>
      <c r="F18" s="31">
        <v>2</v>
      </c>
      <c r="G18" s="31" t="s">
        <v>93</v>
      </c>
      <c r="H18" s="31">
        <v>15</v>
      </c>
      <c r="I18" s="31">
        <v>12</v>
      </c>
      <c r="J18" s="31">
        <v>3</v>
      </c>
      <c r="K18" s="31"/>
      <c r="L18" s="32">
        <f t="shared" si="1"/>
        <v>0</v>
      </c>
      <c r="M18" s="31" t="s">
        <v>13</v>
      </c>
    </row>
    <row r="19" spans="2:13" x14ac:dyDescent="0.2">
      <c r="B19" s="31" t="s">
        <v>154</v>
      </c>
      <c r="C19" s="58">
        <v>43961.813287037039</v>
      </c>
      <c r="D19" s="31" t="s">
        <v>113</v>
      </c>
      <c r="E19" s="31">
        <v>500</v>
      </c>
      <c r="F19" s="31">
        <v>3</v>
      </c>
      <c r="G19" s="31" t="s">
        <v>93</v>
      </c>
      <c r="H19" s="31">
        <v>14</v>
      </c>
      <c r="I19" s="31">
        <v>50</v>
      </c>
      <c r="J19" s="31">
        <v>1</v>
      </c>
      <c r="K19" s="31"/>
      <c r="L19" s="32">
        <f>J19*K19</f>
        <v>0</v>
      </c>
      <c r="M19" s="31" t="s">
        <v>8</v>
      </c>
    </row>
    <row r="20" spans="2:13" x14ac:dyDescent="0.2">
      <c r="B20" s="31" t="s">
        <v>155</v>
      </c>
      <c r="C20" s="58">
        <v>43961.814953703702</v>
      </c>
      <c r="D20" s="31" t="s">
        <v>113</v>
      </c>
      <c r="E20" s="31">
        <v>500</v>
      </c>
      <c r="F20" s="31">
        <v>2</v>
      </c>
      <c r="G20" s="31" t="s">
        <v>93</v>
      </c>
      <c r="H20" s="31">
        <v>14</v>
      </c>
      <c r="I20" s="31">
        <v>16</v>
      </c>
      <c r="J20" s="31">
        <v>3</v>
      </c>
      <c r="K20" s="31"/>
      <c r="L20" s="32">
        <f>J20*K20</f>
        <v>0</v>
      </c>
      <c r="M20" s="31" t="s">
        <v>15</v>
      </c>
    </row>
    <row r="21" spans="2:13" x14ac:dyDescent="0.2">
      <c r="B21" s="31" t="s">
        <v>168</v>
      </c>
      <c r="C21" s="65">
        <v>44001.08152777778</v>
      </c>
      <c r="D21" s="31" t="s">
        <v>113</v>
      </c>
      <c r="E21" s="31">
        <v>400</v>
      </c>
      <c r="F21" s="31">
        <v>3</v>
      </c>
      <c r="G21" s="31" t="s">
        <v>93</v>
      </c>
      <c r="H21" s="31">
        <v>10</v>
      </c>
      <c r="I21" s="31">
        <v>15520</v>
      </c>
      <c r="J21" s="31">
        <v>3</v>
      </c>
      <c r="K21" s="31"/>
      <c r="L21" s="32">
        <f>J21*K21</f>
        <v>0</v>
      </c>
      <c r="M21" s="31" t="s">
        <v>13</v>
      </c>
    </row>
    <row r="22" spans="2:13" x14ac:dyDescent="0.2">
      <c r="B22" s="31" t="s">
        <v>169</v>
      </c>
      <c r="C22" s="65">
        <v>44001.090277777781</v>
      </c>
      <c r="D22" s="31" t="s">
        <v>113</v>
      </c>
      <c r="E22" s="31">
        <v>500</v>
      </c>
      <c r="F22" s="31">
        <v>1</v>
      </c>
      <c r="G22" s="31" t="s">
        <v>94</v>
      </c>
      <c r="H22" s="31">
        <v>10</v>
      </c>
      <c r="I22" s="31">
        <v>1107</v>
      </c>
      <c r="J22" s="31">
        <v>2</v>
      </c>
      <c r="K22" s="31"/>
      <c r="L22" s="32">
        <f>J22*K22</f>
        <v>0</v>
      </c>
      <c r="M22" s="31" t="s">
        <v>8</v>
      </c>
    </row>
    <row r="23" spans="2:13" x14ac:dyDescent="0.2">
      <c r="B23" s="31" t="s">
        <v>170</v>
      </c>
      <c r="C23" s="65">
        <v>44001.0934837963</v>
      </c>
      <c r="D23" s="31" t="s">
        <v>113</v>
      </c>
      <c r="E23" s="31">
        <v>400</v>
      </c>
      <c r="F23" s="31">
        <v>2</v>
      </c>
      <c r="G23" s="31" t="s">
        <v>93</v>
      </c>
      <c r="H23" s="31">
        <v>10</v>
      </c>
      <c r="I23" s="31">
        <v>140</v>
      </c>
      <c r="J23" s="31">
        <v>2</v>
      </c>
      <c r="K23" s="31"/>
      <c r="L23" s="32">
        <f>J23*K23</f>
        <v>0</v>
      </c>
      <c r="M23" s="31" t="s">
        <v>15</v>
      </c>
    </row>
    <row r="24" spans="2:13" x14ac:dyDescent="0.2">
      <c r="B24" s="31" t="s">
        <v>171</v>
      </c>
      <c r="C24" s="65">
        <v>44001.095057870371</v>
      </c>
      <c r="D24" s="31" t="s">
        <v>92</v>
      </c>
      <c r="E24" s="31">
        <v>400</v>
      </c>
      <c r="F24" s="31">
        <v>2</v>
      </c>
      <c r="G24" s="31" t="s">
        <v>91</v>
      </c>
      <c r="H24" s="31">
        <v>1000</v>
      </c>
      <c r="I24" s="31">
        <v>1111111111</v>
      </c>
      <c r="J24" s="31">
        <v>44</v>
      </c>
      <c r="K24" s="31"/>
      <c r="L24" s="32">
        <f>J24*K24</f>
        <v>0</v>
      </c>
      <c r="M24" s="31" t="s">
        <v>15</v>
      </c>
    </row>
    <row r="25" spans="2:13" x14ac:dyDescent="0.2">
      <c r="L25" s="30"/>
    </row>
    <row r="26" spans="2:13" x14ac:dyDescent="0.2">
      <c r="C26" s="29"/>
      <c r="L26" s="30"/>
    </row>
    <row r="27" spans="2:13" x14ac:dyDescent="0.2">
      <c r="C27" s="29"/>
      <c r="L27" s="30"/>
    </row>
    <row r="32" spans="2:13" x14ac:dyDescent="0.2">
      <c r="C32" s="29"/>
    </row>
    <row r="33" spans="2:7" x14ac:dyDescent="0.2">
      <c r="C33" s="29"/>
    </row>
    <row r="34" spans="2:7" x14ac:dyDescent="0.2">
      <c r="C34" s="29"/>
    </row>
    <row r="35" spans="2:7" x14ac:dyDescent="0.2">
      <c r="C35" s="29"/>
    </row>
    <row r="36" spans="2:7" x14ac:dyDescent="0.2">
      <c r="B36" s="40"/>
      <c r="C36" s="40"/>
      <c r="D36" s="40"/>
      <c r="E36" s="40"/>
      <c r="F36" s="40"/>
      <c r="G36" s="40"/>
    </row>
    <row r="37" spans="2:7" x14ac:dyDescent="0.2">
      <c r="B37" s="40"/>
      <c r="C37" s="40"/>
      <c r="D37" s="40"/>
      <c r="E37" s="40"/>
      <c r="F37" s="40"/>
      <c r="G37" s="40"/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FD619E-F78E-4C54-847D-5E498B80D281}">
  <sheetPr codeName="Feuil6"/>
  <dimension ref="B5:N43"/>
  <sheetViews>
    <sheetView tabSelected="1" topLeftCell="A8" workbookViewId="0">
      <selection activeCell="C26" sqref="C26"/>
    </sheetView>
  </sheetViews>
  <sheetFormatPr defaultColWidth="11.43359375" defaultRowHeight="15" x14ac:dyDescent="0.2"/>
  <cols>
    <col min="1" max="1" width="11.43359375" style="7"/>
    <col min="2" max="2" width="12.375" style="7" customWidth="1"/>
    <col min="3" max="3" width="14.66015625" style="7" customWidth="1"/>
    <col min="4" max="4" width="23.9453125" style="7" customWidth="1"/>
    <col min="5" max="5" width="13.5859375" style="7" customWidth="1"/>
    <col min="6" max="8" width="11.43359375" style="7"/>
    <col min="9" max="9" width="14.66015625" style="7" customWidth="1"/>
    <col min="10" max="12" width="12.5078125" style="7" customWidth="1"/>
    <col min="13" max="13" width="11.43359375" style="7"/>
    <col min="14" max="14" width="13.44921875" style="7" customWidth="1"/>
    <col min="15" max="16384" width="11.43359375" style="7"/>
  </cols>
  <sheetData>
    <row r="5" spans="2:14" ht="26.25" customHeight="1" x14ac:dyDescent="0.2">
      <c r="B5" s="7" t="s">
        <v>159</v>
      </c>
      <c r="C5" s="7" t="s">
        <v>156</v>
      </c>
      <c r="D5" s="7" t="s">
        <v>167</v>
      </c>
      <c r="E5" s="7" t="s">
        <v>161</v>
      </c>
      <c r="F5" s="7" t="s">
        <v>160</v>
      </c>
      <c r="G5" s="7" t="s">
        <v>86</v>
      </c>
      <c r="H5" s="7" t="s">
        <v>87</v>
      </c>
      <c r="I5" s="7" t="s">
        <v>80</v>
      </c>
      <c r="J5" s="7" t="s">
        <v>89</v>
      </c>
      <c r="K5" s="7" t="s">
        <v>67</v>
      </c>
      <c r="L5" s="7" t="s">
        <v>144</v>
      </c>
      <c r="M5" s="7" t="s">
        <v>124</v>
      </c>
      <c r="N5" s="7" t="s">
        <v>158</v>
      </c>
    </row>
    <row r="7" spans="2:14" x14ac:dyDescent="0.2">
      <c r="B7" s="7" t="s">
        <v>165</v>
      </c>
      <c r="C7" s="7" t="s">
        <v>164</v>
      </c>
      <c r="D7" s="7" t="s">
        <v>164</v>
      </c>
      <c r="F7" s="7" t="s">
        <v>164</v>
      </c>
    </row>
    <row r="8" spans="2:14" x14ac:dyDescent="0.2">
      <c r="B8" s="7" t="s">
        <v>165</v>
      </c>
      <c r="C8" s="7" t="s">
        <v>164</v>
      </c>
      <c r="D8" s="7" t="s">
        <v>164</v>
      </c>
      <c r="F8" s="7" t="s">
        <v>164</v>
      </c>
    </row>
    <row r="9" spans="2:14" x14ac:dyDescent="0.2">
      <c r="B9" s="7" t="s">
        <v>163</v>
      </c>
      <c r="C9" s="7" t="s">
        <v>164</v>
      </c>
      <c r="D9" s="7" t="s">
        <v>164</v>
      </c>
      <c r="F9" s="7" t="s">
        <v>164</v>
      </c>
    </row>
    <row r="10" spans="2:14" x14ac:dyDescent="0.2">
      <c r="B10" s="7" t="s">
        <v>163</v>
      </c>
      <c r="C10" s="7" t="s">
        <v>164</v>
      </c>
      <c r="D10" s="7" t="s">
        <v>164</v>
      </c>
      <c r="F10" s="7" t="s">
        <v>164</v>
      </c>
      <c r="G10" s="7" t="s">
        <v>92</v>
      </c>
      <c r="H10" s="7">
        <v>400</v>
      </c>
      <c r="I10" s="7">
        <v>2</v>
      </c>
      <c r="J10" s="7" t="s">
        <v>91</v>
      </c>
      <c r="K10" s="7">
        <v>10</v>
      </c>
      <c r="L10" s="7">
        <v>47</v>
      </c>
      <c r="M10" s="7">
        <v>2</v>
      </c>
    </row>
    <row r="11" spans="2:14" x14ac:dyDescent="0.2">
      <c r="B11" s="7" t="s">
        <v>165</v>
      </c>
      <c r="C11" s="7" t="s">
        <v>164</v>
      </c>
      <c r="D11" s="7" t="s">
        <v>164</v>
      </c>
      <c r="F11" s="7" t="s">
        <v>164</v>
      </c>
      <c r="G11" s="7" t="s">
        <v>92</v>
      </c>
      <c r="H11" s="7">
        <v>500</v>
      </c>
      <c r="I11" s="7">
        <v>2</v>
      </c>
      <c r="J11" s="7" t="s">
        <v>93</v>
      </c>
      <c r="K11" s="7">
        <v>10</v>
      </c>
      <c r="L11" s="7">
        <v>12</v>
      </c>
      <c r="M11" s="7">
        <v>1</v>
      </c>
    </row>
    <row r="12" spans="2:14" x14ac:dyDescent="0.2">
      <c r="B12" s="7" t="s">
        <v>165</v>
      </c>
      <c r="C12" s="7" t="s">
        <v>113</v>
      </c>
      <c r="D12" s="7">
        <v>400</v>
      </c>
      <c r="F12" s="7" t="s">
        <v>164</v>
      </c>
      <c r="G12" s="7">
        <v>3</v>
      </c>
      <c r="H12" s="7" t="s">
        <v>96</v>
      </c>
      <c r="I12" s="7">
        <v>10</v>
      </c>
      <c r="J12" s="7">
        <v>14</v>
      </c>
      <c r="K12" s="7">
        <v>1</v>
      </c>
    </row>
    <row r="13" spans="2:14" x14ac:dyDescent="0.2">
      <c r="B13" s="7" t="s">
        <v>166</v>
      </c>
      <c r="C13" s="7" t="s">
        <v>164</v>
      </c>
      <c r="D13" s="7" t="s">
        <v>164</v>
      </c>
      <c r="F13" s="7" t="s">
        <v>164</v>
      </c>
      <c r="G13" s="7" t="s">
        <v>113</v>
      </c>
      <c r="H13" s="7">
        <v>400</v>
      </c>
      <c r="I13" s="7">
        <v>2</v>
      </c>
      <c r="J13" s="7" t="s">
        <v>94</v>
      </c>
      <c r="K13" s="7">
        <v>10</v>
      </c>
      <c r="L13" s="7">
        <v>25</v>
      </c>
      <c r="M13" s="7">
        <v>3</v>
      </c>
    </row>
    <row r="14" spans="2:14" x14ac:dyDescent="0.2">
      <c r="B14" s="7" t="s">
        <v>165</v>
      </c>
      <c r="C14" s="7" t="s">
        <v>164</v>
      </c>
      <c r="D14" s="7" t="s">
        <v>164</v>
      </c>
      <c r="F14" s="7" t="s">
        <v>164</v>
      </c>
      <c r="G14" s="7" t="s">
        <v>92</v>
      </c>
      <c r="H14" s="7">
        <v>400</v>
      </c>
      <c r="I14" s="7">
        <v>1</v>
      </c>
      <c r="J14" s="7" t="s">
        <v>94</v>
      </c>
      <c r="K14" s="7">
        <v>12</v>
      </c>
      <c r="L14" s="7">
        <v>14</v>
      </c>
      <c r="M14" s="7">
        <v>16</v>
      </c>
    </row>
    <row r="15" spans="2:14" x14ac:dyDescent="0.2">
      <c r="B15" s="7" t="s">
        <v>166</v>
      </c>
      <c r="C15" s="7" t="s">
        <v>164</v>
      </c>
      <c r="D15" s="7" t="s">
        <v>164</v>
      </c>
      <c r="F15" s="7" t="s">
        <v>164</v>
      </c>
      <c r="G15" s="7" t="s">
        <v>92</v>
      </c>
      <c r="H15" s="7">
        <v>500</v>
      </c>
      <c r="I15" s="7">
        <v>2</v>
      </c>
      <c r="J15" s="7" t="s">
        <v>91</v>
      </c>
      <c r="K15" s="7">
        <v>12</v>
      </c>
      <c r="L15" s="7">
        <v>18</v>
      </c>
      <c r="M15" s="7">
        <v>20</v>
      </c>
    </row>
    <row r="16" spans="2:14" x14ac:dyDescent="0.2">
      <c r="B16" s="7" t="s">
        <v>165</v>
      </c>
      <c r="C16" s="7" t="s">
        <v>164</v>
      </c>
      <c r="D16" s="7" t="s">
        <v>164</v>
      </c>
      <c r="F16" s="7" t="s">
        <v>164</v>
      </c>
      <c r="G16" s="7" t="s">
        <v>113</v>
      </c>
      <c r="H16" s="7">
        <v>630</v>
      </c>
      <c r="I16" s="7">
        <v>1</v>
      </c>
      <c r="J16" s="7" t="s">
        <v>93</v>
      </c>
      <c r="K16" s="7">
        <v>10</v>
      </c>
      <c r="L16" s="7">
        <v>11</v>
      </c>
      <c r="M16" s="7">
        <v>1</v>
      </c>
    </row>
    <row r="17" spans="2:13" x14ac:dyDescent="0.2">
      <c r="B17" s="7" t="s">
        <v>166</v>
      </c>
      <c r="C17" s="7" t="s">
        <v>164</v>
      </c>
      <c r="D17" s="7" t="s">
        <v>164</v>
      </c>
      <c r="E17" s="7" t="s">
        <v>164</v>
      </c>
      <c r="G17" s="7" t="s">
        <v>92</v>
      </c>
      <c r="H17" s="7">
        <v>500</v>
      </c>
      <c r="I17" s="7">
        <v>1</v>
      </c>
      <c r="J17" s="7" t="s">
        <v>93</v>
      </c>
      <c r="K17" s="7">
        <v>160</v>
      </c>
      <c r="L17" s="7">
        <v>14</v>
      </c>
      <c r="M17" s="7">
        <v>1</v>
      </c>
    </row>
    <row r="18" spans="2:13" x14ac:dyDescent="0.2">
      <c r="B18" s="7" t="s">
        <v>166</v>
      </c>
      <c r="C18" s="7" t="s">
        <v>164</v>
      </c>
      <c r="D18" s="64" t="s">
        <v>164</v>
      </c>
      <c r="E18" s="7" t="s">
        <v>164</v>
      </c>
      <c r="G18" s="7" t="s">
        <v>113</v>
      </c>
      <c r="H18" s="7">
        <v>400</v>
      </c>
      <c r="I18" s="7">
        <v>2</v>
      </c>
      <c r="J18" s="7" t="s">
        <v>91</v>
      </c>
      <c r="K18" s="7">
        <v>150</v>
      </c>
      <c r="L18" s="7">
        <v>111</v>
      </c>
      <c r="M18" s="7">
        <v>1</v>
      </c>
    </row>
    <row r="19" spans="2:13" x14ac:dyDescent="0.2">
      <c r="B19" s="7" t="s">
        <v>165</v>
      </c>
      <c r="C19" s="7" t="s">
        <v>164</v>
      </c>
      <c r="D19" s="64" t="s">
        <v>164</v>
      </c>
      <c r="F19" s="7" t="s">
        <v>164</v>
      </c>
      <c r="G19" s="7" t="s">
        <v>113</v>
      </c>
      <c r="H19" s="7">
        <v>400</v>
      </c>
      <c r="I19" s="7">
        <v>2</v>
      </c>
      <c r="J19" s="7" t="s">
        <v>96</v>
      </c>
      <c r="K19" s="7">
        <v>10</v>
      </c>
      <c r="L19" s="7">
        <v>12</v>
      </c>
      <c r="M19" s="7">
        <v>16</v>
      </c>
    </row>
    <row r="20" spans="2:13" x14ac:dyDescent="0.2">
      <c r="B20" s="7" t="s">
        <v>166</v>
      </c>
      <c r="C20" s="7" t="s">
        <v>164</v>
      </c>
      <c r="D20" s="64" t="s">
        <v>164</v>
      </c>
      <c r="G20" s="7" t="s">
        <v>113</v>
      </c>
      <c r="H20" s="7">
        <v>630</v>
      </c>
      <c r="I20" s="7">
        <v>3</v>
      </c>
      <c r="J20" s="7" t="s">
        <v>93</v>
      </c>
      <c r="K20" s="7">
        <v>10</v>
      </c>
      <c r="L20" s="7">
        <v>15</v>
      </c>
      <c r="M20" s="7">
        <v>1</v>
      </c>
    </row>
    <row r="21" spans="2:13" x14ac:dyDescent="0.2">
      <c r="B21" s="7" t="s">
        <v>165</v>
      </c>
      <c r="C21" s="7" t="s">
        <v>164</v>
      </c>
      <c r="D21" s="64" t="s">
        <v>164</v>
      </c>
      <c r="E21" s="7" t="s">
        <v>164</v>
      </c>
      <c r="G21" s="7" t="s">
        <v>92</v>
      </c>
      <c r="H21" s="7">
        <v>500</v>
      </c>
      <c r="I21" s="7">
        <v>2</v>
      </c>
      <c r="J21" s="7" t="s">
        <v>91</v>
      </c>
      <c r="K21" s="7">
        <v>1</v>
      </c>
      <c r="L21" s="7">
        <v>1</v>
      </c>
      <c r="M21" s="7">
        <v>2</v>
      </c>
    </row>
    <row r="22" spans="2:13" x14ac:dyDescent="0.2">
      <c r="B22" s="7" t="s">
        <v>165</v>
      </c>
      <c r="C22" s="7" t="s">
        <v>164</v>
      </c>
      <c r="D22" s="64" t="s">
        <v>164</v>
      </c>
      <c r="E22" s="7" t="s">
        <v>164</v>
      </c>
      <c r="G22" s="7" t="s">
        <v>113</v>
      </c>
      <c r="H22" s="7">
        <v>500</v>
      </c>
      <c r="I22" s="7">
        <v>2</v>
      </c>
      <c r="J22" s="7" t="s">
        <v>93</v>
      </c>
      <c r="K22" s="7">
        <v>10</v>
      </c>
      <c r="L22" s="7">
        <v>110</v>
      </c>
      <c r="M22" s="7">
        <v>2</v>
      </c>
    </row>
    <row r="23" spans="2:13" x14ac:dyDescent="0.2">
      <c r="B23" s="7" t="s">
        <v>166</v>
      </c>
      <c r="C23" s="7" t="s">
        <v>164</v>
      </c>
      <c r="D23" s="64" t="s">
        <v>164</v>
      </c>
      <c r="F23" s="7" t="s">
        <v>164</v>
      </c>
      <c r="G23" s="7" t="s">
        <v>113</v>
      </c>
      <c r="H23" s="7">
        <v>500</v>
      </c>
      <c r="I23" s="7">
        <v>2</v>
      </c>
      <c r="J23" s="7" t="s">
        <v>93</v>
      </c>
      <c r="K23" s="7">
        <v>10</v>
      </c>
      <c r="L23" s="7">
        <v>1000</v>
      </c>
      <c r="M23" s="7">
        <v>1</v>
      </c>
    </row>
    <row r="24" spans="2:13" x14ac:dyDescent="0.2">
      <c r="B24" s="7" t="s">
        <v>165</v>
      </c>
      <c r="C24" s="7" t="s">
        <v>164</v>
      </c>
      <c r="D24" s="64" t="s">
        <v>164</v>
      </c>
      <c r="F24" s="7" t="s">
        <v>164</v>
      </c>
      <c r="G24" s="7" t="s">
        <v>113</v>
      </c>
      <c r="H24" s="7">
        <v>400</v>
      </c>
      <c r="I24" s="7">
        <v>2</v>
      </c>
      <c r="J24" s="7" t="s">
        <v>91</v>
      </c>
      <c r="K24" s="7">
        <v>1</v>
      </c>
      <c r="L24" s="7">
        <v>140</v>
      </c>
      <c r="M24" s="7">
        <v>12</v>
      </c>
    </row>
    <row r="25" spans="2:13" x14ac:dyDescent="0.2">
      <c r="B25" s="7" t="s">
        <v>165</v>
      </c>
      <c r="C25" s="7" t="s">
        <v>164</v>
      </c>
      <c r="D25" s="64" t="s">
        <v>164</v>
      </c>
      <c r="F25" s="7" t="s">
        <v>164</v>
      </c>
      <c r="G25" s="7" t="s">
        <v>92</v>
      </c>
      <c r="H25" s="7">
        <v>400</v>
      </c>
      <c r="I25" s="7">
        <v>3</v>
      </c>
      <c r="J25" s="7" t="s">
        <v>93</v>
      </c>
      <c r="K25" s="7">
        <v>10</v>
      </c>
      <c r="L25" s="7">
        <v>1220</v>
      </c>
      <c r="M25" s="7">
        <v>1</v>
      </c>
    </row>
    <row r="26" spans="2:13" x14ac:dyDescent="0.2">
      <c r="B26" s="7" t="s">
        <v>165</v>
      </c>
      <c r="C26" s="7" t="s">
        <v>164</v>
      </c>
      <c r="D26" s="64" t="s">
        <v>164</v>
      </c>
      <c r="E26" s="7" t="s">
        <v>164</v>
      </c>
      <c r="G26" s="7" t="s">
        <v>92</v>
      </c>
      <c r="H26" s="7">
        <v>400</v>
      </c>
      <c r="I26" s="7">
        <v>1</v>
      </c>
      <c r="J26" s="7" t="s">
        <v>93</v>
      </c>
      <c r="K26" s="7">
        <v>100</v>
      </c>
      <c r="L26" s="7">
        <v>14220</v>
      </c>
      <c r="M26" s="7">
        <v>2</v>
      </c>
    </row>
    <row r="27" spans="2:13" x14ac:dyDescent="0.2">
      <c r="B27" s="7" t="s">
        <v>166</v>
      </c>
      <c r="C27" s="7" t="s">
        <v>164</v>
      </c>
      <c r="D27" s="64" t="s">
        <v>164</v>
      </c>
      <c r="E27" s="7" t="s">
        <v>164</v>
      </c>
      <c r="F27" s="7" t="s">
        <v>164</v>
      </c>
      <c r="G27" s="7" t="s">
        <v>113</v>
      </c>
      <c r="H27" s="7">
        <v>630</v>
      </c>
      <c r="I27" s="7">
        <v>2</v>
      </c>
      <c r="J27" s="7" t="s">
        <v>93</v>
      </c>
      <c r="K27" s="7">
        <v>10</v>
      </c>
      <c r="L27" s="7">
        <v>140</v>
      </c>
      <c r="M27" s="7">
        <v>2</v>
      </c>
    </row>
    <row r="42" spans="2:6" x14ac:dyDescent="0.2">
      <c r="B42" s="42"/>
      <c r="C42" s="42"/>
      <c r="D42" s="42"/>
      <c r="E42" s="42"/>
      <c r="F42" s="42"/>
    </row>
    <row r="43" spans="2:6" x14ac:dyDescent="0.2">
      <c r="B43" s="42"/>
      <c r="C43" s="42"/>
      <c r="D43" s="42"/>
      <c r="E43" s="42"/>
      <c r="F43" s="42"/>
    </row>
  </sheetData>
  <phoneticPr fontId="4" type="noConversion"/>
  <dataValidations count="1">
    <dataValidation type="list" allowBlank="1" showInputMessage="1" showErrorMessage="1" sqref="B6:B27" xr:uid="{471EDD66-97D0-419E-9B1E-34FC440BFB5F}">
      <formula1>"Entrée,Sortie"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5:I22"/>
  <sheetViews>
    <sheetView workbookViewId="0">
      <selection activeCell="B6" sqref="B6:B20"/>
    </sheetView>
  </sheetViews>
  <sheetFormatPr defaultColWidth="10.76171875" defaultRowHeight="15" x14ac:dyDescent="0.2"/>
  <cols>
    <col min="3" max="3" width="15.19921875" customWidth="1"/>
    <col min="4" max="4" width="14.796875" customWidth="1"/>
    <col min="5" max="6" width="13.85546875" customWidth="1"/>
    <col min="7" max="7" width="16.41015625" customWidth="1"/>
    <col min="8" max="8" width="29.19140625" customWidth="1"/>
    <col min="9" max="9" width="16.0078125" customWidth="1"/>
  </cols>
  <sheetData>
    <row r="5" spans="2:9" x14ac:dyDescent="0.2">
      <c r="B5" t="s">
        <v>157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I5" t="s">
        <v>7</v>
      </c>
    </row>
    <row r="6" spans="2:9" x14ac:dyDescent="0.2">
      <c r="B6" t="s">
        <v>41</v>
      </c>
      <c r="C6" t="s">
        <v>9</v>
      </c>
      <c r="D6">
        <v>1000</v>
      </c>
      <c r="E6" t="s">
        <v>11</v>
      </c>
      <c r="F6" t="s">
        <v>10</v>
      </c>
      <c r="G6">
        <v>777777777</v>
      </c>
      <c r="H6" s="1" t="s">
        <v>12</v>
      </c>
      <c r="I6" t="str">
        <f>CONCATENATE(LEFT(F6,2),"-",D6,",",E6)</f>
        <v>Tu-1000,Istambull</v>
      </c>
    </row>
    <row r="7" spans="2:9" x14ac:dyDescent="0.2">
      <c r="B7" t="s">
        <v>42</v>
      </c>
      <c r="C7" t="s">
        <v>14</v>
      </c>
      <c r="D7">
        <v>1001</v>
      </c>
      <c r="E7" t="s">
        <v>11</v>
      </c>
      <c r="F7" t="s">
        <v>10</v>
      </c>
      <c r="G7">
        <v>777777778</v>
      </c>
      <c r="H7" s="1" t="s">
        <v>12</v>
      </c>
      <c r="I7" t="str">
        <f t="shared" ref="I7:I20" si="0">CONCATENATE(LEFT(F7,2),"-",D7,",",E7)</f>
        <v>Tu-1001,Istambull</v>
      </c>
    </row>
    <row r="8" spans="2:9" x14ac:dyDescent="0.2">
      <c r="B8" t="s">
        <v>43</v>
      </c>
      <c r="C8" t="s">
        <v>16</v>
      </c>
      <c r="D8">
        <v>1002</v>
      </c>
      <c r="E8" t="s">
        <v>11</v>
      </c>
      <c r="F8" t="s">
        <v>10</v>
      </c>
      <c r="G8">
        <v>777777779</v>
      </c>
      <c r="H8" s="1" t="s">
        <v>12</v>
      </c>
      <c r="I8" t="str">
        <f t="shared" si="0"/>
        <v>Tu-1002,Istambull</v>
      </c>
    </row>
    <row r="9" spans="2:9" x14ac:dyDescent="0.2">
      <c r="B9" t="s">
        <v>44</v>
      </c>
      <c r="C9" t="s">
        <v>18</v>
      </c>
      <c r="D9">
        <v>1003</v>
      </c>
      <c r="E9" t="s">
        <v>11</v>
      </c>
      <c r="F9" t="s">
        <v>10</v>
      </c>
      <c r="G9">
        <v>777777780</v>
      </c>
      <c r="H9" s="1" t="s">
        <v>12</v>
      </c>
      <c r="I9" t="str">
        <f t="shared" si="0"/>
        <v>Tu-1003,Istambull</v>
      </c>
    </row>
    <row r="10" spans="2:9" x14ac:dyDescent="0.2">
      <c r="B10" t="s">
        <v>45</v>
      </c>
      <c r="C10" t="s">
        <v>20</v>
      </c>
      <c r="D10">
        <v>1004</v>
      </c>
      <c r="E10" t="s">
        <v>11</v>
      </c>
      <c r="F10" t="s">
        <v>10</v>
      </c>
      <c r="G10">
        <v>777777781</v>
      </c>
      <c r="H10" s="1" t="s">
        <v>12</v>
      </c>
      <c r="I10" t="str">
        <f t="shared" si="0"/>
        <v>Tu-1004,Istambull</v>
      </c>
    </row>
    <row r="11" spans="2:9" x14ac:dyDescent="0.2">
      <c r="B11" t="s">
        <v>46</v>
      </c>
      <c r="C11" t="s">
        <v>22</v>
      </c>
      <c r="D11">
        <v>1005</v>
      </c>
      <c r="E11" t="s">
        <v>11</v>
      </c>
      <c r="F11" t="s">
        <v>10</v>
      </c>
      <c r="G11">
        <v>777777782</v>
      </c>
      <c r="H11" s="1" t="s">
        <v>12</v>
      </c>
      <c r="I11" t="str">
        <f t="shared" si="0"/>
        <v>Tu-1005,Istambull</v>
      </c>
    </row>
    <row r="12" spans="2:9" x14ac:dyDescent="0.2">
      <c r="B12" t="s">
        <v>47</v>
      </c>
      <c r="C12" t="s">
        <v>24</v>
      </c>
      <c r="D12">
        <v>1006</v>
      </c>
      <c r="E12" t="s">
        <v>11</v>
      </c>
      <c r="F12" t="s">
        <v>10</v>
      </c>
      <c r="G12">
        <v>777777783</v>
      </c>
      <c r="H12" s="1" t="s">
        <v>12</v>
      </c>
      <c r="I12" t="str">
        <f t="shared" si="0"/>
        <v>Tu-1006,Istambull</v>
      </c>
    </row>
    <row r="13" spans="2:9" x14ac:dyDescent="0.2">
      <c r="B13" t="s">
        <v>48</v>
      </c>
      <c r="C13" t="s">
        <v>26</v>
      </c>
      <c r="D13">
        <v>1007</v>
      </c>
      <c r="E13" t="s">
        <v>11</v>
      </c>
      <c r="F13" t="s">
        <v>10</v>
      </c>
      <c r="G13">
        <v>777777784</v>
      </c>
      <c r="H13" s="1" t="s">
        <v>12</v>
      </c>
      <c r="I13" t="str">
        <f t="shared" si="0"/>
        <v>Tu-1007,Istambull</v>
      </c>
    </row>
    <row r="14" spans="2:9" x14ac:dyDescent="0.2">
      <c r="B14" t="s">
        <v>49</v>
      </c>
      <c r="C14" t="s">
        <v>28</v>
      </c>
      <c r="D14">
        <v>1008</v>
      </c>
      <c r="E14" t="s">
        <v>11</v>
      </c>
      <c r="F14" t="s">
        <v>10</v>
      </c>
      <c r="G14">
        <v>777777785</v>
      </c>
      <c r="H14" s="1" t="s">
        <v>12</v>
      </c>
      <c r="I14" t="str">
        <f t="shared" si="0"/>
        <v>Tu-1008,Istambull</v>
      </c>
    </row>
    <row r="15" spans="2:9" x14ac:dyDescent="0.2">
      <c r="B15" t="s">
        <v>50</v>
      </c>
      <c r="C15" t="s">
        <v>30</v>
      </c>
      <c r="D15">
        <v>1009</v>
      </c>
      <c r="E15" t="s">
        <v>11</v>
      </c>
      <c r="F15" t="s">
        <v>10</v>
      </c>
      <c r="G15">
        <v>777777786</v>
      </c>
      <c r="H15" s="1" t="s">
        <v>12</v>
      </c>
      <c r="I15" t="str">
        <f t="shared" si="0"/>
        <v>Tu-1009,Istambull</v>
      </c>
    </row>
    <row r="16" spans="2:9" x14ac:dyDescent="0.2">
      <c r="B16" t="s">
        <v>51</v>
      </c>
      <c r="C16" t="s">
        <v>32</v>
      </c>
      <c r="D16">
        <v>1010</v>
      </c>
      <c r="E16" t="s">
        <v>11</v>
      </c>
      <c r="F16" t="s">
        <v>10</v>
      </c>
      <c r="G16">
        <v>777777787</v>
      </c>
      <c r="H16" s="1" t="s">
        <v>12</v>
      </c>
      <c r="I16" t="str">
        <f t="shared" si="0"/>
        <v>Tu-1010,Istambull</v>
      </c>
    </row>
    <row r="17" spans="2:9" x14ac:dyDescent="0.2">
      <c r="B17" t="s">
        <v>52</v>
      </c>
      <c r="C17" t="s">
        <v>34</v>
      </c>
      <c r="D17">
        <v>1011</v>
      </c>
      <c r="E17" t="s">
        <v>11</v>
      </c>
      <c r="F17" t="s">
        <v>10</v>
      </c>
      <c r="G17">
        <v>777777788</v>
      </c>
      <c r="H17" s="1" t="s">
        <v>12</v>
      </c>
      <c r="I17" t="str">
        <f t="shared" si="0"/>
        <v>Tu-1011,Istambull</v>
      </c>
    </row>
    <row r="18" spans="2:9" x14ac:dyDescent="0.2">
      <c r="B18" t="s">
        <v>53</v>
      </c>
      <c r="C18" t="s">
        <v>36</v>
      </c>
      <c r="D18">
        <v>1012</v>
      </c>
      <c r="E18" t="s">
        <v>11</v>
      </c>
      <c r="F18" t="s">
        <v>10</v>
      </c>
      <c r="G18">
        <v>777777789</v>
      </c>
      <c r="H18" s="1" t="s">
        <v>12</v>
      </c>
      <c r="I18" t="str">
        <f t="shared" si="0"/>
        <v>Tu-1012,Istambull</v>
      </c>
    </row>
    <row r="19" spans="2:9" x14ac:dyDescent="0.2">
      <c r="B19" t="s">
        <v>54</v>
      </c>
      <c r="C19" t="s">
        <v>38</v>
      </c>
      <c r="D19">
        <v>1013</v>
      </c>
      <c r="E19" t="s">
        <v>11</v>
      </c>
      <c r="F19" t="s">
        <v>10</v>
      </c>
      <c r="G19">
        <v>777777790</v>
      </c>
      <c r="H19" s="1" t="s">
        <v>12</v>
      </c>
      <c r="I19" t="str">
        <f t="shared" si="0"/>
        <v>Tu-1013,Istambull</v>
      </c>
    </row>
    <row r="20" spans="2:9" x14ac:dyDescent="0.2">
      <c r="B20" t="s">
        <v>55</v>
      </c>
      <c r="C20" t="s">
        <v>40</v>
      </c>
      <c r="D20">
        <v>1014</v>
      </c>
      <c r="E20" t="s">
        <v>11</v>
      </c>
      <c r="F20" t="s">
        <v>10</v>
      </c>
      <c r="G20">
        <v>777777791</v>
      </c>
      <c r="H20" s="1" t="s">
        <v>12</v>
      </c>
      <c r="I20" t="str">
        <f t="shared" si="0"/>
        <v>Tu-1014,Istambull</v>
      </c>
    </row>
    <row r="21" spans="2:9" x14ac:dyDescent="0.2">
      <c r="B21" s="40"/>
      <c r="C21" s="40"/>
      <c r="D21" s="40"/>
      <c r="E21" s="40"/>
      <c r="F21" s="40"/>
      <c r="G21" s="40"/>
    </row>
    <row r="22" spans="2:9" x14ac:dyDescent="0.2">
      <c r="B22" s="40"/>
      <c r="C22" s="40"/>
      <c r="D22" s="40"/>
      <c r="E22" s="40"/>
      <c r="F22" s="40"/>
      <c r="G22" s="40"/>
    </row>
  </sheetData>
  <hyperlinks>
    <hyperlink ref="H6" r:id="rId1" xr:uid="{00000000-0004-0000-0400-000000000000}"/>
    <hyperlink ref="H7" r:id="rId2" xr:uid="{00000000-0004-0000-0400-000001000000}"/>
    <hyperlink ref="H8" r:id="rId3" xr:uid="{00000000-0004-0000-0400-000002000000}"/>
    <hyperlink ref="H9" r:id="rId4" xr:uid="{00000000-0004-0000-0400-000003000000}"/>
    <hyperlink ref="H10" r:id="rId5" xr:uid="{00000000-0004-0000-0400-000004000000}"/>
    <hyperlink ref="H11" r:id="rId6" xr:uid="{00000000-0004-0000-0400-000005000000}"/>
    <hyperlink ref="H12" r:id="rId7" xr:uid="{00000000-0004-0000-0400-000006000000}"/>
    <hyperlink ref="H13" r:id="rId8" xr:uid="{00000000-0004-0000-0400-000007000000}"/>
    <hyperlink ref="H14" r:id="rId9" xr:uid="{00000000-0004-0000-0400-000008000000}"/>
    <hyperlink ref="H15" r:id="rId10" xr:uid="{00000000-0004-0000-0400-000009000000}"/>
    <hyperlink ref="H16" r:id="rId11" xr:uid="{00000000-0004-0000-0400-00000A000000}"/>
    <hyperlink ref="H17" r:id="rId12" xr:uid="{00000000-0004-0000-0400-00000B000000}"/>
    <hyperlink ref="H18" r:id="rId13" xr:uid="{00000000-0004-0000-0400-00000C000000}"/>
    <hyperlink ref="H19" r:id="rId14" xr:uid="{00000000-0004-0000-0400-00000D000000}"/>
    <hyperlink ref="H20" r:id="rId15" xr:uid="{00000000-0004-0000-0400-00000E000000}"/>
  </hyperlinks>
  <pageMargins left="0.7" right="0.7" top="0.75" bottom="0.75" header="0.3" footer="0.3"/>
  <tableParts count="1">
    <tablePart r:id="rId1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5:J23"/>
  <sheetViews>
    <sheetView topLeftCell="A4" workbookViewId="0">
      <selection activeCell="B5" sqref="B5"/>
    </sheetView>
  </sheetViews>
  <sheetFormatPr defaultColWidth="10.76171875" defaultRowHeight="15" x14ac:dyDescent="0.2"/>
  <cols>
    <col min="7" max="7" width="12.375" customWidth="1"/>
    <col min="10" max="10" width="11.56640625" customWidth="1"/>
  </cols>
  <sheetData>
    <row r="5" spans="2:10" x14ac:dyDescent="0.2">
      <c r="B5" s="2" t="s">
        <v>122</v>
      </c>
      <c r="C5" s="2" t="s">
        <v>1</v>
      </c>
      <c r="D5" s="2" t="s">
        <v>2</v>
      </c>
      <c r="E5" s="2" t="s">
        <v>3</v>
      </c>
      <c r="F5" s="2" t="s">
        <v>4</v>
      </c>
      <c r="G5" s="2" t="s">
        <v>5</v>
      </c>
      <c r="H5" s="2" t="s">
        <v>6</v>
      </c>
      <c r="I5" s="3" t="s">
        <v>7</v>
      </c>
      <c r="J5" t="s">
        <v>56</v>
      </c>
    </row>
    <row r="6" spans="2:10" x14ac:dyDescent="0.2">
      <c r="B6" s="4" t="s">
        <v>8</v>
      </c>
      <c r="C6" s="4" t="s">
        <v>9</v>
      </c>
      <c r="D6" s="4">
        <v>1000</v>
      </c>
      <c r="E6" s="4" t="s">
        <v>11</v>
      </c>
      <c r="F6" s="4" t="s">
        <v>10</v>
      </c>
      <c r="G6" s="4">
        <v>777777777</v>
      </c>
      <c r="H6" s="5" t="s">
        <v>12</v>
      </c>
      <c r="I6" s="6" t="str">
        <f>CONCATENATE(LEFT(F6,2),"-",D6,",",E6)</f>
        <v>Tu-1000,Istambull</v>
      </c>
    </row>
    <row r="7" spans="2:10" x14ac:dyDescent="0.2">
      <c r="B7" s="4" t="s">
        <v>13</v>
      </c>
      <c r="C7" s="4" t="s">
        <v>14</v>
      </c>
      <c r="D7" s="4">
        <v>1001</v>
      </c>
      <c r="E7" s="4" t="s">
        <v>11</v>
      </c>
      <c r="F7" s="4" t="s">
        <v>10</v>
      </c>
      <c r="G7" s="4">
        <v>777777778</v>
      </c>
      <c r="H7" s="5" t="s">
        <v>12</v>
      </c>
      <c r="I7" s="6" t="str">
        <f t="shared" ref="I7:I23" si="0">CONCATENATE(LEFT(F7,2),"-",D7,",",E7)</f>
        <v>Tu-1001,Istambull</v>
      </c>
    </row>
    <row r="8" spans="2:10" x14ac:dyDescent="0.2">
      <c r="B8" s="4" t="s">
        <v>15</v>
      </c>
      <c r="C8" s="4" t="s">
        <v>16</v>
      </c>
      <c r="D8" s="4">
        <v>1002</v>
      </c>
      <c r="E8" s="4" t="s">
        <v>11</v>
      </c>
      <c r="F8" s="4" t="s">
        <v>10</v>
      </c>
      <c r="G8" s="4">
        <v>777777779</v>
      </c>
      <c r="H8" s="5" t="s">
        <v>12</v>
      </c>
      <c r="I8" s="6" t="str">
        <f t="shared" si="0"/>
        <v>Tu-1002,Istambull</v>
      </c>
    </row>
    <row r="9" spans="2:10" x14ac:dyDescent="0.2">
      <c r="B9" s="4" t="s">
        <v>17</v>
      </c>
      <c r="C9" s="4" t="s">
        <v>18</v>
      </c>
      <c r="D9" s="4">
        <v>1003</v>
      </c>
      <c r="E9" s="4" t="s">
        <v>11</v>
      </c>
      <c r="F9" s="4" t="s">
        <v>10</v>
      </c>
      <c r="G9" s="4">
        <v>777777780</v>
      </c>
      <c r="H9" s="5" t="s">
        <v>12</v>
      </c>
      <c r="I9" s="6" t="str">
        <f t="shared" si="0"/>
        <v>Tu-1003,Istambull</v>
      </c>
    </row>
    <row r="10" spans="2:10" x14ac:dyDescent="0.2">
      <c r="B10" s="4" t="s">
        <v>19</v>
      </c>
      <c r="C10" s="4" t="s">
        <v>20</v>
      </c>
      <c r="D10" s="4">
        <v>1004</v>
      </c>
      <c r="E10" s="4" t="s">
        <v>11</v>
      </c>
      <c r="F10" s="4" t="s">
        <v>10</v>
      </c>
      <c r="G10" s="4">
        <v>777777781</v>
      </c>
      <c r="H10" s="5" t="s">
        <v>12</v>
      </c>
      <c r="I10" s="6" t="str">
        <f t="shared" si="0"/>
        <v>Tu-1004,Istambull</v>
      </c>
    </row>
    <row r="11" spans="2:10" x14ac:dyDescent="0.2">
      <c r="B11" s="4" t="s">
        <v>21</v>
      </c>
      <c r="C11" s="4" t="s">
        <v>22</v>
      </c>
      <c r="D11" s="4">
        <v>1005</v>
      </c>
      <c r="E11" s="4" t="s">
        <v>11</v>
      </c>
      <c r="F11" s="4" t="s">
        <v>10</v>
      </c>
      <c r="G11" s="4">
        <v>777777782</v>
      </c>
      <c r="H11" s="5" t="s">
        <v>12</v>
      </c>
      <c r="I11" s="6" t="str">
        <f t="shared" si="0"/>
        <v>Tu-1005,Istambull</v>
      </c>
    </row>
    <row r="12" spans="2:10" x14ac:dyDescent="0.2">
      <c r="B12" s="4" t="s">
        <v>23</v>
      </c>
      <c r="C12" s="4" t="s">
        <v>24</v>
      </c>
      <c r="D12" s="4">
        <v>1006</v>
      </c>
      <c r="E12" s="4" t="s">
        <v>11</v>
      </c>
      <c r="F12" s="4" t="s">
        <v>10</v>
      </c>
      <c r="G12" s="4">
        <v>777777783</v>
      </c>
      <c r="H12" s="5" t="s">
        <v>12</v>
      </c>
      <c r="I12" s="6" t="str">
        <f t="shared" si="0"/>
        <v>Tu-1006,Istambull</v>
      </c>
    </row>
    <row r="13" spans="2:10" x14ac:dyDescent="0.2">
      <c r="B13" s="4" t="s">
        <v>25</v>
      </c>
      <c r="C13" s="4" t="s">
        <v>26</v>
      </c>
      <c r="D13" s="4">
        <v>1007</v>
      </c>
      <c r="E13" s="4" t="s">
        <v>11</v>
      </c>
      <c r="F13" s="4" t="s">
        <v>10</v>
      </c>
      <c r="G13" s="4">
        <v>777777784</v>
      </c>
      <c r="H13" s="5" t="s">
        <v>12</v>
      </c>
      <c r="I13" s="6" t="str">
        <f t="shared" si="0"/>
        <v>Tu-1007,Istambull</v>
      </c>
    </row>
    <row r="14" spans="2:10" x14ac:dyDescent="0.2">
      <c r="B14" s="4" t="s">
        <v>27</v>
      </c>
      <c r="C14" s="4" t="s">
        <v>28</v>
      </c>
      <c r="D14" s="4">
        <v>1008</v>
      </c>
      <c r="E14" s="4" t="s">
        <v>11</v>
      </c>
      <c r="F14" s="4" t="s">
        <v>10</v>
      </c>
      <c r="G14" s="4">
        <v>777777785</v>
      </c>
      <c r="H14" s="5" t="s">
        <v>12</v>
      </c>
      <c r="I14" s="6" t="str">
        <f t="shared" si="0"/>
        <v>Tu-1008,Istambull</v>
      </c>
    </row>
    <row r="15" spans="2:10" x14ac:dyDescent="0.2">
      <c r="B15" s="4" t="s">
        <v>29</v>
      </c>
      <c r="C15" s="4" t="s">
        <v>30</v>
      </c>
      <c r="D15" s="4">
        <v>1009</v>
      </c>
      <c r="E15" s="4" t="s">
        <v>11</v>
      </c>
      <c r="F15" s="4" t="s">
        <v>10</v>
      </c>
      <c r="G15" s="4">
        <v>777777786</v>
      </c>
      <c r="H15" s="5" t="s">
        <v>12</v>
      </c>
      <c r="I15" s="6" t="str">
        <f t="shared" si="0"/>
        <v>Tu-1009,Istambull</v>
      </c>
    </row>
    <row r="16" spans="2:10" x14ac:dyDescent="0.2">
      <c r="B16" s="4" t="s">
        <v>31</v>
      </c>
      <c r="C16" s="4" t="s">
        <v>32</v>
      </c>
      <c r="D16" s="4">
        <v>1010</v>
      </c>
      <c r="E16" s="4" t="s">
        <v>11</v>
      </c>
      <c r="F16" s="4" t="s">
        <v>10</v>
      </c>
      <c r="G16" s="4">
        <v>777777787</v>
      </c>
      <c r="H16" s="5" t="s">
        <v>12</v>
      </c>
      <c r="I16" s="6" t="str">
        <f t="shared" si="0"/>
        <v>Tu-1010,Istambull</v>
      </c>
    </row>
    <row r="17" spans="2:9" x14ac:dyDescent="0.2">
      <c r="B17" s="4" t="s">
        <v>33</v>
      </c>
      <c r="C17" s="4" t="s">
        <v>34</v>
      </c>
      <c r="D17" s="4">
        <v>1011</v>
      </c>
      <c r="E17" s="4" t="s">
        <v>11</v>
      </c>
      <c r="F17" s="4" t="s">
        <v>10</v>
      </c>
      <c r="G17" s="4">
        <v>777777788</v>
      </c>
      <c r="H17" s="5" t="s">
        <v>12</v>
      </c>
      <c r="I17" s="6" t="str">
        <f t="shared" si="0"/>
        <v>Tu-1011,Istambull</v>
      </c>
    </row>
    <row r="18" spans="2:9" x14ac:dyDescent="0.2">
      <c r="B18" s="4" t="s">
        <v>35</v>
      </c>
      <c r="C18" s="4" t="s">
        <v>36</v>
      </c>
      <c r="D18" s="4">
        <v>1012</v>
      </c>
      <c r="E18" s="4" t="s">
        <v>11</v>
      </c>
      <c r="F18" s="4" t="s">
        <v>10</v>
      </c>
      <c r="G18" s="4">
        <v>777777789</v>
      </c>
      <c r="H18" s="5" t="s">
        <v>12</v>
      </c>
      <c r="I18" s="6" t="str">
        <f t="shared" si="0"/>
        <v>Tu-1012,Istambull</v>
      </c>
    </row>
    <row r="19" spans="2:9" x14ac:dyDescent="0.2">
      <c r="B19" s="4" t="s">
        <v>37</v>
      </c>
      <c r="C19" s="4" t="s">
        <v>38</v>
      </c>
      <c r="D19" s="4">
        <v>1013</v>
      </c>
      <c r="E19" s="4" t="s">
        <v>11</v>
      </c>
      <c r="F19" s="4" t="s">
        <v>10</v>
      </c>
      <c r="G19" s="4">
        <v>777777790</v>
      </c>
      <c r="H19" s="5" t="s">
        <v>12</v>
      </c>
      <c r="I19" s="6" t="str">
        <f t="shared" si="0"/>
        <v>Tu-1013,Istambull</v>
      </c>
    </row>
    <row r="20" spans="2:9" x14ac:dyDescent="0.2">
      <c r="B20" s="4" t="s">
        <v>39</v>
      </c>
      <c r="C20" s="4" t="s">
        <v>40</v>
      </c>
      <c r="D20" s="4">
        <v>1014</v>
      </c>
      <c r="E20" s="4" t="s">
        <v>11</v>
      </c>
      <c r="F20" s="4" t="s">
        <v>10</v>
      </c>
      <c r="G20" s="4">
        <v>777777791</v>
      </c>
      <c r="H20" s="5" t="s">
        <v>12</v>
      </c>
      <c r="I20" s="6" t="str">
        <f t="shared" si="0"/>
        <v>Tu-1014,Istambull</v>
      </c>
    </row>
    <row r="21" spans="2:9" x14ac:dyDescent="0.2">
      <c r="B21" s="41" t="s">
        <v>57</v>
      </c>
      <c r="C21" s="41" t="s">
        <v>58</v>
      </c>
      <c r="D21" s="41">
        <v>1015</v>
      </c>
      <c r="E21" s="41" t="s">
        <v>11</v>
      </c>
      <c r="F21" s="41" t="s">
        <v>10</v>
      </c>
      <c r="G21" s="41">
        <v>777777792</v>
      </c>
      <c r="H21" s="5" t="s">
        <v>12</v>
      </c>
      <c r="I21" s="6" t="str">
        <f t="shared" si="0"/>
        <v>Tu-1015,Istambull</v>
      </c>
    </row>
    <row r="22" spans="2:9" x14ac:dyDescent="0.2">
      <c r="B22" s="41" t="s">
        <v>59</v>
      </c>
      <c r="C22" s="41" t="s">
        <v>60</v>
      </c>
      <c r="D22" s="41">
        <v>1016</v>
      </c>
      <c r="E22" s="41" t="s">
        <v>11</v>
      </c>
      <c r="F22" s="41" t="s">
        <v>10</v>
      </c>
      <c r="G22" s="41">
        <v>777777793</v>
      </c>
      <c r="H22" s="5" t="s">
        <v>12</v>
      </c>
      <c r="I22" s="6" t="str">
        <f t="shared" si="0"/>
        <v>Tu-1016,Istambull</v>
      </c>
    </row>
    <row r="23" spans="2:9" x14ac:dyDescent="0.2">
      <c r="B23" s="4" t="s">
        <v>61</v>
      </c>
      <c r="C23" s="4" t="s">
        <v>62</v>
      </c>
      <c r="D23" s="4">
        <v>1017</v>
      </c>
      <c r="E23" s="4" t="s">
        <v>11</v>
      </c>
      <c r="F23" s="4" t="s">
        <v>10</v>
      </c>
      <c r="G23" s="4">
        <v>777777794</v>
      </c>
      <c r="H23" s="5" t="s">
        <v>12</v>
      </c>
      <c r="I23" s="6" t="str">
        <f t="shared" si="0"/>
        <v>Tu-1017,Istambull</v>
      </c>
    </row>
  </sheetData>
  <hyperlinks>
    <hyperlink ref="H6" r:id="rId1" xr:uid="{00000000-0004-0000-0300-000000000000}"/>
    <hyperlink ref="H7" r:id="rId2" xr:uid="{00000000-0004-0000-0300-000001000000}"/>
    <hyperlink ref="H8" r:id="rId3" xr:uid="{00000000-0004-0000-0300-000002000000}"/>
    <hyperlink ref="H9" r:id="rId4" xr:uid="{00000000-0004-0000-0300-000003000000}"/>
    <hyperlink ref="H10" r:id="rId5" xr:uid="{00000000-0004-0000-0300-000004000000}"/>
    <hyperlink ref="H11" r:id="rId6" xr:uid="{00000000-0004-0000-0300-000005000000}"/>
    <hyperlink ref="H12" r:id="rId7" xr:uid="{00000000-0004-0000-0300-000006000000}"/>
    <hyperlink ref="H13" r:id="rId8" xr:uid="{00000000-0004-0000-0300-000007000000}"/>
    <hyperlink ref="H14" r:id="rId9" xr:uid="{00000000-0004-0000-0300-000008000000}"/>
    <hyperlink ref="H15" r:id="rId10" xr:uid="{00000000-0004-0000-0300-000009000000}"/>
    <hyperlink ref="H16" r:id="rId11" xr:uid="{00000000-0004-0000-0300-00000A000000}"/>
    <hyperlink ref="H17" r:id="rId12" xr:uid="{00000000-0004-0000-0300-00000B000000}"/>
    <hyperlink ref="H18" r:id="rId13" xr:uid="{00000000-0004-0000-0300-00000C000000}"/>
    <hyperlink ref="H19" r:id="rId14" xr:uid="{00000000-0004-0000-0300-00000D000000}"/>
    <hyperlink ref="H20" r:id="rId15" xr:uid="{00000000-0004-0000-0300-00000E000000}"/>
    <hyperlink ref="H21" r:id="rId16" xr:uid="{00000000-0004-0000-0300-00000F000000}"/>
    <hyperlink ref="H22" r:id="rId17" xr:uid="{00000000-0004-0000-0300-000010000000}"/>
    <hyperlink ref="H23" r:id="rId18" xr:uid="{00000000-0004-0000-0300-000011000000}"/>
  </hyperlinks>
  <pageMargins left="0.7" right="0.7" top="0.75" bottom="0.75" header="0.3" footer="0.3"/>
  <tableParts count="1">
    <tablePart r:id="rId19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16:G22"/>
  <sheetViews>
    <sheetView topLeftCell="A4" workbookViewId="0">
      <selection activeCell="I18" sqref="I18"/>
    </sheetView>
  </sheetViews>
  <sheetFormatPr defaultColWidth="10.76171875" defaultRowHeight="15" x14ac:dyDescent="0.2"/>
  <sheetData>
    <row r="16" spans="7:7" x14ac:dyDescent="0.2">
      <c r="G16" s="12"/>
    </row>
    <row r="17" spans="2:7" ht="15.75" thickBot="1" x14ac:dyDescent="0.25">
      <c r="B17" s="9" t="s">
        <v>81</v>
      </c>
      <c r="C17" s="10"/>
      <c r="D17" s="10"/>
    </row>
    <row r="19" spans="2:7" x14ac:dyDescent="0.2">
      <c r="B19" s="25" t="s">
        <v>82</v>
      </c>
      <c r="C19" s="27" t="s">
        <v>83</v>
      </c>
      <c r="D19" s="28">
        <v>18</v>
      </c>
      <c r="E19" s="26" t="str">
        <f>CONCATENATE(C19,TEXT(D19,"0000"))</f>
        <v>Art-0018</v>
      </c>
    </row>
    <row r="20" spans="2:7" x14ac:dyDescent="0.2">
      <c r="B20" s="25" t="s">
        <v>125</v>
      </c>
      <c r="C20" s="27" t="s">
        <v>126</v>
      </c>
      <c r="D20" s="28">
        <v>18</v>
      </c>
      <c r="E20" s="26" t="str">
        <f>CONCATENATE(C20,TEXT(D20,"0000"))</f>
        <v>Com-0018</v>
      </c>
    </row>
    <row r="21" spans="2:7" x14ac:dyDescent="0.2">
      <c r="B21" s="25" t="s">
        <v>158</v>
      </c>
      <c r="C21" s="27" t="s">
        <v>162</v>
      </c>
      <c r="D21" s="28">
        <v>1</v>
      </c>
      <c r="E21" s="26" t="str">
        <f>CONCATENATE(C21,TEXT(D21,"0000"))</f>
        <v>Sauv-0001</v>
      </c>
      <c r="F21" s="40"/>
      <c r="G21" s="40"/>
    </row>
    <row r="22" spans="2:7" x14ac:dyDescent="0.2">
      <c r="B22" s="40"/>
      <c r="C22" s="40"/>
      <c r="D22" s="40"/>
      <c r="E22" s="40"/>
      <c r="F22" s="40"/>
      <c r="G22" s="40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647CBF-ABF2-45C3-AB71-98B8061A7B17}">
  <sheetPr codeName="Feuil9"/>
  <dimension ref="A1:K22"/>
  <sheetViews>
    <sheetView zoomScaleNormal="100" workbookViewId="0">
      <selection activeCell="J6" sqref="J6:J15"/>
    </sheetView>
  </sheetViews>
  <sheetFormatPr defaultColWidth="10.76171875" defaultRowHeight="15" x14ac:dyDescent="0.2"/>
  <cols>
    <col min="1" max="1" width="19.1015625" customWidth="1"/>
    <col min="2" max="2" width="16.6796875" customWidth="1"/>
    <col min="3" max="3" width="18.16015625" customWidth="1"/>
    <col min="4" max="4" width="16.8125" customWidth="1"/>
    <col min="5" max="5" width="11.1640625" bestFit="1" customWidth="1"/>
  </cols>
  <sheetData>
    <row r="1" spans="1:11" x14ac:dyDescent="0.2">
      <c r="A1" s="12"/>
      <c r="B1" s="12"/>
      <c r="C1" s="12"/>
      <c r="D1" s="12"/>
      <c r="E1" s="12"/>
    </row>
    <row r="2" spans="1:11" x14ac:dyDescent="0.2">
      <c r="B2" t="s">
        <v>86</v>
      </c>
      <c r="C2" t="s">
        <v>115</v>
      </c>
      <c r="F2" s="16"/>
    </row>
    <row r="3" spans="1:11" x14ac:dyDescent="0.2">
      <c r="B3" t="s">
        <v>113</v>
      </c>
      <c r="C3" t="s">
        <v>116</v>
      </c>
    </row>
    <row r="5" spans="1:11" x14ac:dyDescent="0.2">
      <c r="G5" s="15" t="s">
        <v>86</v>
      </c>
      <c r="H5" s="15" t="s">
        <v>87</v>
      </c>
      <c r="I5" s="15" t="s">
        <v>88</v>
      </c>
      <c r="J5" s="15" t="s">
        <v>89</v>
      </c>
      <c r="K5" s="15" t="s">
        <v>67</v>
      </c>
    </row>
    <row r="6" spans="1:11" x14ac:dyDescent="0.2">
      <c r="G6" s="12" t="s">
        <v>113</v>
      </c>
      <c r="H6" s="12">
        <v>400</v>
      </c>
      <c r="I6" s="12">
        <v>1</v>
      </c>
      <c r="J6" s="12" t="s">
        <v>91</v>
      </c>
      <c r="K6" s="12"/>
    </row>
    <row r="7" spans="1:11" x14ac:dyDescent="0.2">
      <c r="G7" s="12" t="s">
        <v>92</v>
      </c>
      <c r="H7" s="12">
        <v>500</v>
      </c>
      <c r="I7" s="12">
        <v>2</v>
      </c>
      <c r="J7" s="12" t="s">
        <v>93</v>
      </c>
      <c r="K7" s="12"/>
    </row>
    <row r="8" spans="1:11" x14ac:dyDescent="0.2">
      <c r="G8" s="12"/>
      <c r="H8" s="12">
        <v>630</v>
      </c>
      <c r="I8" s="12">
        <v>3</v>
      </c>
      <c r="J8" s="12" t="s">
        <v>94</v>
      </c>
      <c r="K8" s="12"/>
    </row>
    <row r="9" spans="1:11" x14ac:dyDescent="0.2">
      <c r="G9" s="12"/>
      <c r="H9" s="12">
        <v>800</v>
      </c>
      <c r="I9" s="12">
        <v>4</v>
      </c>
      <c r="J9" s="12" t="s">
        <v>85</v>
      </c>
      <c r="K9" s="12"/>
    </row>
    <row r="10" spans="1:11" x14ac:dyDescent="0.2">
      <c r="G10" s="12"/>
      <c r="H10" s="12"/>
      <c r="I10" s="12"/>
      <c r="J10" s="12" t="s">
        <v>95</v>
      </c>
      <c r="K10" s="12"/>
    </row>
    <row r="11" spans="1:11" x14ac:dyDescent="0.2">
      <c r="G11" s="12"/>
      <c r="H11" s="12"/>
      <c r="I11" s="12"/>
      <c r="J11" s="12" t="s">
        <v>96</v>
      </c>
      <c r="K11" s="12"/>
    </row>
    <row r="12" spans="1:11" x14ac:dyDescent="0.2">
      <c r="G12" s="12"/>
      <c r="H12" s="12"/>
      <c r="I12" s="12"/>
      <c r="J12" s="12" t="s">
        <v>97</v>
      </c>
      <c r="K12" s="12"/>
    </row>
    <row r="13" spans="1:11" x14ac:dyDescent="0.2">
      <c r="G13" s="12"/>
      <c r="H13" s="12"/>
      <c r="I13" s="12"/>
      <c r="J13" s="12" t="s">
        <v>98</v>
      </c>
      <c r="K13" s="12"/>
    </row>
    <row r="14" spans="1:11" x14ac:dyDescent="0.2">
      <c r="J14" t="s">
        <v>117</v>
      </c>
      <c r="K14" s="12"/>
    </row>
    <row r="15" spans="1:11" x14ac:dyDescent="0.2">
      <c r="G15" s="12"/>
      <c r="H15" s="12"/>
      <c r="I15" s="12"/>
      <c r="J15" s="12"/>
      <c r="K15" s="12"/>
    </row>
    <row r="17" spans="2:8" x14ac:dyDescent="0.2">
      <c r="H17" s="6"/>
    </row>
    <row r="19" spans="2:8" x14ac:dyDescent="0.2">
      <c r="D19">
        <v>1</v>
      </c>
    </row>
    <row r="21" spans="2:8" x14ac:dyDescent="0.2">
      <c r="B21" s="40"/>
      <c r="C21" s="40"/>
      <c r="D21" s="40"/>
      <c r="E21" s="40"/>
      <c r="F21" s="40"/>
      <c r="G21" s="40"/>
    </row>
    <row r="22" spans="2:8" x14ac:dyDescent="0.2">
      <c r="B22" s="40"/>
      <c r="C22" s="40"/>
      <c r="D22" s="40"/>
      <c r="E22" s="40"/>
      <c r="F22" s="40"/>
      <c r="G22" s="40"/>
    </row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 /></Relationships>
</file>

<file path=customXml/item1.xml>�� 
</file>

<file path=customXml/itemProps1.xml><?xml version="1.0" encoding="utf-8"?>
<ds:datastoreItem xmlns:ds="http://schemas.openxmlformats.org/officeDocument/2006/customXml" ds:itemID="{D6894FEA-2270-4996-8F3B-D895DFE6E22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accueil</vt:lpstr>
      <vt:lpstr>articles</vt:lpstr>
      <vt:lpstr>achats</vt:lpstr>
      <vt:lpstr>commandes</vt:lpstr>
      <vt:lpstr>sauvegarde</vt:lpstr>
      <vt:lpstr>clients</vt:lpstr>
      <vt:lpstr>fournisseurs</vt:lpstr>
      <vt:lpstr>config</vt:lpstr>
      <vt:lpstr>Feuil3</vt:lpstr>
      <vt:lpstr>Client</vt:lpstr>
      <vt:lpstr>Commande</vt:lpstr>
      <vt:lpstr>Fournisseur</vt:lpstr>
      <vt:lpstr>Nbre_de_couche</vt:lpstr>
      <vt:lpstr>Résistance</vt:lpstr>
      <vt:lpstr>Feuil3!Sangle</vt:lpstr>
      <vt:lpstr>Sangle</vt:lpstr>
      <vt:lpstr>Type</vt:lpstr>
      <vt:lpstr>achats!Zone_d_impression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Jobs Conseil 2</cp:lastModifiedBy>
  <cp:lastPrinted>2020-06-19T01:16:54Z</cp:lastPrinted>
  <dcterms:created xsi:type="dcterms:W3CDTF">2020-05-02T07:48:00Z</dcterms:created>
  <dcterms:modified xsi:type="dcterms:W3CDTF">2020-06-19T01:50:33Z</dcterms:modified>
</cp:coreProperties>
</file>