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NOUVELLE ARCHITECTURE\AssoConnect\Statistiques\Statistiques 2020-2021\Adhérents\Statistiques validées - transmises à la ville\Stat et adhérents séparés\Forum Excel\"/>
    </mc:Choice>
  </mc:AlternateContent>
  <xr:revisionPtr revIDLastSave="0" documentId="13_ncr:1_{583C5FA8-47C9-477B-9D15-B2B4FEB430C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AR DOMICILE" sheetId="3" r:id="rId1"/>
    <sheet name="PAR AGES ET GENRES" sheetId="2" r:id="rId2"/>
  </sheets>
  <externalReferences>
    <externalReference r:id="rId3"/>
  </externalReferences>
  <definedNames>
    <definedName name="_xlnm.Print_Area" localSheetId="1">'PAR AGES ET GENRES'!$A$1:$AB$44</definedName>
    <definedName name="_xlnm.Print_Area" localSheetId="0">'PAR DOMICILE'!$A$1:$L$41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2" l="1"/>
  <c r="J10" i="2" s="1"/>
  <c r="C10" i="2"/>
  <c r="D10" i="2"/>
  <c r="E10" i="2"/>
  <c r="K10" i="2"/>
  <c r="S10" i="2" s="1"/>
  <c r="L10" i="2"/>
  <c r="U10" i="2" s="1"/>
  <c r="M10" i="2"/>
  <c r="N10" i="2"/>
  <c r="V10" i="2"/>
  <c r="W10" i="2"/>
  <c r="X10" i="2"/>
  <c r="Y10" i="2"/>
  <c r="Z10" i="2"/>
  <c r="AA10" i="2"/>
  <c r="B11" i="2"/>
  <c r="J11" i="2" s="1"/>
  <c r="C11" i="2"/>
  <c r="U11" i="2" s="1"/>
  <c r="D11" i="2"/>
  <c r="K11" i="2"/>
  <c r="L11" i="2"/>
  <c r="S11" i="2" s="1"/>
  <c r="M11" i="2"/>
  <c r="V11" i="2" s="1"/>
  <c r="O11" i="2"/>
  <c r="W11" i="2"/>
  <c r="X11" i="2"/>
  <c r="Y11" i="2"/>
  <c r="Z11" i="2"/>
  <c r="AA11" i="2"/>
  <c r="J13" i="2"/>
  <c r="S13" i="2"/>
  <c r="T13" i="2"/>
  <c r="U13" i="2"/>
  <c r="V13" i="2"/>
  <c r="W13" i="2"/>
  <c r="X13" i="2"/>
  <c r="Y13" i="2"/>
  <c r="Z13" i="2"/>
  <c r="AA13" i="2"/>
  <c r="B14" i="2"/>
  <c r="J14" i="2" s="1"/>
  <c r="C14" i="2"/>
  <c r="U14" i="2" s="1"/>
  <c r="D14" i="2"/>
  <c r="V14" i="2" s="1"/>
  <c r="E14" i="2"/>
  <c r="W14" i="2" s="1"/>
  <c r="F14" i="2"/>
  <c r="K14" i="2"/>
  <c r="L14" i="2"/>
  <c r="S14" i="2" s="1"/>
  <c r="M14" i="2"/>
  <c r="N14" i="2"/>
  <c r="O14" i="2"/>
  <c r="X14" i="2" s="1"/>
  <c r="Q14" i="2"/>
  <c r="T14" i="2"/>
  <c r="Y14" i="2"/>
  <c r="Z14" i="2"/>
  <c r="AA14" i="2"/>
  <c r="B15" i="2"/>
  <c r="J15" i="2" s="1"/>
  <c r="C15" i="2"/>
  <c r="D15" i="2"/>
  <c r="E15" i="2"/>
  <c r="F15" i="2"/>
  <c r="G15" i="2"/>
  <c r="H15" i="2"/>
  <c r="I15" i="2"/>
  <c r="K15" i="2"/>
  <c r="S15" i="2" s="1"/>
  <c r="L15" i="2"/>
  <c r="U15" i="2" s="1"/>
  <c r="M15" i="2"/>
  <c r="V15" i="2" s="1"/>
  <c r="N15" i="2"/>
  <c r="O15" i="2"/>
  <c r="P15" i="2"/>
  <c r="Q15" i="2"/>
  <c r="Z15" i="2" s="1"/>
  <c r="R15" i="2"/>
  <c r="AA15" i="2" s="1"/>
  <c r="W15" i="2"/>
  <c r="X15" i="2"/>
  <c r="Y15" i="2"/>
  <c r="B16" i="2"/>
  <c r="C16" i="2"/>
  <c r="D16" i="2"/>
  <c r="E16" i="2"/>
  <c r="F16" i="2"/>
  <c r="G16" i="2"/>
  <c r="H16" i="2"/>
  <c r="I16" i="2"/>
  <c r="J16" i="2" s="1"/>
  <c r="K16" i="2"/>
  <c r="S16" i="2" s="1"/>
  <c r="L16" i="2"/>
  <c r="M16" i="2"/>
  <c r="N16" i="2"/>
  <c r="O16" i="2"/>
  <c r="X16" i="2" s="1"/>
  <c r="P16" i="2"/>
  <c r="Y16" i="2" s="1"/>
  <c r="Q16" i="2"/>
  <c r="Z16" i="2" s="1"/>
  <c r="R16" i="2"/>
  <c r="U16" i="2"/>
  <c r="V16" i="2"/>
  <c r="W16" i="2"/>
  <c r="AA16" i="2"/>
  <c r="B17" i="2"/>
  <c r="J17" i="2" s="1"/>
  <c r="C17" i="2"/>
  <c r="D17" i="2"/>
  <c r="E17" i="2"/>
  <c r="F17" i="2"/>
  <c r="G17" i="2"/>
  <c r="H17" i="2"/>
  <c r="I17" i="2"/>
  <c r="K17" i="2"/>
  <c r="L17" i="2"/>
  <c r="M17" i="2"/>
  <c r="V17" i="2" s="1"/>
  <c r="N17" i="2"/>
  <c r="W17" i="2" s="1"/>
  <c r="O17" i="2"/>
  <c r="X17" i="2" s="1"/>
  <c r="P17" i="2"/>
  <c r="Q17" i="2"/>
  <c r="R17" i="2"/>
  <c r="T17" i="2"/>
  <c r="U17" i="2"/>
  <c r="Y17" i="2"/>
  <c r="Z17" i="2"/>
  <c r="AA17" i="2"/>
  <c r="B18" i="2"/>
  <c r="J18" i="2" s="1"/>
  <c r="C18" i="2"/>
  <c r="D18" i="2"/>
  <c r="E18" i="2"/>
  <c r="F18" i="2"/>
  <c r="G18" i="2"/>
  <c r="H18" i="2"/>
  <c r="I18" i="2"/>
  <c r="K18" i="2"/>
  <c r="S18" i="2" s="1"/>
  <c r="L18" i="2"/>
  <c r="U18" i="2" s="1"/>
  <c r="M18" i="2"/>
  <c r="V18" i="2" s="1"/>
  <c r="N18" i="2"/>
  <c r="O18" i="2"/>
  <c r="P18" i="2"/>
  <c r="Q18" i="2"/>
  <c r="Z18" i="2" s="1"/>
  <c r="R18" i="2"/>
  <c r="AA18" i="2" s="1"/>
  <c r="W18" i="2"/>
  <c r="X18" i="2"/>
  <c r="Y18" i="2"/>
  <c r="C20" i="2"/>
  <c r="J20" i="2" s="1"/>
  <c r="H20" i="2"/>
  <c r="L20" i="2"/>
  <c r="S20" i="2" s="1"/>
  <c r="M20" i="2"/>
  <c r="P20" i="2"/>
  <c r="Y20" i="2" s="1"/>
  <c r="Q20" i="2"/>
  <c r="Z20" i="2" s="1"/>
  <c r="T20" i="2"/>
  <c r="V20" i="2"/>
  <c r="W20" i="2"/>
  <c r="X20" i="2"/>
  <c r="AA20" i="2"/>
  <c r="B21" i="2"/>
  <c r="C21" i="2"/>
  <c r="J21" i="2" s="1"/>
  <c r="F21" i="2"/>
  <c r="X21" i="2" s="1"/>
  <c r="G21" i="2"/>
  <c r="Y21" i="2" s="1"/>
  <c r="H21" i="2"/>
  <c r="I21" i="2"/>
  <c r="K21" i="2"/>
  <c r="S21" i="2" s="1"/>
  <c r="L21" i="2"/>
  <c r="M21" i="2"/>
  <c r="P21" i="2"/>
  <c r="R21" i="2"/>
  <c r="T21" i="2"/>
  <c r="U21" i="2"/>
  <c r="V21" i="2"/>
  <c r="W21" i="2"/>
  <c r="Z21" i="2"/>
  <c r="AA21" i="2"/>
  <c r="B22" i="2"/>
  <c r="C22" i="2"/>
  <c r="D22" i="2"/>
  <c r="E22" i="2"/>
  <c r="F22" i="2"/>
  <c r="J22" i="2" s="1"/>
  <c r="G22" i="2"/>
  <c r="H22" i="2"/>
  <c r="I22" i="2"/>
  <c r="K22" i="2"/>
  <c r="L22" i="2"/>
  <c r="U22" i="2" s="1"/>
  <c r="M22" i="2"/>
  <c r="V22" i="2" s="1"/>
  <c r="N22" i="2"/>
  <c r="W22" i="2" s="1"/>
  <c r="O22" i="2"/>
  <c r="P22" i="2"/>
  <c r="Q22" i="2"/>
  <c r="R22" i="2"/>
  <c r="AA22" i="2" s="1"/>
  <c r="S22" i="2"/>
  <c r="T22" i="2"/>
  <c r="X22" i="2"/>
  <c r="Y22" i="2"/>
  <c r="Z22" i="2"/>
  <c r="B23" i="2"/>
  <c r="C23" i="2"/>
  <c r="D23" i="2"/>
  <c r="E23" i="2"/>
  <c r="J23" i="2" s="1"/>
  <c r="F23" i="2"/>
  <c r="G23" i="2"/>
  <c r="H23" i="2"/>
  <c r="I23" i="2"/>
  <c r="K23" i="2"/>
  <c r="S23" i="2" s="1"/>
  <c r="L23" i="2"/>
  <c r="U23" i="2" s="1"/>
  <c r="M23" i="2"/>
  <c r="N23" i="2"/>
  <c r="O23" i="2"/>
  <c r="P23" i="2"/>
  <c r="Y23" i="2" s="1"/>
  <c r="Q23" i="2"/>
  <c r="Z23" i="2" s="1"/>
  <c r="R23" i="2"/>
  <c r="AA23" i="2" s="1"/>
  <c r="V23" i="2"/>
  <c r="W23" i="2"/>
  <c r="X23" i="2"/>
  <c r="B24" i="2"/>
  <c r="J24" i="2" s="1"/>
  <c r="C24" i="2"/>
  <c r="D24" i="2"/>
  <c r="E24" i="2"/>
  <c r="F24" i="2"/>
  <c r="G24" i="2"/>
  <c r="H24" i="2"/>
  <c r="I24" i="2"/>
  <c r="K24" i="2"/>
  <c r="S24" i="2" s="1"/>
  <c r="L24" i="2"/>
  <c r="M24" i="2"/>
  <c r="N24" i="2"/>
  <c r="W24" i="2" s="1"/>
  <c r="O24" i="2"/>
  <c r="X24" i="2" s="1"/>
  <c r="P24" i="2"/>
  <c r="Y24" i="2" s="1"/>
  <c r="Q24" i="2"/>
  <c r="R24" i="2"/>
  <c r="T24" i="2"/>
  <c r="U24" i="2"/>
  <c r="V24" i="2"/>
  <c r="Z24" i="2"/>
  <c r="AA24" i="2"/>
  <c r="B25" i="2"/>
  <c r="J25" i="2" s="1"/>
  <c r="C25" i="2"/>
  <c r="D25" i="2"/>
  <c r="E25" i="2"/>
  <c r="F25" i="2"/>
  <c r="G25" i="2"/>
  <c r="H25" i="2"/>
  <c r="I25" i="2"/>
  <c r="K25" i="2"/>
  <c r="L25" i="2"/>
  <c r="U25" i="2" s="1"/>
  <c r="M25" i="2"/>
  <c r="V25" i="2" s="1"/>
  <c r="N25" i="2"/>
  <c r="W25" i="2" s="1"/>
  <c r="O25" i="2"/>
  <c r="P25" i="2"/>
  <c r="Q25" i="2"/>
  <c r="R25" i="2"/>
  <c r="AA25" i="2" s="1"/>
  <c r="S25" i="2"/>
  <c r="T25" i="2"/>
  <c r="X25" i="2"/>
  <c r="Y25" i="2"/>
  <c r="Z25" i="2"/>
  <c r="B26" i="2"/>
  <c r="C26" i="2"/>
  <c r="D26" i="2"/>
  <c r="E26" i="2"/>
  <c r="J26" i="2" s="1"/>
  <c r="F26" i="2"/>
  <c r="G26" i="2"/>
  <c r="H26" i="2"/>
  <c r="I26" i="2"/>
  <c r="K26" i="2"/>
  <c r="S26" i="2" s="1"/>
  <c r="L26" i="2"/>
  <c r="U26" i="2" s="1"/>
  <c r="M26" i="2"/>
  <c r="N26" i="2"/>
  <c r="O26" i="2"/>
  <c r="P26" i="2"/>
  <c r="Y26" i="2" s="1"/>
  <c r="Q26" i="2"/>
  <c r="Z26" i="2" s="1"/>
  <c r="R26" i="2"/>
  <c r="AA26" i="2" s="1"/>
  <c r="V26" i="2"/>
  <c r="W26" i="2"/>
  <c r="X26" i="2"/>
  <c r="B27" i="2"/>
  <c r="J27" i="2" s="1"/>
  <c r="C27" i="2"/>
  <c r="D27" i="2"/>
  <c r="E27" i="2"/>
  <c r="F27" i="2"/>
  <c r="G27" i="2"/>
  <c r="H27" i="2"/>
  <c r="I27" i="2"/>
  <c r="K27" i="2"/>
  <c r="S27" i="2" s="1"/>
  <c r="L27" i="2"/>
  <c r="M27" i="2"/>
  <c r="N27" i="2"/>
  <c r="W27" i="2" s="1"/>
  <c r="O27" i="2"/>
  <c r="X27" i="2" s="1"/>
  <c r="P27" i="2"/>
  <c r="Y27" i="2" s="1"/>
  <c r="Q27" i="2"/>
  <c r="R27" i="2"/>
  <c r="T27" i="2"/>
  <c r="U27" i="2"/>
  <c r="V27" i="2"/>
  <c r="Z27" i="2"/>
  <c r="AA27" i="2"/>
  <c r="B28" i="2"/>
  <c r="J28" i="2" s="1"/>
  <c r="C28" i="2"/>
  <c r="D28" i="2"/>
  <c r="E28" i="2"/>
  <c r="F28" i="2"/>
  <c r="G28" i="2"/>
  <c r="H28" i="2"/>
  <c r="I28" i="2"/>
  <c r="K28" i="2"/>
  <c r="L28" i="2"/>
  <c r="U28" i="2" s="1"/>
  <c r="M28" i="2"/>
  <c r="V28" i="2" s="1"/>
  <c r="N28" i="2"/>
  <c r="W28" i="2" s="1"/>
  <c r="O28" i="2"/>
  <c r="P28" i="2"/>
  <c r="Q28" i="2"/>
  <c r="R28" i="2"/>
  <c r="AA28" i="2" s="1"/>
  <c r="S28" i="2"/>
  <c r="T28" i="2"/>
  <c r="X28" i="2"/>
  <c r="Y28" i="2"/>
  <c r="Z28" i="2"/>
  <c r="B29" i="2"/>
  <c r="J29" i="2" s="1"/>
  <c r="C29" i="2"/>
  <c r="D29" i="2"/>
  <c r="E29" i="2"/>
  <c r="F29" i="2"/>
  <c r="G29" i="2"/>
  <c r="H29" i="2"/>
  <c r="I29" i="2"/>
  <c r="K29" i="2"/>
  <c r="S29" i="2" s="1"/>
  <c r="L29" i="2"/>
  <c r="U29" i="2" s="1"/>
  <c r="M29" i="2"/>
  <c r="N29" i="2"/>
  <c r="O29" i="2"/>
  <c r="P29" i="2"/>
  <c r="Y29" i="2" s="1"/>
  <c r="Q29" i="2"/>
  <c r="Z29" i="2" s="1"/>
  <c r="R29" i="2"/>
  <c r="AA29" i="2" s="1"/>
  <c r="V29" i="2"/>
  <c r="W29" i="2"/>
  <c r="X29" i="2"/>
  <c r="B30" i="2"/>
  <c r="J30" i="2" s="1"/>
  <c r="C30" i="2"/>
  <c r="D30" i="2"/>
  <c r="E30" i="2"/>
  <c r="F30" i="2"/>
  <c r="G30" i="2"/>
  <c r="H30" i="2"/>
  <c r="I30" i="2"/>
  <c r="K30" i="2"/>
  <c r="S30" i="2" s="1"/>
  <c r="L30" i="2"/>
  <c r="M30" i="2"/>
  <c r="N30" i="2"/>
  <c r="W30" i="2" s="1"/>
  <c r="O30" i="2"/>
  <c r="X30" i="2" s="1"/>
  <c r="P30" i="2"/>
  <c r="Y30" i="2" s="1"/>
  <c r="Q30" i="2"/>
  <c r="R30" i="2"/>
  <c r="T30" i="2"/>
  <c r="U30" i="2"/>
  <c r="V30" i="2"/>
  <c r="Z30" i="2"/>
  <c r="AA30" i="2"/>
  <c r="B31" i="2"/>
  <c r="C31" i="2"/>
  <c r="D31" i="2"/>
  <c r="E31" i="2"/>
  <c r="F31" i="2"/>
  <c r="G31" i="2"/>
  <c r="J31" i="2" s="1"/>
  <c r="H31" i="2"/>
  <c r="I31" i="2"/>
  <c r="K31" i="2"/>
  <c r="L31" i="2"/>
  <c r="U31" i="2" s="1"/>
  <c r="M31" i="2"/>
  <c r="V31" i="2" s="1"/>
  <c r="N31" i="2"/>
  <c r="W31" i="2" s="1"/>
  <c r="O31" i="2"/>
  <c r="P31" i="2"/>
  <c r="Q31" i="2"/>
  <c r="R31" i="2"/>
  <c r="AA31" i="2" s="1"/>
  <c r="S31" i="2"/>
  <c r="T31" i="2"/>
  <c r="X31" i="2"/>
  <c r="Y31" i="2"/>
  <c r="Z31" i="2"/>
  <c r="B32" i="2"/>
  <c r="J32" i="2" s="1"/>
  <c r="C32" i="2"/>
  <c r="D32" i="2"/>
  <c r="E32" i="2"/>
  <c r="F32" i="2"/>
  <c r="G32" i="2"/>
  <c r="H32" i="2"/>
  <c r="I32" i="2"/>
  <c r="K32" i="2"/>
  <c r="S32" i="2" s="1"/>
  <c r="L32" i="2"/>
  <c r="U32" i="2" s="1"/>
  <c r="M32" i="2"/>
  <c r="N32" i="2"/>
  <c r="O32" i="2"/>
  <c r="P32" i="2"/>
  <c r="Y32" i="2" s="1"/>
  <c r="Q32" i="2"/>
  <c r="Z32" i="2" s="1"/>
  <c r="R32" i="2"/>
  <c r="AA32" i="2" s="1"/>
  <c r="V32" i="2"/>
  <c r="W32" i="2"/>
  <c r="X32" i="2"/>
  <c r="B33" i="2"/>
  <c r="J33" i="2" s="1"/>
  <c r="C33" i="2"/>
  <c r="D33" i="2"/>
  <c r="E33" i="2"/>
  <c r="F33" i="2"/>
  <c r="G33" i="2"/>
  <c r="H33" i="2"/>
  <c r="I33" i="2"/>
  <c r="K33" i="2"/>
  <c r="S33" i="2" s="1"/>
  <c r="L33" i="2"/>
  <c r="M33" i="2"/>
  <c r="N33" i="2"/>
  <c r="W33" i="2" s="1"/>
  <c r="O33" i="2"/>
  <c r="X33" i="2" s="1"/>
  <c r="P33" i="2"/>
  <c r="Y33" i="2" s="1"/>
  <c r="Q33" i="2"/>
  <c r="R33" i="2"/>
  <c r="T33" i="2"/>
  <c r="U33" i="2"/>
  <c r="V33" i="2"/>
  <c r="Z33" i="2"/>
  <c r="AA33" i="2"/>
  <c r="B34" i="2"/>
  <c r="C34" i="2"/>
  <c r="D34" i="2"/>
  <c r="E34" i="2"/>
  <c r="F34" i="2"/>
  <c r="G34" i="2"/>
  <c r="J34" i="2" s="1"/>
  <c r="H34" i="2"/>
  <c r="I34" i="2"/>
  <c r="K34" i="2"/>
  <c r="L34" i="2"/>
  <c r="U34" i="2" s="1"/>
  <c r="M34" i="2"/>
  <c r="V34" i="2" s="1"/>
  <c r="N34" i="2"/>
  <c r="W34" i="2" s="1"/>
  <c r="O34" i="2"/>
  <c r="P34" i="2"/>
  <c r="Q34" i="2"/>
  <c r="R34" i="2"/>
  <c r="AA34" i="2" s="1"/>
  <c r="S34" i="2"/>
  <c r="T34" i="2"/>
  <c r="X34" i="2"/>
  <c r="Y34" i="2"/>
  <c r="Z34" i="2"/>
  <c r="B35" i="2"/>
  <c r="J35" i="2" s="1"/>
  <c r="C35" i="2"/>
  <c r="D35" i="2"/>
  <c r="E35" i="2"/>
  <c r="F35" i="2"/>
  <c r="G35" i="2"/>
  <c r="H35" i="2"/>
  <c r="I35" i="2"/>
  <c r="K35" i="2"/>
  <c r="S35" i="2" s="1"/>
  <c r="L35" i="2"/>
  <c r="U35" i="2" s="1"/>
  <c r="M35" i="2"/>
  <c r="N35" i="2"/>
  <c r="O35" i="2"/>
  <c r="P35" i="2"/>
  <c r="Y35" i="2" s="1"/>
  <c r="Q35" i="2"/>
  <c r="Z35" i="2" s="1"/>
  <c r="R35" i="2"/>
  <c r="AA35" i="2" s="1"/>
  <c r="V35" i="2"/>
  <c r="W35" i="2"/>
  <c r="X35" i="2"/>
  <c r="B36" i="2"/>
  <c r="J36" i="2" s="1"/>
  <c r="C36" i="2"/>
  <c r="D36" i="2"/>
  <c r="E36" i="2"/>
  <c r="F36" i="2"/>
  <c r="G36" i="2"/>
  <c r="H36" i="2"/>
  <c r="I36" i="2"/>
  <c r="K36" i="2"/>
  <c r="S36" i="2" s="1"/>
  <c r="L36" i="2"/>
  <c r="M36" i="2"/>
  <c r="N36" i="2"/>
  <c r="W36" i="2" s="1"/>
  <c r="O36" i="2"/>
  <c r="X36" i="2" s="1"/>
  <c r="P36" i="2"/>
  <c r="Y36" i="2" s="1"/>
  <c r="Q36" i="2"/>
  <c r="R36" i="2"/>
  <c r="T36" i="2"/>
  <c r="U36" i="2"/>
  <c r="V36" i="2"/>
  <c r="Z36" i="2"/>
  <c r="AA36" i="2"/>
  <c r="B37" i="2"/>
  <c r="C37" i="2"/>
  <c r="D37" i="2"/>
  <c r="E37" i="2"/>
  <c r="F37" i="2"/>
  <c r="G37" i="2"/>
  <c r="J37" i="2" s="1"/>
  <c r="H37" i="2"/>
  <c r="I37" i="2"/>
  <c r="K37" i="2"/>
  <c r="L37" i="2"/>
  <c r="U37" i="2" s="1"/>
  <c r="M37" i="2"/>
  <c r="V37" i="2" s="1"/>
  <c r="N37" i="2"/>
  <c r="W37" i="2" s="1"/>
  <c r="O37" i="2"/>
  <c r="P37" i="2"/>
  <c r="Q37" i="2"/>
  <c r="R37" i="2"/>
  <c r="AA37" i="2" s="1"/>
  <c r="T37" i="2"/>
  <c r="X37" i="2"/>
  <c r="Z37" i="2"/>
  <c r="B38" i="2"/>
  <c r="J38" i="2" s="1"/>
  <c r="C38" i="2"/>
  <c r="D38" i="2"/>
  <c r="E38" i="2"/>
  <c r="W38" i="2" s="1"/>
  <c r="F38" i="2"/>
  <c r="G38" i="2"/>
  <c r="H38" i="2"/>
  <c r="I38" i="2"/>
  <c r="K38" i="2"/>
  <c r="S38" i="2" s="1"/>
  <c r="L38" i="2"/>
  <c r="U38" i="2" s="1"/>
  <c r="M38" i="2"/>
  <c r="N38" i="2"/>
  <c r="O38" i="2"/>
  <c r="P38" i="2"/>
  <c r="Y38" i="2" s="1"/>
  <c r="Q38" i="2"/>
  <c r="Z38" i="2" s="1"/>
  <c r="R38" i="2"/>
  <c r="AA38" i="2" s="1"/>
  <c r="V38" i="2"/>
  <c r="X38" i="2"/>
  <c r="B39" i="2"/>
  <c r="C39" i="2"/>
  <c r="J39" i="2" s="1"/>
  <c r="K39" i="2"/>
  <c r="L39" i="2"/>
  <c r="S39" i="2" s="1"/>
  <c r="R39" i="2"/>
  <c r="T39" i="2"/>
  <c r="V39" i="2"/>
  <c r="W39" i="2"/>
  <c r="X39" i="2"/>
  <c r="Y39" i="2"/>
  <c r="Z39" i="2"/>
  <c r="AA39" i="2"/>
  <c r="B40" i="2"/>
  <c r="J40" i="2" s="1"/>
  <c r="C40" i="2"/>
  <c r="D40" i="2"/>
  <c r="E40" i="2"/>
  <c r="F40" i="2"/>
  <c r="X40" i="2" s="1"/>
  <c r="G40" i="2"/>
  <c r="H40" i="2"/>
  <c r="I40" i="2"/>
  <c r="K40" i="2"/>
  <c r="T40" i="2" s="1"/>
  <c r="L40" i="2"/>
  <c r="S40" i="2" s="1"/>
  <c r="M40" i="2"/>
  <c r="V40" i="2" s="1"/>
  <c r="N40" i="2"/>
  <c r="O40" i="2"/>
  <c r="P40" i="2"/>
  <c r="Q40" i="2"/>
  <c r="Z40" i="2" s="1"/>
  <c r="R40" i="2"/>
  <c r="AA40" i="2" s="1"/>
  <c r="W40" i="2"/>
  <c r="Y40" i="2"/>
  <c r="B41" i="2"/>
  <c r="C41" i="2"/>
  <c r="J41" i="2" s="1"/>
  <c r="D41" i="2"/>
  <c r="V41" i="2" s="1"/>
  <c r="E41" i="2"/>
  <c r="W41" i="2" s="1"/>
  <c r="F41" i="2"/>
  <c r="G41" i="2"/>
  <c r="H41" i="2"/>
  <c r="L41" i="2"/>
  <c r="S41" i="2" s="1"/>
  <c r="M41" i="2"/>
  <c r="N41" i="2"/>
  <c r="O41" i="2"/>
  <c r="P41" i="2"/>
  <c r="Q41" i="2"/>
  <c r="Z41" i="2" s="1"/>
  <c r="R41" i="2"/>
  <c r="AA41" i="2" s="1"/>
  <c r="T41" i="2"/>
  <c r="X41" i="2"/>
  <c r="Y41" i="2"/>
  <c r="I10" i="3"/>
  <c r="H30" i="3"/>
  <c r="E30" i="3"/>
  <c r="C30" i="3"/>
  <c r="B30" i="3"/>
  <c r="H27" i="3"/>
  <c r="E27" i="3"/>
  <c r="C27" i="3"/>
  <c r="D27" i="3" s="1"/>
  <c r="F27" i="3" s="1"/>
  <c r="G27" i="3" s="1"/>
  <c r="B27" i="3"/>
  <c r="H15" i="3"/>
  <c r="E15" i="3"/>
  <c r="C15" i="3"/>
  <c r="D15" i="3" s="1"/>
  <c r="B15" i="3"/>
  <c r="C36" i="3"/>
  <c r="D36" i="3" s="1"/>
  <c r="C23" i="3"/>
  <c r="Y37" i="2" l="1"/>
  <c r="S37" i="2"/>
  <c r="S17" i="2"/>
  <c r="T16" i="2"/>
  <c r="T10" i="2"/>
  <c r="U41" i="2"/>
  <c r="U40" i="2"/>
  <c r="T38" i="2"/>
  <c r="T35" i="2"/>
  <c r="T32" i="2"/>
  <c r="T29" i="2"/>
  <c r="T26" i="2"/>
  <c r="T23" i="2"/>
  <c r="U20" i="2"/>
  <c r="T11" i="2"/>
  <c r="T18" i="2"/>
  <c r="T15" i="2"/>
  <c r="U39" i="2"/>
  <c r="D30" i="3"/>
  <c r="F30" i="3" s="1"/>
  <c r="G30" i="3" s="1"/>
  <c r="F15" i="3"/>
  <c r="G15" i="3" s="1"/>
  <c r="AB13" i="2"/>
  <c r="H35" i="3"/>
  <c r="E35" i="3"/>
  <c r="C35" i="3"/>
  <c r="B35" i="3"/>
  <c r="H34" i="3"/>
  <c r="E34" i="3"/>
  <c r="C34" i="3"/>
  <c r="B34" i="3"/>
  <c r="H33" i="3"/>
  <c r="E33" i="3"/>
  <c r="C33" i="3"/>
  <c r="B33" i="3"/>
  <c r="H32" i="3"/>
  <c r="E32" i="3"/>
  <c r="B32" i="3"/>
  <c r="C32" i="3"/>
  <c r="H31" i="3"/>
  <c r="E31" i="3"/>
  <c r="C31" i="3"/>
  <c r="B31" i="3"/>
  <c r="H29" i="3"/>
  <c r="E29" i="3"/>
  <c r="C29" i="3"/>
  <c r="B29" i="3"/>
  <c r="H28" i="3"/>
  <c r="E28" i="3"/>
  <c r="C28" i="3"/>
  <c r="B28" i="3"/>
  <c r="H26" i="3"/>
  <c r="E26" i="3"/>
  <c r="C26" i="3"/>
  <c r="B26" i="3"/>
  <c r="H25" i="3"/>
  <c r="E25" i="3"/>
  <c r="C25" i="3"/>
  <c r="B25" i="3"/>
  <c r="H24" i="3"/>
  <c r="E24" i="3"/>
  <c r="C24" i="3"/>
  <c r="B24" i="3"/>
  <c r="H23" i="3"/>
  <c r="E23" i="3"/>
  <c r="D23" i="3"/>
  <c r="H22" i="3"/>
  <c r="E22" i="3"/>
  <c r="C22" i="3"/>
  <c r="B22" i="3"/>
  <c r="H21" i="3"/>
  <c r="E21" i="3"/>
  <c r="C21" i="3"/>
  <c r="B21" i="3"/>
  <c r="H20" i="3"/>
  <c r="E20" i="3"/>
  <c r="C20" i="3"/>
  <c r="B20" i="3"/>
  <c r="H19" i="3"/>
  <c r="C19" i="3"/>
  <c r="H18" i="3"/>
  <c r="C18" i="3"/>
  <c r="I18" i="3" s="1"/>
  <c r="H17" i="3"/>
  <c r="E17" i="3"/>
  <c r="C17" i="3"/>
  <c r="B17" i="3"/>
  <c r="H16" i="3"/>
  <c r="E16" i="3"/>
  <c r="C16" i="3"/>
  <c r="B16" i="3"/>
  <c r="H36" i="3"/>
  <c r="E36" i="3"/>
  <c r="H37" i="3"/>
  <c r="E37" i="3"/>
  <c r="C37" i="3"/>
  <c r="B37" i="3"/>
  <c r="H38" i="3"/>
  <c r="E38" i="3"/>
  <c r="B38" i="3"/>
  <c r="H14" i="3"/>
  <c r="E14" i="3"/>
  <c r="C14" i="3"/>
  <c r="B14" i="3"/>
  <c r="H13" i="3"/>
  <c r="E13" i="3"/>
  <c r="C13" i="3"/>
  <c r="B13" i="3"/>
  <c r="H12" i="3"/>
  <c r="E12" i="3"/>
  <c r="C12" i="3"/>
  <c r="D12" i="3" s="1"/>
  <c r="B12" i="3"/>
  <c r="H11" i="3"/>
  <c r="E11" i="3"/>
  <c r="C11" i="3"/>
  <c r="B11" i="3"/>
  <c r="H9" i="3"/>
  <c r="E9" i="3"/>
  <c r="C9" i="3"/>
  <c r="B9" i="3"/>
  <c r="H8" i="3"/>
  <c r="E8" i="3"/>
  <c r="C8" i="3"/>
  <c r="D8" i="3" s="1"/>
  <c r="B8" i="3"/>
  <c r="H7" i="3"/>
  <c r="E7" i="3"/>
  <c r="C7" i="3"/>
  <c r="B7" i="3"/>
  <c r="H6" i="3"/>
  <c r="E6" i="3"/>
  <c r="C6" i="3"/>
  <c r="B6" i="3"/>
  <c r="D35" i="3" l="1"/>
  <c r="D34" i="3"/>
  <c r="F34" i="3" s="1"/>
  <c r="G34" i="3" s="1"/>
  <c r="D9" i="3"/>
  <c r="D13" i="3"/>
  <c r="F13" i="3" s="1"/>
  <c r="D32" i="3"/>
  <c r="D17" i="3"/>
  <c r="F17" i="3" s="1"/>
  <c r="G17" i="3" s="1"/>
  <c r="D37" i="3"/>
  <c r="F37" i="3" s="1"/>
  <c r="G37" i="3" s="1"/>
  <c r="D16" i="3"/>
  <c r="F16" i="3" s="1"/>
  <c r="G16" i="3" s="1"/>
  <c r="I16" i="3" s="1"/>
  <c r="I30" i="3"/>
  <c r="I27" i="3"/>
  <c r="I15" i="3"/>
  <c r="I19" i="3"/>
  <c r="F32" i="3"/>
  <c r="G32" i="3" s="1"/>
  <c r="C40" i="3"/>
  <c r="E40" i="3"/>
  <c r="F8" i="3"/>
  <c r="G8" i="3" s="1"/>
  <c r="I8" i="3" s="1"/>
  <c r="H40" i="3"/>
  <c r="B40" i="3"/>
  <c r="F9" i="3"/>
  <c r="G9" i="3" s="1"/>
  <c r="I9" i="3" s="1"/>
  <c r="F23" i="3"/>
  <c r="G23" i="3" s="1"/>
  <c r="D33" i="3"/>
  <c r="F33" i="3" s="1"/>
  <c r="G33" i="3" s="1"/>
  <c r="F35" i="3"/>
  <c r="G35" i="3" s="1"/>
  <c r="D21" i="3"/>
  <c r="F21" i="3" s="1"/>
  <c r="G21" i="3" s="1"/>
  <c r="D31" i="3"/>
  <c r="F31" i="3" s="1"/>
  <c r="G31" i="3" s="1"/>
  <c r="D28" i="3"/>
  <c r="F28" i="3" s="1"/>
  <c r="G28" i="3" s="1"/>
  <c r="D29" i="3"/>
  <c r="F29" i="3" s="1"/>
  <c r="G29" i="3" s="1"/>
  <c r="D26" i="3"/>
  <c r="F26" i="3" s="1"/>
  <c r="G26" i="3" s="1"/>
  <c r="D25" i="3"/>
  <c r="D24" i="3"/>
  <c r="F24" i="3" s="1"/>
  <c r="G24" i="3" s="1"/>
  <c r="D22" i="3"/>
  <c r="D20" i="3"/>
  <c r="F20" i="3" s="1"/>
  <c r="G20" i="3" s="1"/>
  <c r="K22" i="3"/>
  <c r="K34" i="3"/>
  <c r="K16" i="3"/>
  <c r="K18" i="3"/>
  <c r="K23" i="3"/>
  <c r="K17" i="3"/>
  <c r="K7" i="3"/>
  <c r="F36" i="3"/>
  <c r="K19" i="3"/>
  <c r="K35" i="3"/>
  <c r="K28" i="3"/>
  <c r="D6" i="3"/>
  <c r="F12" i="3"/>
  <c r="G12" i="3" s="1"/>
  <c r="K21" i="3"/>
  <c r="K33" i="3"/>
  <c r="K25" i="3"/>
  <c r="K36" i="3"/>
  <c r="K29" i="3"/>
  <c r="K6" i="3"/>
  <c r="D11" i="3"/>
  <c r="F11" i="3" s="1"/>
  <c r="G11" i="3" s="1"/>
  <c r="D14" i="3"/>
  <c r="F14" i="3" s="1"/>
  <c r="G14" i="3" s="1"/>
  <c r="K24" i="3"/>
  <c r="K31" i="3"/>
  <c r="D7" i="3"/>
  <c r="I38" i="3"/>
  <c r="K32" i="3"/>
  <c r="K26" i="3"/>
  <c r="K20" i="3"/>
  <c r="K37" i="3"/>
  <c r="K38" i="3"/>
  <c r="K14" i="3"/>
  <c r="I13" i="3"/>
  <c r="K13" i="3"/>
  <c r="K12" i="3"/>
  <c r="K11" i="3"/>
  <c r="K9" i="3"/>
  <c r="K8" i="3"/>
  <c r="F6" i="3" l="1"/>
  <c r="D40" i="3"/>
  <c r="K40" i="3"/>
  <c r="F7" i="3"/>
  <c r="F25" i="3"/>
  <c r="I33" i="3"/>
  <c r="I24" i="3"/>
  <c r="I34" i="3"/>
  <c r="I26" i="3"/>
  <c r="I12" i="3"/>
  <c r="I21" i="3"/>
  <c r="I11" i="3"/>
  <c r="I32" i="3"/>
  <c r="I31" i="3"/>
  <c r="I20" i="3"/>
  <c r="I14" i="3"/>
  <c r="I36" i="3"/>
  <c r="I35" i="3"/>
  <c r="I28" i="3"/>
  <c r="I37" i="3"/>
  <c r="I29" i="3"/>
  <c r="I17" i="3"/>
  <c r="I22" i="3"/>
  <c r="I23" i="3"/>
  <c r="Q9" i="2"/>
  <c r="R9" i="2"/>
  <c r="O9" i="2"/>
  <c r="P9" i="2"/>
  <c r="M9" i="2"/>
  <c r="N9" i="2"/>
  <c r="K9" i="2"/>
  <c r="L9" i="2"/>
  <c r="I9" i="2"/>
  <c r="G9" i="2"/>
  <c r="H9" i="2"/>
  <c r="F9" i="2"/>
  <c r="E9" i="2"/>
  <c r="D9" i="2"/>
  <c r="C9" i="2"/>
  <c r="B9" i="2"/>
  <c r="AB35" i="2" l="1"/>
  <c r="AB32" i="2"/>
  <c r="AB29" i="2"/>
  <c r="I7" i="3"/>
  <c r="G25" i="3"/>
  <c r="I25" i="3" s="1"/>
  <c r="G6" i="3"/>
  <c r="F40" i="3"/>
  <c r="I6" i="3" l="1"/>
  <c r="I40" i="3" s="1"/>
  <c r="G40" i="3"/>
  <c r="AB22" i="2"/>
  <c r="AB16" i="2"/>
  <c r="AB15" i="2"/>
  <c r="AB11" i="2"/>
  <c r="AB21" i="2"/>
  <c r="AB31" i="2"/>
  <c r="AB34" i="2"/>
  <c r="AB23" i="2"/>
  <c r="AB38" i="2"/>
  <c r="AB33" i="2"/>
  <c r="AB18" i="2"/>
  <c r="AB24" i="2"/>
  <c r="AB40" i="2"/>
  <c r="AB14" i="2"/>
  <c r="AB36" i="2"/>
  <c r="AB30" i="2"/>
  <c r="AB39" i="2"/>
  <c r="AB28" i="2"/>
  <c r="AB37" i="2"/>
  <c r="AB20" i="2"/>
  <c r="AB41" i="2"/>
  <c r="AB27" i="2"/>
  <c r="AB25" i="2"/>
  <c r="AB26" i="2"/>
  <c r="AB17" i="2"/>
  <c r="AB10" i="2"/>
  <c r="S9" i="2" l="1"/>
  <c r="J9" i="2" l="1"/>
  <c r="X9" i="2"/>
  <c r="V9" i="2"/>
  <c r="Y9" i="2"/>
  <c r="Z9" i="2"/>
  <c r="U9" i="2"/>
  <c r="AA9" i="2"/>
  <c r="W9" i="2"/>
  <c r="T9" i="2"/>
  <c r="AB9" i="2" l="1"/>
  <c r="O4" i="2"/>
  <c r="C12" i="2" l="1"/>
  <c r="I12" i="2"/>
  <c r="D12" i="2"/>
  <c r="E12" i="2"/>
  <c r="F12" i="2"/>
  <c r="G12" i="2"/>
  <c r="B12" i="2"/>
  <c r="H12" i="2"/>
  <c r="D19" i="2"/>
  <c r="E19" i="2"/>
  <c r="F19" i="2"/>
  <c r="G19" i="2"/>
  <c r="B19" i="2"/>
  <c r="H19" i="2"/>
  <c r="C19" i="2"/>
  <c r="I19" i="2"/>
  <c r="O12" i="2"/>
  <c r="P12" i="2"/>
  <c r="K12" i="2"/>
  <c r="S12" i="2" s="1"/>
  <c r="Q12" i="2"/>
  <c r="L12" i="2"/>
  <c r="R12" i="2"/>
  <c r="M12" i="2"/>
  <c r="N12" i="2"/>
  <c r="P19" i="2"/>
  <c r="P43" i="2" s="1"/>
  <c r="K19" i="2"/>
  <c r="Q19" i="2"/>
  <c r="Q43" i="2" s="1"/>
  <c r="L19" i="2"/>
  <c r="L43" i="2" s="1"/>
  <c r="R19" i="2"/>
  <c r="M19" i="2"/>
  <c r="N19" i="2"/>
  <c r="N43" i="2" s="1"/>
  <c r="O19" i="2"/>
  <c r="O43" i="2" s="1"/>
  <c r="R43" i="2" l="1"/>
  <c r="S19" i="2"/>
  <c r="S43" i="2" s="1"/>
  <c r="Y19" i="2"/>
  <c r="Y12" i="2"/>
  <c r="X19" i="2"/>
  <c r="X12" i="2"/>
  <c r="X43" i="2" s="1"/>
  <c r="AA19" i="2"/>
  <c r="W19" i="2"/>
  <c r="W43" i="2" s="1"/>
  <c r="W12" i="2"/>
  <c r="U19" i="2"/>
  <c r="V19" i="2"/>
  <c r="V12" i="2"/>
  <c r="Z19" i="2"/>
  <c r="Z12" i="2"/>
  <c r="AA12" i="2"/>
  <c r="J19" i="2"/>
  <c r="T19" i="2"/>
  <c r="J12" i="2"/>
  <c r="T12" i="2"/>
  <c r="U12" i="2"/>
  <c r="U43" i="2" s="1"/>
  <c r="B43" i="2"/>
  <c r="M43" i="2"/>
  <c r="H43" i="2"/>
  <c r="D43" i="2"/>
  <c r="E43" i="2"/>
  <c r="F43" i="2"/>
  <c r="C43" i="2"/>
  <c r="Y43" i="2"/>
  <c r="G43" i="2"/>
  <c r="I43" i="2"/>
  <c r="K43" i="2"/>
  <c r="AA43" i="2" l="1"/>
  <c r="AB19" i="2"/>
  <c r="J43" i="2"/>
  <c r="V43" i="2"/>
  <c r="Z43" i="2"/>
  <c r="AB12" i="2"/>
  <c r="AB43" i="2" s="1"/>
  <c r="T43" i="2"/>
</calcChain>
</file>

<file path=xl/sharedStrings.xml><?xml version="1.0" encoding="utf-8"?>
<sst xmlns="http://schemas.openxmlformats.org/spreadsheetml/2006/main" count="118" uniqueCount="96">
  <si>
    <t>Paris</t>
  </si>
  <si>
    <r>
      <t>mise à jour</t>
    </r>
    <r>
      <rPr>
        <sz val="11"/>
        <color theme="1"/>
        <rFont val="Calibri"/>
        <family val="2"/>
        <scheme val="minor"/>
      </rPr>
      <t xml:space="preserve"> :</t>
    </r>
  </si>
  <si>
    <t>Masculin</t>
  </si>
  <si>
    <t>Féminin</t>
  </si>
  <si>
    <t>Total</t>
  </si>
  <si>
    <t xml:space="preserve">  - de 6 ans</t>
  </si>
  <si>
    <t xml:space="preserve"> 6/7 ans</t>
  </si>
  <si>
    <t xml:space="preserve"> 8/9 ans</t>
  </si>
  <si>
    <t xml:space="preserve"> 10/11 ans</t>
  </si>
  <si>
    <t xml:space="preserve"> 12/13 ans</t>
  </si>
  <si>
    <t>14/15 ans</t>
  </si>
  <si>
    <t>16 / 17 ans</t>
  </si>
  <si>
    <t>18 ans et +</t>
  </si>
  <si>
    <t>Athlétisme</t>
  </si>
  <si>
    <t>Aviron</t>
  </si>
  <si>
    <t>Badminton</t>
  </si>
  <si>
    <t>Basket</t>
  </si>
  <si>
    <t>Boules</t>
  </si>
  <si>
    <t>Canoë Kayak</t>
  </si>
  <si>
    <t>Cyclisme</t>
  </si>
  <si>
    <t>Cyclotourisme</t>
  </si>
  <si>
    <t>Education Physique</t>
  </si>
  <si>
    <t>Escrime</t>
  </si>
  <si>
    <t>Danse Sportive</t>
  </si>
  <si>
    <t>Football</t>
  </si>
  <si>
    <t>Gymnastique</t>
  </si>
  <si>
    <t>Handball</t>
  </si>
  <si>
    <t>Judo</t>
  </si>
  <si>
    <t>Karaté</t>
  </si>
  <si>
    <t>Hockey s/Gazon</t>
  </si>
  <si>
    <t>Hockey s/Glace</t>
  </si>
  <si>
    <t>Natation</t>
  </si>
  <si>
    <t>Pêches Sportives</t>
  </si>
  <si>
    <t>Pétanque</t>
  </si>
  <si>
    <t>Plongée</t>
  </si>
  <si>
    <t>Musculation / Wellness</t>
  </si>
  <si>
    <t>Poneys</t>
  </si>
  <si>
    <t>Rugby</t>
  </si>
  <si>
    <t>Savate</t>
  </si>
  <si>
    <t>Equitation</t>
  </si>
  <si>
    <t>Sports de Glace</t>
  </si>
  <si>
    <t>Tennis de Table</t>
  </si>
  <si>
    <t>Tir à l'Arc</t>
  </si>
  <si>
    <t>Triathlon</t>
  </si>
  <si>
    <t>Volley</t>
  </si>
  <si>
    <t>Yoga</t>
  </si>
  <si>
    <r>
      <rPr>
        <i/>
        <u/>
        <sz val="10"/>
        <rFont val="Arial"/>
        <family val="2"/>
        <charset val="1"/>
      </rPr>
      <t>mise à jour</t>
    </r>
    <r>
      <rPr>
        <i/>
        <sz val="10"/>
        <rFont val="Arial"/>
        <family val="2"/>
        <charset val="1"/>
      </rPr>
      <t>:</t>
    </r>
  </si>
  <si>
    <t>Section</t>
  </si>
  <si>
    <t>Boulogne</t>
  </si>
  <si>
    <t>Autres GPSO *</t>
  </si>
  <si>
    <t>Autres 92</t>
  </si>
  <si>
    <t>Autres Idf</t>
  </si>
  <si>
    <t>Hors IdF</t>
  </si>
  <si>
    <t>Etranger</t>
  </si>
  <si>
    <t>Total     GPSO</t>
  </si>
  <si>
    <t>Commentaire :</t>
  </si>
  <si>
    <t>ATHLETISME</t>
  </si>
  <si>
    <t>AVIRON</t>
  </si>
  <si>
    <t>BADMINTON</t>
  </si>
  <si>
    <t>BASKET</t>
  </si>
  <si>
    <t>BOULES LYONNAISES</t>
  </si>
  <si>
    <t>CANOE-KAYAK</t>
  </si>
  <si>
    <t>CYCLISME</t>
  </si>
  <si>
    <t>CYCLOTOURISME</t>
  </si>
  <si>
    <t>EDUCATION PHYSIQUE</t>
  </si>
  <si>
    <t>EQUITATION</t>
  </si>
  <si>
    <t>ESCRIME</t>
  </si>
  <si>
    <t>DANSE SPORTIVE</t>
  </si>
  <si>
    <t>FOOTBALL</t>
  </si>
  <si>
    <t>GYMNASTIQUE</t>
  </si>
  <si>
    <t>HANDBALL</t>
  </si>
  <si>
    <t>HOCKEY SUR GAZON</t>
  </si>
  <si>
    <t>HOCKEY SUR GLACE</t>
  </si>
  <si>
    <t>JUDO</t>
  </si>
  <si>
    <t>KARATE</t>
  </si>
  <si>
    <t>NATATION</t>
  </si>
  <si>
    <t>PECHES SPORTIVES</t>
  </si>
  <si>
    <t>PETANQUE</t>
  </si>
  <si>
    <t>PLONGEE SOUS MARINE</t>
  </si>
  <si>
    <t>MUSCULATION-WELNESS</t>
  </si>
  <si>
    <t>PONEYS</t>
  </si>
  <si>
    <t>RUGBY</t>
  </si>
  <si>
    <t>SAVATE</t>
  </si>
  <si>
    <t>SPORTS DE GLACE</t>
  </si>
  <si>
    <t>TENNIS DE TABLE</t>
  </si>
  <si>
    <t>TIR A L'ARC</t>
  </si>
  <si>
    <t>TRIATHLON</t>
  </si>
  <si>
    <t>VOLLEY</t>
  </si>
  <si>
    <t>YOGA</t>
  </si>
  <si>
    <t>**</t>
  </si>
  <si>
    <t>Saison 2020 / 2021</t>
  </si>
  <si>
    <t xml:space="preserve">Quelques dates de naissances sont manquantes </t>
  </si>
  <si>
    <t>* Chaville, Issy les Moulineaux, Marnes la Coquette, Meudon, Sèvres, Vanves, Ville d'Avray</t>
  </si>
  <si>
    <t xml:space="preserve">MANQUE QUELQUES ADRESSES </t>
  </si>
  <si>
    <r>
      <t xml:space="preserve">Nombre  d'adhérents  </t>
    </r>
    <r>
      <rPr>
        <b/>
        <sz val="14"/>
        <rFont val="Arial Black"/>
        <family val="2"/>
        <charset val="1"/>
      </rPr>
      <t>(au 30.06.2021)</t>
    </r>
  </si>
  <si>
    <r>
      <t xml:space="preserve">Suivi adhérents  </t>
    </r>
    <r>
      <rPr>
        <b/>
        <sz val="16"/>
        <rFont val="Arial"/>
        <family val="2"/>
      </rPr>
      <t xml:space="preserve"> (30.06.21)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</si>
</sst>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-1]_-;\-* #,##0.00\ [$€-1]_-;_-* &quot;-&quot;??\ [$€-1]_-"/>
    <numFmt numFmtId="165" formatCode="#,##0_ ;\-#,##0\ "/>
    <numFmt numFmtId="166" formatCode="#,##0\ _€;\-#,##0\ _€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6"/>
      <name val="Arial"/>
      <family val="2"/>
    </font>
    <font>
      <b/>
      <i/>
      <u/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rgb="FF0000FF"/>
      <name val="Arial"/>
      <family val="2"/>
    </font>
    <font>
      <sz val="10"/>
      <name val="Arial"/>
      <family val="2"/>
    </font>
    <font>
      <sz val="9"/>
      <color rgb="FF0000FF"/>
      <name val="Arial"/>
      <family val="2"/>
    </font>
    <font>
      <b/>
      <sz val="11"/>
      <color indexed="12"/>
      <name val="Arial"/>
      <family val="2"/>
    </font>
    <font>
      <sz val="10"/>
      <name val="Arial"/>
      <charset val="1"/>
    </font>
    <font>
      <sz val="11"/>
      <color rgb="FF000000"/>
      <name val="Calibri"/>
      <family val="2"/>
      <charset val="1"/>
    </font>
    <font>
      <b/>
      <sz val="18"/>
      <name val="Arial Black"/>
      <family val="2"/>
      <charset val="1"/>
    </font>
    <font>
      <b/>
      <sz val="14"/>
      <name val="Arial Black"/>
      <family val="2"/>
      <charset val="1"/>
    </font>
    <font>
      <sz val="16"/>
      <name val="Bahnschrift SemiBold Condensed"/>
      <family val="2"/>
      <charset val="1"/>
    </font>
    <font>
      <i/>
      <u/>
      <sz val="10"/>
      <name val="Arial"/>
      <family val="2"/>
      <charset val="1"/>
    </font>
    <font>
      <i/>
      <sz val="10"/>
      <name val="Arial"/>
      <family val="2"/>
      <charset val="1"/>
    </font>
    <font>
      <b/>
      <sz val="10"/>
      <color rgb="FF008000"/>
      <name val="Arial"/>
      <family val="2"/>
      <charset val="1"/>
    </font>
    <font>
      <b/>
      <sz val="10"/>
      <color rgb="FF333300"/>
      <name val="Arial"/>
      <family val="2"/>
      <charset val="1"/>
    </font>
    <font>
      <b/>
      <sz val="10"/>
      <color rgb="FFFF00FF"/>
      <name val="Arial"/>
      <family val="2"/>
      <charset val="1"/>
    </font>
    <font>
      <b/>
      <sz val="10"/>
      <color rgb="FF0000FF"/>
      <name val="Arial"/>
      <family val="2"/>
      <charset val="1"/>
    </font>
    <font>
      <b/>
      <sz val="10"/>
      <color rgb="FF800080"/>
      <name val="Arial"/>
      <family val="2"/>
      <charset val="1"/>
    </font>
    <font>
      <b/>
      <sz val="10"/>
      <color rgb="FFFFFFFF"/>
      <name val="Arial"/>
      <family val="2"/>
    </font>
    <font>
      <sz val="11"/>
      <color rgb="FF008000"/>
      <name val="Calibri"/>
      <family val="2"/>
      <charset val="1"/>
    </font>
    <font>
      <sz val="11"/>
      <color rgb="FFFF00FF"/>
      <name val="Calibri"/>
      <family val="2"/>
      <charset val="1"/>
    </font>
    <font>
      <sz val="11"/>
      <color rgb="FF0000FF"/>
      <name val="Calibri"/>
      <family val="2"/>
      <charset val="1"/>
    </font>
    <font>
      <sz val="11"/>
      <color rgb="FF800080"/>
      <name val="Calibri"/>
      <family val="2"/>
      <charset val="1"/>
    </font>
    <font>
      <b/>
      <sz val="10"/>
      <color rgb="FFFFFFFF"/>
      <name val="Arial"/>
      <family val="2"/>
      <charset val="1"/>
    </font>
    <font>
      <i/>
      <sz val="10"/>
      <color rgb="FF008000"/>
      <name val="Arial"/>
      <family val="2"/>
      <charset val="1"/>
    </font>
    <font>
      <b/>
      <sz val="12"/>
      <name val="Arial"/>
      <family val="2"/>
    </font>
    <font>
      <b/>
      <sz val="12"/>
      <color rgb="FF008000"/>
      <name val="Arial"/>
      <family val="2"/>
      <charset val="1"/>
    </font>
    <font>
      <sz val="12"/>
      <name val="Arial"/>
      <family val="2"/>
      <charset val="1"/>
    </font>
    <font>
      <b/>
      <i/>
      <sz val="12"/>
      <color rgb="FF008000"/>
      <name val="Arial"/>
      <family val="2"/>
      <charset val="1"/>
    </font>
    <font>
      <b/>
      <sz val="10"/>
      <name val="Arial"/>
      <family val="2"/>
      <charset val="1"/>
    </font>
    <font>
      <b/>
      <sz val="12"/>
      <name val="Arial"/>
      <family val="2"/>
      <charset val="1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rgb="FFD9D9D9"/>
      </patternFill>
    </fill>
    <fill>
      <patternFill patternType="solid">
        <fgColor rgb="FF999999"/>
        <bgColor rgb="FF969696"/>
      </patternFill>
    </fill>
    <fill>
      <patternFill patternType="solid">
        <fgColor rgb="FFFFFFFF"/>
        <bgColor rgb="FFFFFFCC"/>
      </patternFill>
    </fill>
    <fill>
      <patternFill patternType="solid">
        <fgColor rgb="FFEEEEEE"/>
        <bgColor rgb="FFDDE8CB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 tint="-0.34998626667073579"/>
        <bgColor rgb="FF969696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rgb="FF999999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rgb="FFFFFFFF"/>
      </right>
      <top style="hair">
        <color auto="1"/>
      </top>
      <bottom style="hair">
        <color rgb="FFFFFFFF"/>
      </bottom>
      <diagonal/>
    </border>
    <border>
      <left style="hair">
        <color rgb="FFFFFFFF"/>
      </left>
      <right style="hair">
        <color auto="1"/>
      </right>
      <top style="hair">
        <color auto="1"/>
      </top>
      <bottom style="hair">
        <color rgb="FFFFFFFF"/>
      </bottom>
      <diagonal/>
    </border>
    <border>
      <left style="hair">
        <color auto="1"/>
      </left>
      <right/>
      <top/>
      <bottom/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8" fillId="0" borderId="0"/>
    <xf numFmtId="0" fontId="29" fillId="0" borderId="0"/>
    <xf numFmtId="0" fontId="1" fillId="0" borderId="0"/>
  </cellStyleXfs>
  <cellXfs count="100">
    <xf numFmtId="0" fontId="0" fillId="0" borderId="0" xfId="0"/>
    <xf numFmtId="0" fontId="20" fillId="0" borderId="0" xfId="0" applyFont="1"/>
    <xf numFmtId="14" fontId="21" fillId="0" borderId="0" xfId="0" applyNumberFormat="1" applyFont="1"/>
    <xf numFmtId="0" fontId="22" fillId="0" borderId="0" xfId="0" applyFont="1"/>
    <xf numFmtId="16" fontId="21" fillId="33" borderId="14" xfId="0" applyNumberFormat="1" applyFont="1" applyFill="1" applyBorder="1" applyAlignment="1">
      <alignment horizontal="center"/>
    </xf>
    <xf numFmtId="16" fontId="21" fillId="33" borderId="15" xfId="0" applyNumberFormat="1" applyFont="1" applyFill="1" applyBorder="1" applyAlignment="1">
      <alignment horizontal="center"/>
    </xf>
    <xf numFmtId="16" fontId="21" fillId="33" borderId="16" xfId="0" applyNumberFormat="1" applyFont="1" applyFill="1" applyBorder="1" applyAlignment="1">
      <alignment horizontal="center"/>
    </xf>
    <xf numFmtId="16" fontId="21" fillId="33" borderId="17" xfId="0" applyNumberFormat="1" applyFont="1" applyFill="1" applyBorder="1" applyAlignment="1">
      <alignment horizontal="center"/>
    </xf>
    <xf numFmtId="16" fontId="21" fillId="33" borderId="15" xfId="0" quotePrefix="1" applyNumberFormat="1" applyFont="1" applyFill="1" applyBorder="1" applyAlignment="1">
      <alignment horizontal="center"/>
    </xf>
    <xf numFmtId="16" fontId="21" fillId="33" borderId="18" xfId="0" applyNumberFormat="1" applyFont="1" applyFill="1" applyBorder="1" applyAlignment="1">
      <alignment horizontal="center"/>
    </xf>
    <xf numFmtId="16" fontId="21" fillId="33" borderId="19" xfId="0" quotePrefix="1" applyNumberFormat="1" applyFont="1" applyFill="1" applyBorder="1" applyAlignment="1">
      <alignment horizontal="center"/>
    </xf>
    <xf numFmtId="16" fontId="21" fillId="33" borderId="20" xfId="0" applyNumberFormat="1" applyFont="1" applyFill="1" applyBorder="1" applyAlignment="1">
      <alignment horizontal="center"/>
    </xf>
    <xf numFmtId="0" fontId="21" fillId="34" borderId="21" xfId="0" applyFont="1" applyFill="1" applyBorder="1"/>
    <xf numFmtId="3" fontId="24" fillId="34" borderId="22" xfId="0" applyNumberFormat="1" applyFont="1" applyFill="1" applyBorder="1" applyAlignment="1">
      <alignment horizontal="center"/>
    </xf>
    <xf numFmtId="3" fontId="24" fillId="34" borderId="23" xfId="0" applyNumberFormat="1" applyFont="1" applyFill="1" applyBorder="1" applyAlignment="1">
      <alignment horizontal="center"/>
    </xf>
    <xf numFmtId="165" fontId="26" fillId="34" borderId="24" xfId="42" applyNumberFormat="1" applyFont="1" applyFill="1" applyBorder="1" applyAlignment="1">
      <alignment horizontal="center"/>
    </xf>
    <xf numFmtId="165" fontId="26" fillId="34" borderId="25" xfId="42" applyNumberFormat="1" applyFont="1" applyFill="1" applyBorder="1" applyAlignment="1">
      <alignment horizontal="center"/>
    </xf>
    <xf numFmtId="0" fontId="21" fillId="35" borderId="23" xfId="0" applyFont="1" applyFill="1" applyBorder="1"/>
    <xf numFmtId="3" fontId="24" fillId="35" borderId="23" xfId="0" applyNumberFormat="1" applyFont="1" applyFill="1" applyBorder="1" applyAlignment="1">
      <alignment horizontal="center"/>
    </xf>
    <xf numFmtId="165" fontId="26" fillId="35" borderId="24" xfId="42" applyNumberFormat="1" applyFont="1" applyFill="1" applyBorder="1" applyAlignment="1">
      <alignment horizontal="center"/>
    </xf>
    <xf numFmtId="165" fontId="26" fillId="35" borderId="25" xfId="42" applyNumberFormat="1" applyFont="1" applyFill="1" applyBorder="1" applyAlignment="1">
      <alignment horizontal="center"/>
    </xf>
    <xf numFmtId="0" fontId="21" fillId="34" borderId="23" xfId="0" applyFont="1" applyFill="1" applyBorder="1"/>
    <xf numFmtId="0" fontId="21" fillId="34" borderId="26" xfId="0" applyFont="1" applyFill="1" applyBorder="1"/>
    <xf numFmtId="0" fontId="0" fillId="0" borderId="24" xfId="0" applyBorder="1"/>
    <xf numFmtId="0" fontId="0" fillId="0" borderId="27" xfId="0" applyBorder="1"/>
    <xf numFmtId="0" fontId="0" fillId="0" borderId="28" xfId="0" applyBorder="1"/>
    <xf numFmtId="0" fontId="23" fillId="0" borderId="11" xfId="0" applyFont="1" applyBorder="1" applyAlignment="1">
      <alignment horizontal="center"/>
    </xf>
    <xf numFmtId="3" fontId="27" fillId="0" borderId="29" xfId="0" applyNumberFormat="1" applyFont="1" applyBorder="1" applyAlignment="1">
      <alignment horizontal="center"/>
    </xf>
    <xf numFmtId="0" fontId="28" fillId="0" borderId="0" xfId="44"/>
    <xf numFmtId="14" fontId="28" fillId="0" borderId="0" xfId="44" applyNumberFormat="1"/>
    <xf numFmtId="0" fontId="33" fillId="0" borderId="0" xfId="44" applyFont="1" applyAlignment="1">
      <alignment horizontal="right"/>
    </xf>
    <xf numFmtId="14" fontId="34" fillId="0" borderId="0" xfId="44" applyNumberFormat="1" applyFont="1"/>
    <xf numFmtId="0" fontId="21" fillId="0" borderId="30" xfId="44" applyFont="1" applyBorder="1" applyAlignment="1">
      <alignment horizontal="center" vertical="center" wrapText="1"/>
    </xf>
    <xf numFmtId="0" fontId="35" fillId="0" borderId="30" xfId="44" applyFont="1" applyBorder="1" applyAlignment="1">
      <alignment horizontal="center" vertical="center" wrapText="1"/>
    </xf>
    <xf numFmtId="0" fontId="36" fillId="0" borderId="30" xfId="44" applyFont="1" applyBorder="1" applyAlignment="1">
      <alignment horizontal="center" vertical="center" wrapText="1"/>
    </xf>
    <xf numFmtId="0" fontId="37" fillId="0" borderId="30" xfId="44" applyFont="1" applyBorder="1" applyAlignment="1">
      <alignment horizontal="center" vertical="center" wrapText="1"/>
    </xf>
    <xf numFmtId="0" fontId="38" fillId="0" borderId="30" xfId="44" applyFont="1" applyBorder="1" applyAlignment="1">
      <alignment horizontal="center" vertical="center" wrapText="1"/>
    </xf>
    <xf numFmtId="0" fontId="39" fillId="0" borderId="30" xfId="44" applyFont="1" applyBorder="1" applyAlignment="1">
      <alignment horizontal="center" vertical="center" wrapText="1"/>
    </xf>
    <xf numFmtId="0" fontId="21" fillId="0" borderId="31" xfId="44" applyFont="1" applyBorder="1" applyAlignment="1">
      <alignment horizontal="center" vertical="center" wrapText="1"/>
    </xf>
    <xf numFmtId="0" fontId="40" fillId="37" borderId="32" xfId="44" applyFont="1" applyFill="1" applyBorder="1" applyAlignment="1">
      <alignment horizontal="center" vertical="center" wrapText="1"/>
    </xf>
    <xf numFmtId="0" fontId="21" fillId="0" borderId="33" xfId="44" applyFont="1" applyBorder="1" applyAlignment="1">
      <alignment horizontal="center" vertical="center"/>
    </xf>
    <xf numFmtId="0" fontId="21" fillId="0" borderId="33" xfId="44" applyFont="1" applyBorder="1" applyAlignment="1">
      <alignment horizontal="left" vertical="center" wrapText="1" indent="1"/>
    </xf>
    <xf numFmtId="0" fontId="41" fillId="38" borderId="33" xfId="45" applyFont="1" applyFill="1" applyBorder="1" applyAlignment="1">
      <alignment horizontal="center" wrapText="1"/>
    </xf>
    <xf numFmtId="0" fontId="29" fillId="38" borderId="33" xfId="45" applyFont="1" applyFill="1" applyBorder="1" applyAlignment="1">
      <alignment horizontal="center" wrapText="1"/>
    </xf>
    <xf numFmtId="0" fontId="42" fillId="38" borderId="33" xfId="45" applyFont="1" applyFill="1" applyBorder="1" applyAlignment="1">
      <alignment horizontal="center" wrapText="1"/>
    </xf>
    <xf numFmtId="0" fontId="43" fillId="38" borderId="33" xfId="45" applyFont="1" applyFill="1" applyBorder="1" applyAlignment="1">
      <alignment horizontal="center" wrapText="1"/>
    </xf>
    <xf numFmtId="0" fontId="44" fillId="38" borderId="33" xfId="45" applyFont="1" applyFill="1" applyBorder="1" applyAlignment="1">
      <alignment horizontal="center" wrapText="1"/>
    </xf>
    <xf numFmtId="0" fontId="29" fillId="38" borderId="33" xfId="45" applyFill="1" applyBorder="1" applyAlignment="1">
      <alignment horizontal="center" wrapText="1"/>
    </xf>
    <xf numFmtId="0" fontId="45" fillId="37" borderId="34" xfId="44" applyFont="1" applyFill="1" applyBorder="1" applyAlignment="1">
      <alignment horizontal="center" wrapText="1"/>
    </xf>
    <xf numFmtId="0" fontId="46" fillId="0" borderId="21" xfId="44" applyFont="1" applyBorder="1" applyAlignment="1">
      <alignment horizontal="center" wrapText="1"/>
    </xf>
    <xf numFmtId="0" fontId="28" fillId="0" borderId="33" xfId="44" applyBorder="1" applyAlignment="1">
      <alignment horizontal="center"/>
    </xf>
    <xf numFmtId="0" fontId="47" fillId="0" borderId="35" xfId="44" applyFont="1" applyBorder="1" applyAlignment="1">
      <alignment horizontal="center" vertical="center" wrapText="1"/>
    </xf>
    <xf numFmtId="3" fontId="48" fillId="0" borderId="36" xfId="44" applyNumberFormat="1" applyFont="1" applyBorder="1" applyAlignment="1">
      <alignment horizontal="center" vertical="center" wrapText="1"/>
    </xf>
    <xf numFmtId="3" fontId="49" fillId="0" borderId="0" xfId="44" applyNumberFormat="1" applyFont="1"/>
    <xf numFmtId="3" fontId="50" fillId="0" borderId="29" xfId="44" applyNumberFormat="1" applyFont="1" applyBorder="1" applyAlignment="1">
      <alignment horizontal="center" vertical="center" wrapText="1"/>
    </xf>
    <xf numFmtId="166" fontId="47" fillId="39" borderId="38" xfId="44" applyNumberFormat="1" applyFont="1" applyFill="1" applyBorder="1" applyAlignment="1">
      <alignment horizontal="center"/>
    </xf>
    <xf numFmtId="3" fontId="24" fillId="35" borderId="22" xfId="0" applyNumberFormat="1" applyFont="1" applyFill="1" applyBorder="1" applyAlignment="1">
      <alignment horizontal="center"/>
    </xf>
    <xf numFmtId="0" fontId="0" fillId="35" borderId="0" xfId="0" applyFill="1"/>
    <xf numFmtId="0" fontId="0" fillId="40" borderId="0" xfId="0" applyFill="1"/>
    <xf numFmtId="0" fontId="28" fillId="42" borderId="33" xfId="44" applyFont="1" applyFill="1" applyBorder="1" applyAlignment="1">
      <alignment horizontal="center"/>
    </xf>
    <xf numFmtId="0" fontId="28" fillId="35" borderId="33" xfId="44" applyFill="1" applyBorder="1" applyAlignment="1">
      <alignment horizontal="center"/>
    </xf>
    <xf numFmtId="0" fontId="25" fillId="42" borderId="33" xfId="44" applyFont="1" applyFill="1" applyBorder="1" applyAlignment="1">
      <alignment horizontal="center" vertical="center"/>
    </xf>
    <xf numFmtId="0" fontId="21" fillId="35" borderId="33" xfId="44" applyFont="1" applyFill="1" applyBorder="1" applyAlignment="1">
      <alignment horizontal="left" vertical="center" wrapText="1" indent="1"/>
    </xf>
    <xf numFmtId="0" fontId="0" fillId="0" borderId="0" xfId="0"/>
    <xf numFmtId="0" fontId="28" fillId="0" borderId="0" xfId="44" applyAlignment="1">
      <alignment horizontal="center" vertical="center" wrapText="1"/>
    </xf>
    <xf numFmtId="0" fontId="28" fillId="0" borderId="0" xfId="44" applyAlignment="1">
      <alignment vertical="center"/>
    </xf>
    <xf numFmtId="0" fontId="41" fillId="44" borderId="33" xfId="45" applyFont="1" applyFill="1" applyBorder="1" applyAlignment="1">
      <alignment horizontal="center" wrapText="1"/>
    </xf>
    <xf numFmtId="0" fontId="29" fillId="44" borderId="33" xfId="45" applyFont="1" applyFill="1" applyBorder="1" applyAlignment="1">
      <alignment horizontal="center" wrapText="1"/>
    </xf>
    <xf numFmtId="0" fontId="42" fillId="44" borderId="33" xfId="45" applyFont="1" applyFill="1" applyBorder="1" applyAlignment="1">
      <alignment horizontal="center" wrapText="1"/>
    </xf>
    <xf numFmtId="0" fontId="43" fillId="44" borderId="33" xfId="45" applyFont="1" applyFill="1" applyBorder="1" applyAlignment="1">
      <alignment horizontal="center" wrapText="1"/>
    </xf>
    <xf numFmtId="0" fontId="44" fillId="44" borderId="33" xfId="45" applyFont="1" applyFill="1" applyBorder="1" applyAlignment="1">
      <alignment horizontal="center" wrapText="1"/>
    </xf>
    <xf numFmtId="0" fontId="29" fillId="44" borderId="33" xfId="45" applyFill="1" applyBorder="1" applyAlignment="1">
      <alignment horizontal="center" wrapText="1"/>
    </xf>
    <xf numFmtId="14" fontId="28" fillId="35" borderId="0" xfId="44" applyNumberFormat="1" applyFill="1"/>
    <xf numFmtId="0" fontId="46" fillId="35" borderId="21" xfId="44" applyFont="1" applyFill="1" applyBorder="1" applyAlignment="1">
      <alignment horizontal="center" wrapText="1"/>
    </xf>
    <xf numFmtId="0" fontId="25" fillId="35" borderId="33" xfId="44" applyFont="1" applyFill="1" applyBorder="1" applyAlignment="1">
      <alignment horizontal="center"/>
    </xf>
    <xf numFmtId="0" fontId="45" fillId="45" borderId="34" xfId="44" applyFont="1" applyFill="1" applyBorder="1" applyAlignment="1">
      <alignment horizontal="center" wrapText="1"/>
    </xf>
    <xf numFmtId="0" fontId="51" fillId="45" borderId="34" xfId="44" applyFont="1" applyFill="1" applyBorder="1" applyAlignment="1">
      <alignment horizontal="center" wrapText="1"/>
    </xf>
    <xf numFmtId="3" fontId="0" fillId="0" borderId="0" xfId="0" applyNumberFormat="1"/>
    <xf numFmtId="0" fontId="21" fillId="46" borderId="23" xfId="0" applyFont="1" applyFill="1" applyBorder="1"/>
    <xf numFmtId="3" fontId="24" fillId="46" borderId="22" xfId="0" applyNumberFormat="1" applyFont="1" applyFill="1" applyBorder="1" applyAlignment="1">
      <alignment horizontal="center"/>
    </xf>
    <xf numFmtId="165" fontId="26" fillId="46" borderId="24" xfId="42" applyNumberFormat="1" applyFont="1" applyFill="1" applyBorder="1" applyAlignment="1">
      <alignment horizontal="center"/>
    </xf>
    <xf numFmtId="165" fontId="26" fillId="46" borderId="25" xfId="42" applyNumberFormat="1" applyFont="1" applyFill="1" applyBorder="1" applyAlignment="1">
      <alignment horizontal="center"/>
    </xf>
    <xf numFmtId="3" fontId="24" fillId="46" borderId="23" xfId="0" applyNumberFormat="1" applyFont="1" applyFill="1" applyBorder="1" applyAlignment="1">
      <alignment horizontal="center"/>
    </xf>
    <xf numFmtId="0" fontId="0" fillId="46" borderId="0" xfId="0" applyFill="1"/>
    <xf numFmtId="0" fontId="25" fillId="0" borderId="33" xfId="44" applyFont="1" applyFill="1" applyBorder="1" applyAlignment="1">
      <alignment horizontal="center"/>
    </xf>
    <xf numFmtId="3" fontId="27" fillId="41" borderId="29" xfId="0" applyNumberFormat="1" applyFont="1" applyFill="1" applyBorder="1" applyAlignment="1">
      <alignment horizontal="center"/>
    </xf>
    <xf numFmtId="3" fontId="52" fillId="47" borderId="29" xfId="44" applyNumberFormat="1" applyFont="1" applyFill="1" applyBorder="1" applyAlignment="1">
      <alignment horizontal="center" vertical="center" wrapText="1"/>
    </xf>
    <xf numFmtId="0" fontId="30" fillId="36" borderId="29" xfId="44" applyFont="1" applyFill="1" applyBorder="1" applyAlignment="1">
      <alignment horizontal="center" vertical="center"/>
    </xf>
    <xf numFmtId="0" fontId="32" fillId="0" borderId="0" xfId="44" applyFont="1" applyBorder="1" applyAlignment="1">
      <alignment horizontal="center" vertical="center"/>
    </xf>
    <xf numFmtId="0" fontId="21" fillId="39" borderId="37" xfId="44" applyFont="1" applyFill="1" applyBorder="1" applyAlignment="1">
      <alignment horizontal="center" vertical="center"/>
    </xf>
    <xf numFmtId="0" fontId="28" fillId="0" borderId="33" xfId="44" applyFont="1" applyBorder="1" applyAlignment="1">
      <alignment horizontal="center" vertical="center" wrapText="1"/>
    </xf>
    <xf numFmtId="0" fontId="28" fillId="0" borderId="0" xfId="44" applyFont="1" applyAlignment="1">
      <alignment horizontal="center"/>
    </xf>
    <xf numFmtId="0" fontId="25" fillId="43" borderId="39" xfId="44" applyFont="1" applyFill="1" applyBorder="1" applyAlignment="1">
      <alignment horizontal="center"/>
    </xf>
    <xf numFmtId="0" fontId="25" fillId="43" borderId="0" xfId="44" applyFont="1" applyFill="1" applyBorder="1" applyAlignment="1">
      <alignment horizontal="center"/>
    </xf>
    <xf numFmtId="0" fontId="0" fillId="41" borderId="0" xfId="0" applyFill="1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0" fillId="0" borderId="0" xfId="0"/>
    <xf numFmtId="16" fontId="23" fillId="33" borderId="11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Euro" xfId="42" xr:uid="{47E40DE0-B088-466B-9156-AD274EF7B8F8}"/>
    <cellStyle name="Insatisfaisant" xfId="7" builtinId="27" customBuiltin="1"/>
    <cellStyle name="Neutre" xfId="8" builtinId="28" customBuiltin="1"/>
    <cellStyle name="Normal" xfId="0" builtinId="0"/>
    <cellStyle name="Normal 2" xfId="43" xr:uid="{604F7146-BF3E-4DED-AEA6-24C927C7798F}"/>
    <cellStyle name="Normal 2 2" xfId="46" xr:uid="{CD1CA2CD-F39E-4FF0-8254-0E476419C611}"/>
    <cellStyle name="Normal 3" xfId="44" xr:uid="{3C2BB31D-B6AB-41AE-BCDF-4DAC88873392}"/>
    <cellStyle name="Normal_tableau récap" xfId="45" xr:uid="{39406445-F42B-429F-BEEB-473133711F37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port%20adh&#233;rents%20utilis&#233;es%20pour%20stat%2020-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2">
          <cell r="E2" t="str">
            <v>M</v>
          </cell>
          <cell r="K2">
            <v>92100</v>
          </cell>
          <cell r="M2" t="str">
            <v>FR</v>
          </cell>
          <cell r="P2" t="str">
            <v>ACBB Basketball</v>
          </cell>
          <cell r="T2">
            <v>11</v>
          </cell>
        </row>
        <row r="3">
          <cell r="E3" t="str">
            <v>F</v>
          </cell>
          <cell r="K3">
            <v>92100</v>
          </cell>
          <cell r="M3" t="str">
            <v>FR</v>
          </cell>
          <cell r="P3" t="str">
            <v>ACBB Basketball</v>
          </cell>
          <cell r="T3">
            <v>12</v>
          </cell>
        </row>
        <row r="4">
          <cell r="E4" t="str">
            <v>M</v>
          </cell>
          <cell r="K4">
            <v>92100</v>
          </cell>
          <cell r="M4" t="str">
            <v>FR</v>
          </cell>
          <cell r="P4" t="str">
            <v>ACBB DANSE SPORTIVE</v>
          </cell>
          <cell r="T4">
            <v>63</v>
          </cell>
        </row>
        <row r="5">
          <cell r="E5" t="str">
            <v>F</v>
          </cell>
          <cell r="K5">
            <v>92100</v>
          </cell>
          <cell r="M5" t="str">
            <v>FR</v>
          </cell>
          <cell r="P5" t="str">
            <v>ACBB DANSE SPORTIVE</v>
          </cell>
          <cell r="T5">
            <v>65</v>
          </cell>
        </row>
        <row r="6">
          <cell r="E6" t="str">
            <v>M</v>
          </cell>
          <cell r="K6">
            <v>92100</v>
          </cell>
          <cell r="M6" t="str">
            <v>FR</v>
          </cell>
          <cell r="P6" t="str">
            <v>ACBB DANSE SPORTIVE</v>
          </cell>
          <cell r="T6">
            <v>46</v>
          </cell>
        </row>
        <row r="7">
          <cell r="E7" t="str">
            <v>F</v>
          </cell>
          <cell r="K7">
            <v>92100</v>
          </cell>
          <cell r="M7" t="str">
            <v>FR</v>
          </cell>
          <cell r="P7" t="str">
            <v>ACBB DANSE SPORTIVE</v>
          </cell>
          <cell r="T7">
            <v>57</v>
          </cell>
        </row>
        <row r="8">
          <cell r="E8" t="str">
            <v>F</v>
          </cell>
          <cell r="K8">
            <v>92100</v>
          </cell>
          <cell r="M8" t="str">
            <v>FR</v>
          </cell>
          <cell r="P8" t="str">
            <v>ACBB DANSE SPORTIVE</v>
          </cell>
          <cell r="T8">
            <v>4</v>
          </cell>
        </row>
        <row r="9">
          <cell r="E9" t="str">
            <v>F</v>
          </cell>
          <cell r="K9">
            <v>92100</v>
          </cell>
          <cell r="M9" t="str">
            <v>FR</v>
          </cell>
          <cell r="P9" t="str">
            <v>ACBB DANSE SPORTIVE</v>
          </cell>
          <cell r="T9">
            <v>66</v>
          </cell>
        </row>
        <row r="10">
          <cell r="E10" t="str">
            <v>M</v>
          </cell>
          <cell r="K10">
            <v>92100</v>
          </cell>
          <cell r="M10" t="str">
            <v>FR</v>
          </cell>
          <cell r="P10" t="str">
            <v>ACBB DANSE SPORTIVE</v>
          </cell>
          <cell r="T10">
            <v>40</v>
          </cell>
        </row>
        <row r="11">
          <cell r="E11" t="str">
            <v>M</v>
          </cell>
          <cell r="K11">
            <v>78160</v>
          </cell>
          <cell r="M11" t="str">
            <v>FR</v>
          </cell>
          <cell r="P11" t="str">
            <v>ACBB DANSE SPORTIVE</v>
          </cell>
          <cell r="T11">
            <v>38</v>
          </cell>
        </row>
        <row r="12">
          <cell r="E12" t="str">
            <v>F</v>
          </cell>
          <cell r="K12">
            <v>92100</v>
          </cell>
          <cell r="M12" t="str">
            <v>FR</v>
          </cell>
          <cell r="P12" t="str">
            <v>ACBB DANSE SPORTIVE</v>
          </cell>
          <cell r="T12">
            <v>51</v>
          </cell>
        </row>
        <row r="13">
          <cell r="E13" t="str">
            <v>M</v>
          </cell>
          <cell r="K13">
            <v>92100</v>
          </cell>
          <cell r="M13" t="str">
            <v>FR</v>
          </cell>
          <cell r="P13" t="str">
            <v>ACBB DANSE SPORTIVE</v>
          </cell>
          <cell r="T13">
            <v>56</v>
          </cell>
        </row>
        <row r="14">
          <cell r="E14" t="str">
            <v>F</v>
          </cell>
          <cell r="K14">
            <v>92370</v>
          </cell>
          <cell r="M14" t="str">
            <v>FR</v>
          </cell>
          <cell r="P14" t="str">
            <v>ACBB DANSE SPORTIVE</v>
          </cell>
          <cell r="T14">
            <v>54</v>
          </cell>
        </row>
        <row r="15">
          <cell r="E15" t="str">
            <v>M</v>
          </cell>
          <cell r="K15">
            <v>92100</v>
          </cell>
          <cell r="M15" t="str">
            <v>FR</v>
          </cell>
          <cell r="P15" t="str">
            <v>ACBB DANSE SPORTIVE</v>
          </cell>
          <cell r="T15">
            <v>41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AC47E-3728-4129-A869-78BAD7FA69AA}">
  <dimension ref="A1:L48"/>
  <sheetViews>
    <sheetView zoomScale="80" zoomScaleNormal="80" workbookViewId="0">
      <selection activeCell="D23" sqref="D23"/>
    </sheetView>
  </sheetViews>
  <sheetFormatPr baseColWidth="10" defaultRowHeight="15" x14ac:dyDescent="0.25"/>
  <cols>
    <col min="1" max="1" width="21.5703125" customWidth="1"/>
    <col min="2" max="2" width="11.85546875" customWidth="1"/>
    <col min="3" max="3" width="10.5703125" customWidth="1"/>
    <col min="5" max="5" width="9.5703125" customWidth="1"/>
    <col min="7" max="7" width="9.5703125" customWidth="1"/>
    <col min="9" max="9" width="11.140625" customWidth="1"/>
    <col min="10" max="10" width="4.42578125" customWidth="1"/>
    <col min="11" max="11" width="8.140625" customWidth="1"/>
    <col min="12" max="12" width="31.85546875" customWidth="1"/>
  </cols>
  <sheetData>
    <row r="1" spans="1:12" ht="28.5" thickTop="1" thickBot="1" x14ac:dyDescent="0.3">
      <c r="A1" s="87" t="s">
        <v>94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28"/>
    </row>
    <row r="2" spans="1:12" ht="20.25" thickTop="1" x14ac:dyDescent="0.25">
      <c r="A2" s="88" t="s">
        <v>90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28"/>
    </row>
    <row r="3" spans="1:12" x14ac:dyDescent="0.25">
      <c r="A3" s="28"/>
      <c r="B3" s="28"/>
      <c r="C3" s="28"/>
      <c r="D3" s="28"/>
      <c r="E3" s="28"/>
      <c r="F3" s="28"/>
      <c r="G3" s="28"/>
      <c r="H3" s="30" t="s">
        <v>46</v>
      </c>
      <c r="I3" s="31">
        <v>44546</v>
      </c>
      <c r="J3" s="31"/>
      <c r="K3" s="28"/>
      <c r="L3" s="28"/>
    </row>
    <row r="4" spans="1:12" x14ac:dyDescent="0.25">
      <c r="A4" s="28"/>
      <c r="B4" s="28"/>
      <c r="C4" s="28"/>
      <c r="D4" s="28"/>
      <c r="E4" s="28"/>
      <c r="F4" s="28"/>
      <c r="G4" s="28"/>
      <c r="H4" s="28"/>
      <c r="I4" s="29"/>
      <c r="J4" s="29"/>
      <c r="K4" s="28"/>
      <c r="L4" s="28"/>
    </row>
    <row r="5" spans="1:12" ht="25.5" x14ac:dyDescent="0.25">
      <c r="A5" s="32" t="s">
        <v>47</v>
      </c>
      <c r="B5" s="33" t="s">
        <v>48</v>
      </c>
      <c r="C5" s="34" t="s">
        <v>49</v>
      </c>
      <c r="D5" s="35" t="s">
        <v>50</v>
      </c>
      <c r="E5" s="36" t="s">
        <v>0</v>
      </c>
      <c r="F5" s="37" t="s">
        <v>51</v>
      </c>
      <c r="G5" s="32" t="s">
        <v>52</v>
      </c>
      <c r="H5" s="38" t="s">
        <v>53</v>
      </c>
      <c r="I5" s="39" t="s">
        <v>4</v>
      </c>
      <c r="J5" s="29"/>
      <c r="K5" s="32" t="s">
        <v>54</v>
      </c>
      <c r="L5" s="40" t="s">
        <v>55</v>
      </c>
    </row>
    <row r="6" spans="1:12" x14ac:dyDescent="0.25">
      <c r="A6" s="62" t="s">
        <v>56</v>
      </c>
      <c r="B6" s="42">
        <f>COUNTIFS([1]EXPORT!$P$2:$P$15025,"ACBB ATHLÉTISME",[1]EXPORT!$K$2:$K$15025,"92100")</f>
        <v>0</v>
      </c>
      <c r="C6" s="43">
        <f>COUNTIFS([1]EXPORT!$P$2:$P$15025,"ACBB ATHLÉTISME",[1]EXPORT!$K$2:$K$15025,"92370")+ COUNTIFS([1]EXPORT!$P$2:$P$15025,"ACBB ATHLÉTISME",[1]EXPORT!$K$2:$K$15025,"92130")+ COUNTIFS([1]EXPORT!$P$2:$P$15025,"ACBB ATHLÉTISME",[1]EXPORT!$K$2:$K$15025,"92430")+ COUNTIFS([1]EXPORT!$P$2:$P$15025,"ACBB ATHLÉTISME",[1]EXPORT!$K$2:$K$15025,"92190")+ COUNTIFS([1]EXPORT!$P$2:$P$15025,"ACBB ATHLÉTISME",[1]EXPORT!$K$2:$K$15025,"92360")+ COUNTIFS([1]EXPORT!$P$2:$P$15025,"ACBB ATHLÉTISME",[1]EXPORT!$K$2:$K$15025,"92310")+ COUNTIFS([1]EXPORT!$P$2:$P$15025,"ACBB ATHLÉTISME",[1]EXPORT!$K$2:$K$15025,"92170")+ COUNTIFS([1]EXPORT!$P$2:$P$15025,"ACBB ATHLÉTISME",[1]EXPORT!$K$2:$K$15025,"92410")</f>
        <v>0</v>
      </c>
      <c r="D6" s="44">
        <f>COUNTIFS([1]EXPORT!$P$2:$P$15025,"ACBB ATHLÉTISME",[1]EXPORT!$K$2:$K$15025,"&gt;=92000")- COUNTIFS([1]EXPORT!$P$2:$P$15025,"ACBB ATHLÉTISME",[1]EXPORT!$K$2:$K$15025,"&gt;93000")-C6-B6</f>
        <v>0</v>
      </c>
      <c r="E6" s="45">
        <f>COUNTIFS([1]EXPORT!$P$2:$P$15025,"ACBB ATHLÉTISME",[1]EXPORT!$K$2:$K$15025,"&gt;=75000")- COUNTIFS([1]EXPORT!$P$2:$P$15025,"ACBB ATHLÉTISME",[1]EXPORT!$K$2:$K$15025,"&gt;76000")</f>
        <v>0</v>
      </c>
      <c r="F6" s="46">
        <f>COUNTIFS([1]EXPORT!$P$2:$P$15025,"ACBB ATHLÉTISME",[1]EXPORT!$K$2:$K$15025,"&gt;=75000")- COUNTIFS([1]EXPORT!$P$2:$P$15025,"ACBB ATHLÉTISME",[1]EXPORT!$K$2:$K$15025,"&gt;76000")+COUNTIFS([1]EXPORT!$P$2:$P$15025,"ACBB ATHLÉTISME",[1]EXPORT!$K$2:$K$15025,"&gt;=77000")- COUNTIFS([1]EXPORT!$P$2:$P$15025,"ACBB ATHLÉTISME",[1]EXPORT!$K$2:$K$15025,"&gt;78000")+COUNTIFS([1]EXPORT!$P$2:$P$15025,"ACBB ATHLÉTISME",[1]EXPORT!$K$2:$K$15025,"&gt;=78000")- COUNTIFS([1]EXPORT!$P$2:$P$15025,"ACBB ATHLÉTISME",[1]EXPORT!$K$2:$K$15025,"&gt;79000")+COUNTIFS([1]EXPORT!$P$2:$P$15025,"ACBB ATHLÉTISME",[1]EXPORT!$K$2:$K$15025,"&gt;=91000")- COUNTIFS([1]EXPORT!$P$2:$P$15025,"ACBB ATHLÉTISME",[1]EXPORT!$K$2:$K$15025,"&gt;92000")+COUNTIFS([1]EXPORT!$P$2:$P$15025,"ACBB ATHLÉTISME",[1]EXPORT!$K$2:$K$15025,"&gt;=92000")- COUNTIFS([1]EXPORT!$P$2:$P$15025,"ACBB ATHLÉTISME",[1]EXPORT!$K$2:$K$15025,"&gt;96000")-E6-D6-C6-B6</f>
        <v>0</v>
      </c>
      <c r="G6" s="46">
        <f>COUNTIFS([1]EXPORT!$P$2:$P$15025,"ACBB ATHLÉTISME",[1]EXPORT!$M$2:$M$15025,"FR")-F6-E6-D6-C6-B6</f>
        <v>0</v>
      </c>
      <c r="H6" s="47">
        <f>COUNTIFS([1]EXPORT!$P$2:$P$15025,"ACBB ATHLÉTISME",[1]EXPORT!$M$2:$M$15025,"&lt;&gt;FR")</f>
        <v>0</v>
      </c>
      <c r="I6" s="48">
        <f>SUM(B6:H6)</f>
        <v>0</v>
      </c>
      <c r="J6" s="29"/>
      <c r="K6" s="49">
        <f>B6+C6</f>
        <v>0</v>
      </c>
      <c r="L6" s="50"/>
    </row>
    <row r="7" spans="1:12" x14ac:dyDescent="0.25">
      <c r="A7" s="62" t="s">
        <v>57</v>
      </c>
      <c r="B7" s="42">
        <f>COUNTIFS([1]EXPORT!$P$2:$P$15025,"ACBB AVIRON",[1]EXPORT!$K$2:$K$15025,"92100")</f>
        <v>0</v>
      </c>
      <c r="C7" s="43">
        <f>COUNTIFS([1]EXPORT!$P$2:$P$15025,"ACBB AVIRON",[1]EXPORT!$K$2:$K$15025,"92370")+ COUNTIFS([1]EXPORT!$P$2:$P$15025,"ACBB AVIRON",[1]EXPORT!$K$2:$K$15025,"92130")+ COUNTIFS([1]EXPORT!$P$2:$P$15025,"ACBB AVIRON",[1]EXPORT!$K$2:$K$15025,"92430")+ COUNTIFS([1]EXPORT!$P$2:$P$15025,"ACBB AVIRON",[1]EXPORT!$K$2:$K$15025,"92190")+ COUNTIFS([1]EXPORT!$P$2:$P$15025,"ACBB AVIRON",[1]EXPORT!$K$2:$K$15025,"92360")+ COUNTIFS([1]EXPORT!$P$2:$P$15025,"ACBB AVIRON",[1]EXPORT!$K$2:$K$15025,"92310")+ COUNTIFS([1]EXPORT!$P$2:$P$15025,"ACBB AVIRON",[1]EXPORT!$K$2:$K$15025,"92170")+ COUNTIFS([1]EXPORT!$P$2:$P$15025,"ACBB AVIRON",[1]EXPORT!$K$2:$K$15025,"92410")</f>
        <v>0</v>
      </c>
      <c r="D7" s="44">
        <f>COUNTIFS([1]EXPORT!$P$2:$P$15025,"ACBB AVIRON",[1]EXPORT!$K$2:$K$15025,"&gt;=92000")- COUNTIFS([1]EXPORT!$P$2:$P$15025,"ACBB AVIRON",[1]EXPORT!$K$2:$K$15025,"&gt;93000")-C7-B7</f>
        <v>0</v>
      </c>
      <c r="E7" s="45">
        <f>COUNTIFS([1]EXPORT!$P$2:$P$15025,"ACBB AVIRON",[1]EXPORT!$K$2:$K$15025,"&gt;=75000")- COUNTIFS([1]EXPORT!$P$2:$P$15025,"ACBB AVIRON",[1]EXPORT!$K$2:$K$15025,"&gt;76000")</f>
        <v>0</v>
      </c>
      <c r="F7" s="46">
        <f>COUNTIFS([1]EXPORT!$P$2:$P$15025,"ACBB AVIRON",[1]EXPORT!$K$2:$K$15025,"&gt;=75000")- COUNTIFS([1]EXPORT!$P$2:$P$15025,"ACBB AVIRON",[1]EXPORT!$K$2:$K$15025,"&gt;76000")+COUNTIFS([1]EXPORT!$P$2:$P$15025,"ACBB AVIRON",[1]EXPORT!$K$2:$K$15025,"&gt;=77000")- COUNTIFS([1]EXPORT!$P$2:$P$15025,"ACBB AVIRON",[1]EXPORT!$K$2:$K$15025,"&gt;78000")+COUNTIFS([1]EXPORT!$P$2:$P$15025,"ACBB AVIRON",[1]EXPORT!$K$2:$K$15025,"&gt;=78000")- COUNTIFS([1]EXPORT!$P$2:$P$15025,"ACBB AVIRON",[1]EXPORT!$K$2:$K$15025,"&gt;79000")+COUNTIFS([1]EXPORT!$P$2:$P$15025,"ACBB AVIRON",[1]EXPORT!$K$2:$K$15025,"&gt;=91000")- COUNTIFS([1]EXPORT!$P$2:$P$15025,"ACBB AVIRON",[1]EXPORT!$K$2:$K$15025,"&gt;92000")+COUNTIFS([1]EXPORT!$P$2:$P$15025,"ACBB AVIRON",[1]EXPORT!$K$2:$K$15025,"&gt;=92000")- COUNTIFS([1]EXPORT!$P$2:$P$15025,"ACBB AVIRON",[1]EXPORT!$K$2:$K$15025,"&gt;96000")-E7-D7-C7-B7</f>
        <v>0</v>
      </c>
      <c r="G7" s="46">
        <v>0</v>
      </c>
      <c r="H7" s="47">
        <f>COUNTIFS([1]EXPORT!$P$2:$P$15025,"ACBB AVIRON",[1]EXPORT!$M$2:$M$15025,"&lt;&gt;FR")</f>
        <v>0</v>
      </c>
      <c r="I7" s="48">
        <f>SUM(B7:H7)</f>
        <v>0</v>
      </c>
      <c r="J7" s="29"/>
      <c r="K7" s="49">
        <f>B7+C7</f>
        <v>0</v>
      </c>
      <c r="L7" s="50"/>
    </row>
    <row r="8" spans="1:12" x14ac:dyDescent="0.25">
      <c r="A8" s="62" t="s">
        <v>58</v>
      </c>
      <c r="B8" s="42">
        <f>COUNTIFS([1]EXPORT!$P$2:$P$15025,"ACBB BADMINTON",[1]EXPORT!$K$2:$K$15025,"92100")</f>
        <v>0</v>
      </c>
      <c r="C8" s="43">
        <f>COUNTIFS([1]EXPORT!$P$2:$P$15025,"ACBB BADMINTON",[1]EXPORT!$K$2:$K$15025,"92370")+ COUNTIFS([1]EXPORT!$P$2:$P$15025,"ACBB BADMINTON",[1]EXPORT!$K$2:$K$15025,"92130")+ COUNTIFS([1]EXPORT!$P$2:$P$15025,"ACBB BADMINTON",[1]EXPORT!$K$2:$K$15025,"92430")+ COUNTIFS([1]EXPORT!$P$2:$P$15025,"ACBB BADMINTON",[1]EXPORT!$K$2:$K$15025,"92190")+ COUNTIFS([1]EXPORT!$P$2:$P$15025,"ACBB BADMINTON",[1]EXPORT!$K$2:$K$15025,"92360")+ COUNTIFS([1]EXPORT!$P$2:$P$15025,"ACBB BADMINTON",[1]EXPORT!$K$2:$K$15025,"92310")+ COUNTIFS([1]EXPORT!$P$2:$P$15025,"ACBB BADMINTON",[1]EXPORT!$K$2:$K$15025,"92170")+ COUNTIFS([1]EXPORT!$P$2:$P$15025,"ACBB BADMINTON",[1]EXPORT!$K$2:$K$15025,"92410")</f>
        <v>0</v>
      </c>
      <c r="D8" s="44">
        <f>COUNTIFS([1]EXPORT!$P$2:$P$15025,"ACBB BADMINTON",[1]EXPORT!$K$2:$K$15025,"&gt;=92000")- COUNTIFS([1]EXPORT!$P$2:$P$15025,"ACBB BADMINTON",[1]EXPORT!$K$2:$K$15025,"&gt;93000")-C8-B8</f>
        <v>0</v>
      </c>
      <c r="E8" s="45">
        <f>COUNTIFS([1]EXPORT!$P$2:$P$15025,"ACBB BADMINTON",[1]EXPORT!$K$2:$K$15025,"&gt;=75000")- COUNTIFS([1]EXPORT!$P$2:$P$15025,"ACBB BADMINTON",[1]EXPORT!$K$2:$K$15025,"&gt;76000")</f>
        <v>0</v>
      </c>
      <c r="F8" s="46">
        <f>COUNTIFS([1]EXPORT!$P$2:$P$15025,"ACBB BADMINTON",[1]EXPORT!$K$2:$K$15025,"&gt;=75000")- COUNTIFS([1]EXPORT!$P$2:$P$15025,"ACBB BADMINTON",[1]EXPORT!$K$2:$K$15025,"&gt;76000")+COUNTIFS([1]EXPORT!$P$2:$P$15025,"ACBB BADMINTON",[1]EXPORT!$K$2:$K$15025,"&gt;=77000")- COUNTIFS([1]EXPORT!$P$2:$P$15025,"ACBB BADMINTON",[1]EXPORT!$K$2:$K$15025,"&gt;78000")+COUNTIFS([1]EXPORT!$P$2:$P$15025,"ACBB BADMINTON",[1]EXPORT!$K$2:$K$15025,"&gt;=78000")- COUNTIFS([1]EXPORT!$P$2:$P$15025,"ACBB BADMINTON",[1]EXPORT!$K$2:$K$15025,"&gt;79000")+COUNTIFS([1]EXPORT!$P$2:$P$15025,"ACBB BADMINTON",[1]EXPORT!$K$2:$K$15025,"&gt;=91000")- COUNTIFS([1]EXPORT!$P$2:$P$15025,"ACBB BADMINTON",[1]EXPORT!$K$2:$K$15025,"&gt;92000")+COUNTIFS([1]EXPORT!$P$2:$P$15025,"ACBB BADMINTON",[1]EXPORT!$K$2:$K$15025,"&gt;=92000")- COUNTIFS([1]EXPORT!$P$2:$P$15025,"ACBB BADMINTON",[1]EXPORT!$K$2:$K$15025,"&gt;96000")-E8-D8-C8-B8</f>
        <v>0</v>
      </c>
      <c r="G8" s="46">
        <f>COUNTIFS([1]EXPORT!$P$2:$P$15025,"ACBB BADMINTON",[1]EXPORT!$M$2:$M$15025,"FR")-F8-E8-D8-C8-B8</f>
        <v>0</v>
      </c>
      <c r="H8" s="47">
        <f>COUNTIFS([1]EXPORT!$P$2:$P$15025,"ACBB BADMINTON",[1]EXPORT!$M$2:$M$15025,"&lt;&gt;FR")</f>
        <v>0</v>
      </c>
      <c r="I8" s="48">
        <f t="shared" ref="I8:I38" si="0">SUM(B8:H8)</f>
        <v>0</v>
      </c>
      <c r="J8" s="29"/>
      <c r="K8" s="49">
        <f t="shared" ref="K8:K38" si="1">B8+C8</f>
        <v>0</v>
      </c>
      <c r="L8" s="50"/>
    </row>
    <row r="9" spans="1:12" x14ac:dyDescent="0.25">
      <c r="A9" s="62" t="s">
        <v>59</v>
      </c>
      <c r="B9" s="42">
        <f>COUNTIFS([1]EXPORT!$P$2:$P$15025,"ACBB Basketball",[1]EXPORT!$K$2:$K$15025,"92100")</f>
        <v>2</v>
      </c>
      <c r="C9" s="43">
        <f>COUNTIFS([1]EXPORT!$P$2:$P$15025,"ACBB Basketball",[1]EXPORT!$K$2:$K$15025,"92370")+ COUNTIFS([1]EXPORT!$P$2:$P$15025,"ACBB Basketball",[1]EXPORT!$K$2:$K$15025,"92130")+ COUNTIFS([1]EXPORT!$P$2:$P$15025,"ACBB Basketball",[1]EXPORT!$K$2:$K$15025,"92430")+ COUNTIFS([1]EXPORT!$P$2:$P$15025,"ACBB Basketball",[1]EXPORT!$K$2:$K$15025,"92190")+ COUNTIFS([1]EXPORT!$P$2:$P$15025,"ACBB Basketball",[1]EXPORT!$K$2:$K$15025,"92360")+ COUNTIFS([1]EXPORT!$P$2:$P$15025,"ACBB Basketball",[1]EXPORT!$K$2:$K$15025,"92310")+ COUNTIFS([1]EXPORT!$P$2:$P$15025,"ACBB Basketball",[1]EXPORT!$K$2:$K$15025,"92170")+ COUNTIFS([1]EXPORT!$P$2:$P$15025,"ACBB Basketball",[1]EXPORT!$K$2:$K$15025,"92410")</f>
        <v>0</v>
      </c>
      <c r="D9" s="44">
        <f>COUNTIFS([1]EXPORT!$P$2:$P$15025,"ACBB Basketball",[1]EXPORT!$K$2:$K$15025,"&gt;=92000")- COUNTIFS([1]EXPORT!$P$2:$P$15025,"ACBB Basketball",[1]EXPORT!$K$2:$K$15025,"&gt;93000")-C9-B9</f>
        <v>0</v>
      </c>
      <c r="E9" s="45">
        <f>COUNTIFS([1]EXPORT!$P$2:$P$15025,"ACBB Basketball",[1]EXPORT!$K$2:$K$15025,"&gt;=75000")- COUNTIFS([1]EXPORT!$P$2:$P$15025,"ACBB Basketball",[1]EXPORT!$K$2:$K$15025,"&gt;76000")</f>
        <v>0</v>
      </c>
      <c r="F9" s="46">
        <f>COUNTIFS([1]EXPORT!$P$2:$P$15025,"ACBB Basketball",[1]EXPORT!$K$2:$K$15025,"&gt;=75000")- COUNTIFS([1]EXPORT!$P$2:$P$15025,"ACBB Basketball",[1]EXPORT!$K$2:$K$15025,"&gt;76000")+COUNTIFS([1]EXPORT!$P$2:$P$15025,"ACBB Basketball",[1]EXPORT!$K$2:$K$15025,"&gt;=77000")- COUNTIFS([1]EXPORT!$P$2:$P$15025,"ACBB Basketball",[1]EXPORT!$K$2:$K$15025,"&gt;78000")+COUNTIFS([1]EXPORT!$P$2:$P$15025,"ACBB Basketball",[1]EXPORT!$K$2:$K$15025,"&gt;=78000")- COUNTIFS([1]EXPORT!$P$2:$P$15025,"ACBB Basketball",[1]EXPORT!$K$2:$K$15025,"&gt;79000")+COUNTIFS([1]EXPORT!$P$2:$P$15025,"ACBB Basketball",[1]EXPORT!$K$2:$K$15025,"&gt;=91000")- COUNTIFS([1]EXPORT!$P$2:$P$15025,"ACBB Basketball",[1]EXPORT!$K$2:$K$15025,"&gt;92000")+COUNTIFS([1]EXPORT!$P$2:$P$15025,"ACBB Basketball",[1]EXPORT!$K$2:$K$15025,"&gt;=92000")- COUNTIFS([1]EXPORT!$P$2:$P$15025,"ACBB Basketball",[1]EXPORT!$K$2:$K$15025,"&gt;96000")-E9-D9-C9-B9</f>
        <v>0</v>
      </c>
      <c r="G9" s="46">
        <f>COUNTIFS([1]EXPORT!$P$2:$P$15025,"ACBB Basketball",[1]EXPORT!$M$2:$M$15025,"FR")-F9-E9-D9-C9-B9</f>
        <v>0</v>
      </c>
      <c r="H9" s="47">
        <f>COUNTIFS([1]EXPORT!$P$2:$P$15025,"ACBB Basketball",[1]EXPORT!$M$2:$M$15025,"&lt;&gt;FR")</f>
        <v>0</v>
      </c>
      <c r="I9" s="48">
        <f t="shared" si="0"/>
        <v>2</v>
      </c>
      <c r="J9" s="29"/>
      <c r="K9" s="49">
        <f t="shared" si="1"/>
        <v>2</v>
      </c>
      <c r="L9" s="50"/>
    </row>
    <row r="10" spans="1:12" s="57" customFormat="1" ht="25.5" x14ac:dyDescent="0.25">
      <c r="A10" s="62" t="s">
        <v>60</v>
      </c>
      <c r="B10" s="66">
        <v>10</v>
      </c>
      <c r="C10" s="67">
        <v>8</v>
      </c>
      <c r="D10" s="68">
        <v>6</v>
      </c>
      <c r="E10" s="69">
        <v>1</v>
      </c>
      <c r="F10" s="70">
        <v>0</v>
      </c>
      <c r="G10" s="70">
        <v>0</v>
      </c>
      <c r="H10" s="71">
        <v>0</v>
      </c>
      <c r="I10" s="75">
        <f t="shared" si="0"/>
        <v>25</v>
      </c>
      <c r="J10" s="72"/>
      <c r="K10" s="73"/>
      <c r="L10" s="60"/>
    </row>
    <row r="11" spans="1:12" x14ac:dyDescent="0.25">
      <c r="A11" s="62" t="s">
        <v>61</v>
      </c>
      <c r="B11" s="42">
        <f>COUNTIFS([1]EXPORT!$P$2:$P$15025,"ACBB CANOE KAYAK",[1]EXPORT!$K$2:$K$15025,"92100")</f>
        <v>0</v>
      </c>
      <c r="C11" s="43">
        <f>COUNTIFS([1]EXPORT!$P$2:$P$15025,"ACBB CANOE KAYAK",[1]EXPORT!$K$2:$K$15025,"92370")+ COUNTIFS([1]EXPORT!$P$2:$P$15025,"ACBB CANOE KAYAK",[1]EXPORT!$K$2:$K$15025,"92130")+ COUNTIFS([1]EXPORT!$P$2:$P$15025,"ACBB CANOE KAYAK",[1]EXPORT!$K$2:$K$15025,"92430")+ COUNTIFS([1]EXPORT!$P$2:$P$15025,"ACBB CANOE KAYAK",[1]EXPORT!$K$2:$K$15025,"92190")+ COUNTIFS([1]EXPORT!$P$2:$P$15025,"ACBB CANOE KAYAK",[1]EXPORT!$K$2:$K$15025,"92360")+ COUNTIFS([1]EXPORT!$P$2:$P$15025,"ACBB CANOE KAYAK",[1]EXPORT!$K$2:$K$15025,"92310")+ COUNTIFS([1]EXPORT!$P$2:$P$15025,"ACBB CANOE KAYAK",[1]EXPORT!$K$2:$K$15025,"92170")+ COUNTIFS([1]EXPORT!$P$2:$P$15025,"ACBB CANOE KAYAK",[1]EXPORT!$K$2:$K$15025,"92410")</f>
        <v>0</v>
      </c>
      <c r="D11" s="44">
        <f>COUNTIFS([1]EXPORT!$P$2:$P$15025,"ACBB CANOE KAYAK",[1]EXPORT!$K$2:$K$15025,"&gt;=92000")- COUNTIFS([1]EXPORT!$P$2:$P$15025,"ACBB CANOE KAYAK",[1]EXPORT!$K$2:$K$15025,"&gt;93000")-C11-B11</f>
        <v>0</v>
      </c>
      <c r="E11" s="45">
        <f>COUNTIFS([1]EXPORT!$P$2:$P$15025,"ACBB CANOE KAYAK",[1]EXPORT!$K$2:$K$15025,"&gt;=75000")- COUNTIFS([1]EXPORT!$P$2:$P$15025,"ACBB CANOE KAYAK",[1]EXPORT!$K$2:$K$15025,"&gt;76000")</f>
        <v>0</v>
      </c>
      <c r="F11" s="46">
        <f>COUNTIFS([1]EXPORT!$P$2:$P$15025,"ACBB CANOE KAYAK",[1]EXPORT!$K$2:$K$15025,"&gt;=75000")- COUNTIFS([1]EXPORT!$P$2:$P$15025,"ACBB CANOE KAYAK",[1]EXPORT!$K$2:$K$15025,"&gt;76000")+COUNTIFS([1]EXPORT!$P$2:$P$15025,"ACBB CANOE KAYAK",[1]EXPORT!$K$2:$K$15025,"&gt;=77000")- COUNTIFS([1]EXPORT!$P$2:$P$15025,"ACBB CANOE KAYAK",[1]EXPORT!$K$2:$K$15025,"&gt;78000")+COUNTIFS([1]EXPORT!$P$2:$P$15025,"ACBB CANOE KAYAK",[1]EXPORT!$K$2:$K$15025,"&gt;=78000")- COUNTIFS([1]EXPORT!$P$2:$P$15025,"ACBB CANOE KAYAK",[1]EXPORT!$K$2:$K$15025,"&gt;79000")+COUNTIFS([1]EXPORT!$P$2:$P$15025,"ACBB CANOE KAYAK",[1]EXPORT!$K$2:$K$15025,"&gt;=91000")- COUNTIFS([1]EXPORT!$P$2:$P$15025,"ACBB CANOE KAYAK",[1]EXPORT!$K$2:$K$15025,"&gt;92000")+COUNTIFS([1]EXPORT!$P$2:$P$15025,"ACBB CANOE KAYAK",[1]EXPORT!$K$2:$K$15025,"&gt;=92000")- COUNTIFS([1]EXPORT!$P$2:$P$15025,"ACBB CANOE KAYAK",[1]EXPORT!$K$2:$K$15025,"&gt;96000")-E11-D11-C11-B11</f>
        <v>0</v>
      </c>
      <c r="G11" s="46">
        <f>COUNTIFS([1]EXPORT!$P$2:$P$15025,"ACBB CANOE KAYAK",[1]EXPORT!$M$2:$M$15025,"FR")-F11-E11-D11-C11-B11</f>
        <v>0</v>
      </c>
      <c r="H11" s="47">
        <f>COUNTIFS([1]EXPORT!$P$2:$P$15025,"ACBB CANOE KAYAK",[1]EXPORT!$M$2:$M$15025,"&lt;&gt;FR")</f>
        <v>0</v>
      </c>
      <c r="I11" s="48">
        <f t="shared" si="0"/>
        <v>0</v>
      </c>
      <c r="J11" s="29"/>
      <c r="K11" s="49">
        <f t="shared" si="1"/>
        <v>0</v>
      </c>
      <c r="L11" s="50"/>
    </row>
    <row r="12" spans="1:12" x14ac:dyDescent="0.25">
      <c r="A12" s="62" t="s">
        <v>62</v>
      </c>
      <c r="B12" s="42">
        <f>COUNTIFS([1]EXPORT!$P$2:$P$15025,"ACBB CYCLISME",[1]EXPORT!$K$2:$K$15025,"92100")</f>
        <v>0</v>
      </c>
      <c r="C12" s="43">
        <f>COUNTIFS([1]EXPORT!$P$2:$P$15025,"ACBB CYCLISME",[1]EXPORT!$K$2:$K$15025,"92370")+ COUNTIFS([1]EXPORT!$P$2:$P$15025,"ACBB CYCLISME",[1]EXPORT!$K$2:$K$15025,"92130")+ COUNTIFS([1]EXPORT!$P$2:$P$15025,"ACBB CYCLISME",[1]EXPORT!$K$2:$K$15025,"92430")+ COUNTIFS([1]EXPORT!$P$2:$P$15025,"ACBB CYCLISME",[1]EXPORT!$K$2:$K$15025,"92190")+ COUNTIFS([1]EXPORT!$P$2:$P$15025,"ACBB CYCLISME",[1]EXPORT!$K$2:$K$15025,"92360")+ COUNTIFS([1]EXPORT!$P$2:$P$15025,"ACBB CYCLISME",[1]EXPORT!$K$2:$K$15025,"92310")+ COUNTIFS([1]EXPORT!$P$2:$P$15025,"ACBB CYCLISME",[1]EXPORT!$K$2:$K$15025,"92170")+ COUNTIFS([1]EXPORT!$P$2:$P$15025,"ACBB CYCLISME",[1]EXPORT!$K$2:$K$15025,"92410")</f>
        <v>0</v>
      </c>
      <c r="D12" s="44">
        <f>COUNTIFS([1]EXPORT!$P$2:$P$15025,"ACBB CYCLISME",[1]EXPORT!$K$2:$K$15025,"&gt;=92000")- COUNTIFS([1]EXPORT!$P$2:$P$15025,"ACBB CYCLISME",[1]EXPORT!$K$2:$K$15025,"&gt;93000")-C12-B12</f>
        <v>0</v>
      </c>
      <c r="E12" s="45">
        <f>COUNTIFS([1]EXPORT!$P$2:$P$15025,"ACBB CYCLISME",[1]EXPORT!$K$2:$K$15025,"&gt;=75000")- COUNTIFS([1]EXPORT!$P$2:$P$15025,"ACBB CYCLISME",[1]EXPORT!$K$2:$K$15025,"&gt;76000")</f>
        <v>0</v>
      </c>
      <c r="F12" s="46">
        <f>COUNTIFS([1]EXPORT!$P$2:$P$15025,"ACBB CYCLISME",[1]EXPORT!$K$2:$K$15025,"&gt;=75000")- COUNTIFS([1]EXPORT!$P$2:$P$15025,"ACBB CYCLISME",[1]EXPORT!$K$2:$K$15025,"&gt;76000")+COUNTIFS([1]EXPORT!$P$2:$P$15025,"ACBB CYCLISME",[1]EXPORT!$K$2:$K$15025,"&gt;=77000")- COUNTIFS([1]EXPORT!$P$2:$P$15025,"ACBB CYCLISME",[1]EXPORT!$K$2:$K$15025,"&gt;78000")+COUNTIFS([1]EXPORT!$P$2:$P$15025,"ACBB CYCLISME",[1]EXPORT!$K$2:$K$15025,"&gt;=78000")- COUNTIFS([1]EXPORT!$P$2:$P$15025,"ACBB CYCLISME",[1]EXPORT!$K$2:$K$15025,"&gt;79000")+COUNTIFS([1]EXPORT!$P$2:$P$15025,"ACBB CYCLISME",[1]EXPORT!$K$2:$K$15025,"&gt;=91000")- COUNTIFS([1]EXPORT!$P$2:$P$15025,"ACBB CYCLISME",[1]EXPORT!$K$2:$K$15025,"&gt;92000")+COUNTIFS([1]EXPORT!$P$2:$P$15025,"ACBB CYCLISME",[1]EXPORT!$K$2:$K$15025,"&gt;=92000")- COUNTIFS([1]EXPORT!$P$2:$P$15025,"ACBB CYCLISME",[1]EXPORT!$K$2:$K$15025,"&gt;96000")-E12-D12-C12-B12</f>
        <v>0</v>
      </c>
      <c r="G12" s="46">
        <f>COUNTIFS([1]EXPORT!$P$2:$P$15025,"ACBB CYCLISME",[1]EXPORT!$M$2:$M$15025,"FR")-F12-E12-D12-C12-B12</f>
        <v>0</v>
      </c>
      <c r="H12" s="47">
        <f>COUNTIFS([1]EXPORT!$P$2:$P$15025,"ACBB CYCLISME",[1]EXPORT!$M$2:$M$15025,"&lt;&gt;FR")</f>
        <v>0</v>
      </c>
      <c r="I12" s="48">
        <f t="shared" si="0"/>
        <v>0</v>
      </c>
      <c r="J12" s="29"/>
      <c r="K12" s="49">
        <f t="shared" si="1"/>
        <v>0</v>
      </c>
      <c r="L12" s="59"/>
    </row>
    <row r="13" spans="1:12" x14ac:dyDescent="0.25">
      <c r="A13" s="62" t="s">
        <v>63</v>
      </c>
      <c r="B13" s="42">
        <f>COUNTIFS([1]EXPORT!$P$2:$P$15025,"ACBB CYCLOTOURISME",[1]EXPORT!$K$2:$K$15025,"92100")</f>
        <v>0</v>
      </c>
      <c r="C13" s="43">
        <f>COUNTIFS([1]EXPORT!$P$2:$P$15025,"ACBB CYCLOTOURISME",[1]EXPORT!$K$2:$K$15025,"92370")+ COUNTIFS([1]EXPORT!$P$2:$P$15025,"ACBB CYCLOTOURISME",[1]EXPORT!$K$2:$K$15025,"92130")+ COUNTIFS([1]EXPORT!$P$2:$P$15025,"ACBB CYCLOTOURISME",[1]EXPORT!$K$2:$K$15025,"92430")+ COUNTIFS([1]EXPORT!$P$2:$P$15025,"ACBB CYCLOTOURISME",[1]EXPORT!$K$2:$K$15025,"92190")+ COUNTIFS([1]EXPORT!$P$2:$P$15025,"ACBB CYCLOTOURISME",[1]EXPORT!$K$2:$K$15025,"92360")+ COUNTIFS([1]EXPORT!$P$2:$P$15025,"ACBB CYCLOTOURISME",[1]EXPORT!$K$2:$K$15025,"92310")+ COUNTIFS([1]EXPORT!$P$2:$P$15025,"ACBB CYCLOTOURISME",[1]EXPORT!$K$2:$K$15025,"92170")+ COUNTIFS([1]EXPORT!$P$2:$P$15025,"ACBB CYCLOTOURISME",[1]EXPORT!$K$2:$K$15025,"92410")</f>
        <v>0</v>
      </c>
      <c r="D13" s="44">
        <f>COUNTIFS([1]EXPORT!$P$2:$P$15025,"ACBB CYCLOTOURISME",[1]EXPORT!$K$2:$K$15025,"&gt;=92000")- COUNTIFS([1]EXPORT!$P$2:$P$15025,"ACBB CYCLOTOURISME",[1]EXPORT!$K$2:$K$15025,"&gt;93000")-C13-B13</f>
        <v>0</v>
      </c>
      <c r="E13" s="45">
        <f>COUNTIFS([1]EXPORT!$P$2:$P$15025,"ACBB CYCLOTOURISME",[1]EXPORT!$K$2:$K$15025,"&gt;=75000")- COUNTIFS([1]EXPORT!$P$2:$P$15025,"ACBB CYCLOTOURISME",[1]EXPORT!$K$2:$K$15025,"&gt;76000")</f>
        <v>0</v>
      </c>
      <c r="F13" s="46">
        <f>COUNTIFS([1]EXPORT!$P$2:$P$15025,"ACBB CYCLOTOURISME",[1]EXPORT!$K$2:$K$15025,"&gt;=75000")- COUNTIFS([1]EXPORT!$P$2:$P$15025,"ACBB CYCLOTOURISME",[1]EXPORT!$K$2:$K$15025,"&gt;76000")+COUNTIFS([1]EXPORT!$P$2:$P$15025,"ACBB CYCLOTOURISME",[1]EXPORT!$K$2:$K$15025,"&gt;=77000")- COUNTIFS([1]EXPORT!$P$2:$P$15025,"ACBB CYCLOTOURISME",[1]EXPORT!$K$2:$K$15025,"&gt;78000")+COUNTIFS([1]EXPORT!$P$2:$P$15025,"ACBB CYCLOTOURISME",[1]EXPORT!$K$2:$K$15025,"&gt;=78000")- COUNTIFS([1]EXPORT!$P$2:$P$15025,"ACBB CYCLOTOURISME",[1]EXPORT!$K$2:$K$15025,"&gt;79000")+COUNTIFS([1]EXPORT!$P$2:$P$15025,"ACBB CYCLOTOURISME",[1]EXPORT!$K$2:$K$15025,"&gt;=91000")- COUNTIFS([1]EXPORT!$P$2:$P$15025,"ACBB CYCLOTOURISME",[1]EXPORT!$K$2:$K$15025,"&gt;92000")+COUNTIFS([1]EXPORT!$P$2:$P$15025,"ACBB CYCLOTOURISME",[1]EXPORT!$K$2:$K$15025,"&gt;=92000")- COUNTIFS([1]EXPORT!$P$2:$P$15025,"ACBB CYCLOTOURISME",[1]EXPORT!$K$2:$K$15025,"&gt;96000")-E13-D13-C13-B13</f>
        <v>0</v>
      </c>
      <c r="G13" s="46">
        <v>1</v>
      </c>
      <c r="H13" s="47">
        <f>COUNTIFS([1]EXPORT!$P$2:$P$15025,"ACBB CYCLOTOURISME",[1]EXPORT!$M$2:$M$15025,"&lt;&gt;FR")</f>
        <v>0</v>
      </c>
      <c r="I13" s="48">
        <f t="shared" si="0"/>
        <v>1</v>
      </c>
      <c r="J13" s="29"/>
      <c r="K13" s="49">
        <f t="shared" si="1"/>
        <v>0</v>
      </c>
      <c r="L13" s="50"/>
    </row>
    <row r="14" spans="1:12" ht="25.5" x14ac:dyDescent="0.25">
      <c r="A14" s="62" t="s">
        <v>64</v>
      </c>
      <c r="B14" s="42">
        <f>COUNTIFS([1]EXPORT!$P$2:$P$15025,"ACBB EDUCFITNESS",[1]EXPORT!$K$2:$K$15025,"92100")</f>
        <v>0</v>
      </c>
      <c r="C14" s="43">
        <f>COUNTIFS([1]EXPORT!$P$2:$P$15025,"ACBB EDUCFITNESS",[1]EXPORT!$K$2:$K$15025,"92370")+ COUNTIFS([1]EXPORT!$P$2:$P$15025,"ACBB EDUCFITNESS",[1]EXPORT!$K$2:$K$15025,"92130")+ COUNTIFS([1]EXPORT!$P$2:$P$15025,"ACBB EDUCFITNESS",[1]EXPORT!$K$2:$K$15025,"92430")+ COUNTIFS([1]EXPORT!$P$2:$P$15025,"ACBB EDUCFITNESS",[1]EXPORT!$K$2:$K$15025,"92190")+ COUNTIFS([1]EXPORT!$P$2:$P$15025,"ACBB EDUCFITNESS",[1]EXPORT!$K$2:$K$15025,"92360")+ COUNTIFS([1]EXPORT!$P$2:$P$15025,"ACBB EDUCFITNESS",[1]EXPORT!$K$2:$K$15025,"92310")+ COUNTIFS([1]EXPORT!$P$2:$P$15025,"ACBB EDUCFITNESS",[1]EXPORT!$K$2:$K$15025,"92170")+ COUNTIFS([1]EXPORT!$P$2:$P$15025,"ACBB EDUCFITNESS",[1]EXPORT!$K$2:$K$15025,"92410")</f>
        <v>0</v>
      </c>
      <c r="D14" s="44">
        <f>COUNTIFS([1]EXPORT!$P$2:$P$15025,"ACBB EDUCFITNESS",[1]EXPORT!$K$2:$K$15025,"&gt;=92000")- COUNTIFS([1]EXPORT!$P$2:$P$15025,"ACBB EDUCFITNESS",[1]EXPORT!$K$2:$K$15025,"&gt;93000")-C14-B14</f>
        <v>0</v>
      </c>
      <c r="E14" s="45">
        <f>COUNTIFS([1]EXPORT!$P$2:$P$15025,"ACBB EDUCFITNESS",[1]EXPORT!$K$2:$K$15025,"&gt;=75000")- COUNTIFS([1]EXPORT!$P$2:$P$15025,"ACBB EDUCFITNESS",[1]EXPORT!$K$2:$K$15025,"&gt;76000")</f>
        <v>0</v>
      </c>
      <c r="F14" s="46">
        <f>COUNTIFS([1]EXPORT!$P$2:$P$15025,"ACBB EDUCFITNESS",[1]EXPORT!$K$2:$K$15025,"&gt;=75000")- COUNTIFS([1]EXPORT!$P$2:$P$15025,"ACBB EDUCFITNESS",[1]EXPORT!$K$2:$K$15025,"&gt;76000")+COUNTIFS([1]EXPORT!$P$2:$P$15025,"ACBB EDUCFITNESS",[1]EXPORT!$K$2:$K$15025,"&gt;=77000")- COUNTIFS([1]EXPORT!$P$2:$P$15025,"ACBB EDUCFITNESS",[1]EXPORT!$K$2:$K$15025,"&gt;78000")+COUNTIFS([1]EXPORT!$P$2:$P$15025,"ACBB EDUCFITNESS",[1]EXPORT!$K$2:$K$15025,"&gt;=78000")- COUNTIFS([1]EXPORT!$P$2:$P$15025,"ACBB EDUCFITNESS",[1]EXPORT!$K$2:$K$15025,"&gt;79000")+COUNTIFS([1]EXPORT!$P$2:$P$15025,"ACBB EDUCFITNESS",[1]EXPORT!$K$2:$K$15025,"&gt;=91000")- COUNTIFS([1]EXPORT!$P$2:$P$15025,"ACBB EDUCFITNESS",[1]EXPORT!$K$2:$K$15025,"&gt;92000")+COUNTIFS([1]EXPORT!$P$2:$P$15025,"ACBB EDUCFITNESS",[1]EXPORT!$K$2:$K$15025,"&gt;=92000")- COUNTIFS([1]EXPORT!$P$2:$P$15025,"ACBB EDUCFITNESS",[1]EXPORT!$K$2:$K$15025,"&gt;96000")-E14-D14-C14-B14</f>
        <v>0</v>
      </c>
      <c r="G14" s="46">
        <f>COUNTIFS([1]EXPORT!$P$2:$P$15025,"ACBB EDUCFITNESS",[1]EXPORT!$M$2:$M$15025,"FR")-F14-E14-D14-C14-B14</f>
        <v>0</v>
      </c>
      <c r="H14" s="47">
        <f>COUNTIFS([1]EXPORT!$P$2:$P$15025,"ACBB EDUCFITNESS",[1]EXPORT!$M$2:$M$15025,"&lt;&gt;FR")</f>
        <v>0</v>
      </c>
      <c r="I14" s="48">
        <f t="shared" si="0"/>
        <v>0</v>
      </c>
      <c r="J14" s="29"/>
      <c r="K14" s="49">
        <f t="shared" si="1"/>
        <v>0</v>
      </c>
    </row>
    <row r="15" spans="1:12" s="57" customFormat="1" x14ac:dyDescent="0.25">
      <c r="A15" s="62" t="s">
        <v>65</v>
      </c>
      <c r="B15" s="66">
        <f>COUNTIFS([1]EXPORT!$P$2:$P$15025,"ACBB EQUITATION",[1]EXPORT!$K$2:$K$15025,"92100")</f>
        <v>0</v>
      </c>
      <c r="C15" s="67">
        <f>COUNTIFS([1]EXPORT!$P$2:$P$15025,"ACBB EQUITATION",[1]EXPORT!$K$2:$K$15025,"92370")+ COUNTIFS([1]EXPORT!$P$2:$P$15025,"ACBB EQUITATION",[1]EXPORT!$K$2:$K$15025,"92130")+ COUNTIFS([1]EXPORT!$P$2:$P$15025,"ACBB EQUITATION",[1]EXPORT!$K$2:$K$15025,"92430")+ COUNTIFS([1]EXPORT!$P$2:$P$15025,"ACBB EQUITATION",[1]EXPORT!$K$2:$K$15025,"92190")+ COUNTIFS([1]EXPORT!$P$2:$P$15025,"ACBB EQUITATION",[1]EXPORT!$K$2:$K$15025,"92360")+ COUNTIFS([1]EXPORT!$P$2:$P$15025,"ACBB EQUITATION",[1]EXPORT!$K$2:$K$15025,"92310")+ COUNTIFS([1]EXPORT!$P$2:$P$15025,"ACBB EQUITATION",[1]EXPORT!$K$2:$K$15025,"92170")+ COUNTIFS([1]EXPORT!$P$2:$P$15025,"ACBB EQUITATION",[1]EXPORT!$K$2:$K$15025,"92410")</f>
        <v>0</v>
      </c>
      <c r="D15" s="68">
        <f>COUNTIFS([1]EXPORT!$P$2:$P$15025,"ACBB EQUITATION",[1]EXPORT!$K$2:$K$15025,"&gt;=92000")- COUNTIFS([1]EXPORT!$P$2:$P$15025,"ACBB EQUITATION",[1]EXPORT!$K$2:$K$15025,"&gt;93000")-C15-B15</f>
        <v>0</v>
      </c>
      <c r="E15" s="69">
        <f>COUNTIFS([1]EXPORT!$P$2:$P$15025,"ACBB EQUITATION",[1]EXPORT!$K$2:$K$15025,"&gt;=75000")- COUNTIFS([1]EXPORT!$P$2:$P$15025,"ACBB EQUITATION",[1]EXPORT!$K$2:$K$15025,"&gt;76000")</f>
        <v>0</v>
      </c>
      <c r="F15" s="70">
        <f>COUNTIFS([1]EXPORT!$P$2:$P$15025,"ACBB EQUITATION",[1]EXPORT!$K$2:$K$15025,"&gt;=75000")- COUNTIFS([1]EXPORT!$P$2:$P$15025,"ACBB EQUITATION",[1]EXPORT!$K$2:$K$15025,"&gt;76000")+COUNTIFS([1]EXPORT!$P$2:$P$15025,"ACBB EQUITATION",[1]EXPORT!$K$2:$K$15025,"&gt;=77000")- COUNTIFS([1]EXPORT!$P$2:$P$15025,"ACBB EQUITATION",[1]EXPORT!$K$2:$K$15025,"&gt;78000")+COUNTIFS([1]EXPORT!$P$2:$P$15025,"ACBB EQUITATION",[1]EXPORT!$K$2:$K$15025,"&gt;=78000")- COUNTIFS([1]EXPORT!$P$2:$P$15025,"ACBB EQUITATION",[1]EXPORT!$K$2:$K$15025,"&gt;79000")+COUNTIFS([1]EXPORT!$P$2:$P$15025,"ACBB EQUITATION",[1]EXPORT!$K$2:$K$15025,"&gt;=91000")- COUNTIFS([1]EXPORT!$P$2:$P$15025,"ACBB EQUITATION",[1]EXPORT!$K$2:$K$15025,"&gt;92000")+COUNTIFS([1]EXPORT!$P$2:$P$15025,"ACBB EQUITATION",[1]EXPORT!$K$2:$K$15025,"&gt;=92000")- COUNTIFS([1]EXPORT!$P$2:$P$15025,"ACBB EQUITATION",[1]EXPORT!$K$2:$K$15025,"&gt;96000")-E15-D15-C15-B15</f>
        <v>0</v>
      </c>
      <c r="G15" s="70">
        <f>COUNTIFS([1]EXPORT!$P$2:$P$15025,"ACBB EQUITATION",[1]EXPORT!$M$2:$M$15025,"FR")-F15-E15-D15-C15-B15</f>
        <v>0</v>
      </c>
      <c r="H15" s="71">
        <f>COUNTIFS([1]EXPORT!$P$2:$P$15025,"ACBB EQUITATION",[1]EXPORT!$M$2:$M$15025,"&lt;&gt;FR")</f>
        <v>0</v>
      </c>
      <c r="I15" s="75">
        <f t="shared" ref="I15" si="2">SUM(B15:H15)</f>
        <v>0</v>
      </c>
      <c r="J15" s="72"/>
      <c r="K15" s="73"/>
      <c r="L15" s="74"/>
    </row>
    <row r="16" spans="1:12" x14ac:dyDescent="0.25">
      <c r="A16" s="41" t="s">
        <v>66</v>
      </c>
      <c r="B16" s="42">
        <f>COUNTIFS([1]EXPORT!$P$2:$P$15025,"ACBB ESCRIME",[1]EXPORT!$K$2:$K$15025,"92100")</f>
        <v>0</v>
      </c>
      <c r="C16" s="43">
        <f>COUNTIFS([1]EXPORT!$P$2:$P$15025,"ACBB ESCRIME",[1]EXPORT!$K$2:$K$15025,"92370")+ COUNTIFS([1]EXPORT!$P$2:$P$15025,"ACBB ESCRIME",[1]EXPORT!$K$2:$K$15025,"92130")+ COUNTIFS([1]EXPORT!$P$2:$P$15025,"ACBB ESCRIME",[1]EXPORT!$K$2:$K$15025,"92430")+ COUNTIFS([1]EXPORT!$P$2:$P$15025,"ACBB ESCRIME",[1]EXPORT!$K$2:$K$15025,"92190")+ COUNTIFS([1]EXPORT!$P$2:$P$15025,"ACBB ESCRIME",[1]EXPORT!$K$2:$K$15025,"92360")+ COUNTIFS([1]EXPORT!$P$2:$P$15025,"ACBB ESCRIME",[1]EXPORT!$K$2:$K$15025,"92310")+ COUNTIFS([1]EXPORT!$P$2:$P$15025,"ACBB ESCRIME",[1]EXPORT!$K$2:$K$15025,"92170")+ COUNTIFS([1]EXPORT!$P$2:$P$15025,"ACBB ESCRIME",[1]EXPORT!$K$2:$K$15025,"92410")</f>
        <v>0</v>
      </c>
      <c r="D16" s="44">
        <f>COUNTIFS([1]EXPORT!$P$2:$P$15025,"ACBB ESCRIME",[1]EXPORT!$K$2:$K$15025,"&gt;=92000")- COUNTIFS([1]EXPORT!$P$2:$P$15025,"ACBB ESCRIME",[1]EXPORT!$K$2:$K$15025,"&gt;93000")-C16-B16</f>
        <v>0</v>
      </c>
      <c r="E16" s="45">
        <f>COUNTIFS([1]EXPORT!$P$2:$P$15025,"ACBB ESCRIME",[1]EXPORT!$K$2:$K$15025,"&gt;=75000")- COUNTIFS([1]EXPORT!$P$2:$P$15025,"ACBB ESCRIME",[1]EXPORT!$K$2:$K$15025,"&gt;76000")</f>
        <v>0</v>
      </c>
      <c r="F16" s="46">
        <f>COUNTIFS([1]EXPORT!$P$2:$P$15025,"ACBB ESCRIME",[1]EXPORT!$K$2:$K$15025,"&gt;=75000")- COUNTIFS([1]EXPORT!$P$2:$P$15025,"ACBB ESCRIME",[1]EXPORT!$K$2:$K$15025,"&gt;76000")+COUNTIFS([1]EXPORT!$P$2:$P$15025,"ACBB ESCRIME",[1]EXPORT!$K$2:$K$15025,"&gt;=77000")- COUNTIFS([1]EXPORT!$P$2:$P$15025,"ACBB ESCRIME",[1]EXPORT!$K$2:$K$15025,"&gt;78000")+COUNTIFS([1]EXPORT!$P$2:$P$15025,"ACBB ESCRIME",[1]EXPORT!$K$2:$K$15025,"&gt;=78000")- COUNTIFS([1]EXPORT!$P$2:$P$15025,"ACBB ESCRIME",[1]EXPORT!$K$2:$K$15025,"&gt;79000")+COUNTIFS([1]EXPORT!$P$2:$P$15025,"ACBB ESCRIME",[1]EXPORT!$K$2:$K$15025,"&gt;=91000")- COUNTIFS([1]EXPORT!$P$2:$P$15025,"ACBB ESCRIME",[1]EXPORT!$K$2:$K$15025,"&gt;92000")+COUNTIFS([1]EXPORT!$P$2:$P$15025,"ACBB ESCRIME",[1]EXPORT!$K$2:$K$15025,"&gt;=92000")- COUNTIFS([1]EXPORT!$P$2:$P$15025,"ACBB ESCRIME",[1]EXPORT!$K$2:$K$15025,"&gt;96000")-E16-D16-C16-B16</f>
        <v>0</v>
      </c>
      <c r="G16" s="46">
        <f>COUNTIFS([1]EXPORT!$P$2:$P$15025,"ACBB ESCRIME",[1]EXPORT!$M$2:$M$15025,"FR")-F16-E16-D16-C16-B16</f>
        <v>0</v>
      </c>
      <c r="H16" s="47">
        <f>COUNTIFS([1]EXPORT!$P$2:$P$15025,"ACBB ESCRIME",[1]EXPORT!$M$2:$M$15025,"&lt;&gt;FR")</f>
        <v>0</v>
      </c>
      <c r="I16" s="48">
        <f>SUM(B16:H16)</f>
        <v>0</v>
      </c>
      <c r="J16" s="29"/>
      <c r="K16" s="49">
        <f>B16+C16</f>
        <v>0</v>
      </c>
      <c r="L16" s="50"/>
    </row>
    <row r="17" spans="1:12" x14ac:dyDescent="0.25">
      <c r="A17" s="41" t="s">
        <v>67</v>
      </c>
      <c r="B17" s="42">
        <f>COUNTIFS([1]EXPORT!$P$2:$P$15025,"ACBB DANSE SPORTIVE",[1]EXPORT!$K$2:$K$15025,"92100")</f>
        <v>10</v>
      </c>
      <c r="C17" s="43">
        <f>COUNTIFS([1]EXPORT!$P$2:$P$15025,"ACBB DANSE SPORTIVE",[1]EXPORT!$K$2:$K$15025,"92370")+ COUNTIFS([1]EXPORT!$P$2:$P$15025,"ACBB DANSE SPORTIVE",[1]EXPORT!$K$2:$K$15025,"92130")+ COUNTIFS([1]EXPORT!$P$2:$P$15025,"ACBB DANSE SPORTIVE",[1]EXPORT!$K$2:$K$15025,"92430")+ COUNTIFS([1]EXPORT!$P$2:$P$15025,"ACBB DANSE SPORTIVE",[1]EXPORT!$K$2:$K$15025,"92190")+ COUNTIFS([1]EXPORT!$P$2:$P$15025,"ACBB DANSE SPORTIVE",[1]EXPORT!$K$2:$K$15025,"92360")+ COUNTIFS([1]EXPORT!$P$2:$P$15025,"ACBB DANSE SPORTIVE",[1]EXPORT!$K$2:$K$15025,"92310")+ COUNTIFS([1]EXPORT!$P$2:$P$15025,"ACBB DANSE SPORTIVE",[1]EXPORT!$K$2:$K$15025,"92170")+ COUNTIFS([1]EXPORT!$P$2:$P$15025,"ACBB DANSE SPORTIVE",[1]EXPORT!$K$2:$K$15025,"92410")</f>
        <v>1</v>
      </c>
      <c r="D17" s="44">
        <f>COUNTIFS([1]EXPORT!$P$2:$P$15025,"ACBB DANSE SPORTIVE",[1]EXPORT!$K$2:$K$15025,"&gt;=92000")- COUNTIFS([1]EXPORT!$P$2:$P$15025,"ACBB DANSE SPORTIVE",[1]EXPORT!$K$2:$K$15025,"&gt;93000")-C17-B17</f>
        <v>0</v>
      </c>
      <c r="E17" s="45">
        <f>COUNTIFS([1]EXPORT!$P$2:$P$15025,"ACBB DANSE SPORTIVE",[1]EXPORT!$K$2:$K$15025,"&gt;=75000")- COUNTIFS([1]EXPORT!$P$2:$P$15025,"ACBB DANSE SPORTIVE",[1]EXPORT!$K$2:$K$15025,"&gt;76000")</f>
        <v>0</v>
      </c>
      <c r="F17" s="46">
        <f>COUNTIFS([1]EXPORT!$P$2:$P$15025,"ACBB DANSE SPORTIVE",[1]EXPORT!$K$2:$K$15025,"&gt;=75000")- COUNTIFS([1]EXPORT!$P$2:$P$15025,"ACBB DANSE SPORTIVE",[1]EXPORT!$K$2:$K$15025,"&gt;76000")+COUNTIFS([1]EXPORT!$P$2:$P$15025,"ACBB DANSE SPORTIVE",[1]EXPORT!$K$2:$K$15025,"&gt;=77000")- COUNTIFS([1]EXPORT!$P$2:$P$15025,"ACBB DANSE SPORTIVE",[1]EXPORT!$K$2:$K$15025,"&gt;78000")+COUNTIFS([1]EXPORT!$P$2:$P$15025,"ACBB DANSE SPORTIVE",[1]EXPORT!$K$2:$K$15025,"&gt;=78000")- COUNTIFS([1]EXPORT!$P$2:$P$15025,"ACBB DANSE SPORTIVE",[1]EXPORT!$K$2:$K$15025,"&gt;79000")+COUNTIFS([1]EXPORT!$P$2:$P$15025,"ACBB DANSE SPORTIVE",[1]EXPORT!$K$2:$K$15025,"&gt;=91000")- COUNTIFS([1]EXPORT!$P$2:$P$15025,"ACBB DANSE SPORTIVE",[1]EXPORT!$K$2:$K$15025,"&gt;92000")+COUNTIFS([1]EXPORT!$P$2:$P$15025,"ACBB DANSE SPORTIVE",[1]EXPORT!$K$2:$K$15025,"&gt;=92000")- COUNTIFS([1]EXPORT!$P$2:$P$15025,"ACBB DANSE SPORTIVE",[1]EXPORT!$K$2:$K$15025,"&gt;96000")-E17-D17-C17-B17</f>
        <v>1</v>
      </c>
      <c r="G17" s="46">
        <f>COUNTIFS([1]EXPORT!$P$2:$P$15025,"ACBB DANSE SPORTIVE",[1]EXPORT!$M$2:$M$15025,"FR")-F17-E17-D17-C17-B17</f>
        <v>0</v>
      </c>
      <c r="H17" s="47">
        <f>COUNTIFS([1]EXPORT!$P$2:$P$15025,"ACBB DANSE SPORTIVE",[1]EXPORT!$M$2:$M$15025,"&lt;&gt;FR")</f>
        <v>0</v>
      </c>
      <c r="I17" s="48">
        <f t="shared" si="0"/>
        <v>12</v>
      </c>
      <c r="J17" s="29"/>
      <c r="K17" s="49">
        <f t="shared" si="1"/>
        <v>11</v>
      </c>
      <c r="L17" s="84"/>
    </row>
    <row r="18" spans="1:12" s="57" customFormat="1" x14ac:dyDescent="0.25">
      <c r="A18" s="62" t="s">
        <v>68</v>
      </c>
      <c r="B18" s="66">
        <v>678</v>
      </c>
      <c r="C18" s="67">
        <f>COUNTIFS([1]EXPORT!$P$2:$P$15025,"ACBB FOOTBALL",[1]EXPORT!$K$2:$K$15025,"92370")+ COUNTIFS([1]EXPORT!$P$2:$P$15025,"ACBB FOOTBALL",[1]EXPORT!$K$2:$K$15025,"92130")+ COUNTIFS([1]EXPORT!$P$2:$P$15025,"ACBB FOOTBALL",[1]EXPORT!$K$2:$K$15025,"92430")+ COUNTIFS([1]EXPORT!$P$2:$P$15025,"ACBB FOOTBALL",[1]EXPORT!$K$2:$K$15025,"92190")+ COUNTIFS([1]EXPORT!$P$2:$P$15025,"ACBB FOOTBALL",[1]EXPORT!$K$2:$K$15025,"92360")+ COUNTIFS([1]EXPORT!$P$2:$P$15025,"ACBB FOOTBALL",[1]EXPORT!$K$2:$K$15025,"92310")+ COUNTIFS([1]EXPORT!$P$2:$P$15025,"ACBB FOOTBALL",[1]EXPORT!$K$2:$K$15025,"92170")+ COUNTIFS([1]EXPORT!$P$2:$P$15025,"ACBB FOOTBALL",[1]EXPORT!$K$2:$K$15025,"92410")</f>
        <v>0</v>
      </c>
      <c r="D18" s="68">
        <v>294</v>
      </c>
      <c r="E18" s="69">
        <v>95</v>
      </c>
      <c r="F18" s="70">
        <v>87</v>
      </c>
      <c r="G18" s="70">
        <v>10</v>
      </c>
      <c r="H18" s="71">
        <f>COUNTIFS([1]EXPORT!$P$2:$P$15025,"ACBB FOOTBALL",[1]EXPORT!$M$2:$M$15025,"&lt;&gt;FR")</f>
        <v>0</v>
      </c>
      <c r="I18" s="76">
        <f>SUM(B18:H18)</f>
        <v>1164</v>
      </c>
      <c r="J18" s="72"/>
      <c r="K18" s="73">
        <f t="shared" si="1"/>
        <v>678</v>
      </c>
      <c r="L18" s="84"/>
    </row>
    <row r="19" spans="1:12" x14ac:dyDescent="0.25">
      <c r="A19" s="41" t="s">
        <v>69</v>
      </c>
      <c r="B19" s="42">
        <v>747</v>
      </c>
      <c r="C19" s="43">
        <f>COUNTIFS([1]EXPORT!$P$2:$P$15025,"ACBB GYMNASTIQUE",[1]EXPORT!$K$2:$K$15025,"92370")+ COUNTIFS([1]EXPORT!$P$2:$P$15025,"ACBB GYMNASTIQUE",[1]EXPORT!$K$2:$K$15025,"92130")+ COUNTIFS([1]EXPORT!$P$2:$P$15025,"ACBB GYMNASTIQUE",[1]EXPORT!$K$2:$K$15025,"92430")+ COUNTIFS([1]EXPORT!$P$2:$P$15025,"ACBB GYMNASTIQUE",[1]EXPORT!$K$2:$K$15025,"92190")+ COUNTIFS([1]EXPORT!$P$2:$P$15025,"ACBB GYMNASTIQUE",[1]EXPORT!$K$2:$K$15025,"92360")+ COUNTIFS([1]EXPORT!$P$2:$P$15025,"ACBB GYMNASTIQUE",[1]EXPORT!$K$2:$K$15025,"92310")+ COUNTIFS([1]EXPORT!$P$2:$P$15025,"ACBB GYMNASTIQUE",[1]EXPORT!$K$2:$K$15025,"92170")+ COUNTIFS([1]EXPORT!$P$2:$P$15025,"ACBB GYMNASTIQUE",[1]EXPORT!$K$2:$K$15025,"92410")</f>
        <v>0</v>
      </c>
      <c r="D19" s="44">
        <v>55</v>
      </c>
      <c r="E19" s="45">
        <v>12</v>
      </c>
      <c r="F19" s="46">
        <v>7</v>
      </c>
      <c r="G19" s="46">
        <v>2</v>
      </c>
      <c r="H19" s="47">
        <f>COUNTIFS([1]EXPORT!$P$2:$P$15025,"ACBB GYMNASTIQUE",[1]EXPORT!$M$2:$M$15025,"&lt;&gt;FR")</f>
        <v>0</v>
      </c>
      <c r="I19" s="48">
        <f>SUM(B19:H19)</f>
        <v>823</v>
      </c>
      <c r="J19" s="29"/>
      <c r="K19" s="49">
        <f t="shared" si="1"/>
        <v>747</v>
      </c>
      <c r="L19" s="84"/>
    </row>
    <row r="20" spans="1:12" x14ac:dyDescent="0.25">
      <c r="A20" s="41" t="s">
        <v>70</v>
      </c>
      <c r="B20" s="42">
        <f>COUNTIFS([1]EXPORT!$P$2:$P$15025,"ACBB HANDBALL",[1]EXPORT!$K$2:$K$15025,"92100")</f>
        <v>0</v>
      </c>
      <c r="C20" s="43">
        <f>COUNTIFS([1]EXPORT!$P$2:$P$15025,"ACBB HANDBALL",[1]EXPORT!$K$2:$K$15025,"92370")+ COUNTIFS([1]EXPORT!$P$2:$P$15025,"ACBB HANDBALL",[1]EXPORT!$K$2:$K$15025,"92130")+ COUNTIFS([1]EXPORT!$P$2:$P$15025,"ACBB HANDBALL",[1]EXPORT!$K$2:$K$15025,"92430")+ COUNTIFS([1]EXPORT!$P$2:$P$15025,"ACBB HANDBALL",[1]EXPORT!$K$2:$K$15025,"92190")+ COUNTIFS([1]EXPORT!$P$2:$P$15025,"ACBB HANDBALL",[1]EXPORT!$K$2:$K$15025,"92360")+ COUNTIFS([1]EXPORT!$P$2:$P$15025,"ACBB HANDBALL",[1]EXPORT!$K$2:$K$15025,"92310")+ COUNTIFS([1]EXPORT!$P$2:$P$15025,"ACBB HANDBALL",[1]EXPORT!$K$2:$K$15025,"92170")+ COUNTIFS([1]EXPORT!$P$2:$P$15025,"ACBB HANDBALL",[1]EXPORT!$K$2:$K$15025,"92410")</f>
        <v>0</v>
      </c>
      <c r="D20" s="44">
        <f>COUNTIFS([1]EXPORT!$P$2:$P$15025,"ACBB HANDBALL",[1]EXPORT!$K$2:$K$15025,"&gt;=92000")- COUNTIFS([1]EXPORT!$P$2:$P$15025,"ACBB HANDBALL",[1]EXPORT!$K$2:$K$15025,"&gt;93000")-C20-B20</f>
        <v>0</v>
      </c>
      <c r="E20" s="45">
        <f>COUNTIFS([1]EXPORT!$P$2:$P$15025,"ACBB HANDBALL",[1]EXPORT!$K$2:$K$15025,"&gt;=75000")- COUNTIFS([1]EXPORT!$P$2:$P$15025,"ACBB HANDBALL",[1]EXPORT!$K$2:$K$15025,"&gt;76000")</f>
        <v>0</v>
      </c>
      <c r="F20" s="46">
        <f>COUNTIFS([1]EXPORT!$P$2:$P$15025,"ACBB HANDBALL",[1]EXPORT!$K$2:$K$15025,"&gt;=75000")- COUNTIFS([1]EXPORT!$P$2:$P$15025,"ACBB HANDBALL",[1]EXPORT!$K$2:$K$15025,"&gt;76000")+COUNTIFS([1]EXPORT!$P$2:$P$15025,"ACBB HANDBALL",[1]EXPORT!$K$2:$K$15025,"&gt;=77000")- COUNTIFS([1]EXPORT!$P$2:$P$15025,"ACBB HANDBALL",[1]EXPORT!$K$2:$K$15025,"&gt;78000")+COUNTIFS([1]EXPORT!$P$2:$P$15025,"ACBB HANDBALL",[1]EXPORT!$K$2:$K$15025,"&gt;=78000")- COUNTIFS([1]EXPORT!$P$2:$P$15025,"ACBB HANDBALL",[1]EXPORT!$K$2:$K$15025,"&gt;79000")+COUNTIFS([1]EXPORT!$P$2:$P$15025,"ACBB HANDBALL",[1]EXPORT!$K$2:$K$15025,"&gt;=91000")- COUNTIFS([1]EXPORT!$P$2:$P$15025,"ACBB HANDBALL",[1]EXPORT!$K$2:$K$15025,"&gt;92000")+COUNTIFS([1]EXPORT!$P$2:$P$15025,"ACBB HANDBALL",[1]EXPORT!$K$2:$K$15025,"&gt;=92000")- COUNTIFS([1]EXPORT!$P$2:$P$15025,"ACBB HANDBALL",[1]EXPORT!$K$2:$K$15025,"&gt;96000")-E20-D20-C20-B20</f>
        <v>0</v>
      </c>
      <c r="G20" s="46">
        <f>COUNTIFS([1]EXPORT!$P$2:$P$15025,"ACBB HANDBALL",[1]EXPORT!$M$2:$M$15025,"FR")-F20-E20-D20-C20-B20</f>
        <v>0</v>
      </c>
      <c r="H20" s="47">
        <f>COUNTIFS([1]EXPORT!$P$2:$P$15025,"ACBB HANDBALL",[1]EXPORT!$M$2:$M$15025,"&lt;&gt;FR")</f>
        <v>0</v>
      </c>
      <c r="I20" s="48">
        <f t="shared" si="0"/>
        <v>0</v>
      </c>
      <c r="J20" s="29"/>
      <c r="K20" s="49">
        <f t="shared" si="1"/>
        <v>0</v>
      </c>
      <c r="L20" s="50"/>
    </row>
    <row r="21" spans="1:12" x14ac:dyDescent="0.25">
      <c r="A21" s="41" t="s">
        <v>71</v>
      </c>
      <c r="B21" s="42">
        <f>COUNTIFS([1]EXPORT!$P$2:$P$15025,"ACBB HOCKEY SUR GAZON",[1]EXPORT!$K$2:$K$15025,"92100")</f>
        <v>0</v>
      </c>
      <c r="C21" s="43">
        <f>COUNTIFS([1]EXPORT!$P$2:$P$15025,"ACBB HOCKEY SUR GAZON",[1]EXPORT!$K$2:$K$15025,"92370")+ COUNTIFS([1]EXPORT!$P$2:$P$15025,"ACBB HOCKEY SUR GAZON",[1]EXPORT!$K$2:$K$15025,"92130")+ COUNTIFS([1]EXPORT!$P$2:$P$15025,"ACBB HOCKEY SUR GAZON",[1]EXPORT!$K$2:$K$15025,"92430")+ COUNTIFS([1]EXPORT!$P$2:$P$15025,"ACBB HOCKEY SUR GAZON",[1]EXPORT!$K$2:$K$15025,"92190")+ COUNTIFS([1]EXPORT!$P$2:$P$15025,"ACBB HOCKEY SUR GAZON",[1]EXPORT!$K$2:$K$15025,"92360")+ COUNTIFS([1]EXPORT!$P$2:$P$15025,"ACBB HOCKEY SUR GAZON",[1]EXPORT!$K$2:$K$15025,"92310")+ COUNTIFS([1]EXPORT!$P$2:$P$15025,"ACBB HOCKEY SUR GAZON",[1]EXPORT!$K$2:$K$15025,"92170")+ COUNTIFS([1]EXPORT!$P$2:$P$15025,"ACBB HOCKEY SUR GAZON",[1]EXPORT!$K$2:$K$15025,"92410")</f>
        <v>0</v>
      </c>
      <c r="D21" s="44">
        <f>COUNTIFS([1]EXPORT!$P$2:$P$15025,"ACBB HOCKEY SUR GAZON",[1]EXPORT!$K$2:$K$15025,"&gt;=92000")- COUNTIFS([1]EXPORT!$P$2:$P$15025,"ACBB HOCKEY SUR GAZON",[1]EXPORT!$K$2:$K$15025,"&gt;93000")-C21-B21</f>
        <v>0</v>
      </c>
      <c r="E21" s="45">
        <f>COUNTIFS([1]EXPORT!$P$2:$P$15025,"ACBB HOCKEY SUR GAZON",[1]EXPORT!$K$2:$K$15025,"&gt;=75000")- COUNTIFS([1]EXPORT!$P$2:$P$15025,"ACBB HOCKEY SUR GAZON",[1]EXPORT!$K$2:$K$15025,"&gt;76000")</f>
        <v>0</v>
      </c>
      <c r="F21" s="46">
        <f>COUNTIFS([1]EXPORT!$P$2:$P$15025,"ACBB HOCKEY SUR GAZON",[1]EXPORT!$K$2:$K$15025,"&gt;=75000")- COUNTIFS([1]EXPORT!$P$2:$P$15025,"ACBB HOCKEY SUR GAZON",[1]EXPORT!$K$2:$K$15025,"&gt;76000")+COUNTIFS([1]EXPORT!$P$2:$P$15025,"ACBB HOCKEY SUR GAZON",[1]EXPORT!$K$2:$K$15025,"&gt;=77000")- COUNTIFS([1]EXPORT!$P$2:$P$15025,"ACBB HOCKEY SUR GAZON",[1]EXPORT!$K$2:$K$15025,"&gt;78000")+COUNTIFS([1]EXPORT!$P$2:$P$15025,"ACBB HOCKEY SUR GAZON",[1]EXPORT!$K$2:$K$15025,"&gt;=78000")- COUNTIFS([1]EXPORT!$P$2:$P$15025,"ACBB HOCKEY SUR GAZON",[1]EXPORT!$K$2:$K$15025,"&gt;79000")+COUNTIFS([1]EXPORT!$P$2:$P$15025,"ACBB HOCKEY SUR GAZON",[1]EXPORT!$K$2:$K$15025,"&gt;=91000")- COUNTIFS([1]EXPORT!$P$2:$P$15025,"ACBB HOCKEY SUR GAZON",[1]EXPORT!$K$2:$K$15025,"&gt;92000")+COUNTIFS([1]EXPORT!$P$2:$P$15025,"ACBB HOCKEY SUR GAZON",[1]EXPORT!$K$2:$K$15025,"&gt;=92000")- COUNTIFS([1]EXPORT!$P$2:$P$15025,"ACBB HOCKEY SUR GAZON",[1]EXPORT!$K$2:$K$15025,"&gt;96000")-E21-D21-C21-B21</f>
        <v>0</v>
      </c>
      <c r="G21" s="46">
        <f>COUNTIFS([1]EXPORT!$P$2:$P$15025,"ACBB HOCKEY SUR GAZON",[1]EXPORT!$M$2:$M$15025,"FR")-F21-E21-D21-C21-B21</f>
        <v>0</v>
      </c>
      <c r="H21" s="47">
        <f>COUNTIFS([1]EXPORT!$P$2:$P$15025,"ACBB HOCKEY SUR GAZON",[1]EXPORT!$M$2:$M$15025,"&lt;&gt;FR")</f>
        <v>0</v>
      </c>
      <c r="I21" s="48">
        <f t="shared" si="0"/>
        <v>0</v>
      </c>
      <c r="J21" s="29"/>
      <c r="K21" s="49">
        <f t="shared" si="1"/>
        <v>0</v>
      </c>
      <c r="L21" s="50"/>
    </row>
    <row r="22" spans="1:12" x14ac:dyDescent="0.25">
      <c r="A22" s="41" t="s">
        <v>72</v>
      </c>
      <c r="B22" s="42">
        <f>COUNTIFS([1]EXPORT!$P$2:$P$15025,"ACBB HOCKEY SUR GLACE",[1]EXPORT!$K$2:$K$15025,"92100")</f>
        <v>0</v>
      </c>
      <c r="C22" s="43">
        <f>COUNTIFS([1]EXPORT!$P$2:$P$15025,"ACBB HOCKEY SUR GLACE",[1]EXPORT!$K$2:$K$15025,"92370")+ COUNTIFS([1]EXPORT!$P$2:$P$15025,"ACBB HOCKEY SUR GLACE",[1]EXPORT!$K$2:$K$15025,"92130")+ COUNTIFS([1]EXPORT!$P$2:$P$15025,"ACBB HOCKEY SUR GLACE",[1]EXPORT!$K$2:$K$15025,"92430")+ COUNTIFS([1]EXPORT!$P$2:$P$15025,"ACBB HOCKEY SUR GLACE",[1]EXPORT!$K$2:$K$15025,"92190")+ COUNTIFS([1]EXPORT!$P$2:$P$15025,"ACBB HOCKEY SUR GLACE",[1]EXPORT!$K$2:$K$15025,"92360")+ COUNTIFS([1]EXPORT!$P$2:$P$15025,"ACBB HOCKEY SUR GLACE",[1]EXPORT!$K$2:$K$15025,"92310")+ COUNTIFS([1]EXPORT!$P$2:$P$15025,"ACBB HOCKEY SUR GLACE",[1]EXPORT!$K$2:$K$15025,"92170")+ COUNTIFS([1]EXPORT!$P$2:$P$15025,"ACBB HOCKEY SUR GLACE",[1]EXPORT!$K$2:$K$15025,"92410")</f>
        <v>0</v>
      </c>
      <c r="D22" s="44">
        <f>COUNTIFS([1]EXPORT!$P$2:$P$15025,"ACBB HOCKEY SUR GLACE",[1]EXPORT!$K$2:$K$15025,"&gt;=92000")- COUNTIFS([1]EXPORT!$P$2:$P$15025,"ACBB HOCKEY SUR GLACE",[1]EXPORT!$K$2:$K$15025,"&gt;93000")-C22-B22</f>
        <v>0</v>
      </c>
      <c r="E22" s="45">
        <f>COUNTIFS([1]EXPORT!$P$2:$P$15025,"ACBB HOCKEY SUR GLACE",[1]EXPORT!$K$2:$K$15025,"&gt;=75000")- COUNTIFS([1]EXPORT!$P$2:$P$15025,"ACBB HOCKEY SUR GLACE",[1]EXPORT!$K$2:$K$15025,"&gt;76000")</f>
        <v>0</v>
      </c>
      <c r="F22" s="46">
        <v>32</v>
      </c>
      <c r="G22" s="46">
        <v>2</v>
      </c>
      <c r="H22" s="47">
        <f>COUNTIFS([1]EXPORT!$P$2:$P$15025,"ACBB HOCKEY SUR GLACE",[1]EXPORT!$M$2:$M$15025,"&lt;&gt;FR")</f>
        <v>0</v>
      </c>
      <c r="I22" s="48">
        <f t="shared" si="0"/>
        <v>34</v>
      </c>
      <c r="J22" s="29"/>
      <c r="K22" s="49">
        <f t="shared" si="1"/>
        <v>0</v>
      </c>
      <c r="L22" s="50"/>
    </row>
    <row r="23" spans="1:12" x14ac:dyDescent="0.25">
      <c r="A23" s="41" t="s">
        <v>73</v>
      </c>
      <c r="B23" s="42">
        <v>597</v>
      </c>
      <c r="C23" s="43">
        <f>COUNTIFS([1]EXPORT!$P$2:$P$15025,"ACBB JUDO &amp; DA",[1]EXPORT!$K$2:$K$15025,"92370")+ COUNTIFS([1]EXPORT!$P$2:$P$15025,"ACBB JUDO &amp; DA",[1]EXPORT!$K$2:$K$15025,"92130")+ COUNTIFS([1]EXPORT!$P$2:$P$15025,"ACBB JUDO &amp; DA",[1]EXPORT!$K$2:$K$15025,"92430")+ COUNTIFS([1]EXPORT!$P$2:$P$15025,"ACBB JUDO &amp; DA",[1]EXPORT!$K$2:$K$15025,"92190")+ COUNTIFS([1]EXPORT!$P$2:$P$15025,"ACBB JUDO &amp; DA",[1]EXPORT!$K$2:$K$15025,"92360")+ COUNTIFS([1]EXPORT!$P$2:$P$15025,"ACBB JUDO &amp; DA",[1]EXPORT!$K$2:$K$15025,"92310")+ COUNTIFS([1]EXPORT!$P$2:$P$15025,"ACBB JUDO &amp; DA",[1]EXPORT!$K$2:$K$15025,"92170")+ COUNTIFS([1]EXPORT!$P$2:$P$15025,"ACBB JUDO &amp; DA",[1]EXPORT!$K$2:$K$15025,"92410")</f>
        <v>0</v>
      </c>
      <c r="D23" s="44">
        <f>COUNTIFS([1]EXPORT!$P$2:$P$15025,"ACBB JUDO &amp; DA",[1]EXPORT!$K$2:$K$15025,"&gt;=92000")- COUNTIFS([1]EXPORT!$P$2:$P$15025,"ACBB JUDO &amp; DA",[1]EXPORT!$K$2:$K$15025,"&gt;93000")-C23-B23</f>
        <v>-597</v>
      </c>
      <c r="E23" s="45">
        <f>COUNTIFS([1]EXPORT!$P$2:$P$15025,"ACBB JUDO &amp; DA",[1]EXPORT!$K$2:$K$15025,"&gt;=75000")- COUNTIFS([1]EXPORT!$P$2:$P$15025,"ACBB JUDO &amp; DA",[1]EXPORT!$K$2:$K$15025,"&gt;76000")</f>
        <v>0</v>
      </c>
      <c r="F23" s="46">
        <f>COUNTIFS([1]EXPORT!$P$2:$P$15025,"ACBB JUDO &amp; DA",[1]EXPORT!$K$2:$K$15025,"&gt;=75000")- COUNTIFS([1]EXPORT!$P$2:$P$15025,"ACBB JUDO &amp; DA",[1]EXPORT!$K$2:$K$15025,"&gt;76000")+COUNTIFS([1]EXPORT!$P$2:$P$15025,"ACBB JUDO &amp; DA",[1]EXPORT!$K$2:$K$15025,"&gt;=77000")- COUNTIFS([1]EXPORT!$P$2:$P$15025,"ACBB JUDO &amp; DA",[1]EXPORT!$K$2:$K$15025,"&gt;78000")+COUNTIFS([1]EXPORT!$P$2:$P$15025,"ACBB JUDO &amp; DA",[1]EXPORT!$K$2:$K$15025,"&gt;=78000")- COUNTIFS([1]EXPORT!$P$2:$P$15025,"ACBB JUDO &amp; DA",[1]EXPORT!$K$2:$K$15025,"&gt;79000")+COUNTIFS([1]EXPORT!$P$2:$P$15025,"ACBB JUDO &amp; DA",[1]EXPORT!$K$2:$K$15025,"&gt;=91000")- COUNTIFS([1]EXPORT!$P$2:$P$15025,"ACBB JUDO &amp; DA",[1]EXPORT!$K$2:$K$15025,"&gt;92000")+COUNTIFS([1]EXPORT!$P$2:$P$15025,"ACBB JUDO &amp; DA",[1]EXPORT!$K$2:$K$15025,"&gt;=92000")- COUNTIFS([1]EXPORT!$P$2:$P$15025,"ACBB JUDO &amp; DA",[1]EXPORT!$K$2:$K$15025,"&gt;96000")-E23-D23-C23-B23</f>
        <v>0</v>
      </c>
      <c r="G23" s="46">
        <f>COUNTIFS([1]EXPORT!$P$2:$P$15025,"ACBB JUDO &amp; DA",[1]EXPORT!$M$2:$M$15025,"FR")-F23-E23-D23-C23-B23</f>
        <v>0</v>
      </c>
      <c r="H23" s="47">
        <f>COUNTIFS([1]EXPORT!$P$2:$P$15025,"ACBB JUDO &amp; DA",[1]EXPORT!$M$2:$M$15025,"&lt;&gt;FR")</f>
        <v>0</v>
      </c>
      <c r="I23" s="48">
        <f t="shared" si="0"/>
        <v>0</v>
      </c>
      <c r="J23" s="29"/>
      <c r="K23" s="49">
        <f t="shared" si="1"/>
        <v>597</v>
      </c>
      <c r="L23" s="50"/>
    </row>
    <row r="24" spans="1:12" x14ac:dyDescent="0.25">
      <c r="A24" s="41" t="s">
        <v>74</v>
      </c>
      <c r="B24" s="42">
        <f>COUNTIFS([1]EXPORT!$P$2:$P$15025,"ACBB KARATÉ",[1]EXPORT!$K$2:$K$15025,"92100")</f>
        <v>0</v>
      </c>
      <c r="C24" s="43">
        <f>COUNTIFS([1]EXPORT!$P$2:$P$15025,"ACBB KARATÉ",[1]EXPORT!$K$2:$K$15025,"92370")+ COUNTIFS([1]EXPORT!$P$2:$P$15025,"ACBB KARATÉ",[1]EXPORT!$K$2:$K$15025,"92130")+ COUNTIFS([1]EXPORT!$P$2:$P$15025,"ACBB KARATÉ",[1]EXPORT!$K$2:$K$15025,"92430")+ COUNTIFS([1]EXPORT!$P$2:$P$15025,"ACBB KARATÉ",[1]EXPORT!$K$2:$K$15025,"92190")+ COUNTIFS([1]EXPORT!$P$2:$P$15025,"ACBB KARATÉ",[1]EXPORT!$K$2:$K$15025,"92360")+ COUNTIFS([1]EXPORT!$P$2:$P$15025,"ACBB KARATÉ",[1]EXPORT!$K$2:$K$15025,"92310")+ COUNTIFS([1]EXPORT!$P$2:$P$15025,"ACBB KARATÉ",[1]EXPORT!$K$2:$K$15025,"92170")+ COUNTIFS([1]EXPORT!$P$2:$P$15025,"ACBB KARATÉ",[1]EXPORT!$K$2:$K$15025,"92410")</f>
        <v>0</v>
      </c>
      <c r="D24" s="44">
        <f>COUNTIFS([1]EXPORT!$P$2:$P$15025,"ACBB KARATÉ",[1]EXPORT!$K$2:$K$15025,"&gt;=92000")- COUNTIFS([1]EXPORT!$P$2:$P$15025,"ACBB KARATÉ",[1]EXPORT!$K$2:$K$15025,"&gt;93000")-C24-B24</f>
        <v>0</v>
      </c>
      <c r="E24" s="45">
        <f>COUNTIFS([1]EXPORT!$P$2:$P$15025,"ACBB KARATÉ",[1]EXPORT!$K$2:$K$15025,"&gt;=75000")- COUNTIFS([1]EXPORT!$P$2:$P$15025,"ACBB KARATÉ",[1]EXPORT!$K$2:$K$15025,"&gt;76000")</f>
        <v>0</v>
      </c>
      <c r="F24" s="46">
        <f>COUNTIFS([1]EXPORT!$P$2:$P$15025,"ACBB KARATÉ",[1]EXPORT!$K$2:$K$15025,"&gt;=75000")- COUNTIFS([1]EXPORT!$P$2:$P$15025,"ACBB KARATÉ",[1]EXPORT!$K$2:$K$15025,"&gt;76000")+COUNTIFS([1]EXPORT!$P$2:$P$15025,"ACBB KARATÉ",[1]EXPORT!$K$2:$K$15025,"&gt;=77000")- COUNTIFS([1]EXPORT!$P$2:$P$15025,"ACBB KARATÉ",[1]EXPORT!$K$2:$K$15025,"&gt;78000")+COUNTIFS([1]EXPORT!$P$2:$P$15025,"ACBB KARATÉ",[1]EXPORT!$K$2:$K$15025,"&gt;=78000")- COUNTIFS([1]EXPORT!$P$2:$P$15025,"ACBB KARATÉ",[1]EXPORT!$K$2:$K$15025,"&gt;79000")+COUNTIFS([1]EXPORT!$P$2:$P$15025,"ACBB KARATÉ",[1]EXPORT!$K$2:$K$15025,"&gt;=91000")- COUNTIFS([1]EXPORT!$P$2:$P$15025,"ACBB KARATÉ",[1]EXPORT!$K$2:$K$15025,"&gt;92000")+COUNTIFS([1]EXPORT!$P$2:$P$15025,"ACBB KARATÉ",[1]EXPORT!$K$2:$K$15025,"&gt;=92000")- COUNTIFS([1]EXPORT!$P$2:$P$15025,"ACBB KARATÉ",[1]EXPORT!$K$2:$K$15025,"&gt;96000")-E24-D24-C24-B24</f>
        <v>0</v>
      </c>
      <c r="G24" s="46">
        <f>COUNTIFS([1]EXPORT!$P$2:$P$15025,"ACBB KARATÉ",[1]EXPORT!$M$2:$M$15025,"FR")-F24-E24-D24-C24-B24</f>
        <v>0</v>
      </c>
      <c r="H24" s="47">
        <f>COUNTIFS([1]EXPORT!$P$2:$P$15025,"ACBB KARATÉ",[1]EXPORT!$M$2:$M$15025,"&lt;&gt;FR")</f>
        <v>0</v>
      </c>
      <c r="I24" s="48">
        <f>SUM(B24:H24)</f>
        <v>0</v>
      </c>
      <c r="J24" s="29"/>
      <c r="K24" s="49">
        <f t="shared" si="1"/>
        <v>0</v>
      </c>
      <c r="L24" s="50"/>
    </row>
    <row r="25" spans="1:12" x14ac:dyDescent="0.25">
      <c r="A25" s="41" t="s">
        <v>75</v>
      </c>
      <c r="B25" s="42">
        <f>COUNTIFS([1]EXPORT!$P$2:$P$15025,"ACBB NATATION",[1]EXPORT!$K$2:$K$15025,"92100")</f>
        <v>0</v>
      </c>
      <c r="C25" s="43">
        <f>COUNTIFS([1]EXPORT!$P$2:$P$15025,"ACBB NATATION",[1]EXPORT!$K$2:$K$15025,"92370")+ COUNTIFS([1]EXPORT!$P$2:$P$15025,"ACBB NATATION",[1]EXPORT!$K$2:$K$15025,"92130")+ COUNTIFS([1]EXPORT!$P$2:$P$15025,"ACBB NATATION",[1]EXPORT!$K$2:$K$15025,"92430")+ COUNTIFS([1]EXPORT!$P$2:$P$15025,"ACBB NATATION",[1]EXPORT!$K$2:$K$15025,"92190")+ COUNTIFS([1]EXPORT!$P$2:$P$15025,"ACBB NATATION",[1]EXPORT!$K$2:$K$15025,"92360")+ COUNTIFS([1]EXPORT!$P$2:$P$15025,"ACBB NATATION",[1]EXPORT!$K$2:$K$15025,"92310")+ COUNTIFS([1]EXPORT!$P$2:$P$15025,"ACBB NATATION",[1]EXPORT!$K$2:$K$15025,"92170")+ COUNTIFS([1]EXPORT!$P$2:$P$15025,"ACBB NATATION",[1]EXPORT!$K$2:$K$15025,"92410")</f>
        <v>0</v>
      </c>
      <c r="D25" s="44">
        <f>COUNTIFS([1]EXPORT!$P$2:$P$15025,"ACBB NATATION",[1]EXPORT!$K$2:$K$15025,"&gt;=92000")- COUNTIFS([1]EXPORT!$P$2:$P$15025,"ACBB NATATION",[1]EXPORT!$K$2:$K$15025,"&gt;93000")-C25-B25</f>
        <v>0</v>
      </c>
      <c r="E25" s="45">
        <f>COUNTIFS([1]EXPORT!$P$2:$P$15025,"ACBB NATATION",[1]EXPORT!$K$2:$K$15025,"&gt;=75000")- COUNTIFS([1]EXPORT!$P$2:$P$15025,"ACBB NATATION",[1]EXPORT!$K$2:$K$15025,"&gt;76000")</f>
        <v>0</v>
      </c>
      <c r="F25" s="46">
        <f>COUNTIFS([1]EXPORT!$P$2:$P$15025,"ACBB NATATION",[1]EXPORT!$K$2:$K$15025,"&gt;=75000")- COUNTIFS([1]EXPORT!$P$2:$P$15025,"ACBB NATATION",[1]EXPORT!$K$2:$K$15025,"&gt;76000")+COUNTIFS([1]EXPORT!$P$2:$P$15025,"ACBB NATATION",[1]EXPORT!$K$2:$K$15025,"&gt;=77000")- COUNTIFS([1]EXPORT!$P$2:$P$15025,"ACBB NATATION",[1]EXPORT!$K$2:$K$15025,"&gt;78000")+COUNTIFS([1]EXPORT!$P$2:$P$15025,"ACBB NATATION",[1]EXPORT!$K$2:$K$15025,"&gt;=78000")- COUNTIFS([1]EXPORT!$P$2:$P$15025,"ACBB NATATION",[1]EXPORT!$K$2:$K$15025,"&gt;79000")+COUNTIFS([1]EXPORT!$P$2:$P$15025,"ACBB NATATION",[1]EXPORT!$K$2:$K$15025,"&gt;=91000")- COUNTIFS([1]EXPORT!$P$2:$P$15025,"ACBB NATATION",[1]EXPORT!$K$2:$K$15025,"&gt;92000")+COUNTIFS([1]EXPORT!$P$2:$P$15025,"ACBB NATATION",[1]EXPORT!$K$2:$K$15025,"&gt;=92000")- COUNTIFS([1]EXPORT!$P$2:$P$15025,"ACBB NATATION",[1]EXPORT!$K$2:$K$15025,"&gt;96000")-E25-D25-C25-B25</f>
        <v>0</v>
      </c>
      <c r="G25" s="46">
        <f>COUNTIFS([1]EXPORT!$P$2:$P$15025,"ACBB NATATION",[1]EXPORT!$M$2:$M$15025,"FR")-F25-E25-D25-C25-B25</f>
        <v>0</v>
      </c>
      <c r="H25" s="47">
        <f>COUNTIFS([1]EXPORT!$P$2:$P$15025,"ACBB NATATION",[1]EXPORT!$M$2:$M$15025,"&lt;&gt;FR")</f>
        <v>0</v>
      </c>
      <c r="I25" s="48">
        <f t="shared" si="0"/>
        <v>0</v>
      </c>
      <c r="J25" s="29"/>
      <c r="K25" s="49">
        <f t="shared" si="1"/>
        <v>0</v>
      </c>
      <c r="L25" s="50"/>
    </row>
    <row r="26" spans="1:12" x14ac:dyDescent="0.25">
      <c r="A26" s="41" t="s">
        <v>76</v>
      </c>
      <c r="B26" s="42">
        <f>COUNTIFS([1]EXPORT!$P$2:$P$15025,"ACBB PÊCHES SPORTIVES",[1]EXPORT!$K$2:$K$15025,"92100")</f>
        <v>0</v>
      </c>
      <c r="C26" s="43">
        <f>COUNTIFS([1]EXPORT!$P$2:$P$15025,"ACBB PÊCHES SPORTIVES",[1]EXPORT!$K$2:$K$15025,"92370")+ COUNTIFS([1]EXPORT!$P$2:$P$15025,"ACBB PÊCHES SPORTIVES",[1]EXPORT!$K$2:$K$15025,"92130")+ COUNTIFS([1]EXPORT!$P$2:$P$15025,"ACBB PÊCHES SPORTIVES",[1]EXPORT!$K$2:$K$15025,"92430")+ COUNTIFS([1]EXPORT!$P$2:$P$15025,"ACBB PÊCHES SPORTIVES",[1]EXPORT!$K$2:$K$15025,"92190")+ COUNTIFS([1]EXPORT!$P$2:$P$15025,"ACBB PÊCHES SPORTIVES",[1]EXPORT!$K$2:$K$15025,"92360")+ COUNTIFS([1]EXPORT!$P$2:$P$15025,"ACBB PÊCHES SPORTIVES",[1]EXPORT!$K$2:$K$15025,"92310")+ COUNTIFS([1]EXPORT!$P$2:$P$15025,"ACBB PÊCHES SPORTIVES",[1]EXPORT!$K$2:$K$15025,"92170")+ COUNTIFS([1]EXPORT!$P$2:$P$15025,"ACBB PÊCHES SPORTIVES",[1]EXPORT!$K$2:$K$15025,"92410")</f>
        <v>0</v>
      </c>
      <c r="D26" s="44">
        <f>COUNTIFS([1]EXPORT!$P$2:$P$15025,"ACBB PÊCHES SPORTIVES",[1]EXPORT!$K$2:$K$15025,"&gt;=92000")- COUNTIFS([1]EXPORT!$P$2:$P$15025,"ACBB PÊCHES SPORTIVES",[1]EXPORT!$K$2:$K$15025,"&gt;93000")-C26-B26</f>
        <v>0</v>
      </c>
      <c r="E26" s="45">
        <f>COUNTIFS([1]EXPORT!$P$2:$P$15025,"ACBB PÊCHES SPORTIVES",[1]EXPORT!$K$2:$K$15025,"&gt;=75000")- COUNTIFS([1]EXPORT!$P$2:$P$15025,"ACBB PÊCHES SPORTIVES",[1]EXPORT!$K$2:$K$15025,"&gt;76000")</f>
        <v>0</v>
      </c>
      <c r="F26" s="46">
        <f>COUNTIFS([1]EXPORT!$P$2:$P$15025,"ACBB PÊCHES SPORTIVES",[1]EXPORT!$K$2:$K$15025,"&gt;=75000")- COUNTIFS([1]EXPORT!$P$2:$P$15025,"ACBB PÊCHES SPORTIVES",[1]EXPORT!$K$2:$K$15025,"&gt;76000")+COUNTIFS([1]EXPORT!$P$2:$P$15025,"ACBB PÊCHES SPORTIVES",[1]EXPORT!$K$2:$K$15025,"&gt;=77000")- COUNTIFS([1]EXPORT!$P$2:$P$15025,"ACBB PÊCHES SPORTIVES",[1]EXPORT!$K$2:$K$15025,"&gt;78000")+COUNTIFS([1]EXPORT!$P$2:$P$15025,"ACBB PÊCHES SPORTIVES",[1]EXPORT!$K$2:$K$15025,"&gt;=78000")- COUNTIFS([1]EXPORT!$P$2:$P$15025,"ACBB PÊCHES SPORTIVES",[1]EXPORT!$K$2:$K$15025,"&gt;79000")+COUNTIFS([1]EXPORT!$P$2:$P$15025,"ACBB PÊCHES SPORTIVES",[1]EXPORT!$K$2:$K$15025,"&gt;=91000")- COUNTIFS([1]EXPORT!$P$2:$P$15025,"ACBB PÊCHES SPORTIVES",[1]EXPORT!$K$2:$K$15025,"&gt;92000")+COUNTIFS([1]EXPORT!$P$2:$P$15025,"ACBB PÊCHES SPORTIVES",[1]EXPORT!$K$2:$K$15025,"&gt;=92000")- COUNTIFS([1]EXPORT!$P$2:$P$15025,"ACBB PÊCHES SPORTIVES",[1]EXPORT!$K$2:$K$15025,"&gt;96000")-E26-D26-C26-B26</f>
        <v>0</v>
      </c>
      <c r="G26" s="46">
        <f>COUNTIFS([1]EXPORT!$P$2:$P$15025,"ACBB PÊCHES SPORTIVES",[1]EXPORT!$M$2:$M$15025,"FR")-F26-E26-D26-C26-B26</f>
        <v>0</v>
      </c>
      <c r="H26" s="47">
        <f>COUNTIFS([1]EXPORT!$P$2:$P$15025,"ACBB PÊCHES SPORTIVES",[1]EXPORT!$M$2:$M$15025,"&lt;&gt;FR")</f>
        <v>0</v>
      </c>
      <c r="I26" s="48">
        <f t="shared" si="0"/>
        <v>0</v>
      </c>
      <c r="J26" s="29"/>
      <c r="K26" s="49">
        <f t="shared" si="1"/>
        <v>0</v>
      </c>
      <c r="L26" s="50"/>
    </row>
    <row r="27" spans="1:12" s="57" customFormat="1" x14ac:dyDescent="0.25">
      <c r="A27" s="62" t="s">
        <v>77</v>
      </c>
      <c r="B27" s="66">
        <f>COUNTIFS([1]EXPORT!$P$2:$P$15025,"ACBB PÉTANQUE",[1]EXPORT!$K$2:$K$15025,"92100")</f>
        <v>0</v>
      </c>
      <c r="C27" s="67">
        <f>COUNTIFS([1]EXPORT!$P$2:$P$15025,"ACBB PÉTANQUE",[1]EXPORT!$K$2:$K$15025,"92370")+ COUNTIFS([1]EXPORT!$P$2:$P$15025,"ACBB PÉTANQUE",[1]EXPORT!$K$2:$K$15025,"92130")+ COUNTIFS([1]EXPORT!$P$2:$P$15025,"ACBB PÉTANQUE",[1]EXPORT!$K$2:$K$15025,"92430")+ COUNTIFS([1]EXPORT!$P$2:$P$15025,"ACBB PÉTANQUE",[1]EXPORT!$K$2:$K$15025,"92190")+ COUNTIFS([1]EXPORT!$P$2:$P$15025,"ACBB PÉTANQUE",[1]EXPORT!$K$2:$K$15025,"92360")+ COUNTIFS([1]EXPORT!$P$2:$P$15025,"ACBB PÉTANQUE",[1]EXPORT!$K$2:$K$15025,"92310")+ COUNTIFS([1]EXPORT!$P$2:$P$15025,"ACBB PÉTANQUE",[1]EXPORT!$K$2:$K$15025,"92170")+ COUNTIFS([1]EXPORT!$P$2:$P$15025,"ACBB PÉTANQUE",[1]EXPORT!$K$2:$K$15025,"92410")</f>
        <v>0</v>
      </c>
      <c r="D27" s="68">
        <f>COUNTIFS([1]EXPORT!$P$2:$P$15025,"ACBB PÉTANQUE",[1]EXPORT!$K$2:$K$15025,"&gt;=92000")- COUNTIFS([1]EXPORT!$P$2:$P$15025,"ACBB PÉTANQUE",[1]EXPORT!$K$2:$K$15025,"&gt;93000")-C27-B27</f>
        <v>0</v>
      </c>
      <c r="E27" s="69">
        <f>COUNTIFS([1]EXPORT!$P$2:$P$15025,"ACBB PÉTANQUE",[1]EXPORT!$K$2:$K$15025,"&gt;=75000")- COUNTIFS([1]EXPORT!$P$2:$P$15025,"ACBB PÉTANQUE",[1]EXPORT!$K$2:$K$15025,"&gt;76000")</f>
        <v>0</v>
      </c>
      <c r="F27" s="70">
        <f>COUNTIFS([1]EXPORT!$P$2:$P$15025,"ACBB PÉTANQUE",[1]EXPORT!$K$2:$K$15025,"&gt;=75000")- COUNTIFS([1]EXPORT!$P$2:$P$15025,"ACBB PÉTANQUE",[1]EXPORT!$K$2:$K$15025,"&gt;76000")+COUNTIFS([1]EXPORT!$P$2:$P$15025,"ACBB PÉTANQUE",[1]EXPORT!$K$2:$K$15025,"&gt;=77000")- COUNTIFS([1]EXPORT!$P$2:$P$15025,"ACBB PÉTANQUE",[1]EXPORT!$K$2:$K$15025,"&gt;78000")+COUNTIFS([1]EXPORT!$P$2:$P$15025,"ACBB PÉTANQUE",[1]EXPORT!$K$2:$K$15025,"&gt;=78000")- COUNTIFS([1]EXPORT!$P$2:$P$15025,"ACBB PÉTANQUE",[1]EXPORT!$K$2:$K$15025,"&gt;79000")+COUNTIFS([1]EXPORT!$P$2:$P$15025,"ACBB PÉTANQUE",[1]EXPORT!$K$2:$K$15025,"&gt;=91000")- COUNTIFS([1]EXPORT!$P$2:$P$15025,"ACBB PÉTANQUE",[1]EXPORT!$K$2:$K$15025,"&gt;92000")+COUNTIFS([1]EXPORT!$P$2:$P$15025,"ACBB PÉTANQUE",[1]EXPORT!$K$2:$K$15025,"&gt;=92000")- COUNTIFS([1]EXPORT!$P$2:$P$15025,"ACBB PÉTANQUE",[1]EXPORT!$K$2:$K$15025,"&gt;96000")-E27-D27-C27-B27</f>
        <v>0</v>
      </c>
      <c r="G27" s="70">
        <f>COUNTIFS([1]EXPORT!$P$2:$P$15025,"ACBB PÉTANQUE",[1]EXPORT!$M$2:$M$15025,"FR")-F27-E27-D27-C27-B27</f>
        <v>0</v>
      </c>
      <c r="H27" s="71">
        <f>COUNTIFS([1]EXPORT!$P$2:$P$15025,"ACBB PÉTANQUE",[1]EXPORT!$M$2:$M$15025,"&lt;&gt;FR")</f>
        <v>0</v>
      </c>
      <c r="I27" s="75">
        <f t="shared" ref="I27" si="3">SUM(B27:H27)</f>
        <v>0</v>
      </c>
      <c r="J27" s="72"/>
      <c r="K27" s="73"/>
      <c r="L27" s="60"/>
    </row>
    <row r="28" spans="1:12" ht="25.5" x14ac:dyDescent="0.25">
      <c r="A28" s="41" t="s">
        <v>78</v>
      </c>
      <c r="B28" s="42">
        <f>COUNTIFS([1]EXPORT!$P$2:$P$15025,"ACBB PLONGÉE SOUS MARINE",[1]EXPORT!$K$2:$K$15025,"92100")</f>
        <v>0</v>
      </c>
      <c r="C28" s="43">
        <f>COUNTIFS([1]EXPORT!$P$2:$P$15025,"ACBB PLONGÉE SOUS MARINE",[1]EXPORT!$K$2:$K$15025,"92370")+ COUNTIFS([1]EXPORT!$P$2:$P$15025,"ACBB PLONGÉE SOUS MARINE",[1]EXPORT!$K$2:$K$15025,"92130")+ COUNTIFS([1]EXPORT!$P$2:$P$15025,"ACBB PLONGÉE SOUS MARINE",[1]EXPORT!$K$2:$K$15025,"92430")+ COUNTIFS([1]EXPORT!$P$2:$P$15025,"ACBB PLONGÉE SOUS MARINE",[1]EXPORT!$K$2:$K$15025,"92190")+ COUNTIFS([1]EXPORT!$P$2:$P$15025,"ACBB PLONGÉE SOUS MARINE",[1]EXPORT!$K$2:$K$15025,"92360")+ COUNTIFS([1]EXPORT!$P$2:$P$15025,"ACBB PLONGÉE SOUS MARINE",[1]EXPORT!$K$2:$K$15025,"92310")+ COUNTIFS([1]EXPORT!$P$2:$P$15025,"ACBB PLONGÉE SOUS MARINE",[1]EXPORT!$K$2:$K$15025,"92170")+ COUNTIFS([1]EXPORT!$P$2:$P$15025,"ACBB PLONGÉE SOUS MARINE",[1]EXPORT!$K$2:$K$15025,"92410")</f>
        <v>0</v>
      </c>
      <c r="D28" s="44">
        <f>COUNTIFS([1]EXPORT!$P$2:$P$15025,"ACBB PLONGÉE SOUS MARINE",[1]EXPORT!$K$2:$K$15025,"&gt;=92000")- COUNTIFS([1]EXPORT!$P$2:$P$15025,"ACBB PLONGÉE SOUS MARINE",[1]EXPORT!$K$2:$K$15025,"&gt;93000")-C28-B28</f>
        <v>0</v>
      </c>
      <c r="E28" s="45">
        <f>COUNTIFS([1]EXPORT!$P$2:$P$15025,"ACBB PLONGÉE SOUS MARINE",[1]EXPORT!$K$2:$K$15025,"&gt;=75000")- COUNTIFS([1]EXPORT!$P$2:$P$15025,"ACBB PLONGÉE SOUS MARINE",[1]EXPORT!$K$2:$K$15025,"&gt;76000")</f>
        <v>0</v>
      </c>
      <c r="F28" s="46">
        <f>COUNTIFS([1]EXPORT!$P$2:$P$15025,"ACBB PLONGÉE SOUS MARINE",[1]EXPORT!$K$2:$K$15025,"&gt;=75000")- COUNTIFS([1]EXPORT!$P$2:$P$15025,"ACBB PLONGÉE SOUS MARINE",[1]EXPORT!$K$2:$K$15025,"&gt;76000")+COUNTIFS([1]EXPORT!$P$2:$P$15025,"ACBB PLONGÉE SOUS MARINE",[1]EXPORT!$K$2:$K$15025,"&gt;=77000")- COUNTIFS([1]EXPORT!$P$2:$P$15025,"ACBB PLONGÉE SOUS MARINE",[1]EXPORT!$K$2:$K$15025,"&gt;78000")+COUNTIFS([1]EXPORT!$P$2:$P$15025,"ACBB PLONGÉE SOUS MARINE",[1]EXPORT!$K$2:$K$15025,"&gt;=78000")- COUNTIFS([1]EXPORT!$P$2:$P$15025,"ACBB PLONGÉE SOUS MARINE",[1]EXPORT!$K$2:$K$15025,"&gt;79000")+COUNTIFS([1]EXPORT!$P$2:$P$15025,"ACBB PLONGÉE SOUS MARINE",[1]EXPORT!$K$2:$K$15025,"&gt;=91000")- COUNTIFS([1]EXPORT!$P$2:$P$15025,"ACBB PLONGÉE SOUS MARINE",[1]EXPORT!$K$2:$K$15025,"&gt;92000")+COUNTIFS([1]EXPORT!$P$2:$P$15025,"ACBB PLONGÉE SOUS MARINE",[1]EXPORT!$K$2:$K$15025,"&gt;=92000")- COUNTIFS([1]EXPORT!$P$2:$P$15025,"ACBB PLONGÉE SOUS MARINE",[1]EXPORT!$K$2:$K$15025,"&gt;96000")-E28-D28-C28-B28</f>
        <v>0</v>
      </c>
      <c r="G28" s="46">
        <f>COUNTIFS([1]EXPORT!$P$2:$P$15025,"ACBB PLONGÉE SOUS MARINE",[1]EXPORT!$M$2:$M$15025,"FR")-F28-E28-D28-C28-B28</f>
        <v>0</v>
      </c>
      <c r="H28" s="47">
        <f>COUNTIFS([1]EXPORT!$P$2:$P$15025,"ACBB PLONGÉE SOUS MARINE",[1]EXPORT!$M$2:$M$15025,"&lt;&gt;FR")</f>
        <v>0</v>
      </c>
      <c r="I28" s="48">
        <f t="shared" si="0"/>
        <v>0</v>
      </c>
      <c r="J28" s="29"/>
      <c r="K28" s="49">
        <f t="shared" si="1"/>
        <v>0</v>
      </c>
      <c r="L28" s="60"/>
    </row>
    <row r="29" spans="1:12" ht="25.5" x14ac:dyDescent="0.25">
      <c r="A29" s="41" t="s">
        <v>79</v>
      </c>
      <c r="B29" s="42">
        <f>COUNTIFS([1]EXPORT!$P$2:$P$15025,"ACBB MUSCULATION/WELLNESS",[1]EXPORT!$K$2:$K$15025,"92100")</f>
        <v>0</v>
      </c>
      <c r="C29" s="43">
        <f>COUNTIFS([1]EXPORT!$P$2:$P$15025,"ACBB MUSCULATION/WELLNESS",[1]EXPORT!$K$2:$K$15025,"92370")+ COUNTIFS([1]EXPORT!$P$2:$P$15025,"ACBB MUSCULATION/WELLNESS",[1]EXPORT!$K$2:$K$15025,"92130")+ COUNTIFS([1]EXPORT!$P$2:$P$15025,"ACBB MUSCULATION/WELLNESS",[1]EXPORT!$K$2:$K$15025,"92430")+ COUNTIFS([1]EXPORT!$P$2:$P$15025,"ACBB MUSCULATION/WELLNESS",[1]EXPORT!$K$2:$K$15025,"92190")+ COUNTIFS([1]EXPORT!$P$2:$P$15025,"ACBB MUSCULATION/WELLNESS",[1]EXPORT!$K$2:$K$15025,"92360")+ COUNTIFS([1]EXPORT!$P$2:$P$15025,"ACBB MUSCULATION/WELLNESS",[1]EXPORT!$K$2:$K$15025,"92310")+ COUNTIFS([1]EXPORT!$P$2:$P$15025,"ACBB MUSCULATION/WELLNESS",[1]EXPORT!$K$2:$K$15025,"92170")+ COUNTIFS([1]EXPORT!$P$2:$P$15025,"ACBB MUSCULATION/WELLNESS",[1]EXPORT!$K$2:$K$15025,"92410")</f>
        <v>0</v>
      </c>
      <c r="D29" s="44">
        <f>COUNTIFS([1]EXPORT!$P$2:$P$15025,"ACBB MUSCULATION/WELLNESS",[1]EXPORT!$K$2:$K$15025,"&gt;=92000")- COUNTIFS([1]EXPORT!$P$2:$P$15025,"ACBB MUSCULATION/WELLNESS",[1]EXPORT!$K$2:$K$15025,"&gt;93000")-C29-B29</f>
        <v>0</v>
      </c>
      <c r="E29" s="45">
        <f>COUNTIFS([1]EXPORT!$P$2:$P$15025,"ACBB MUSCULATION/WELLNESS",[1]EXPORT!$K$2:$K$15025,"&gt;=75000")- COUNTIFS([1]EXPORT!$P$2:$P$15025,"ACBB MUSCULATION/WELLNESS",[1]EXPORT!$K$2:$K$15025,"&gt;76000")</f>
        <v>0</v>
      </c>
      <c r="F29" s="46">
        <f>COUNTIFS([1]EXPORT!$P$2:$P$15025,"ACBB MUSCULATION/WELLNESS",[1]EXPORT!$K$2:$K$15025,"&gt;=75000")- COUNTIFS([1]EXPORT!$P$2:$P$15025,"ACBB MUSCULATION/WELLNESS",[1]EXPORT!$K$2:$K$15025,"&gt;76000")+COUNTIFS([1]EXPORT!$P$2:$P$15025,"ACBB MUSCULATION/WELLNESS",[1]EXPORT!$K$2:$K$15025,"&gt;=77000")- COUNTIFS([1]EXPORT!$P$2:$P$15025,"ACBB MUSCULATION/WELLNESS",[1]EXPORT!$K$2:$K$15025,"&gt;78000")+COUNTIFS([1]EXPORT!$P$2:$P$15025,"ACBB MUSCULATION/WELLNESS",[1]EXPORT!$K$2:$K$15025,"&gt;=78000")- COUNTIFS([1]EXPORT!$P$2:$P$15025,"ACBB MUSCULATION/WELLNESS",[1]EXPORT!$K$2:$K$15025,"&gt;79000")+COUNTIFS([1]EXPORT!$P$2:$P$15025,"ACBB MUSCULATION/WELLNESS",[1]EXPORT!$K$2:$K$15025,"&gt;=91000")- COUNTIFS([1]EXPORT!$P$2:$P$15025,"ACBB MUSCULATION/WELLNESS",[1]EXPORT!$K$2:$K$15025,"&gt;92000")+COUNTIFS([1]EXPORT!$P$2:$P$15025,"ACBB MUSCULATION/WELLNESS",[1]EXPORT!$K$2:$K$15025,"&gt;=92000")- COUNTIFS([1]EXPORT!$P$2:$P$15025,"ACBB MUSCULATION/WELLNESS",[1]EXPORT!$K$2:$K$15025,"&gt;96000")-E29-D29-C29-B29</f>
        <v>0</v>
      </c>
      <c r="G29" s="46">
        <f>COUNTIFS([1]EXPORT!$P$2:$P$15025,"ACBB MUSCULATION/WELLNESS",[1]EXPORT!$M$2:$M$15025,"FR")-F29-E29-D29-C29-B29</f>
        <v>0</v>
      </c>
      <c r="H29" s="47">
        <f>COUNTIFS([1]EXPORT!$P$2:$P$15025,"ACBB MUSCULATION/WELLNESS",[1]EXPORT!$M$2:$M$15025,"&lt;&gt;FR")</f>
        <v>0</v>
      </c>
      <c r="I29" s="48">
        <f t="shared" si="0"/>
        <v>0</v>
      </c>
      <c r="J29" s="29"/>
      <c r="K29" s="49">
        <f t="shared" si="1"/>
        <v>0</v>
      </c>
      <c r="L29" s="61"/>
    </row>
    <row r="30" spans="1:12" s="57" customFormat="1" x14ac:dyDescent="0.25">
      <c r="A30" s="62" t="s">
        <v>80</v>
      </c>
      <c r="B30" s="66">
        <f>COUNTIFS([1]EXPORT!$P$2:$P$15025,"ACBB PONEY",[1]EXPORT!$K$2:$K$15025,"92100")</f>
        <v>0</v>
      </c>
      <c r="C30" s="67">
        <f>COUNTIFS([1]EXPORT!$P$2:$P$15025,"ACBB PONEY",[1]EXPORT!$K$2:$K$15025,"92370")+ COUNTIFS([1]EXPORT!$P$2:$P$15025,"ACBB PONEY",[1]EXPORT!$K$2:$K$15025,"92130")+ COUNTIFS([1]EXPORT!$P$2:$P$15025,"ACBB PONEY",[1]EXPORT!$K$2:$K$15025,"92430")+ COUNTIFS([1]EXPORT!$P$2:$P$15025,"ACBB PONEY",[1]EXPORT!$K$2:$K$15025,"92190")+ COUNTIFS([1]EXPORT!$P$2:$P$15025,"ACBB PONEY",[1]EXPORT!$K$2:$K$15025,"92360")+ COUNTIFS([1]EXPORT!$P$2:$P$15025,"ACBB PONEY",[1]EXPORT!$K$2:$K$15025,"92310")+ COUNTIFS([1]EXPORT!$P$2:$P$15025,"ACBB PONEY",[1]EXPORT!$K$2:$K$15025,"92170")+ COUNTIFS([1]EXPORT!$P$2:$P$15025,"ACBB PONEY",[1]EXPORT!$K$2:$K$15025,"92410")</f>
        <v>0</v>
      </c>
      <c r="D30" s="68">
        <f>COUNTIFS([1]EXPORT!$P$2:$P$15025,"ACBB PONEY",[1]EXPORT!$K$2:$K$15025,"&gt;=92000")- COUNTIFS([1]EXPORT!$P$2:$P$15025,"ACBB PONEY",[1]EXPORT!$K$2:$K$15025,"&gt;93000")-C30-B30</f>
        <v>0</v>
      </c>
      <c r="E30" s="69">
        <f>COUNTIFS([1]EXPORT!$P$2:$P$15025,"ACBB PONEY",[1]EXPORT!$K$2:$K$15025,"&gt;=75000")- COUNTIFS([1]EXPORT!$P$2:$P$15025,"ACBB PONEY",[1]EXPORT!$K$2:$K$15025,"&gt;76000")</f>
        <v>0</v>
      </c>
      <c r="F30" s="70">
        <f>COUNTIFS([1]EXPORT!$P$2:$P$15025,"ACBB PONEY",[1]EXPORT!$K$2:$K$15025,"&gt;=75000")- COUNTIFS([1]EXPORT!$P$2:$P$15025,"ACBB PONEY",[1]EXPORT!$K$2:$K$15025,"&gt;76000")+COUNTIFS([1]EXPORT!$P$2:$P$15025,"ACBB PONEY",[1]EXPORT!$K$2:$K$15025,"&gt;=77000")- COUNTIFS([1]EXPORT!$P$2:$P$15025,"ACBB PONEY",[1]EXPORT!$K$2:$K$15025,"&gt;78000")+COUNTIFS([1]EXPORT!$P$2:$P$15025,"ACBB PONEY",[1]EXPORT!$K$2:$K$15025,"&gt;=78000")- COUNTIFS([1]EXPORT!$P$2:$P$15025,"ACBB PONEY",[1]EXPORT!$K$2:$K$15025,"&gt;79000")+COUNTIFS([1]EXPORT!$P$2:$P$15025,"ACBB PONEY",[1]EXPORT!$K$2:$K$15025,"&gt;=91000")- COUNTIFS([1]EXPORT!$P$2:$P$15025,"ACBB PONEY",[1]EXPORT!$K$2:$K$15025,"&gt;92000")+COUNTIFS([1]EXPORT!$P$2:$P$15025,"ACBB PONEY",[1]EXPORT!$K$2:$K$15025,"&gt;=92000")- COUNTIFS([1]EXPORT!$P$2:$P$15025,"ACBB PONEY",[1]EXPORT!$K$2:$K$15025,"&gt;96000")-E30-D30-C30-B30</f>
        <v>0</v>
      </c>
      <c r="G30" s="70">
        <f>COUNTIFS([1]EXPORT!$P$2:$P$15025,"ACBB PONEY",[1]EXPORT!$M$2:$M$15025,"FR")-F30-E30-D30-C30-B30</f>
        <v>0</v>
      </c>
      <c r="H30" s="71">
        <f>COUNTIFS([1]EXPORT!$P$2:$P$15025,"ACBB PONEY",[1]EXPORT!$M$2:$M$15025,"&lt;&gt;FR")</f>
        <v>0</v>
      </c>
      <c r="I30" s="75">
        <f t="shared" ref="I30" si="4">SUM(B30:H30)</f>
        <v>0</v>
      </c>
      <c r="J30" s="72"/>
      <c r="K30" s="73"/>
      <c r="L30" s="60"/>
    </row>
    <row r="31" spans="1:12" x14ac:dyDescent="0.25">
      <c r="A31" s="41" t="s">
        <v>81</v>
      </c>
      <c r="B31" s="42">
        <f>COUNTIFS([1]EXPORT!$P$2:$P$15025,"ACBB RUGBY",[1]EXPORT!$K$2:$K$15025,"92100")</f>
        <v>0</v>
      </c>
      <c r="C31" s="43">
        <f>COUNTIFS([1]EXPORT!$P$2:$P$15025,"ACBB RUGBY",[1]EXPORT!$K$2:$K$15025,"92370")+ COUNTIFS([1]EXPORT!$P$2:$P$15025,"ACBB RUGBY",[1]EXPORT!$K$2:$K$15025,"92130")+ COUNTIFS([1]EXPORT!$P$2:$P$15025,"ACBB RUGBY",[1]EXPORT!$K$2:$K$15025,"92430")+ COUNTIFS([1]EXPORT!$P$2:$P$15025,"ACBB RUGBY",[1]EXPORT!$K$2:$K$15025,"92190")+ COUNTIFS([1]EXPORT!$P$2:$P$15025,"ACBB RUGBY",[1]EXPORT!$K$2:$K$15025,"92360")+ COUNTIFS([1]EXPORT!$P$2:$P$15025,"ACBB RUGBY",[1]EXPORT!$K$2:$K$15025,"92310")+ COUNTIFS([1]EXPORT!$P$2:$P$15025,"ACBB RUGBY",[1]EXPORT!$K$2:$K$15025,"92170")+ COUNTIFS([1]EXPORT!$P$2:$P$15025,"ACBB RUGBY",[1]EXPORT!$K$2:$K$15025,"92410")</f>
        <v>0</v>
      </c>
      <c r="D31" s="44">
        <f>COUNTIFS([1]EXPORT!$P$2:$P$15025,"ACBB RUGBY",[1]EXPORT!$K$2:$K$15025,"&gt;=92000")- COUNTIFS([1]EXPORT!$P$2:$P$15025,"ACBB RUGBY",[1]EXPORT!$K$2:$K$15025,"&gt;93000")-C31-B31</f>
        <v>0</v>
      </c>
      <c r="E31" s="45">
        <f>COUNTIFS([1]EXPORT!$P$2:$P$15025,"ACBB RUGBY",[1]EXPORT!$K$2:$K$15025,"&gt;=75000")- COUNTIFS([1]EXPORT!$P$2:$P$15025,"ACBB RUGBY",[1]EXPORT!$K$2:$K$15025,"&gt;76000")</f>
        <v>0</v>
      </c>
      <c r="F31" s="46">
        <f>COUNTIFS([1]EXPORT!$P$2:$P$15025,"ACBB RUGBY",[1]EXPORT!$K$2:$K$15025,"&gt;=75000")- COUNTIFS([1]EXPORT!$P$2:$P$15025,"ACBB RUGBY",[1]EXPORT!$K$2:$K$15025,"&gt;76000")+COUNTIFS([1]EXPORT!$P$2:$P$15025,"ACBB RUGBY",[1]EXPORT!$K$2:$K$15025,"&gt;=77000")- COUNTIFS([1]EXPORT!$P$2:$P$15025,"ACBB RUGBY",[1]EXPORT!$K$2:$K$15025,"&gt;78000")+COUNTIFS([1]EXPORT!$P$2:$P$15025,"ACBB RUGBY",[1]EXPORT!$K$2:$K$15025,"&gt;=78000")- COUNTIFS([1]EXPORT!$P$2:$P$15025,"ACBB RUGBY",[1]EXPORT!$K$2:$K$15025,"&gt;79000")+COUNTIFS([1]EXPORT!$P$2:$P$15025,"ACBB RUGBY",[1]EXPORT!$K$2:$K$15025,"&gt;=91000")- COUNTIFS([1]EXPORT!$P$2:$P$15025,"ACBB RUGBY",[1]EXPORT!$K$2:$K$15025,"&gt;92000")+COUNTIFS([1]EXPORT!$P$2:$P$15025,"ACBB RUGBY",[1]EXPORT!$K$2:$K$15025,"&gt;=92000")- COUNTIFS([1]EXPORT!$P$2:$P$15025,"ACBB RUGBY",[1]EXPORT!$K$2:$K$15025,"&gt;96000")-E31-D31-C31-B31</f>
        <v>0</v>
      </c>
      <c r="G31" s="46">
        <f>COUNTIFS([1]EXPORT!$P$2:$P$15025,"ACBB RUGBY",[1]EXPORT!$M$2:$M$15025,"FR")-F31-E31-D31-C31-B31</f>
        <v>0</v>
      </c>
      <c r="H31" s="47">
        <f>COUNTIFS([1]EXPORT!$P$2:$P$15025,"ACBB RUGBY",[1]EXPORT!$M$2:$M$15025,"&lt;&gt;FR")</f>
        <v>0</v>
      </c>
      <c r="I31" s="48">
        <f t="shared" si="0"/>
        <v>0</v>
      </c>
      <c r="J31" s="29"/>
      <c r="K31" s="49">
        <f t="shared" si="1"/>
        <v>0</v>
      </c>
      <c r="L31" s="60"/>
    </row>
    <row r="32" spans="1:12" x14ac:dyDescent="0.25">
      <c r="A32" s="41" t="s">
        <v>82</v>
      </c>
      <c r="B32" s="42">
        <f>COUNTIFS([1]EXPORT!$P$2:$P$15025,"ACBB BOXE FRANÇAISE - SAVATE",[1]EXPORT!$K$2:$K$15025,"92100")</f>
        <v>0</v>
      </c>
      <c r="C32" s="43">
        <f>COUNTIFS([1]EXPORT!$P$2:$P$15025,"ACBB BOXE FRANÇAISE - SAVATE",[1]EXPORT!$K$2:$K$15025,"92370")+ COUNTIFS([1]EXPORT!$P$2:$P$15025,"ACBB BOXE FRANÇAISE - SAVATE",[1]EXPORT!$K$2:$K$15025,"92130")+ COUNTIFS([1]EXPORT!$P$2:$P$15025,"ACBB BOXE FRANÇAISE - SAVATE",[1]EXPORT!$K$2:$K$15025,"92430")+ COUNTIFS([1]EXPORT!$P$2:$P$15025,"ACBB BOXE FRANÇAISE - SAVATE",[1]EXPORT!$K$2:$K$15025,"92190")+ COUNTIFS([1]EXPORT!$P$2:$P$15025,"ACBB BOXE FRANÇAISE - SAVATE",[1]EXPORT!$K$2:$K$15025,"92360")+ COUNTIFS([1]EXPORT!$P$2:$P$15025,"ACBB BOXE FRANÇAISE - SAVATE",[1]EXPORT!$K$2:$K$15025,"92310")+ COUNTIFS([1]EXPORT!$P$2:$P$15025,"ACBB BOXE FRANÇAISE - SAVATE",[1]EXPORT!$K$2:$K$15025,"92170")+ COUNTIFS([1]EXPORT!$P$2:$P$15025,"ACBB BOXE FRANÇAISE - SAVATE",[1]EXPORT!$K$2:$K$15025,"92410")</f>
        <v>0</v>
      </c>
      <c r="D32" s="44">
        <f>COUNTIFS([1]EXPORT!$P$2:$P$15025,"ACBB BOXE FRANÇAISE - SAVATE",[1]EXPORT!$K$2:$K$15025,"&gt;=92000")- COUNTIFS([1]EXPORT!$P$2:$P$15025,"ACBB BOXE FRANÇAISE - SAVATE",[1]EXPORT!$K$2:$K$15025,"&gt;93000")-C32-B32</f>
        <v>0</v>
      </c>
      <c r="E32" s="45">
        <f>COUNTIFS([1]EXPORT!$P$2:$P$15025,"ACBB BOXE FRANÇAISE - SAVATE",[1]EXPORT!$K$2:$K$15025,"&gt;=75000")- COUNTIFS([1]EXPORT!$P$2:$P$15025,"ACBB BOXE FRANÇAISE - SAVATE",[1]EXPORT!$K$2:$K$15025,"&gt;76000")</f>
        <v>0</v>
      </c>
      <c r="F32" s="46">
        <f>COUNTIFS([1]EXPORT!$P$2:$P$15025,"ACBB BOXE FRANÇAISE - SAVATE",[1]EXPORT!$K$2:$K$15025,"&gt;=75000")- COUNTIFS([1]EXPORT!$P$2:$P$15025,"ACBB BOXE FRANÇAISE - SAVATE",[1]EXPORT!$K$2:$K$15025,"&gt;76000")+COUNTIFS([1]EXPORT!$P$2:$P$15025,"ACBB BOXE FRANÇAISE - SAVATE",[1]EXPORT!$K$2:$K$15025,"&gt;=77000")- COUNTIFS([1]EXPORT!$P$2:$P$15025,"ACBB BOXE FRANÇAISE - SAVATE",[1]EXPORT!$K$2:$K$15025,"&gt;78000")+COUNTIFS([1]EXPORT!$P$2:$P$15025,"ACBB BOXE FRANÇAISE - SAVATE",[1]EXPORT!$K$2:$K$15025,"&gt;=78000")- COUNTIFS([1]EXPORT!$P$2:$P$15025,"ACBB BOXE FRANÇAISE - SAVATE",[1]EXPORT!$K$2:$K$15025,"&gt;79000")+COUNTIFS([1]EXPORT!$P$2:$P$15025,"ACBB BOXE FRANÇAISE - SAVATE",[1]EXPORT!$K$2:$K$15025,"&gt;=91000")- COUNTIFS([1]EXPORT!$P$2:$P$15025,"ACBB BOXE FRANÇAISE - SAVATE",[1]EXPORT!$K$2:$K$15025,"&gt;92000")+COUNTIFS([1]EXPORT!$P$2:$P$15025,"ACBB BOXE FRANÇAISE - SAVATE",[1]EXPORT!$K$2:$K$15025,"&gt;=92000")- COUNTIFS([1]EXPORT!$P$2:$P$15025,"ACBB BOXE FRANÇAISE - SAVATE",[1]EXPORT!$K$2:$K$15025,"&gt;96000")-E32-D32-C32-B32</f>
        <v>0</v>
      </c>
      <c r="G32" s="46">
        <f>COUNTIFS([1]EXPORT!$P$2:$P$15025,"ACBB BOXE FRANÇAISE - SAVATE",[1]EXPORT!$M$2:$M$15025,"FR")-F32-E32-D32-C32-B32</f>
        <v>0</v>
      </c>
      <c r="H32" s="47">
        <f>COUNTIFS([1]EXPORT!$P$2:$P$15025,"ACBB BOXE FRANÇAISE - SAVATE",[1]EXPORT!$M$2:$M$15025,"&lt;&gt;FR")</f>
        <v>0</v>
      </c>
      <c r="I32" s="48">
        <f t="shared" si="0"/>
        <v>0</v>
      </c>
      <c r="J32" s="29"/>
      <c r="K32" s="49">
        <f t="shared" si="1"/>
        <v>0</v>
      </c>
      <c r="L32" s="60"/>
    </row>
    <row r="33" spans="1:12" x14ac:dyDescent="0.25">
      <c r="A33" s="41" t="s">
        <v>83</v>
      </c>
      <c r="B33" s="42">
        <f>COUNTIFS([1]EXPORT!$P$2:$P$15025,"ACBB SPORTS DE GLACE",[1]EXPORT!$K$2:$K$15025,"92100")</f>
        <v>0</v>
      </c>
      <c r="C33" s="43">
        <f>COUNTIFS([1]EXPORT!$P$2:$P$15025,"ACBB SPORTS DE GLACE",[1]EXPORT!$K$2:$K$15025,"92370")+ COUNTIFS([1]EXPORT!$P$2:$P$15025,"ACBB SPORTS DE GLACE",[1]EXPORT!$K$2:$K$15025,"92130")+ COUNTIFS([1]EXPORT!$P$2:$P$15025,"ACBB SPORTS DE GLACE",[1]EXPORT!$K$2:$K$15025,"92430")+ COUNTIFS([1]EXPORT!$P$2:$P$15025,"ACBB SPORTS DE GLACE",[1]EXPORT!$K$2:$K$15025,"92190")+ COUNTIFS([1]EXPORT!$P$2:$P$15025,"ACBB SPORTS DE GLACE",[1]EXPORT!$K$2:$K$15025,"92360")+ COUNTIFS([1]EXPORT!$P$2:$P$15025,"ACBB SPORTS DE GLACE",[1]EXPORT!$K$2:$K$15025,"92310")+ COUNTIFS([1]EXPORT!$P$2:$P$15025,"ACBB SPORTS DE GLACE",[1]EXPORT!$K$2:$K$15025,"92170")+ COUNTIFS([1]EXPORT!$P$2:$P$15025,"ACBB SPORTS DE GLACE",[1]EXPORT!$K$2:$K$15025,"92410")</f>
        <v>0</v>
      </c>
      <c r="D33" s="44">
        <f>COUNTIFS([1]EXPORT!$P$2:$P$15025,"ACBB SPORTS DE GLACE",[1]EXPORT!$K$2:$K$15025,"&gt;=92000")- COUNTIFS([1]EXPORT!$P$2:$P$15025,"ACBB SPORTS DE GLACE",[1]EXPORT!$K$2:$K$15025,"&gt;93000")-C33-B33</f>
        <v>0</v>
      </c>
      <c r="E33" s="45">
        <f>COUNTIFS([1]EXPORT!$P$2:$P$15025,"ACBB SPORTS DE GLACE",[1]EXPORT!$K$2:$K$15025,"&gt;=75000")- COUNTIFS([1]EXPORT!$P$2:$P$15025,"ACBB SPORTS DE GLACE",[1]EXPORT!$K$2:$K$15025,"&gt;76000")</f>
        <v>0</v>
      </c>
      <c r="F33" s="46">
        <f>COUNTIFS([1]EXPORT!$P$2:$P$15025,"ACBB SPORTS DE GLACE",[1]EXPORT!$K$2:$K$15025,"&gt;=75000")- COUNTIFS([1]EXPORT!$P$2:$P$15025,"ACBB SPORTS DE GLACE",[1]EXPORT!$K$2:$K$15025,"&gt;76000")+COUNTIFS([1]EXPORT!$P$2:$P$15025,"ACBB SPORTS DE GLACE",[1]EXPORT!$K$2:$K$15025,"&gt;=77000")- COUNTIFS([1]EXPORT!$P$2:$P$15025,"ACBB SPORTS DE GLACE",[1]EXPORT!$K$2:$K$15025,"&gt;78000")+COUNTIFS([1]EXPORT!$P$2:$P$15025,"ACBB SPORTS DE GLACE",[1]EXPORT!$K$2:$K$15025,"&gt;=78000")- COUNTIFS([1]EXPORT!$P$2:$P$15025,"ACBB SPORTS DE GLACE",[1]EXPORT!$K$2:$K$15025,"&gt;79000")+COUNTIFS([1]EXPORT!$P$2:$P$15025,"ACBB SPORTS DE GLACE",[1]EXPORT!$K$2:$K$15025,"&gt;=91000")- COUNTIFS([1]EXPORT!$P$2:$P$15025,"ACBB SPORTS DE GLACE",[1]EXPORT!$K$2:$K$15025,"&gt;92000")+COUNTIFS([1]EXPORT!$P$2:$P$15025,"ACBB SPORTS DE GLACE",[1]EXPORT!$K$2:$K$15025,"&gt;=92000")- COUNTIFS([1]EXPORT!$P$2:$P$15025,"ACBB SPORTS DE GLACE",[1]EXPORT!$K$2:$K$15025,"&gt;96000")-E33-D33-C33-B33</f>
        <v>0</v>
      </c>
      <c r="G33" s="46">
        <f>COUNTIFS([1]EXPORT!$P$2:$P$15025,"ACBB SPORTS DE GLACE",[1]EXPORT!$M$2:$M$15025,"FR")-F33-E33-D33-C33-B33</f>
        <v>0</v>
      </c>
      <c r="H33" s="47">
        <f>COUNTIFS([1]EXPORT!$P$2:$P$15025,"ACBB SPORTS DE GLACE",[1]EXPORT!$M$2:$M$15025,"&lt;&gt;FR")</f>
        <v>0</v>
      </c>
      <c r="I33" s="48">
        <f t="shared" si="0"/>
        <v>0</v>
      </c>
      <c r="J33" s="29"/>
      <c r="K33" s="49">
        <f t="shared" si="1"/>
        <v>0</v>
      </c>
      <c r="L33" s="60"/>
    </row>
    <row r="34" spans="1:12" x14ac:dyDescent="0.25">
      <c r="A34" s="41" t="s">
        <v>84</v>
      </c>
      <c r="B34" s="42">
        <f>COUNTIFS([1]EXPORT!$P$2:$P$15025,"ACBB TENNIS DE TABLE",[1]EXPORT!$K$2:$K$15025,"92100")</f>
        <v>0</v>
      </c>
      <c r="C34" s="43">
        <f>COUNTIFS([1]EXPORT!$P$2:$P$15025,"ACBB TENNIS DE TABLE",[1]EXPORT!$K$2:$K$15025,"92370")+ COUNTIFS([1]EXPORT!$P$2:$P$15025,"ACBB TENNIS DE TABLE",[1]EXPORT!$K$2:$K$15025,"92130")+ COUNTIFS([1]EXPORT!$P$2:$P$15025,"ACBB TENNIS DE TABLE",[1]EXPORT!$K$2:$K$15025,"92430")+ COUNTIFS([1]EXPORT!$P$2:$P$15025,"ACBB TENNIS DE TABLE",[1]EXPORT!$K$2:$K$15025,"92190")+ COUNTIFS([1]EXPORT!$P$2:$P$15025,"ACBB TENNIS DE TABLE",[1]EXPORT!$K$2:$K$15025,"92360")+ COUNTIFS([1]EXPORT!$P$2:$P$15025,"ACBB TENNIS DE TABLE",[1]EXPORT!$K$2:$K$15025,"92310")+ COUNTIFS([1]EXPORT!$P$2:$P$15025,"ACBB TENNIS DE TABLE",[1]EXPORT!$K$2:$K$15025,"92170")+ COUNTIFS([1]EXPORT!$P$2:$P$15025,"ACBB TENNIS DE TABLE",[1]EXPORT!$K$2:$K$15025,"92410")</f>
        <v>0</v>
      </c>
      <c r="D34" s="44">
        <f>COUNTIFS([1]EXPORT!$P$2:$P$15025,"ACBB TENNIS DE TABLE",[1]EXPORT!$K$2:$K$15025,"&gt;=92000")- COUNTIFS([1]EXPORT!$P$2:$P$15025,"ACBB TENNIS DE TABLE",[1]EXPORT!$K$2:$K$15025,"&gt;93000")-C34-B34</f>
        <v>0</v>
      </c>
      <c r="E34" s="45">
        <f>COUNTIFS([1]EXPORT!$P$2:$P$15025,"ACBB TENNIS DE TABLE",[1]EXPORT!$K$2:$K$15025,"&gt;=75000")- COUNTIFS([1]EXPORT!$P$2:$P$15025,"ACBB TENNIS DE TABLE",[1]EXPORT!$K$2:$K$15025,"&gt;76000")</f>
        <v>0</v>
      </c>
      <c r="F34" s="46">
        <f>COUNTIFS([1]EXPORT!$P$2:$P$15025,"ACBB TENNIS DE TABLE",[1]EXPORT!$K$2:$K$15025,"&gt;=75000")- COUNTIFS([1]EXPORT!$P$2:$P$15025,"ACBB TENNIS DE TABLE",[1]EXPORT!$K$2:$K$15025,"&gt;76000")+COUNTIFS([1]EXPORT!$P$2:$P$15025,"ACBB TENNIS DE TABLE",[1]EXPORT!$K$2:$K$15025,"&gt;=77000")- COUNTIFS([1]EXPORT!$P$2:$P$15025,"ACBB TENNIS DE TABLE",[1]EXPORT!$K$2:$K$15025,"&gt;78000")+COUNTIFS([1]EXPORT!$P$2:$P$15025,"ACBB TENNIS DE TABLE",[1]EXPORT!$K$2:$K$15025,"&gt;=78000")- COUNTIFS([1]EXPORT!$P$2:$P$15025,"ACBB TENNIS DE TABLE",[1]EXPORT!$K$2:$K$15025,"&gt;79000")+COUNTIFS([1]EXPORT!$P$2:$P$15025,"ACBB TENNIS DE TABLE",[1]EXPORT!$K$2:$K$15025,"&gt;=91000")- COUNTIFS([1]EXPORT!$P$2:$P$15025,"ACBB TENNIS DE TABLE",[1]EXPORT!$K$2:$K$15025,"&gt;92000")+COUNTIFS([1]EXPORT!$P$2:$P$15025,"ACBB TENNIS DE TABLE",[1]EXPORT!$K$2:$K$15025,"&gt;=92000")- COUNTIFS([1]EXPORT!$P$2:$P$15025,"ACBB TENNIS DE TABLE",[1]EXPORT!$K$2:$K$15025,"&gt;96000")-E34-D34-C34-B34</f>
        <v>0</v>
      </c>
      <c r="G34" s="46">
        <f>COUNTIFS([1]EXPORT!$P$2:$P$15025,"ACBB TENNIS DE TABLE",[1]EXPORT!$M$2:$M$15025,"FR")-F34-E34-D34-C34-B34</f>
        <v>0</v>
      </c>
      <c r="H34" s="47">
        <f>COUNTIFS([1]EXPORT!$P$2:$P$15025,"ACBB TENNIS DE TABLE",[1]EXPORT!$M$2:$M$15025,"&lt;&gt;FR")</f>
        <v>0</v>
      </c>
      <c r="I34" s="48">
        <f t="shared" si="0"/>
        <v>0</v>
      </c>
      <c r="J34" s="29"/>
      <c r="K34" s="49">
        <f t="shared" si="1"/>
        <v>0</v>
      </c>
      <c r="L34" s="60"/>
    </row>
    <row r="35" spans="1:12" x14ac:dyDescent="0.25">
      <c r="A35" s="41" t="s">
        <v>85</v>
      </c>
      <c r="B35" s="42">
        <f>COUNTIFS([1]EXPORT!$P$2:$P$15025,"ACBB TIR À L'ARC",[1]EXPORT!$K$2:$K$15025,"92100")</f>
        <v>0</v>
      </c>
      <c r="C35" s="43">
        <f>COUNTIFS([1]EXPORT!$P$2:$P$15025,"ACBB TIR À L'ARC",[1]EXPORT!$K$2:$K$15025,"92370")+ COUNTIFS([1]EXPORT!$P$2:$P$15025,"ACBB TIR À L'ARC",[1]EXPORT!$K$2:$K$15025,"92130")+ COUNTIFS([1]EXPORT!$P$2:$P$15025,"ACBB TIR À L'ARC",[1]EXPORT!$K$2:$K$15025,"92430")+ COUNTIFS([1]EXPORT!$P$2:$P$15025,"ACBB TIR À L'ARC",[1]EXPORT!$K$2:$K$15025,"92190")+ COUNTIFS([1]EXPORT!$P$2:$P$15025,"ACBB TIR À L'ARC",[1]EXPORT!$K$2:$K$15025,"92360")+ COUNTIFS([1]EXPORT!$P$2:$P$15025,"ACBB TIR À L'ARC",[1]EXPORT!$K$2:$K$15025,"92310")+ COUNTIFS([1]EXPORT!$P$2:$P$15025,"ACBB TIR À L'ARC",[1]EXPORT!$K$2:$K$15025,"92170")+ COUNTIFS([1]EXPORT!$P$2:$P$15025,"ACBB TIR À L'ARC",[1]EXPORT!$K$2:$K$15025,"92410")</f>
        <v>0</v>
      </c>
      <c r="D35" s="44">
        <f>COUNTIFS([1]EXPORT!$P$2:$P$15025,"ACBB TIR À L'ARC",[1]EXPORT!$K$2:$K$15025,"&gt;=92000")- COUNTIFS([1]EXPORT!$P$2:$P$15025,"ACBB TIR À L'ARC",[1]EXPORT!$K$2:$K$15025,"&gt;93000")-C35-B35</f>
        <v>0</v>
      </c>
      <c r="E35" s="45">
        <f>COUNTIFS([1]EXPORT!$P$2:$P$15025,"ACBB TIR À L'ARC",[1]EXPORT!$K$2:$K$15025,"&gt;=75000")- COUNTIFS([1]EXPORT!$P$2:$P$15025,"ACBB TIR À L'ARC",[1]EXPORT!$K$2:$K$15025,"&gt;76000")</f>
        <v>0</v>
      </c>
      <c r="F35" s="46">
        <f>COUNTIFS([1]EXPORT!$P$2:$P$15025,"ACBB TIR À L'ARC",[1]EXPORT!$K$2:$K$15025,"&gt;=75000")- COUNTIFS([1]EXPORT!$P$2:$P$15025,"ACBB TIR À L'ARC",[1]EXPORT!$K$2:$K$15025,"&gt;76000")+COUNTIFS([1]EXPORT!$P$2:$P$15025,"ACBB TIR À L'ARC",[1]EXPORT!$K$2:$K$15025,"&gt;=77000")- COUNTIFS([1]EXPORT!$P$2:$P$15025,"ACBB TIR À L'ARC",[1]EXPORT!$K$2:$K$15025,"&gt;78000")+COUNTIFS([1]EXPORT!$P$2:$P$15025,"ACBB TIR À L'ARC",[1]EXPORT!$K$2:$K$15025,"&gt;=78000")- COUNTIFS([1]EXPORT!$P$2:$P$15025,"ACBB TIR À L'ARC",[1]EXPORT!$K$2:$K$15025,"&gt;79000")+COUNTIFS([1]EXPORT!$P$2:$P$15025,"ACBB TIR À L'ARC",[1]EXPORT!$K$2:$K$15025,"&gt;=91000")- COUNTIFS([1]EXPORT!$P$2:$P$15025,"ACBB TIR À L'ARC",[1]EXPORT!$K$2:$K$15025,"&gt;92000")+COUNTIFS([1]EXPORT!$P$2:$P$15025,"ACBB TIR À L'ARC",[1]EXPORT!$K$2:$K$15025,"&gt;=92000")- COUNTIFS([1]EXPORT!$P$2:$P$15025,"ACBB TIR À L'ARC",[1]EXPORT!$K$2:$K$15025,"&gt;96000")-E35-D35-C35-B35</f>
        <v>0</v>
      </c>
      <c r="G35" s="46">
        <f>COUNTIFS([1]EXPORT!$P$2:$P$15025,"ACBB TIR À L'ARC",[1]EXPORT!$M$2:$M$15025,"FR")-F35-E35-D35-C35-B35</f>
        <v>0</v>
      </c>
      <c r="H35" s="47">
        <f>COUNTIFS([1]EXPORT!$P$2:$P$15025,"ACBB TIR À L'ARC",[1]EXPORT!$M$2:$M$15025,"&lt;&gt;FR")</f>
        <v>0</v>
      </c>
      <c r="I35" s="48">
        <f t="shared" si="0"/>
        <v>0</v>
      </c>
      <c r="J35" s="29"/>
      <c r="K35" s="49">
        <f t="shared" si="1"/>
        <v>0</v>
      </c>
      <c r="L35" s="60"/>
    </row>
    <row r="36" spans="1:12" x14ac:dyDescent="0.25">
      <c r="A36" s="62" t="s">
        <v>86</v>
      </c>
      <c r="B36" s="42">
        <v>203</v>
      </c>
      <c r="C36" s="43">
        <f>COUNTIFS([1]EXPORT!$P$2:$P$15025,"ACBB Triathlon",[1]EXPORT!$K$2:$K$15025,"92370")+ COUNTIFS([1]EXPORT!$P$2:$P$15025,"ACBB Triathlon",[1]EXPORT!$K$2:$K$15025,"92130")+ COUNTIFS([1]EXPORT!$P$2:$P$15025,"ACBB Triathlon",[1]EXPORT!$K$2:$K$15025,"92430")+ COUNTIFS([1]EXPORT!$P$2:$P$15025,"ACBB Triathlon",[1]EXPORT!$K$2:$K$15025,"92190")+ COUNTIFS([1]EXPORT!$P$2:$P$15025,"ACBB Triathlon",[1]EXPORT!$K$2:$K$15025,"92360")+ COUNTIFS([1]EXPORT!$P$2:$P$15025,"ACBB Triathlon",[1]EXPORT!$K$2:$K$15025,"92310")+ COUNTIFS([1]EXPORT!$P$2:$P$15025,"ACBB Triathlon",[1]EXPORT!$K$2:$K$15025,"92170")+ COUNTIFS([1]EXPORT!$P$2:$P$15025,"ACBB Triathlon",[1]EXPORT!$K$2:$K$15025,"92410")</f>
        <v>0</v>
      </c>
      <c r="D36" s="44">
        <f>COUNTIFS([1]EXPORT!$P$2:$P$15025,"ACBB Triathlon",[1]EXPORT!$K$2:$K$15025,"&gt;=92000")- COUNTIFS([1]EXPORT!$P$2:$P$15025,"ACBB Triathlon",[1]EXPORT!$K$2:$K$15025,"&gt;93000")-C36-B36</f>
        <v>-203</v>
      </c>
      <c r="E36" s="45">
        <f>COUNTIFS([1]EXPORT!$P$2:$P$15025,"ACBB Triathlon",[1]EXPORT!$K$2:$K$15025,"&gt;=75000")- COUNTIFS([1]EXPORT!$P$2:$P$15025,"ACBB Triathlon",[1]EXPORT!$K$2:$K$15025,"&gt;76000")</f>
        <v>0</v>
      </c>
      <c r="F36" s="46">
        <f>COUNTIFS([1]EXPORT!$P$2:$P$15025,"ACBB Triathlon",[1]EXPORT!$K$2:$K$15025,"&gt;=75000")- COUNTIFS([1]EXPORT!$P$2:$P$15025,"ACBB Triathlon",[1]EXPORT!$K$2:$K$15025,"&gt;76000")+COUNTIFS([1]EXPORT!$P$2:$P$15025,"ACBB Triathlon",[1]EXPORT!$K$2:$K$15025,"&gt;=77000")- COUNTIFS([1]EXPORT!$P$2:$P$15025,"ACBB Triathlon",[1]EXPORT!$K$2:$K$15025,"&gt;78000")+COUNTIFS([1]EXPORT!$P$2:$P$15025,"ACBB Triathlon",[1]EXPORT!$K$2:$K$15025,"&gt;=78000")- COUNTIFS([1]EXPORT!$P$2:$P$15025,"ACBB Triathlon",[1]EXPORT!$K$2:$K$15025,"&gt;79000")+COUNTIFS([1]EXPORT!$P$2:$P$15025,"ACBB Triathlon",[1]EXPORT!$K$2:$K$15025,"&gt;=91000")- COUNTIFS([1]EXPORT!$P$2:$P$15025,"ACBB Triathlon",[1]EXPORT!$K$2:$K$15025,"&gt;92000")+COUNTIFS([1]EXPORT!$P$2:$P$15025,"ACBB Triathlon",[1]EXPORT!$K$2:$K$15025,"&gt;=92000")- COUNTIFS([1]EXPORT!$P$2:$P$15025,"ACBB Triathlon",[1]EXPORT!$K$2:$K$15025,"&gt;96000")-E36-D36-C36-B36</f>
        <v>0</v>
      </c>
      <c r="G36" s="46">
        <v>2</v>
      </c>
      <c r="H36" s="47">
        <f>COUNTIFS([1]EXPORT!$P$2:$P$15025,"ACBB Triathlon",[1]EXPORT!$M$2:$M$15025,"&lt;&gt;FR")</f>
        <v>0</v>
      </c>
      <c r="I36" s="48">
        <f t="shared" si="0"/>
        <v>2</v>
      </c>
      <c r="J36" s="29"/>
      <c r="K36" s="49">
        <f t="shared" si="1"/>
        <v>203</v>
      </c>
      <c r="L36" s="60"/>
    </row>
    <row r="37" spans="1:12" x14ac:dyDescent="0.25">
      <c r="A37" s="62" t="s">
        <v>87</v>
      </c>
      <c r="B37" s="42">
        <f>COUNTIFS([1]EXPORT!$P$2:$P$15025,"ACBB VOLLEY-BALL",[1]EXPORT!$K$2:$K$15025,"92100")</f>
        <v>0</v>
      </c>
      <c r="C37" s="43">
        <f>COUNTIFS([1]EXPORT!$P$2:$P$15025,"ACBB VOLLEY-BALL",[1]EXPORT!$K$2:$K$15025,"92370")+ COUNTIFS([1]EXPORT!$P$2:$P$15025,"ACBB VOLLEY-BALL",[1]EXPORT!$K$2:$K$15025,"92130")+ COUNTIFS([1]EXPORT!$P$2:$P$15025,"ACBB VOLLEY-BALL",[1]EXPORT!$K$2:$K$15025,"92430")+ COUNTIFS([1]EXPORT!$P$2:$P$15025,"ACBB VOLLEY-BALL",[1]EXPORT!$K$2:$K$15025,"92190")+ COUNTIFS([1]EXPORT!$P$2:$P$15025,"ACBB VOLLEY-BALL",[1]EXPORT!$K$2:$K$15025,"92360")+ COUNTIFS([1]EXPORT!$P$2:$P$15025,"ACBB VOLLEY-BALL",[1]EXPORT!$K$2:$K$15025,"92310")+ COUNTIFS([1]EXPORT!$P$2:$P$15025,"ACBB VOLLEY-BALL",[1]EXPORT!$K$2:$K$15025,"92170")+ COUNTIFS([1]EXPORT!$P$2:$P$15025,"ACBB VOLLEY-BALL",[1]EXPORT!$K$2:$K$15025,"92410")</f>
        <v>0</v>
      </c>
      <c r="D37" s="44">
        <f>COUNTIFS([1]EXPORT!$P$2:$P$15025,"ACBB VOLLEY-BALL",[1]EXPORT!$K$2:$K$15025,"&gt;=92000")- COUNTIFS([1]EXPORT!$P$2:$P$15025,"ACBB VOLLEY-BALL",[1]EXPORT!$K$2:$K$15025,"&gt;93000")-C37-B37</f>
        <v>0</v>
      </c>
      <c r="E37" s="45">
        <f>COUNTIFS([1]EXPORT!$P$2:$P$15025,"ACBB VOLLEY-BALL",[1]EXPORT!$K$2:$K$15025,"&gt;=75000")- COUNTIFS([1]EXPORT!$P$2:$P$15025,"ACBB VOLLEY-BALL",[1]EXPORT!$K$2:$K$15025,"&gt;76000")</f>
        <v>0</v>
      </c>
      <c r="F37" s="46">
        <f>COUNTIFS([1]EXPORT!$P$2:$P$15025,"ACBB VOLLEY-BALL",[1]EXPORT!$K$2:$K$15025,"&gt;=75000")- COUNTIFS([1]EXPORT!$P$2:$P$15025,"ACBB VOLLEY-BALL",[1]EXPORT!$K$2:$K$15025,"&gt;76000")+COUNTIFS([1]EXPORT!$P$2:$P$15025,"ACBB VOLLEY-BALL",[1]EXPORT!$K$2:$K$15025,"&gt;=77000")- COUNTIFS([1]EXPORT!$P$2:$P$15025,"ACBB VOLLEY-BALL",[1]EXPORT!$K$2:$K$15025,"&gt;78000")+COUNTIFS([1]EXPORT!$P$2:$P$15025,"ACBB VOLLEY-BALL",[1]EXPORT!$K$2:$K$15025,"&gt;=78000")- COUNTIFS([1]EXPORT!$P$2:$P$15025,"ACBB VOLLEY-BALL",[1]EXPORT!$K$2:$K$15025,"&gt;79000")+COUNTIFS([1]EXPORT!$P$2:$P$15025,"ACBB VOLLEY-BALL",[1]EXPORT!$K$2:$K$15025,"&gt;=91000")- COUNTIFS([1]EXPORT!$P$2:$P$15025,"ACBB VOLLEY-BALL",[1]EXPORT!$K$2:$K$15025,"&gt;92000")+COUNTIFS([1]EXPORT!$P$2:$P$15025,"ACBB VOLLEY-BALL",[1]EXPORT!$K$2:$K$15025,"&gt;=92000")- COUNTIFS([1]EXPORT!$P$2:$P$15025,"ACBB VOLLEY-BALL",[1]EXPORT!$K$2:$K$15025,"&gt;96000")-E37-D37-C37-B37</f>
        <v>0</v>
      </c>
      <c r="G37" s="46">
        <f>COUNTIFS([1]EXPORT!$P$2:$P$15025,"ACBB VOLLEY-BALL",[1]EXPORT!$M$2:$M$15025,"FR")-F37-E37-D37-C37-B37</f>
        <v>0</v>
      </c>
      <c r="H37" s="47">
        <f>COUNTIFS([1]EXPORT!$P$2:$P$15025,"ACBB VOLLEY-BALL",[1]EXPORT!$M$2:$M$15025,"&lt;&gt;FR")</f>
        <v>0</v>
      </c>
      <c r="I37" s="48">
        <f t="shared" si="0"/>
        <v>0</v>
      </c>
      <c r="J37" s="29"/>
      <c r="K37" s="49">
        <f t="shared" si="1"/>
        <v>0</v>
      </c>
      <c r="L37" s="60"/>
    </row>
    <row r="38" spans="1:12" x14ac:dyDescent="0.25">
      <c r="A38" s="62" t="s">
        <v>88</v>
      </c>
      <c r="B38" s="42">
        <f>COUNTIFS([1]EXPORT!$P$2:$P$15025,"ACBB YOGA",[1]EXPORT!$K$2:$K$15025,"92100")</f>
        <v>0</v>
      </c>
      <c r="C38" s="43">
        <v>13</v>
      </c>
      <c r="D38" s="44">
        <v>10</v>
      </c>
      <c r="E38" s="45">
        <f>COUNTIFS([1]EXPORT!$P$2:$P$15025,"ACBB YOGA",[1]EXPORT!$K$2:$K$15025,"&gt;=75000")- COUNTIFS([1]EXPORT!$P$2:$P$15025,"ACBB YOGA",[1]EXPORT!$K$2:$K$15025,"&gt;76000")</f>
        <v>0</v>
      </c>
      <c r="F38" s="46">
        <v>1</v>
      </c>
      <c r="G38" s="46">
        <v>0</v>
      </c>
      <c r="H38" s="47">
        <f>COUNTIFS([1]EXPORT!$P$2:$P$15025,"ACBB YOGA",[1]EXPORT!$M$2:$M$15025,"&lt;&gt;FR")</f>
        <v>0</v>
      </c>
      <c r="I38" s="48">
        <f t="shared" si="0"/>
        <v>24</v>
      </c>
      <c r="J38" s="29"/>
      <c r="K38" s="49">
        <f t="shared" si="1"/>
        <v>13</v>
      </c>
      <c r="L38" s="59"/>
    </row>
    <row r="39" spans="1:12" ht="15.75" thickBot="1" x14ac:dyDescent="0.3"/>
    <row r="40" spans="1:12" ht="17.25" thickTop="1" thickBot="1" x14ac:dyDescent="0.3">
      <c r="A40" s="51" t="s">
        <v>4</v>
      </c>
      <c r="B40" s="52">
        <f>SUM(B6:B38)</f>
        <v>2247</v>
      </c>
      <c r="C40" s="52">
        <f t="shared" ref="C40:H40" si="5">SUM(C6:C38)</f>
        <v>22</v>
      </c>
      <c r="D40" s="52">
        <f t="shared" si="5"/>
        <v>-435</v>
      </c>
      <c r="E40" s="52">
        <f t="shared" si="5"/>
        <v>108</v>
      </c>
      <c r="F40" s="52">
        <f t="shared" si="5"/>
        <v>128</v>
      </c>
      <c r="G40" s="52">
        <f t="shared" si="5"/>
        <v>17</v>
      </c>
      <c r="H40" s="52">
        <f t="shared" si="5"/>
        <v>0</v>
      </c>
      <c r="I40" s="86">
        <f>SUM(I6:I38)</f>
        <v>2087</v>
      </c>
      <c r="J40" s="53" t="s">
        <v>89</v>
      </c>
      <c r="K40" s="54">
        <f>SUM(K6:K38)</f>
        <v>2251</v>
      </c>
      <c r="L40" s="28"/>
    </row>
    <row r="41" spans="1:12" ht="15.75" thickTop="1" x14ac:dyDescent="0.25">
      <c r="A41" s="91" t="s">
        <v>92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28"/>
    </row>
    <row r="42" spans="1:12" x14ac:dyDescent="0.25">
      <c r="A42" s="92" t="s">
        <v>93</v>
      </c>
      <c r="B42" s="93"/>
      <c r="C42" s="93"/>
      <c r="D42" s="28"/>
      <c r="E42" s="28"/>
      <c r="F42" s="28"/>
      <c r="G42" s="28"/>
      <c r="H42" s="28"/>
      <c r="I42" s="28"/>
      <c r="J42" s="29"/>
      <c r="K42" s="28"/>
      <c r="L42" s="28"/>
    </row>
    <row r="43" spans="1:12" s="63" customFormat="1" ht="52.5" customHeight="1" x14ac:dyDescent="0.25">
      <c r="A43" s="65"/>
      <c r="B43" s="28"/>
      <c r="C43" s="28"/>
      <c r="D43" s="28"/>
      <c r="E43" s="28"/>
      <c r="F43" s="28"/>
      <c r="G43" s="64"/>
      <c r="H43" s="64"/>
      <c r="J43" s="29"/>
      <c r="K43" s="28"/>
      <c r="L43" s="28"/>
    </row>
    <row r="44" spans="1:12" s="63" customForma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9"/>
      <c r="K44" s="28"/>
      <c r="L44" s="28"/>
    </row>
    <row r="45" spans="1:12" ht="15.75" x14ac:dyDescent="0.25">
      <c r="A45" s="28"/>
      <c r="B45" s="28"/>
      <c r="C45" s="28"/>
      <c r="D45" s="28"/>
      <c r="E45" s="28"/>
      <c r="F45" s="89"/>
      <c r="G45" s="89"/>
      <c r="H45" s="89"/>
      <c r="I45" s="55"/>
      <c r="J45" s="28"/>
      <c r="K45" s="28"/>
      <c r="L45" s="28"/>
    </row>
    <row r="46" spans="1:12" x14ac:dyDescent="0.25">
      <c r="A46" s="28"/>
      <c r="B46" s="28"/>
      <c r="C46" s="28"/>
      <c r="D46" s="28"/>
      <c r="E46" s="28"/>
      <c r="F46" s="90"/>
      <c r="G46" s="90"/>
      <c r="H46" s="90"/>
      <c r="I46" s="90"/>
      <c r="J46" s="28"/>
      <c r="K46" s="28"/>
      <c r="L46" s="28"/>
    </row>
    <row r="47" spans="1:12" x14ac:dyDescent="0.25">
      <c r="A47" s="28"/>
      <c r="B47" s="28"/>
      <c r="C47" s="28"/>
      <c r="D47" s="28"/>
      <c r="E47" s="28"/>
      <c r="F47" s="90"/>
      <c r="G47" s="90"/>
      <c r="H47" s="90"/>
      <c r="I47" s="90"/>
      <c r="J47" s="28"/>
      <c r="K47" s="28"/>
      <c r="L47" s="28"/>
    </row>
    <row r="48" spans="1:12" x14ac:dyDescent="0.25">
      <c r="A48" s="28"/>
      <c r="B48" s="28"/>
      <c r="C48" s="28"/>
      <c r="D48" s="28"/>
      <c r="E48" s="28"/>
      <c r="F48" s="90"/>
      <c r="G48" s="90"/>
      <c r="H48" s="90"/>
      <c r="I48" s="90"/>
      <c r="J48" s="28"/>
      <c r="K48" s="28"/>
      <c r="L48" s="28"/>
    </row>
  </sheetData>
  <mergeCells count="6">
    <mergeCell ref="A1:K1"/>
    <mergeCell ref="A2:K2"/>
    <mergeCell ref="F45:H45"/>
    <mergeCell ref="F46:I48"/>
    <mergeCell ref="A41:K41"/>
    <mergeCell ref="A42:C42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426C1-D844-4461-B7C5-28860441A3B8}">
  <sheetPr>
    <pageSetUpPr fitToPage="1"/>
  </sheetPr>
  <dimension ref="A1:BA44"/>
  <sheetViews>
    <sheetView tabSelected="1" zoomScale="70" zoomScaleNormal="70" workbookViewId="0">
      <pane xSplit="1" topLeftCell="B1" activePane="topRight" state="frozen"/>
      <selection pane="topRight" activeCell="A2" sqref="A2"/>
    </sheetView>
  </sheetViews>
  <sheetFormatPr baseColWidth="10" defaultRowHeight="15" x14ac:dyDescent="0.25"/>
  <cols>
    <col min="1" max="1" width="21.28515625" bestFit="1" customWidth="1"/>
    <col min="15" max="15" width="14.85546875" bestFit="1" customWidth="1"/>
    <col min="29" max="53" width="11.42578125" style="57"/>
  </cols>
  <sheetData>
    <row r="1" spans="1:28" ht="23.25" x14ac:dyDescent="0.35">
      <c r="A1" s="95" t="s">
        <v>95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</row>
    <row r="4" spans="1:28" x14ac:dyDescent="0.25">
      <c r="N4" s="1" t="s">
        <v>1</v>
      </c>
      <c r="O4" s="2">
        <f ca="1">TODAY()</f>
        <v>44565</v>
      </c>
    </row>
    <row r="6" spans="1:28" ht="15.75" thickBot="1" x14ac:dyDescent="0.3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28" ht="16.5" thickTop="1" thickBot="1" x14ac:dyDescent="0.3">
      <c r="B7" s="97" t="s">
        <v>2</v>
      </c>
      <c r="C7" s="98"/>
      <c r="D7" s="98"/>
      <c r="E7" s="98"/>
      <c r="F7" s="98"/>
      <c r="G7" s="98"/>
      <c r="H7" s="98"/>
      <c r="I7" s="98"/>
      <c r="J7" s="99"/>
      <c r="K7" s="97" t="s">
        <v>3</v>
      </c>
      <c r="L7" s="98"/>
      <c r="M7" s="98"/>
      <c r="N7" s="98"/>
      <c r="O7" s="98"/>
      <c r="P7" s="98"/>
      <c r="Q7" s="98"/>
      <c r="R7" s="98"/>
      <c r="S7" s="99"/>
      <c r="T7" s="97" t="s">
        <v>4</v>
      </c>
      <c r="U7" s="98"/>
      <c r="V7" s="98"/>
      <c r="W7" s="98"/>
      <c r="X7" s="98"/>
      <c r="Y7" s="98"/>
      <c r="Z7" s="98"/>
      <c r="AA7" s="98"/>
      <c r="AB7" s="99"/>
    </row>
    <row r="8" spans="1:28" ht="15.75" thickTop="1" x14ac:dyDescent="0.25">
      <c r="B8" s="4" t="s">
        <v>5</v>
      </c>
      <c r="C8" s="5" t="s">
        <v>6</v>
      </c>
      <c r="D8" s="5" t="s">
        <v>7</v>
      </c>
      <c r="E8" s="5" t="s">
        <v>8</v>
      </c>
      <c r="F8" s="5" t="s">
        <v>9</v>
      </c>
      <c r="G8" s="6" t="s">
        <v>10</v>
      </c>
      <c r="H8" s="7" t="s">
        <v>11</v>
      </c>
      <c r="I8" s="8" t="s">
        <v>12</v>
      </c>
      <c r="J8" s="9" t="s">
        <v>4</v>
      </c>
      <c r="K8" s="7" t="s">
        <v>5</v>
      </c>
      <c r="L8" s="5" t="s">
        <v>6</v>
      </c>
      <c r="M8" s="5" t="s">
        <v>7</v>
      </c>
      <c r="N8" s="5" t="s">
        <v>8</v>
      </c>
      <c r="O8" s="5" t="s">
        <v>9</v>
      </c>
      <c r="P8" s="6" t="s">
        <v>10</v>
      </c>
      <c r="Q8" s="7" t="s">
        <v>11</v>
      </c>
      <c r="R8" s="10" t="s">
        <v>12</v>
      </c>
      <c r="S8" s="11" t="s">
        <v>4</v>
      </c>
      <c r="T8" s="4" t="s">
        <v>5</v>
      </c>
      <c r="U8" s="5" t="s">
        <v>6</v>
      </c>
      <c r="V8" s="5" t="s">
        <v>7</v>
      </c>
      <c r="W8" s="5" t="s">
        <v>8</v>
      </c>
      <c r="X8" s="5" t="s">
        <v>9</v>
      </c>
      <c r="Y8" s="6" t="s">
        <v>10</v>
      </c>
      <c r="Z8" s="7" t="s">
        <v>11</v>
      </c>
      <c r="AA8" s="8" t="s">
        <v>12</v>
      </c>
      <c r="AB8" s="9" t="s">
        <v>4</v>
      </c>
    </row>
    <row r="9" spans="1:28" x14ac:dyDescent="0.25">
      <c r="A9" s="12" t="s">
        <v>13</v>
      </c>
      <c r="B9" s="13">
        <f>COUNTIFS([1]EXPORT!$P$2:$P$10025,"ACBB ATHLÉTISME",[1]EXPORT!$E$2:$E$10025,"M",[1]EXPORT!$T$2:$T$10025,"=5")+COUNTIFS([1]EXPORT!$P$2:$P$10025,"ACBB ATHLÉTISME",[1]EXPORT!$E$2:$E$10025,"M",[1]EXPORT!$T$2:$T$10025,"=4")+COUNTIFS([1]EXPORT!$P$2:$P$10025,"ACBB ATHLÉTISME",[1]EXPORT!$E$2:$E$10025,"M",[1]EXPORT!$T$2:$T$10025,"=3")+COUNTIFS([1]EXPORT!$P$2:$P$10025,"ACBB ATHLÉTISME",[1]EXPORT!$E$2:$E$10025,"M",[1]EXPORT!$T$2:$T$10025,"=2")+COUNTIFS([1]EXPORT!$P$2:$P$10025,"ACBB ATHLÉTISME",[1]EXPORT!$E$2:$E$10025,"M",[1]EXPORT!$T$2:$T$10025,"=1")</f>
        <v>0</v>
      </c>
      <c r="C9" s="13">
        <f>COUNTIFS([1]EXPORT!$P$2:$P$10025,"ACBB ATHLÉTISME",[1]EXPORT!$E$2:$E$10025,"M",[1]EXPORT!$T$2:$T$10025,"=6")+COUNTIFS([1]EXPORT!$P$2:$P$10025,"ACBB ATHLÉTISME",[1]EXPORT!$E$2:$E$10025,"M",[1]EXPORT!$T$2:$T$10025,"=7")</f>
        <v>0</v>
      </c>
      <c r="D9" s="13">
        <f>COUNTIFS([1]EXPORT!$P$2:$P$10025,"ACBB ATHLÉTISME",[1]EXPORT!$E$2:$E$10025,"M",[1]EXPORT!$T$2:$T$10025,"=8")+COUNTIFS([1]EXPORT!$P$2:$P$10025,"ACBB ATHLÉTISME",[1]EXPORT!$E$2:$E$10025,"M",[1]EXPORT!$T$2:$T$10025,"=9")</f>
        <v>0</v>
      </c>
      <c r="E9" s="13">
        <f>COUNTIFS([1]EXPORT!$P$2:$P$10025,"ACBB ATHLÉTISME",[1]EXPORT!$E$2:$E$10025,"M",[1]EXPORT!$T$2:$T$10025,"=10")+COUNTIFS([1]EXPORT!$P$2:$P$10025,"ACBB ATHLÉTISME",[1]EXPORT!$E$2:$E$10025,"M",[1]EXPORT!$T$2:$T$10025,"=11")</f>
        <v>0</v>
      </c>
      <c r="F9" s="13">
        <f>COUNTIFS([1]EXPORT!$P$2:$P$10025,"ACBB ATHLÉTISME",[1]EXPORT!$E$2:$E$10025,"M",[1]EXPORT!$T$2:$T$10025,"=12")+COUNTIFS([1]EXPORT!$P$2:$P$10025,"ACBB ATHLÉTISME",[1]EXPORT!$E$2:$E$10025,"M",[1]EXPORT!$T$2:$T$10025,"=13")</f>
        <v>0</v>
      </c>
      <c r="G9" s="13">
        <f>COUNTIFS([1]EXPORT!$P$2:$P$10025,"ACBB ATHLÉTISME",[1]EXPORT!$E$2:$E$10025,"M",[1]EXPORT!$T$2:$T$10025,"=14")+COUNTIFS([1]EXPORT!$P$2:$P$10025,"ACBB ATHLÉTISME",[1]EXPORT!$E$2:$E$10025,"M",[1]EXPORT!$T$2:$T$10025,"=15")</f>
        <v>0</v>
      </c>
      <c r="H9" s="13">
        <f>COUNTIFS([1]EXPORT!$P$2:$P$10025,"ACBB ATHLÉTISME",[1]EXPORT!$E$2:$E$10025,"M",[1]EXPORT!$T$2:$T$10025,"=16")+COUNTIFS([1]EXPORT!$P$2:$P$10025,"ACBB ATHLÉTISME",[1]EXPORT!$E$2:$E$10025,"M",[1]EXPORT!$T$2:$T$10025,"=17")</f>
        <v>0</v>
      </c>
      <c r="I9" s="13">
        <f>COUNTIFS([1]EXPORT!$P$2:$P$10025,"ACBB ATHLÉTISME",[1]EXPORT!$E$2:$E$10025,"M",[1]EXPORT!$T$2:$T$10025,"&gt;=18")-COUNTIFS([1]EXPORT!$P$2:$P$10025,"ACBB ATHLÉTISME",[1]EXPORT!$E$2:$E$10025,"M",[1]EXPORT!$T$2:$T$10025,"=121")</f>
        <v>0</v>
      </c>
      <c r="J9" s="15">
        <f>SUM(B9:I9)</f>
        <v>0</v>
      </c>
      <c r="K9" s="13">
        <f>COUNTIFS([1]EXPORT!$P$2:$P$10025,"ACBB ATHLÉTISME",[1]EXPORT!$E$2:$E$10025,"F",[1]EXPORT!$T$2:$T$10025,"=5")+COUNTIFS([1]EXPORT!$P$2:$P$10025,"ACBB ATHLÉTISME",[1]EXPORT!$E$2:$E$10025,"F",[1]EXPORT!$T$2:$T$10025,"=4")+COUNTIFS([1]EXPORT!$P$2:$P$10025,"ACBB ATHLÉTISME",[1]EXPORT!$E$2:$E$10025,"F",[1]EXPORT!$T$2:$T$10025,"=3")+COUNTIFS([1]EXPORT!$P$2:$P$10025,"ACBB ATHLÉTISME",[1]EXPORT!$E$2:$E$10025,"F",[1]EXPORT!$T$2:$T$10025,"=2")+COUNTIFS([1]EXPORT!$P$2:$P$10025,"ACBB ATHLÉTISME",[1]EXPORT!$E$2:$E$10025,"F",[1]EXPORT!$T$2:$T$10025,"=1")</f>
        <v>0</v>
      </c>
      <c r="L9" s="13">
        <f>COUNTIFS([1]EXPORT!$P$2:$P$10025,"ACBB ATHLÉTISME",[1]EXPORT!$E$2:$E$10025,"F",[1]EXPORT!$T$2:$T$10025,"=6")+COUNTIFS([1]EXPORT!$P$2:$P$10025,"ACBB ATHLÉTISME",[1]EXPORT!$E$2:$E$10025,"F",[1]EXPORT!$T$2:$T$10025,"=7")</f>
        <v>0</v>
      </c>
      <c r="M9" s="13">
        <f>COUNTIFS([1]EXPORT!$P$2:$P$10025,"ACBB ATHLÉTISME",[1]EXPORT!$E$2:$E$10025,"F",[1]EXPORT!$T$2:$T$10025,"=8")+COUNTIFS([1]EXPORT!$P$2:$P$10025,"ACBB ATHLÉTISME",[1]EXPORT!$E$2:$E$10025,"F",[1]EXPORT!$T$2:$T$10025,"=9")</f>
        <v>0</v>
      </c>
      <c r="N9" s="13">
        <f>COUNTIFS([1]EXPORT!$P$2:$P$10025,"ACBB ATHLÉTISME",[1]EXPORT!$E$2:$E$10025,"F",[1]EXPORT!$T$2:$T$10025,"=10")+COUNTIFS([1]EXPORT!$P$2:$P$10025,"ACBB ATHLÉTISME",[1]EXPORT!$E$2:$E$10025,"F",[1]EXPORT!$T$2:$T$10025,"=11")</f>
        <v>0</v>
      </c>
      <c r="O9" s="13">
        <f>COUNTIFS([1]EXPORT!$P$2:$P$10025,"ACBB ATHLÉTISME",[1]EXPORT!$E$2:$E$10025,"F",[1]EXPORT!$T$2:$T$10025,"=12")+COUNTIFS([1]EXPORT!$P$2:$P$10025,"ACBB ATHLÉTISME",[1]EXPORT!$E$2:$E$10025,"F",[1]EXPORT!$T$2:$T$10025,"=13")</f>
        <v>0</v>
      </c>
      <c r="P9" s="13">
        <f>COUNTIFS([1]EXPORT!$P$2:$P$10025,"ACBB ATHLÉTISME",[1]EXPORT!$E$2:$E$10025,"F",[1]EXPORT!$T$2:$T$10025,"=14")+COUNTIFS([1]EXPORT!$P$2:$P$10025,"ACBB ATHLÉTISME",[1]EXPORT!$E$2:$E$10025,"F",[1]EXPORT!$T$2:$T$10025,"=15")</f>
        <v>0</v>
      </c>
      <c r="Q9" s="13">
        <f>COUNTIFS([1]EXPORT!$P$2:$P$10025,"ACBB ATHLÉTISME",[1]EXPORT!$E$2:$E$10025,"F",[1]EXPORT!$T$2:$T$10025,"=16")+COUNTIFS([1]EXPORT!$P$2:$P$10025,"ACBB ATHLÉTISME",[1]EXPORT!$E$2:$E$10025,"F",[1]EXPORT!$T$2:$T$10025,"=17")</f>
        <v>0</v>
      </c>
      <c r="R9" s="13">
        <f>COUNTIFS([1]EXPORT!$P$2:$P$10025,"ACBB ATHLÉTISME",[1]EXPORT!$E$2:$E$10025,"F",[1]EXPORT!$T$2:$T$10025,"&gt;=18")-COUNTIFS([1]EXPORT!$P$2:$P$10025,"ACBB ATHLÉTISME",[1]EXPORT!$E$2:$E$10025,"F",[1]EXPORT!$T$2:$T$10025,"=121")</f>
        <v>0</v>
      </c>
      <c r="S9" s="16">
        <f>SUM(K9:R9)</f>
        <v>0</v>
      </c>
      <c r="T9" s="14">
        <f>B9+K9</f>
        <v>0</v>
      </c>
      <c r="U9" s="14">
        <f>C9+L9</f>
        <v>0</v>
      </c>
      <c r="V9" s="14">
        <f t="shared" ref="V9:AA9" si="0">D9+M9</f>
        <v>0</v>
      </c>
      <c r="W9" s="14">
        <f t="shared" si="0"/>
        <v>0</v>
      </c>
      <c r="X9" s="14">
        <f t="shared" si="0"/>
        <v>0</v>
      </c>
      <c r="Y9" s="14">
        <f t="shared" si="0"/>
        <v>0</v>
      </c>
      <c r="Z9" s="14">
        <f t="shared" si="0"/>
        <v>0</v>
      </c>
      <c r="AA9" s="14">
        <f t="shared" si="0"/>
        <v>0</v>
      </c>
      <c r="AB9" s="15">
        <f>SUM(T9:AA9)</f>
        <v>0</v>
      </c>
    </row>
    <row r="10" spans="1:28" s="57" customFormat="1" x14ac:dyDescent="0.25">
      <c r="A10" s="17" t="s">
        <v>14</v>
      </c>
      <c r="B10" s="56">
        <f>COUNTIFS([1]EXPORT!$P$2:$P$10025,"ACBB AVIRON",[1]EXPORT!$E$2:$E$10025,"M",[1]EXPORT!$T$2:$T$10025,"=5")+COUNTIFS([1]EXPORT!$P$2:$P$10025,"ACBB AVIRON",[1]EXPORT!$E$2:$E$10025,"M",[1]EXPORT!$T$2:$T$10025,"=4")+COUNTIFS([1]EXPORT!$P$2:$P$10025,"ACBB AVIRON",[1]EXPORT!$E$2:$E$10025,"M",[1]EXPORT!$T$2:$T$10025,"=3")+COUNTIFS([1]EXPORT!$P$2:$P$10025,"ACBB AVIRON",[1]EXPORT!$E$2:$E$10025,"M",[1]EXPORT!$T$2:$T$10025,"=2")+COUNTIFS([1]EXPORT!$P$2:$P$10025,"ACBB AVIRON",[1]EXPORT!$E$2:$E$10025,"M",[1]EXPORT!$T$2:$T$10025,"=1")</f>
        <v>0</v>
      </c>
      <c r="C10" s="56">
        <f>COUNTIFS([1]EXPORT!$P$2:$P$10025,"ACBB AVIRON",[1]EXPORT!$E$2:$E$10025,"M",[1]EXPORT!$T$2:$T$10025,"=6")+COUNTIFS([1]EXPORT!$P$2:$P$10025,"ACBB AVIRON",[1]EXPORT!$E$2:$E$10025,"M",[1]EXPORT!$T$2:$T$10025,"=7")</f>
        <v>0</v>
      </c>
      <c r="D10" s="56">
        <f>COUNTIFS([1]EXPORT!$P$2:$P$10025,"ACBB AVIRON",[1]EXPORT!$E$2:$E$10025,"M",[1]EXPORT!$T$2:$T$10025,"=8")+COUNTIFS([1]EXPORT!$P$2:$P$10025,"ACBB AVIRON",[1]EXPORT!$E$2:$E$10025,"M",[1]EXPORT!$T$2:$T$10025,"=9")</f>
        <v>0</v>
      </c>
      <c r="E10" s="56">
        <f>COUNTIFS([1]EXPORT!$P$2:$P$10025,"ACBB AVIRON",[1]EXPORT!$E$2:$E$10025,"M",[1]EXPORT!$T$2:$T$10025,"=10")+COUNTIFS([1]EXPORT!$P$2:$P$10025,"ACBB AVIRON",[1]EXPORT!$E$2:$E$10025,"M",[1]EXPORT!$T$2:$T$10025,"=11")</f>
        <v>0</v>
      </c>
      <c r="F10" s="56">
        <v>18</v>
      </c>
      <c r="G10" s="56">
        <v>31</v>
      </c>
      <c r="H10" s="56">
        <v>45</v>
      </c>
      <c r="I10" s="56">
        <v>349</v>
      </c>
      <c r="J10" s="19">
        <f>SUM(B10:I10)</f>
        <v>443</v>
      </c>
      <c r="K10" s="56">
        <f>COUNTIFS([1]EXPORT!$P$2:$P$10025,"ACBB AVIRON",[1]EXPORT!$E$2:$E$10025,"F",[1]EXPORT!$T$2:$T$10025,"=5")+COUNTIFS([1]EXPORT!$P$2:$P$10025,"ACBB AVIRON",[1]EXPORT!$E$2:$E$10025,"F",[1]EXPORT!$T$2:$T$10025,"=4")+COUNTIFS([1]EXPORT!$P$2:$P$10025,"ACBB AVIRON",[1]EXPORT!$E$2:$E$10025,"F",[1]EXPORT!$T$2:$T$10025,"=3")+COUNTIFS([1]EXPORT!$P$2:$P$10025,"ACBB AVIRON",[1]EXPORT!$E$2:$E$10025,"F",[1]EXPORT!$T$2:$T$10025,"=2")+COUNTIFS([1]EXPORT!$P$2:$P$10025,"ACBB AVIRON",[1]EXPORT!$E$2:$E$10025,"F",[1]EXPORT!$T$2:$T$10025,"=1")</f>
        <v>0</v>
      </c>
      <c r="L10" s="56">
        <f>COUNTIFS([1]EXPORT!$P$2:$P$10025,"ACBB AVIRON",[1]EXPORT!$E$2:$E$10025,"F",[1]EXPORT!$T$2:$T$10025,"=6")+COUNTIFS([1]EXPORT!$P$2:$P$10025,"ACBB AVIRON",[1]EXPORT!$E$2:$E$10025,"F",[1]EXPORT!$T$2:$T$10025,"=7")</f>
        <v>0</v>
      </c>
      <c r="M10" s="56">
        <f>COUNTIFS([1]EXPORT!$P$2:$P$10025,"ACBB AVIRON",[1]EXPORT!$E$2:$E$10025,"F",[1]EXPORT!$T$2:$T$10025,"=8")+COUNTIFS([1]EXPORT!$P$2:$P$10025,"ACBB AVIRON",[1]EXPORT!$E$2:$E$10025,"F",[1]EXPORT!$T$2:$T$10025,"=9")</f>
        <v>0</v>
      </c>
      <c r="N10" s="56">
        <f>COUNTIFS([1]EXPORT!$P$2:$P$10025,"ACBB AVIRON",[1]EXPORT!$E$2:$E$10025,"F",[1]EXPORT!$T$2:$T$10025,"=10")+COUNTIFS([1]EXPORT!$P$2:$P$10025,"ACBB AVIRON",[1]EXPORT!$E$2:$E$10025,"F",[1]EXPORT!$T$2:$T$10025,"=11")</f>
        <v>0</v>
      </c>
      <c r="O10" s="56">
        <v>8</v>
      </c>
      <c r="P10" s="56">
        <v>10</v>
      </c>
      <c r="Q10" s="56">
        <v>24</v>
      </c>
      <c r="R10" s="56">
        <v>227</v>
      </c>
      <c r="S10" s="20">
        <f>SUM(K10:R10)</f>
        <v>269</v>
      </c>
      <c r="T10" s="18">
        <f>B10+K10</f>
        <v>0</v>
      </c>
      <c r="U10" s="18">
        <f>C10+L10</f>
        <v>0</v>
      </c>
      <c r="V10" s="18">
        <f t="shared" ref="V10" si="1">D10+M10</f>
        <v>0</v>
      </c>
      <c r="W10" s="18">
        <f t="shared" ref="W10" si="2">E10+N10</f>
        <v>0</v>
      </c>
      <c r="X10" s="18">
        <f t="shared" ref="X10" si="3">F10+O10</f>
        <v>26</v>
      </c>
      <c r="Y10" s="18">
        <f t="shared" ref="Y10" si="4">G10+P10</f>
        <v>41</v>
      </c>
      <c r="Z10" s="18">
        <f>H10+Q10</f>
        <v>69</v>
      </c>
      <c r="AA10" s="18">
        <f t="shared" ref="AA10" si="5">I10+R10</f>
        <v>576</v>
      </c>
      <c r="AB10" s="19">
        <f>SUM(T10:AA10)</f>
        <v>712</v>
      </c>
    </row>
    <row r="11" spans="1:28" x14ac:dyDescent="0.25">
      <c r="A11" s="21" t="s">
        <v>15</v>
      </c>
      <c r="B11" s="13">
        <f>COUNTIFS([1]EXPORT!$P$2:$P$10025,"ACBB BADMINTON",[1]EXPORT!$E$2:$E$10025,"M",[1]EXPORT!$T$2:$T$10025,"=5")+COUNTIFS([1]EXPORT!$P$2:$P$10025,"ACBB BADMINTON",[1]EXPORT!$E$2:$E$10025,"M",[1]EXPORT!$T$2:$T$10025,"=4")+COUNTIFS([1]EXPORT!$P$2:$P$10025,"ACBB BADMINTON",[1]EXPORT!$E$2:$E$10025,"M",[1]EXPORT!$T$2:$T$10025,"=3")+COUNTIFS([1]EXPORT!$P$2:$P$10025,"ACBB BADMINTON",[1]EXPORT!$E$2:$E$10025,"M",[1]EXPORT!$T$2:$T$10025,"=2")+COUNTIFS([1]EXPORT!$P$2:$P$10025,"ACBB BADMINTON",[1]EXPORT!$E$2:$E$10025,"M",[1]EXPORT!$T$2:$T$10025,"=1")</f>
        <v>0</v>
      </c>
      <c r="C11" s="13">
        <f>COUNTIFS([1]EXPORT!$P$2:$P$10025,"ACBB BADMINTON",[1]EXPORT!$E$2:$E$10025,"M",[1]EXPORT!$T$2:$T$10025,"=6")+COUNTIFS([1]EXPORT!$P$2:$P$10025,"ACBB BADMINTON",[1]EXPORT!$E$2:$E$10025,"M",[1]EXPORT!$T$2:$T$10025,"=7")</f>
        <v>0</v>
      </c>
      <c r="D11" s="13">
        <f>COUNTIFS([1]EXPORT!$P$2:$P$10025,"ACBB BADMINTON",[1]EXPORT!$E$2:$E$10025,"M",[1]EXPORT!$T$2:$T$10025,"=8")+COUNTIFS([1]EXPORT!$P$2:$P$10025,"ACBB BADMINTON",[1]EXPORT!$E$2:$E$10025,"M",[1]EXPORT!$T$2:$T$10025,"=9")</f>
        <v>0</v>
      </c>
      <c r="E11" s="13">
        <v>25</v>
      </c>
      <c r="F11" s="13">
        <v>43</v>
      </c>
      <c r="G11" s="13">
        <v>51</v>
      </c>
      <c r="H11" s="13">
        <v>30</v>
      </c>
      <c r="I11" s="13">
        <v>113</v>
      </c>
      <c r="J11" s="15">
        <f t="shared" ref="J11:J41" si="6">SUM(B11:I11)</f>
        <v>262</v>
      </c>
      <c r="K11" s="13">
        <f>COUNTIFS([1]EXPORT!$P$2:$P$10025,"ACBB BADMINTON",[1]EXPORT!$E$2:$E$10025,"F",[1]EXPORT!$T$2:$T$10025,"=5")+COUNTIFS([1]EXPORT!$P$2:$P$10025,"ACBB BADMINTON",[1]EXPORT!$E$2:$E$10025,"F",[1]EXPORT!$T$2:$T$10025,"=4")+COUNTIFS([1]EXPORT!$P$2:$P$10025,"ACBB BADMINTON",[1]EXPORT!$E$2:$E$10025,"F",[1]EXPORT!$T$2:$T$10025,"=3")+COUNTIFS([1]EXPORT!$P$2:$P$10025,"ACBB BADMINTON",[1]EXPORT!$E$2:$E$10025,"F",[1]EXPORT!$T$2:$T$10025,"=2")+COUNTIFS([1]EXPORT!$P$2:$P$10025,"ACBB BADMINTON",[1]EXPORT!$E$2:$E$10025,"F",[1]EXPORT!$T$2:$T$10025,"=1")</f>
        <v>0</v>
      </c>
      <c r="L11" s="13">
        <f>COUNTIFS([1]EXPORT!$P$2:$P$10025,"ACBB BADMINTON",[1]EXPORT!$E$2:$E$10025,"F",[1]EXPORT!$T$2:$T$10025,"=6")+COUNTIFS([1]EXPORT!$P$2:$P$10025,"ACBB BADMINTON",[1]EXPORT!$E$2:$E$10025,"F",[1]EXPORT!$T$2:$T$10025,"=7")</f>
        <v>0</v>
      </c>
      <c r="M11" s="13">
        <f>COUNTIFS([1]EXPORT!$P$2:$P$10025,"ACBB BADMINTON",[1]EXPORT!$E$2:$E$10025,"F",[1]EXPORT!$T$2:$T$10025,"=8")+COUNTIFS([1]EXPORT!$P$2:$P$10025,"ACBB BADMINTON",[1]EXPORT!$E$2:$E$10025,"F",[1]EXPORT!$T$2:$T$10025,"=9")</f>
        <v>0</v>
      </c>
      <c r="N11" s="13">
        <v>10</v>
      </c>
      <c r="O11" s="13">
        <f>COUNTIFS([1]EXPORT!$P$2:$P$10025,"ACBB BADMINTON",[1]EXPORT!$E$2:$E$10025,"F",[1]EXPORT!$T$2:$T$10025,"=12")+COUNTIFS([1]EXPORT!$P$2:$P$10025,"ACBB BADMINTON",[1]EXPORT!$E$2:$E$10025,"F",[1]EXPORT!$T$2:$T$10025,"=13")</f>
        <v>0</v>
      </c>
      <c r="P11" s="13">
        <v>18</v>
      </c>
      <c r="Q11" s="13">
        <v>9</v>
      </c>
      <c r="R11" s="13">
        <v>55</v>
      </c>
      <c r="S11" s="16">
        <f t="shared" ref="S11:S41" si="7">SUM(K11:R11)</f>
        <v>92</v>
      </c>
      <c r="T11" s="14">
        <f t="shared" ref="T11:T41" si="8">B11+K11</f>
        <v>0</v>
      </c>
      <c r="U11" s="14">
        <f t="shared" ref="U11:U41" si="9">C11+L11</f>
        <v>0</v>
      </c>
      <c r="V11" s="14">
        <f t="shared" ref="V11:V41" si="10">D11+M11</f>
        <v>0</v>
      </c>
      <c r="W11" s="14">
        <f t="shared" ref="W11:W41" si="11">E11+N11</f>
        <v>35</v>
      </c>
      <c r="X11" s="14">
        <f t="shared" ref="X11:X41" si="12">F11+O11</f>
        <v>43</v>
      </c>
      <c r="Y11" s="14">
        <f t="shared" ref="Y11:Y41" si="13">G11+P11</f>
        <v>69</v>
      </c>
      <c r="Z11" s="14">
        <f t="shared" ref="Z11:Z41" si="14">H11+Q11</f>
        <v>39</v>
      </c>
      <c r="AA11" s="14">
        <f t="shared" ref="AA11:AA41" si="15">I11+R11</f>
        <v>168</v>
      </c>
      <c r="AB11" s="19">
        <f t="shared" ref="AB11:AB41" si="16">SUM(T11:AA11)</f>
        <v>354</v>
      </c>
    </row>
    <row r="12" spans="1:28" s="57" customFormat="1" x14ac:dyDescent="0.25">
      <c r="A12" s="17" t="s">
        <v>16</v>
      </c>
      <c r="B12" s="56">
        <f ca="1">COUNTIFS([1]EXPORT!$P$2:$P$10025,"ACBB Basketball",[1]EXPORT!$E$2:$E$10025,"M",[1]EXPORT!$T$2:$T$10025,"=5")+COUNTIFS([1]EXPORT!$P$2:$P$10025,"ACBB Basketball",[1]EXPORT!$E$2:$E$10025,"M",[1]EXPORT!$T$2:$T$10025,"=4")+COUNTIFS([1]EXPORT!$P$2:$P$10025,"ACBB Basketball",[1]EXPORT!$E$2:$E$10025,"M",[1]EXPORT!$T$2:$T$10025,"=3")+COUNTIFS([1]EXPORT!$P$2:$P$10025,"ACBB Basketball",[1]EXPORT!$E$2:$E$10025,"M",[1]EXPORT!$T$2:$T$10025,"=2")+COUNTIFS([1]EXPORT!$P$2:$P$10025,"ACBB Basketball",[1]EXPORT!$E$2:$E$10025,"M",[1]EXPORT!$T$2:$T$10025,"=1")</f>
        <v>0</v>
      </c>
      <c r="C12" s="56">
        <f ca="1">COUNTIFS([1]EXPORT!$P$2:$P$10025,"ACBB Basketball",[1]EXPORT!$E$2:$E$10025,"M",[1]EXPORT!$T$2:$T$10025,"=6")+COUNTIFS([1]EXPORT!$P$2:$P$10025,"ACBB Basketball",[1]EXPORT!$E$2:$E$10025,"M",[1]EXPORT!$T$2:$T$10025,"=7")</f>
        <v>0</v>
      </c>
      <c r="D12" s="56">
        <f ca="1">COUNTIFS([1]EXPORT!$P$2:$P$10025,"ACBB Basketball",[1]EXPORT!$E$2:$E$10025,"M",[1]EXPORT!$T$2:$T$10025,"=8")+COUNTIFS([1]EXPORT!$P$2:$P$10025,"ACBB Basketball",[1]EXPORT!$E$2:$E$10025,"M",[1]EXPORT!$T$2:$T$10025,"=9")</f>
        <v>0</v>
      </c>
      <c r="E12" s="56">
        <f ca="1">COUNTIFS([1]EXPORT!$P$2:$P$10025,"ACBB Basketball",[1]EXPORT!$E$2:$E$10025,"M",[1]EXPORT!$T$2:$T$10025,"=10")+COUNTIFS([1]EXPORT!$P$2:$P$10025,"ACBB Basketball",[1]EXPORT!$E$2:$E$10025,"M",[1]EXPORT!$T$2:$T$10025,"=11")</f>
        <v>1</v>
      </c>
      <c r="F12" s="56">
        <f ca="1">COUNTIFS([1]EXPORT!$P$2:$P$10025,"ACBB Basketball",[1]EXPORT!$E$2:$E$10025,"M",[1]EXPORT!$T$2:$T$10025,"=12")+COUNTIFS([1]EXPORT!$P$2:$P$10025,"ACBB Basketball",[1]EXPORT!$E$2:$E$10025,"M",[1]EXPORT!$T$2:$T$10025,"=13")</f>
        <v>0</v>
      </c>
      <c r="G12" s="56">
        <f ca="1">COUNTIFS([1]EXPORT!$P$2:$P$10025,"ACBB Basketball",[1]EXPORT!$E$2:$E$10025,"M",[1]EXPORT!$T$2:$T$10025,"=14")+COUNTIFS([1]EXPORT!$P$2:$P$10025,"ACBB Basketball",[1]EXPORT!$E$2:$E$10025,"M",[1]EXPORT!$T$2:$T$10025,"=15")</f>
        <v>0</v>
      </c>
      <c r="H12" s="56">
        <f ca="1">COUNTIFS([1]EXPORT!$P$2:$P$10025,"ACBB Basketball",[1]EXPORT!$E$2:$E$10025,"M",[1]EXPORT!$T$2:$T$10025,"=16")+COUNTIFS([1]EXPORT!$P$2:$P$10025,"ACBB Basketball",[1]EXPORT!$E$2:$E$10025,"M",[1]EXPORT!$T$2:$T$10025,"=17")</f>
        <v>0</v>
      </c>
      <c r="I12" s="56">
        <f ca="1">COUNTIFS([1]EXPORT!$P$2:$P$10025,"ACBB Basketball",[1]EXPORT!$E$2:$E$10025,"M",[1]EXPORT!$T$2:$T$10025,"&gt;=18")-COUNTIFS([1]EXPORT!$P$2:$P$10025,"ACBB Basketball",[1]EXPORT!$E$2:$E$10025,"M",[1]EXPORT!$T$2:$T$10025,"=121")</f>
        <v>0</v>
      </c>
      <c r="J12" s="19">
        <f t="shared" ca="1" si="6"/>
        <v>1</v>
      </c>
      <c r="K12" s="56">
        <f ca="1">COUNTIFS([1]EXPORT!$P$2:$P$10025,"ACBB Basketball",[1]EXPORT!$E$2:$E$10025,"F",[1]EXPORT!$T$2:$T$10025,"=5")+COUNTIFS([1]EXPORT!$P$2:$P$10025,"ACBB Basketball",[1]EXPORT!$E$2:$E$10025,"F",[1]EXPORT!$T$2:$T$10025,"=4")+COUNTIFS([1]EXPORT!$P$2:$P$10025,"ACBB Basketball",[1]EXPORT!$E$2:$E$10025,"F",[1]EXPORT!$T$2:$T$10025,"=3")+COUNTIFS([1]EXPORT!$P$2:$P$10025,"ACBB Basketball",[1]EXPORT!$E$2:$E$10025,"F",[1]EXPORT!$T$2:$T$10025,"=2")+COUNTIFS([1]EXPORT!$P$2:$P$10025,"ACBB Basketball",[1]EXPORT!$E$2:$E$10025,"F",[1]EXPORT!$T$2:$T$10025,"=1")</f>
        <v>0</v>
      </c>
      <c r="L12" s="56">
        <f ca="1">COUNTIFS([1]EXPORT!$P$2:$P$10025,"ACBB Basketball",[1]EXPORT!$E$2:$E$10025,"F",[1]EXPORT!$T$2:$T$10025,"=6")+COUNTIFS([1]EXPORT!$P$2:$P$10025,"ACBB Basketball",[1]EXPORT!$E$2:$E$10025,"F",[1]EXPORT!$T$2:$T$10025,"=7")</f>
        <v>0</v>
      </c>
      <c r="M12" s="56">
        <f ca="1">COUNTIFS([1]EXPORT!$P$2:$P$10025,"ACBB Basketball",[1]EXPORT!$E$2:$E$10025,"F",[1]EXPORT!$T$2:$T$10025,"=8")+COUNTIFS([1]EXPORT!$P$2:$P$10025,"ACBB Basketball",[1]EXPORT!$E$2:$E$10025,"F",[1]EXPORT!$T$2:$T$10025,"=9")</f>
        <v>0</v>
      </c>
      <c r="N12" s="56">
        <f ca="1">COUNTIFS([1]EXPORT!$P$2:$P$10025,"ACBB Basketball",[1]EXPORT!$E$2:$E$10025,"F",[1]EXPORT!$T$2:$T$10025,"=10")+COUNTIFS([1]EXPORT!$P$2:$P$10025,"ACBB Basketball",[1]EXPORT!$E$2:$E$10025,"F",[1]EXPORT!$T$2:$T$10025,"=11")</f>
        <v>0</v>
      </c>
      <c r="O12" s="56">
        <f ca="1">COUNTIFS([1]EXPORT!$P$2:$P$10025,"ACBB Basketball",[1]EXPORT!$E$2:$E$10025,"F",[1]EXPORT!$T$2:$T$10025,"=12")+COUNTIFS([1]EXPORT!$P$2:$P$10025,"ACBB Basketball",[1]EXPORT!$E$2:$E$10025,"F",[1]EXPORT!$T$2:$T$10025,"=13")</f>
        <v>1</v>
      </c>
      <c r="P12" s="56">
        <f ca="1">COUNTIFS([1]EXPORT!$P$2:$P$10025,"ACBB Basketball",[1]EXPORT!$E$2:$E$10025,"F",[1]EXPORT!$T$2:$T$10025,"=14")+COUNTIFS([1]EXPORT!$P$2:$P$10025,"ACBB Basketball",[1]EXPORT!$E$2:$E$10025,"F",[1]EXPORT!$T$2:$T$10025,"=15")</f>
        <v>0</v>
      </c>
      <c r="Q12" s="56">
        <f ca="1">COUNTIFS([1]EXPORT!$P$2:$P$10025,"ACBB Basketball",[1]EXPORT!$E$2:$E$10025,"F",[1]EXPORT!$T$2:$T$10025,"=16")+COUNTIFS([1]EXPORT!$P$2:$P$10025,"ACBB Basketball",[1]EXPORT!$E$2:$E$10025,"F",[1]EXPORT!$T$2:$T$10025,"=17")</f>
        <v>0</v>
      </c>
      <c r="R12" s="56">
        <f ca="1">COUNTIFS([1]EXPORT!$P$2:$P$10025,"ACBB Basketball",[1]EXPORT!$E$2:$E$10025,"F",[1]EXPORT!$T$2:$T$10025,"&gt;=18")-COUNTIFS([1]EXPORT!$P$2:$P$10025,"ACBB Basketball",[1]EXPORT!$E$2:$E$10025,"F",[1]EXPORT!$T$2:$T$10025,"=121")</f>
        <v>0</v>
      </c>
      <c r="S12" s="20">
        <f t="shared" ca="1" si="7"/>
        <v>1</v>
      </c>
      <c r="T12" s="18">
        <f t="shared" ca="1" si="8"/>
        <v>0</v>
      </c>
      <c r="U12" s="18">
        <f t="shared" ca="1" si="9"/>
        <v>0</v>
      </c>
      <c r="V12" s="18">
        <f t="shared" ca="1" si="10"/>
        <v>0</v>
      </c>
      <c r="W12" s="18">
        <f t="shared" ca="1" si="11"/>
        <v>1</v>
      </c>
      <c r="X12" s="18">
        <f t="shared" ca="1" si="12"/>
        <v>1</v>
      </c>
      <c r="Y12" s="18">
        <f t="shared" ca="1" si="13"/>
        <v>0</v>
      </c>
      <c r="Z12" s="18">
        <f t="shared" ca="1" si="14"/>
        <v>0</v>
      </c>
      <c r="AA12" s="18">
        <f t="shared" ca="1" si="15"/>
        <v>0</v>
      </c>
      <c r="AB12" s="19">
        <f t="shared" ca="1" si="16"/>
        <v>2</v>
      </c>
    </row>
    <row r="13" spans="1:28" s="83" customFormat="1" x14ac:dyDescent="0.25">
      <c r="A13" s="78" t="s">
        <v>17</v>
      </c>
      <c r="B13" s="79">
        <v>0</v>
      </c>
      <c r="C13" s="79">
        <v>0</v>
      </c>
      <c r="D13" s="79">
        <v>0</v>
      </c>
      <c r="E13" s="79">
        <v>0</v>
      </c>
      <c r="F13" s="79">
        <v>0</v>
      </c>
      <c r="G13" s="79"/>
      <c r="H13" s="79">
        <v>1</v>
      </c>
      <c r="I13" s="79">
        <v>22</v>
      </c>
      <c r="J13" s="80">
        <f>SUM(B13:I13)</f>
        <v>23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2</v>
      </c>
      <c r="S13" s="81">
        <f t="shared" si="7"/>
        <v>2</v>
      </c>
      <c r="T13" s="82">
        <f t="shared" ref="T13" si="17">B13+K13</f>
        <v>0</v>
      </c>
      <c r="U13" s="82">
        <f t="shared" ref="U13" si="18">C13+L13</f>
        <v>0</v>
      </c>
      <c r="V13" s="82">
        <f t="shared" ref="V13" si="19">D13+M13</f>
        <v>0</v>
      </c>
      <c r="W13" s="82">
        <f t="shared" ref="W13" si="20">E13+N13</f>
        <v>0</v>
      </c>
      <c r="X13" s="82">
        <f t="shared" ref="X13" si="21">F13+O13</f>
        <v>0</v>
      </c>
      <c r="Y13" s="82">
        <f t="shared" ref="Y13" si="22">G13+P13</f>
        <v>0</v>
      </c>
      <c r="Z13" s="82">
        <f t="shared" ref="Z13" si="23">H13+Q13</f>
        <v>1</v>
      </c>
      <c r="AA13" s="82">
        <f t="shared" ref="AA13" si="24">I13+R13</f>
        <v>24</v>
      </c>
      <c r="AB13" s="80">
        <f t="shared" si="16"/>
        <v>25</v>
      </c>
    </row>
    <row r="14" spans="1:28" s="57" customFormat="1" x14ac:dyDescent="0.25">
      <c r="A14" s="17" t="s">
        <v>18</v>
      </c>
      <c r="B14" s="56">
        <f>COUNTIFS([1]EXPORT!$P$2:$P$10025,"ACBB CANOE KAYAK",[1]EXPORT!$E$2:$E$10025,"M",[1]EXPORT!$T$2:$T$10025,"=5")+COUNTIFS([1]EXPORT!$P$2:$P$10025,"ACBB CANOE KAYAK",[1]EXPORT!$E$2:$E$10025,"M",[1]EXPORT!$T$2:$T$10025,"=4")+COUNTIFS([1]EXPORT!$P$2:$P$10025,"ACBB CANOE KAYAK",[1]EXPORT!$E$2:$E$10025,"M",[1]EXPORT!$T$2:$T$10025,"=3")+COUNTIFS([1]EXPORT!$P$2:$P$10025,"ACBB CANOE KAYAK",[1]EXPORT!$E$2:$E$10025,"M",[1]EXPORT!$T$2:$T$10025,"=2")+COUNTIFS([1]EXPORT!$P$2:$P$10025,"ACBB CANOE KAYAK",[1]EXPORT!$E$2:$E$10025,"M",[1]EXPORT!$T$2:$T$10025,"=1")</f>
        <v>0</v>
      </c>
      <c r="C14" s="56">
        <f>COUNTIFS([1]EXPORT!$P$2:$P$10025,"ACBB CANOE KAYAK",[1]EXPORT!$E$2:$E$10025,"M",[1]EXPORT!$T$2:$T$10025,"=6")+COUNTIFS([1]EXPORT!$P$2:$P$10025,"ACBB CANOE KAYAK",[1]EXPORT!$E$2:$E$10025,"M",[1]EXPORT!$T$2:$T$10025,"=7")</f>
        <v>0</v>
      </c>
      <c r="D14" s="56">
        <f>COUNTIFS([1]EXPORT!$P$2:$P$10025,"ACBB CANOE KAYAK",[1]EXPORT!$E$2:$E$10025,"M",[1]EXPORT!$T$2:$T$10025,"=8")+COUNTIFS([1]EXPORT!$P$2:$P$10025,"ACBB CANOE KAYAK",[1]EXPORT!$E$2:$E$10025,"M",[1]EXPORT!$T$2:$T$10025,"=9")</f>
        <v>0</v>
      </c>
      <c r="E14" s="56">
        <f>COUNTIFS([1]EXPORT!$P$2:$P$10025,"ACBB CANOE KAYAK",[1]EXPORT!$E$2:$E$10025,"M",[1]EXPORT!$T$2:$T$10025,"=10")+COUNTIFS([1]EXPORT!$P$2:$P$10025,"ACBB CANOE KAYAK",[1]EXPORT!$E$2:$E$10025,"M",[1]EXPORT!$T$2:$T$10025,"=11")</f>
        <v>0</v>
      </c>
      <c r="F14" s="56">
        <f>COUNTIFS([1]EXPORT!$P$2:$P$10025,"ACBB CANOE KAYAK",[1]EXPORT!$E$2:$E$10025,"M",[1]EXPORT!$T$2:$T$10025,"=12")+COUNTIFS([1]EXPORT!$P$2:$P$10025,"ACBB CANOE KAYAK",[1]EXPORT!$E$2:$E$10025,"M",[1]EXPORT!$T$2:$T$10025,"=13")</f>
        <v>0</v>
      </c>
      <c r="G14" s="56">
        <v>19</v>
      </c>
      <c r="H14" s="56">
        <v>15</v>
      </c>
      <c r="I14" s="56">
        <v>115</v>
      </c>
      <c r="J14" s="19">
        <f t="shared" si="6"/>
        <v>149</v>
      </c>
      <c r="K14" s="56">
        <f>COUNTIFS([1]EXPORT!$P$2:$P$10025,"ACBB CANOE KAYAK",[1]EXPORT!$E$2:$E$10025,"F",[1]EXPORT!$T$2:$T$10025,"=5")+COUNTIFS([1]EXPORT!$P$2:$P$10025,"ACBB CANOE KAYAK",[1]EXPORT!$E$2:$E$10025,"F",[1]EXPORT!$T$2:$T$10025,"=4")+COUNTIFS([1]EXPORT!$P$2:$P$10025,"ACBB CANOE KAYAK",[1]EXPORT!$E$2:$E$10025,"F",[1]EXPORT!$T$2:$T$10025,"=3")+COUNTIFS([1]EXPORT!$P$2:$P$10025,"ACBB CANOE KAYAK",[1]EXPORT!$E$2:$E$10025,"F",[1]EXPORT!$T$2:$T$10025,"=2")+COUNTIFS([1]EXPORT!$P$2:$P$10025,"ACBB CANOE KAYAK",[1]EXPORT!$E$2:$E$10025,"F",[1]EXPORT!$T$2:$T$10025,"=1")</f>
        <v>0</v>
      </c>
      <c r="L14" s="56">
        <f>COUNTIFS([1]EXPORT!$P$2:$P$10025,"ACBB CANOE KAYAK",[1]EXPORT!$E$2:$E$10025,"F",[1]EXPORT!$T$2:$T$10025,"=6")+COUNTIFS([1]EXPORT!$P$2:$P$10025,"ACBB CANOE KAYAK",[1]EXPORT!$E$2:$E$10025,"F",[1]EXPORT!$T$2:$T$10025,"=7")</f>
        <v>0</v>
      </c>
      <c r="M14" s="56">
        <f>COUNTIFS([1]EXPORT!$P$2:$P$10025,"ACBB CANOE KAYAK",[1]EXPORT!$E$2:$E$10025,"F",[1]EXPORT!$T$2:$T$10025,"=8")+COUNTIFS([1]EXPORT!$P$2:$P$10025,"ACBB CANOE KAYAK",[1]EXPORT!$E$2:$E$10025,"F",[1]EXPORT!$T$2:$T$10025,"=9")</f>
        <v>0</v>
      </c>
      <c r="N14" s="56">
        <f>COUNTIFS([1]EXPORT!$P$2:$P$10025,"ACBB CANOE KAYAK",[1]EXPORT!$E$2:$E$10025,"F",[1]EXPORT!$T$2:$T$10025,"=10")+COUNTIFS([1]EXPORT!$P$2:$P$10025,"ACBB CANOE KAYAK",[1]EXPORT!$E$2:$E$10025,"F",[1]EXPORT!$T$2:$T$10025,"=11")</f>
        <v>0</v>
      </c>
      <c r="O14" s="56">
        <f>COUNTIFS([1]EXPORT!$P$2:$P$10025,"ACBB CANOE KAYAK",[1]EXPORT!$E$2:$E$10025,"F",[1]EXPORT!$T$2:$T$10025,"=12")+COUNTIFS([1]EXPORT!$P$2:$P$10025,"ACBB CANOE KAYAK",[1]EXPORT!$E$2:$E$10025,"F",[1]EXPORT!$T$2:$T$10025,"=13")</f>
        <v>0</v>
      </c>
      <c r="P14" s="56">
        <v>3</v>
      </c>
      <c r="Q14" s="56">
        <f>COUNTIFS([1]EXPORT!$P$2:$P$10025,"ACBB CANOE KAYAK",[1]EXPORT!$E$2:$E$10025,"F",[1]EXPORT!$T$2:$T$10025,"=16")+COUNTIFS([1]EXPORT!$P$2:$P$10025,"ACBB CANOE KAYAK",[1]EXPORT!$E$2:$E$10025,"F",[1]EXPORT!$T$2:$T$10025,"=17")</f>
        <v>0</v>
      </c>
      <c r="R14" s="56">
        <v>72</v>
      </c>
      <c r="S14" s="20">
        <f t="shared" si="7"/>
        <v>75</v>
      </c>
      <c r="T14" s="18">
        <f t="shared" si="8"/>
        <v>0</v>
      </c>
      <c r="U14" s="18">
        <f t="shared" si="9"/>
        <v>0</v>
      </c>
      <c r="V14" s="18">
        <f t="shared" si="10"/>
        <v>0</v>
      </c>
      <c r="W14" s="18">
        <f t="shared" si="11"/>
        <v>0</v>
      </c>
      <c r="X14" s="18">
        <f t="shared" si="12"/>
        <v>0</v>
      </c>
      <c r="Y14" s="18">
        <f t="shared" si="13"/>
        <v>22</v>
      </c>
      <c r="Z14" s="18">
        <f t="shared" si="14"/>
        <v>15</v>
      </c>
      <c r="AA14" s="18">
        <f t="shared" si="15"/>
        <v>187</v>
      </c>
      <c r="AB14" s="19">
        <f t="shared" si="16"/>
        <v>224</v>
      </c>
    </row>
    <row r="15" spans="1:28" x14ac:dyDescent="0.25">
      <c r="A15" s="21" t="s">
        <v>19</v>
      </c>
      <c r="B15" s="13">
        <f>COUNTIFS([1]EXPORT!$P$2:$P$10025,"ACBB CYCLISME",[1]EXPORT!$E$2:$E$10025,"M",[1]EXPORT!$T$2:$T$10025,"=5")+COUNTIFS([1]EXPORT!$P$2:$P$10025,"ACBB CYCLISME",[1]EXPORT!$E$2:$E$10025,"M",[1]EXPORT!$T$2:$T$10025,"=4")+COUNTIFS([1]EXPORT!$P$2:$P$10025,"ACBB CYCLISME",[1]EXPORT!$E$2:$E$10025,"M",[1]EXPORT!$T$2:$T$10025,"=3")+COUNTIFS([1]EXPORT!$P$2:$P$10025,"ACBB CYCLISME",[1]EXPORT!$E$2:$E$10025,"M",[1]EXPORT!$T$2:$T$10025,"=2")+COUNTIFS([1]EXPORT!$P$2:$P$10025,"ACBB CYCLISME",[1]EXPORT!$E$2:$E$10025,"M",[1]EXPORT!$T$2:$T$10025,"=1")</f>
        <v>0</v>
      </c>
      <c r="C15" s="13">
        <f>COUNTIFS([1]EXPORT!$P$2:$P$10025,"ACBB CYCLISME",[1]EXPORT!$E$2:$E$10025,"M",[1]EXPORT!$T$2:$T$10025,"=6")+COUNTIFS([1]EXPORT!$P$2:$P$10025,"ACBB CYCLISME",[1]EXPORT!$E$2:$E$10025,"M",[1]EXPORT!$T$2:$T$10025,"=7")</f>
        <v>0</v>
      </c>
      <c r="D15" s="13">
        <f>COUNTIFS([1]EXPORT!$P$2:$P$10025,"ACBB CYCLISME",[1]EXPORT!$E$2:$E$10025,"M",[1]EXPORT!$T$2:$T$10025,"=8")+COUNTIFS([1]EXPORT!$P$2:$P$10025,"ACBB CYCLISME",[1]EXPORT!$E$2:$E$10025,"M",[1]EXPORT!$T$2:$T$10025,"=9")</f>
        <v>0</v>
      </c>
      <c r="E15" s="13">
        <f>COUNTIFS([1]EXPORT!$P$2:$P$10025,"ACBB CYCLISME",[1]EXPORT!$E$2:$E$10025,"M",[1]EXPORT!$T$2:$T$10025,"=10")+COUNTIFS([1]EXPORT!$P$2:$P$10025,"ACBB CYCLISME",[1]EXPORT!$E$2:$E$10025,"M",[1]EXPORT!$T$2:$T$10025,"=11")</f>
        <v>0</v>
      </c>
      <c r="F15" s="13">
        <f>COUNTIFS([1]EXPORT!$P$2:$P$10025,"ACBB CYCLISME",[1]EXPORT!$E$2:$E$10025,"M",[1]EXPORT!$T$2:$T$10025,"=12")+COUNTIFS([1]EXPORT!$P$2:$P$10025,"ACBB CYCLISME",[1]EXPORT!$E$2:$E$10025,"M",[1]EXPORT!$T$2:$T$10025,"=13")</f>
        <v>0</v>
      </c>
      <c r="G15" s="13">
        <f>COUNTIFS([1]EXPORT!$P$2:$P$10025,"ACBB CYCLISME",[1]EXPORT!$E$2:$E$10025,"M",[1]EXPORT!$T$2:$T$10025,"=14")+COUNTIFS([1]EXPORT!$P$2:$P$10025,"ACBB CYCLISME",[1]EXPORT!$E$2:$E$10025,"M",[1]EXPORT!$T$2:$T$10025,"=15")</f>
        <v>0</v>
      </c>
      <c r="H15" s="13">
        <f>COUNTIFS([1]EXPORT!$P$2:$P$10025,"ACBB CYCLISME",[1]EXPORT!$E$2:$E$10025,"M",[1]EXPORT!$T$2:$T$10025,"=16")+COUNTIFS([1]EXPORT!$P$2:$P$10025,"ACBB CYCLISME",[1]EXPORT!$E$2:$E$10025,"M",[1]EXPORT!$T$2:$T$10025,"=17")</f>
        <v>0</v>
      </c>
      <c r="I15" s="13">
        <f>COUNTIFS([1]EXPORT!$P$2:$P$10025,"ACBB CYCLISME",[1]EXPORT!$E$2:$E$10025,"M",[1]EXPORT!$T$2:$T$10025,"&gt;=18")-COUNTIFS([1]EXPORT!$P$2:$P$10025,"ACBB CYCLISME",[1]EXPORT!$E$2:$E$10025,"M",[1]EXPORT!$T$2:$T$10025,"=121")</f>
        <v>0</v>
      </c>
      <c r="J15" s="15">
        <f t="shared" si="6"/>
        <v>0</v>
      </c>
      <c r="K15" s="13">
        <f>COUNTIFS([1]EXPORT!$P$2:$P$10025,"ACBB CYCLISME",[1]EXPORT!$E$2:$E$10025,"F",[1]EXPORT!$T$2:$T$10025,"=5")+COUNTIFS([1]EXPORT!$P$2:$P$10025,"ACBB CYCLISME",[1]EXPORT!$E$2:$E$10025,"F",[1]EXPORT!$T$2:$T$10025,"=4")+COUNTIFS([1]EXPORT!$P$2:$P$10025,"ACBB CYCLISME",[1]EXPORT!$E$2:$E$10025,"F",[1]EXPORT!$T$2:$T$10025,"=3")+COUNTIFS([1]EXPORT!$P$2:$P$10025,"ACBB CYCLISME",[1]EXPORT!$E$2:$E$10025,"F",[1]EXPORT!$T$2:$T$10025,"=2")+COUNTIFS([1]EXPORT!$P$2:$P$10025,"ACBB CYCLISME",[1]EXPORT!$E$2:$E$10025,"F",[1]EXPORT!$T$2:$T$10025,"=1")</f>
        <v>0</v>
      </c>
      <c r="L15" s="13">
        <f>COUNTIFS([1]EXPORT!$P$2:$P$10025,"ACBB CYCLISME",[1]EXPORT!$E$2:$E$10025,"F",[1]EXPORT!$T$2:$T$10025,"=6")+COUNTIFS([1]EXPORT!$P$2:$P$10025,"ACBB CYCLISME",[1]EXPORT!$E$2:$E$10025,"F",[1]EXPORT!$T$2:$T$10025,"=7")</f>
        <v>0</v>
      </c>
      <c r="M15" s="13">
        <f>COUNTIFS([1]EXPORT!$P$2:$P$10025,"ACBB CYCLISME",[1]EXPORT!$E$2:$E$10025,"F",[1]EXPORT!$T$2:$T$10025,"=8")+COUNTIFS([1]EXPORT!$P$2:$P$10025,"ACBB CYCLISME",[1]EXPORT!$E$2:$E$10025,"F",[1]EXPORT!$T$2:$T$10025,"=9")</f>
        <v>0</v>
      </c>
      <c r="N15" s="13">
        <f>COUNTIFS([1]EXPORT!$P$2:$P$10025,"ACBB CYCLISME",[1]EXPORT!$E$2:$E$10025,"F",[1]EXPORT!$T$2:$T$10025,"=10")+COUNTIFS([1]EXPORT!$P$2:$P$10025,"ACBB CYCLISME",[1]EXPORT!$E$2:$E$10025,"F",[1]EXPORT!$T$2:$T$10025,"=11")</f>
        <v>0</v>
      </c>
      <c r="O15" s="13">
        <f>COUNTIFS([1]EXPORT!$P$2:$P$10025,"ACBB CYCLISME",[1]EXPORT!$E$2:$E$10025,"F",[1]EXPORT!$T$2:$T$10025,"=12")+COUNTIFS([1]EXPORT!$P$2:$P$10025,"ACBB CYCLISME",[1]EXPORT!$E$2:$E$10025,"F",[1]EXPORT!$T$2:$T$10025,"=13")</f>
        <v>0</v>
      </c>
      <c r="P15" s="13">
        <f>COUNTIFS([1]EXPORT!$P$2:$P$10025,"ACBB CYCLISME",[1]EXPORT!$E$2:$E$10025,"F",[1]EXPORT!$T$2:$T$10025,"=14")+COUNTIFS([1]EXPORT!$P$2:$P$10025,"ACBB CYCLISME",[1]EXPORT!$E$2:$E$10025,"F",[1]EXPORT!$T$2:$T$10025,"=15")</f>
        <v>0</v>
      </c>
      <c r="Q15" s="13">
        <f>COUNTIFS([1]EXPORT!$P$2:$P$10025,"ACBB CYCLISME",[1]EXPORT!$E$2:$E$10025,"F",[1]EXPORT!$T$2:$T$10025,"=16")+COUNTIFS([1]EXPORT!$P$2:$P$10025,"ACBB CYCLISME",[1]EXPORT!$E$2:$E$10025,"F",[1]EXPORT!$T$2:$T$10025,"=17")</f>
        <v>0</v>
      </c>
      <c r="R15" s="13">
        <f>COUNTIFS([1]EXPORT!$P$2:$P$10025,"ACBB CYCLISME",[1]EXPORT!$E$2:$E$10025,"F",[1]EXPORT!$T$2:$T$10025,"&gt;=18")-COUNTIFS([1]EXPORT!$P$2:$P$10025,"ACBB CYCLISME",[1]EXPORT!$E$2:$E$10025,"F",[1]EXPORT!$T$2:$T$10025,"=121")</f>
        <v>0</v>
      </c>
      <c r="S15" s="16">
        <f t="shared" si="7"/>
        <v>0</v>
      </c>
      <c r="T15" s="14">
        <f t="shared" si="8"/>
        <v>0</v>
      </c>
      <c r="U15" s="14">
        <f t="shared" si="9"/>
        <v>0</v>
      </c>
      <c r="V15" s="14">
        <f t="shared" si="10"/>
        <v>0</v>
      </c>
      <c r="W15" s="14">
        <f t="shared" si="11"/>
        <v>0</v>
      </c>
      <c r="X15" s="14">
        <f t="shared" si="12"/>
        <v>0</v>
      </c>
      <c r="Y15" s="14">
        <f t="shared" si="13"/>
        <v>0</v>
      </c>
      <c r="Z15" s="14">
        <f t="shared" si="14"/>
        <v>0</v>
      </c>
      <c r="AA15" s="14">
        <f t="shared" si="15"/>
        <v>0</v>
      </c>
      <c r="AB15" s="15">
        <f t="shared" si="16"/>
        <v>0</v>
      </c>
    </row>
    <row r="16" spans="1:28" s="57" customFormat="1" x14ac:dyDescent="0.25">
      <c r="A16" s="17" t="s">
        <v>20</v>
      </c>
      <c r="B16" s="56">
        <f>COUNTIFS([1]EXPORT!$P$2:$P$10025,"ACBB CYCLOTOURISME",[1]EXPORT!$E$2:$E$10025,"M",[1]EXPORT!$T$2:$T$10025,"=5")+COUNTIFS([1]EXPORT!$P$2:$P$10025,"ACBB CYCLOTOURISME",[1]EXPORT!$E$2:$E$10025,"M",[1]EXPORT!$T$2:$T$10025,"=4")+COUNTIFS([1]EXPORT!$P$2:$P$10025,"ACBB CYCLOTOURISME",[1]EXPORT!$E$2:$E$10025,"M",[1]EXPORT!$T$2:$T$10025,"=3")+COUNTIFS([1]EXPORT!$P$2:$P$10025,"ACBB CYCLOTOURISME",[1]EXPORT!$E$2:$E$10025,"M",[1]EXPORT!$T$2:$T$10025,"=2")+COUNTIFS([1]EXPORT!$P$2:$P$10025,"ACBB CYCLOTOURISME",[1]EXPORT!$E$2:$E$10025,"M",[1]EXPORT!$T$2:$T$10025,"=1")</f>
        <v>0</v>
      </c>
      <c r="C16" s="56">
        <f>COUNTIFS([1]EXPORT!$P$2:$P$10025,"ACBB CYCLOTOURISME",[1]EXPORT!$E$2:$E$10025,"M",[1]EXPORT!$T$2:$T$10025,"=6")+COUNTIFS([1]EXPORT!$P$2:$P$10025,"ACBB CYCLOTOURISME",[1]EXPORT!$E$2:$E$10025,"M",[1]EXPORT!$T$2:$T$10025,"=7")</f>
        <v>0</v>
      </c>
      <c r="D16" s="56">
        <f>COUNTIFS([1]EXPORT!$P$2:$P$10025,"ACBB CYCLOTOURISME",[1]EXPORT!$E$2:$E$10025,"M",[1]EXPORT!$T$2:$T$10025,"=8")+COUNTIFS([1]EXPORT!$P$2:$P$10025,"ACBB CYCLOTOURISME",[1]EXPORT!$E$2:$E$10025,"M",[1]EXPORT!$T$2:$T$10025,"=9")</f>
        <v>0</v>
      </c>
      <c r="E16" s="56">
        <f>COUNTIFS([1]EXPORT!$P$2:$P$10025,"ACBB CYCLOTOURISME",[1]EXPORT!$E$2:$E$10025,"M",[1]EXPORT!$T$2:$T$10025,"=10")+COUNTIFS([1]EXPORT!$P$2:$P$10025,"ACBB CYCLOTOURISME",[1]EXPORT!$E$2:$E$10025,"M",[1]EXPORT!$T$2:$T$10025,"=11")</f>
        <v>0</v>
      </c>
      <c r="F16" s="56">
        <f>COUNTIFS([1]EXPORT!$P$2:$P$10025,"ACBB CYCLOTOURISME",[1]EXPORT!$E$2:$E$10025,"M",[1]EXPORT!$T$2:$T$10025,"=12")+COUNTIFS([1]EXPORT!$P$2:$P$10025,"ACBB CYCLOTOURISME",[1]EXPORT!$E$2:$E$10025,"M",[1]EXPORT!$T$2:$T$10025,"=13")</f>
        <v>0</v>
      </c>
      <c r="G16" s="56">
        <f>COUNTIFS([1]EXPORT!$P$2:$P$10025,"ACBB CYCLOTOURISME",[1]EXPORT!$E$2:$E$10025,"M",[1]EXPORT!$T$2:$T$10025,"=14")+COUNTIFS([1]EXPORT!$P$2:$P$10025,"ACBB CYCLOTOURISME",[1]EXPORT!$E$2:$E$10025,"M",[1]EXPORT!$T$2:$T$10025,"=15")</f>
        <v>0</v>
      </c>
      <c r="H16" s="56">
        <f>COUNTIFS([1]EXPORT!$P$2:$P$10025,"ACBB CYCLOTOURISME",[1]EXPORT!$E$2:$E$10025,"M",[1]EXPORT!$T$2:$T$10025,"=16")+COUNTIFS([1]EXPORT!$P$2:$P$10025,"ACBB CYCLOTOURISME",[1]EXPORT!$E$2:$E$10025,"M",[1]EXPORT!$T$2:$T$10025,"=17")</f>
        <v>0</v>
      </c>
      <c r="I16" s="56">
        <f>COUNTIFS([1]EXPORT!$P$2:$P$10025,"ACBB CYCLOTOURISME",[1]EXPORT!$E$2:$E$10025,"M",[1]EXPORT!$T$2:$T$10025,"&gt;=18")-COUNTIFS([1]EXPORT!$P$2:$P$10025,"ACBB CYCLOTOURISME",[1]EXPORT!$E$2:$E$10025,"M",[1]EXPORT!$T$2:$T$10025,"=121")</f>
        <v>0</v>
      </c>
      <c r="J16" s="19">
        <f t="shared" si="6"/>
        <v>0</v>
      </c>
      <c r="K16" s="56">
        <f>COUNTIFS([1]EXPORT!$P$2:$P$10025,"ACBB CYCLOTOURISME",[1]EXPORT!$E$2:$E$10025,"F",[1]EXPORT!$T$2:$T$10025,"=5")+COUNTIFS([1]EXPORT!$P$2:$P$10025,"ACBB CYCLOTOURISME",[1]EXPORT!$E$2:$E$10025,"F",[1]EXPORT!$T$2:$T$10025,"=4")+COUNTIFS([1]EXPORT!$P$2:$P$10025,"ACBB CYCLOTOURISME",[1]EXPORT!$E$2:$E$10025,"F",[1]EXPORT!$T$2:$T$10025,"=3")+COUNTIFS([1]EXPORT!$P$2:$P$10025,"ACBB CYCLOTOURISME",[1]EXPORT!$E$2:$E$10025,"F",[1]EXPORT!$T$2:$T$10025,"=2")+COUNTIFS([1]EXPORT!$P$2:$P$10025,"ACBB CYCLOTOURISME",[1]EXPORT!$E$2:$E$10025,"F",[1]EXPORT!$T$2:$T$10025,"=1")</f>
        <v>0</v>
      </c>
      <c r="L16" s="56">
        <f>COUNTIFS([1]EXPORT!$P$2:$P$10025,"ACBB CYCLOTOURISME",[1]EXPORT!$E$2:$E$10025,"F",[1]EXPORT!$T$2:$T$10025,"=6")+COUNTIFS([1]EXPORT!$P$2:$P$10025,"ACBB CYCLOTOURISME",[1]EXPORT!$E$2:$E$10025,"F",[1]EXPORT!$T$2:$T$10025,"=7")</f>
        <v>0</v>
      </c>
      <c r="M16" s="56">
        <f>COUNTIFS([1]EXPORT!$P$2:$P$10025,"ACBB CYCLOTOURISME",[1]EXPORT!$E$2:$E$10025,"F",[1]EXPORT!$T$2:$T$10025,"=8")+COUNTIFS([1]EXPORT!$P$2:$P$10025,"ACBB CYCLOTOURISME",[1]EXPORT!$E$2:$E$10025,"F",[1]EXPORT!$T$2:$T$10025,"=9")</f>
        <v>0</v>
      </c>
      <c r="N16" s="56">
        <f>COUNTIFS([1]EXPORT!$P$2:$P$10025,"ACBB CYCLOTOURISME",[1]EXPORT!$E$2:$E$10025,"F",[1]EXPORT!$T$2:$T$10025,"=10")+COUNTIFS([1]EXPORT!$P$2:$P$10025,"ACBB CYCLOTOURISME",[1]EXPORT!$E$2:$E$10025,"F",[1]EXPORT!$T$2:$T$10025,"=11")</f>
        <v>0</v>
      </c>
      <c r="O16" s="56">
        <f>COUNTIFS([1]EXPORT!$P$2:$P$10025,"ACBB CYCLOTOURISME",[1]EXPORT!$E$2:$E$10025,"F",[1]EXPORT!$T$2:$T$10025,"=12")+COUNTIFS([1]EXPORT!$P$2:$P$10025,"ACBB CYCLOTOURISME",[1]EXPORT!$E$2:$E$10025,"F",[1]EXPORT!$T$2:$T$10025,"=13")</f>
        <v>0</v>
      </c>
      <c r="P16" s="56">
        <f>COUNTIFS([1]EXPORT!$P$2:$P$10025,"ACBB CYCLOTOURISME",[1]EXPORT!$E$2:$E$10025,"F",[1]EXPORT!$T$2:$T$10025,"=14")+COUNTIFS([1]EXPORT!$P$2:$P$10025,"ACBB CYCLOTOURISME",[1]EXPORT!$E$2:$E$10025,"F",[1]EXPORT!$T$2:$T$10025,"=15")</f>
        <v>0</v>
      </c>
      <c r="Q16" s="56">
        <f>COUNTIFS([1]EXPORT!$P$2:$P$10025,"ACBB CYCLOTOURISME",[1]EXPORT!$E$2:$E$10025,"F",[1]EXPORT!$T$2:$T$10025,"=16")+COUNTIFS([1]EXPORT!$P$2:$P$10025,"ACBB CYCLOTOURISME",[1]EXPORT!$E$2:$E$10025,"F",[1]EXPORT!$T$2:$T$10025,"=17")</f>
        <v>0</v>
      </c>
      <c r="R16" s="56">
        <f>COUNTIFS([1]EXPORT!$P$2:$P$10025,"ACBB CYCLOTOURISME",[1]EXPORT!$E$2:$E$10025,"F",[1]EXPORT!$T$2:$T$10025,"&gt;=18")-COUNTIFS([1]EXPORT!$P$2:$P$10025,"ACBB CYCLOTOURISME",[1]EXPORT!$E$2:$E$10025,"F",[1]EXPORT!$T$2:$T$10025,"=121")</f>
        <v>0</v>
      </c>
      <c r="S16" s="20">
        <f t="shared" si="7"/>
        <v>0</v>
      </c>
      <c r="T16" s="18">
        <f t="shared" si="8"/>
        <v>0</v>
      </c>
      <c r="U16" s="18">
        <f t="shared" si="9"/>
        <v>0</v>
      </c>
      <c r="V16" s="18">
        <f t="shared" si="10"/>
        <v>0</v>
      </c>
      <c r="W16" s="18">
        <f t="shared" si="11"/>
        <v>0</v>
      </c>
      <c r="X16" s="18">
        <f t="shared" si="12"/>
        <v>0</v>
      </c>
      <c r="Y16" s="18">
        <f t="shared" si="13"/>
        <v>0</v>
      </c>
      <c r="Z16" s="18">
        <f t="shared" si="14"/>
        <v>0</v>
      </c>
      <c r="AA16" s="18">
        <f t="shared" si="15"/>
        <v>0</v>
      </c>
      <c r="AB16" s="19">
        <f t="shared" si="16"/>
        <v>0</v>
      </c>
    </row>
    <row r="17" spans="1:53" x14ac:dyDescent="0.25">
      <c r="A17" s="21" t="s">
        <v>21</v>
      </c>
      <c r="B17" s="13">
        <f>COUNTIFS([1]EXPORT!$P$2:$P$10025,"ACBB EDUCFITNESS",[1]EXPORT!$E$2:$E$10025,"M",[1]EXPORT!$T$2:$T$10025,"=5")+COUNTIFS([1]EXPORT!$P$2:$P$10025,"ACBB EDUCFITNESS",[1]EXPORT!$E$2:$E$10025,"M",[1]EXPORT!$T$2:$T$10025,"=4")+COUNTIFS([1]EXPORT!$P$2:$P$10025,"ACBB EDUCFITNESS",[1]EXPORT!$E$2:$E$10025,"M",[1]EXPORT!$T$2:$T$10025,"=3")+COUNTIFS([1]EXPORT!$P$2:$P$10025,"ACBB EDUCFITNESS",[1]EXPORT!$E$2:$E$10025,"M",[1]EXPORT!$T$2:$T$10025,"=2")+COUNTIFS([1]EXPORT!$P$2:$P$10025,"ACBB EDUCFITNESS",[1]EXPORT!$E$2:$E$10025,"M",[1]EXPORT!$T$2:$T$10025,"=1")</f>
        <v>0</v>
      </c>
      <c r="C17" s="13">
        <f>COUNTIFS([1]EXPORT!$P$2:$P$10025,"ACBB EDUCFITNESS",[1]EXPORT!$E$2:$E$10025,"M",[1]EXPORT!$T$2:$T$10025,"=6")+COUNTIFS([1]EXPORT!$P$2:$P$10025,"ACBB EDUCFITNESS",[1]EXPORT!$E$2:$E$10025,"M",[1]EXPORT!$T$2:$T$10025,"=7")</f>
        <v>0</v>
      </c>
      <c r="D17" s="13">
        <f>COUNTIFS([1]EXPORT!$P$2:$P$10025,"ACBB EDUCFITNESS",[1]EXPORT!$E$2:$E$10025,"M",[1]EXPORT!$T$2:$T$10025,"=8")+COUNTIFS([1]EXPORT!$P$2:$P$10025,"ACBB EDUCFITNESS",[1]EXPORT!$E$2:$E$10025,"M",[1]EXPORT!$T$2:$T$10025,"=9")</f>
        <v>0</v>
      </c>
      <c r="E17" s="13">
        <f>COUNTIFS([1]EXPORT!$P$2:$P$10025,"ACBB EDUCFITNESS",[1]EXPORT!$E$2:$E$10025,"M",[1]EXPORT!$T$2:$T$10025,"=10")+COUNTIFS([1]EXPORT!$P$2:$P$10025,"ACBB EDUCFITNESS",[1]EXPORT!$E$2:$E$10025,"M",[1]EXPORT!$T$2:$T$10025,"=11")</f>
        <v>0</v>
      </c>
      <c r="F17" s="13">
        <f>COUNTIFS([1]EXPORT!$P$2:$P$10025,"ACBB EDUCFITNESS",[1]EXPORT!$E$2:$E$10025,"M",[1]EXPORT!$T$2:$T$10025,"=12")+COUNTIFS([1]EXPORT!$P$2:$P$10025,"ACBB EDUCFITNESS",[1]EXPORT!$E$2:$E$10025,"M",[1]EXPORT!$T$2:$T$10025,"=13")</f>
        <v>0</v>
      </c>
      <c r="G17" s="13">
        <f>COUNTIFS([1]EXPORT!$P$2:$P$10025,"ACBB EDUCFITNESS",[1]EXPORT!$E$2:$E$10025,"M",[1]EXPORT!$T$2:$T$10025,"=14")+COUNTIFS([1]EXPORT!$P$2:$P$10025,"ACBB EDUCFITNESS",[1]EXPORT!$E$2:$E$10025,"M",[1]EXPORT!$T$2:$T$10025,"=15")</f>
        <v>0</v>
      </c>
      <c r="H17" s="13">
        <f>COUNTIFS([1]EXPORT!$P$2:$P$10025,"ACBB EDUCFITNESS",[1]EXPORT!$E$2:$E$10025,"M",[1]EXPORT!$T$2:$T$10025,"=16")+COUNTIFS([1]EXPORT!$P$2:$P$10025,"ACBB EDUCFITNESS",[1]EXPORT!$E$2:$E$10025,"M",[1]EXPORT!$T$2:$T$10025,"=17")</f>
        <v>0</v>
      </c>
      <c r="I17" s="13">
        <f>COUNTIFS([1]EXPORT!$P$2:$P$10025,"ACBB EDUCFITNESS",[1]EXPORT!$E$2:$E$10025,"M",[1]EXPORT!$T$2:$T$10025,"&gt;=18")-COUNTIFS([1]EXPORT!$P$2:$P$10025,"ACBB EDUCFITNESS",[1]EXPORT!$E$2:$E$10025,"M",[1]EXPORT!$T$2:$T$10025,"=121")</f>
        <v>0</v>
      </c>
      <c r="J17" s="15">
        <f t="shared" si="6"/>
        <v>0</v>
      </c>
      <c r="K17" s="13">
        <f>COUNTIFS([1]EXPORT!$P$2:$P$10025,"ACBB EDUCFITNESS",[1]EXPORT!$E$2:$E$10025,"F",[1]EXPORT!$T$2:$T$10025,"=5")+COUNTIFS([1]EXPORT!$P$2:$P$10025,"ACBB EDUCFITNESS",[1]EXPORT!$E$2:$E$10025,"F",[1]EXPORT!$T$2:$T$10025,"=4")+COUNTIFS([1]EXPORT!$P$2:$P$10025,"ACBB EDUCFITNESS",[1]EXPORT!$E$2:$E$10025,"F",[1]EXPORT!$T$2:$T$10025,"=3")+COUNTIFS([1]EXPORT!$P$2:$P$10025,"ACBB EDUCFITNESS",[1]EXPORT!$E$2:$E$10025,"F",[1]EXPORT!$T$2:$T$10025,"=2")+COUNTIFS([1]EXPORT!$P$2:$P$10025,"ACBB EDUCFITNESS",[1]EXPORT!$E$2:$E$10025,"F",[1]EXPORT!$T$2:$T$10025,"=1")</f>
        <v>0</v>
      </c>
      <c r="L17" s="13">
        <f>COUNTIFS([1]EXPORT!$P$2:$P$10025,"ACBB EDUCFITNESS",[1]EXPORT!$E$2:$E$10025,"F",[1]EXPORT!$T$2:$T$10025,"=6")+COUNTIFS([1]EXPORT!$P$2:$P$10025,"ACBB EDUCFITNESS",[1]EXPORT!$E$2:$E$10025,"F",[1]EXPORT!$T$2:$T$10025,"=7")</f>
        <v>0</v>
      </c>
      <c r="M17" s="13">
        <f>COUNTIFS([1]EXPORT!$P$2:$P$10025,"ACBB EDUCFITNESS",[1]EXPORT!$E$2:$E$10025,"F",[1]EXPORT!$T$2:$T$10025,"=8")+COUNTIFS([1]EXPORT!$P$2:$P$10025,"ACBB EDUCFITNESS",[1]EXPORT!$E$2:$E$10025,"F",[1]EXPORT!$T$2:$T$10025,"=9")</f>
        <v>0</v>
      </c>
      <c r="N17" s="13">
        <f>COUNTIFS([1]EXPORT!$P$2:$P$10025,"ACBB EDUCFITNESS",[1]EXPORT!$E$2:$E$10025,"F",[1]EXPORT!$T$2:$T$10025,"=10")+COUNTIFS([1]EXPORT!$P$2:$P$10025,"ACBB EDUCFITNESS",[1]EXPORT!$E$2:$E$10025,"F",[1]EXPORT!$T$2:$T$10025,"=11")</f>
        <v>0</v>
      </c>
      <c r="O17" s="13">
        <f>COUNTIFS([1]EXPORT!$P$2:$P$10025,"ACBB EDUCFITNESS",[1]EXPORT!$E$2:$E$10025,"F",[1]EXPORT!$T$2:$T$10025,"=12")+COUNTIFS([1]EXPORT!$P$2:$P$10025,"ACBB EDUCFITNESS",[1]EXPORT!$E$2:$E$10025,"F",[1]EXPORT!$T$2:$T$10025,"=13")</f>
        <v>0</v>
      </c>
      <c r="P17" s="13">
        <f>COUNTIFS([1]EXPORT!$P$2:$P$10025,"ACBB EDUCFITNESS",[1]EXPORT!$E$2:$E$10025,"F",[1]EXPORT!$T$2:$T$10025,"=14")+COUNTIFS([1]EXPORT!$P$2:$P$10025,"ACBB EDUCFITNESS",[1]EXPORT!$E$2:$E$10025,"F",[1]EXPORT!$T$2:$T$10025,"=15")</f>
        <v>0</v>
      </c>
      <c r="Q17" s="13">
        <f>COUNTIFS([1]EXPORT!$P$2:$P$10025,"ACBB EDUCFITNESS",[1]EXPORT!$E$2:$E$10025,"F",[1]EXPORT!$T$2:$T$10025,"=16")+COUNTIFS([1]EXPORT!$P$2:$P$10025,"ACBB EDUCFITNESS",[1]EXPORT!$E$2:$E$10025,"F",[1]EXPORT!$T$2:$T$10025,"=17")</f>
        <v>0</v>
      </c>
      <c r="R17" s="13">
        <f>COUNTIFS([1]EXPORT!$P$2:$P$10025,"ACBB EDUCFITNESS",[1]EXPORT!$E$2:$E$10025,"F",[1]EXPORT!$T$2:$T$10025,"&gt;=18")-COUNTIFS([1]EXPORT!$P$2:$P$10025,"ACBB EDUCFITNESS",[1]EXPORT!$E$2:$E$10025,"F",[1]EXPORT!$T$2:$T$10025,"=121")</f>
        <v>0</v>
      </c>
      <c r="S17" s="16">
        <f t="shared" si="7"/>
        <v>0</v>
      </c>
      <c r="T17" s="14">
        <f t="shared" si="8"/>
        <v>0</v>
      </c>
      <c r="U17" s="14">
        <f t="shared" si="9"/>
        <v>0</v>
      </c>
      <c r="V17" s="14">
        <f t="shared" si="10"/>
        <v>0</v>
      </c>
      <c r="W17" s="14">
        <f t="shared" si="11"/>
        <v>0</v>
      </c>
      <c r="X17" s="14">
        <f t="shared" si="12"/>
        <v>0</v>
      </c>
      <c r="Y17" s="14">
        <f t="shared" si="13"/>
        <v>0</v>
      </c>
      <c r="Z17" s="14">
        <f t="shared" si="14"/>
        <v>0</v>
      </c>
      <c r="AA17" s="14">
        <f t="shared" si="15"/>
        <v>0</v>
      </c>
      <c r="AB17" s="15">
        <f t="shared" si="16"/>
        <v>0</v>
      </c>
    </row>
    <row r="18" spans="1:53" s="57" customFormat="1" x14ac:dyDescent="0.25">
      <c r="A18" s="17" t="s">
        <v>22</v>
      </c>
      <c r="B18" s="56">
        <f>COUNTIFS([1]EXPORT!$P$2:$P$10025,"ACBB ESCRIME",[1]EXPORT!$E$2:$E$10025,"M",[1]EXPORT!$T$2:$T$10025,"=5")+COUNTIFS([1]EXPORT!$P$2:$P$10025,"ACBB ESCRIME",[1]EXPORT!$E$2:$E$10025,"M",[1]EXPORT!$T$2:$T$10025,"=4")+COUNTIFS([1]EXPORT!$P$2:$P$10025,"ACBB ESCRIME",[1]EXPORT!$E$2:$E$10025,"M",[1]EXPORT!$T$2:$T$10025,"=3")+COUNTIFS([1]EXPORT!$P$2:$P$10025,"ACBB ESCRIME",[1]EXPORT!$E$2:$E$10025,"M",[1]EXPORT!$T$2:$T$10025,"=2")+COUNTIFS([1]EXPORT!$P$2:$P$10025,"ACBB ESCRIME",[1]EXPORT!$E$2:$E$10025,"M",[1]EXPORT!$T$2:$T$10025,"=1")</f>
        <v>0</v>
      </c>
      <c r="C18" s="56">
        <f>COUNTIFS([1]EXPORT!$P$2:$P$10025,"ACBB ESCRIME",[1]EXPORT!$E$2:$E$10025,"M",[1]EXPORT!$T$2:$T$10025,"=6")+COUNTIFS([1]EXPORT!$P$2:$P$10025,"ACBB ESCRIME",[1]EXPORT!$E$2:$E$10025,"M",[1]EXPORT!$T$2:$T$10025,"=7")</f>
        <v>0</v>
      </c>
      <c r="D18" s="56">
        <f>COUNTIFS([1]EXPORT!$P$2:$P$10025,"ACBB ESCRIME",[1]EXPORT!$E$2:$E$10025,"M",[1]EXPORT!$T$2:$T$10025,"=8")+COUNTIFS([1]EXPORT!$P$2:$P$10025,"ACBB ESCRIME",[1]EXPORT!$E$2:$E$10025,"M",[1]EXPORT!$T$2:$T$10025,"=9")</f>
        <v>0</v>
      </c>
      <c r="E18" s="56">
        <f>COUNTIFS([1]EXPORT!$P$2:$P$10025,"ACBB ESCRIME",[1]EXPORT!$E$2:$E$10025,"M",[1]EXPORT!$T$2:$T$10025,"=10")+COUNTIFS([1]EXPORT!$P$2:$P$10025,"ACBB ESCRIME",[1]EXPORT!$E$2:$E$10025,"M",[1]EXPORT!$T$2:$T$10025,"=11")</f>
        <v>0</v>
      </c>
      <c r="F18" s="56">
        <f>COUNTIFS([1]EXPORT!$P$2:$P$10025,"ACBB ESCRIME",[1]EXPORT!$E$2:$E$10025,"M",[1]EXPORT!$T$2:$T$10025,"=12")+COUNTIFS([1]EXPORT!$P$2:$P$10025,"ACBB ESCRIME",[1]EXPORT!$E$2:$E$10025,"M",[1]EXPORT!$T$2:$T$10025,"=13")</f>
        <v>0</v>
      </c>
      <c r="G18" s="56">
        <f>COUNTIFS([1]EXPORT!$P$2:$P$10025,"ACBB ESCRIME",[1]EXPORT!$E$2:$E$10025,"M",[1]EXPORT!$T$2:$T$10025,"=14")+COUNTIFS([1]EXPORT!$P$2:$P$10025,"ACBB ESCRIME",[1]EXPORT!$E$2:$E$10025,"M",[1]EXPORT!$T$2:$T$10025,"=15")</f>
        <v>0</v>
      </c>
      <c r="H18" s="56">
        <f>COUNTIFS([1]EXPORT!$P$2:$P$10025,"ACBB ESCRIME",[1]EXPORT!$E$2:$E$10025,"M",[1]EXPORT!$T$2:$T$10025,"=16")+COUNTIFS([1]EXPORT!$P$2:$P$10025,"ACBB ESCRIME",[1]EXPORT!$E$2:$E$10025,"M",[1]EXPORT!$T$2:$T$10025,"=17")</f>
        <v>0</v>
      </c>
      <c r="I18" s="56">
        <f>COUNTIFS([1]EXPORT!$P$2:$P$10025,"ACBB ESCRIME",[1]EXPORT!$E$2:$E$10025,"M",[1]EXPORT!$T$2:$T$10025,"&gt;=18")-COUNTIFS([1]EXPORT!$P$2:$P$10025,"ACBB ESCRIME",[1]EXPORT!$E$2:$E$10025,"M",[1]EXPORT!$T$2:$T$10025,"=121")</f>
        <v>0</v>
      </c>
      <c r="J18" s="19">
        <f t="shared" si="6"/>
        <v>0</v>
      </c>
      <c r="K18" s="56">
        <f>COUNTIFS([1]EXPORT!$P$2:$P$10025,"ACBB ESCRIME",[1]EXPORT!$E$2:$E$10025,"F",[1]EXPORT!$T$2:$T$10025,"=5")+COUNTIFS([1]EXPORT!$P$2:$P$10025,"ACBB ESCRIME",[1]EXPORT!$E$2:$E$10025,"F",[1]EXPORT!$T$2:$T$10025,"=4")+COUNTIFS([1]EXPORT!$P$2:$P$10025,"ACBB ESCRIME",[1]EXPORT!$E$2:$E$10025,"F",[1]EXPORT!$T$2:$T$10025,"=3")+COUNTIFS([1]EXPORT!$P$2:$P$10025,"ACBB ESCRIME",[1]EXPORT!$E$2:$E$10025,"F",[1]EXPORT!$T$2:$T$10025,"=2")+COUNTIFS([1]EXPORT!$P$2:$P$10025,"ACBB ESCRIME",[1]EXPORT!$E$2:$E$10025,"F",[1]EXPORT!$T$2:$T$10025,"=1")</f>
        <v>0</v>
      </c>
      <c r="L18" s="56">
        <f>COUNTIFS([1]EXPORT!$P$2:$P$10025,"ACBB ESCRIME",[1]EXPORT!$E$2:$E$10025,"F",[1]EXPORT!$T$2:$T$10025,"=6")+COUNTIFS([1]EXPORT!$P$2:$P$10025,"ACBB ESCRIME",[1]EXPORT!$E$2:$E$10025,"F",[1]EXPORT!$T$2:$T$10025,"=7")</f>
        <v>0</v>
      </c>
      <c r="M18" s="56">
        <f>COUNTIFS([1]EXPORT!$P$2:$P$10025,"ACBB ESCRIME",[1]EXPORT!$E$2:$E$10025,"F",[1]EXPORT!$T$2:$T$10025,"=8")+COUNTIFS([1]EXPORT!$P$2:$P$10025,"ACBB ESCRIME",[1]EXPORT!$E$2:$E$10025,"F",[1]EXPORT!$T$2:$T$10025,"=9")</f>
        <v>0</v>
      </c>
      <c r="N18" s="56">
        <f>COUNTIFS([1]EXPORT!$P$2:$P$10025,"ACBB ESCRIME",[1]EXPORT!$E$2:$E$10025,"F",[1]EXPORT!$T$2:$T$10025,"=10")+COUNTIFS([1]EXPORT!$P$2:$P$10025,"ACBB ESCRIME",[1]EXPORT!$E$2:$E$10025,"F",[1]EXPORT!$T$2:$T$10025,"=11")</f>
        <v>0</v>
      </c>
      <c r="O18" s="56">
        <f>COUNTIFS([1]EXPORT!$P$2:$P$10025,"ACBB ESCRIME",[1]EXPORT!$E$2:$E$10025,"F",[1]EXPORT!$T$2:$T$10025,"=12")+COUNTIFS([1]EXPORT!$P$2:$P$10025,"ACBB ESCRIME",[1]EXPORT!$E$2:$E$10025,"F",[1]EXPORT!$T$2:$T$10025,"=13")</f>
        <v>0</v>
      </c>
      <c r="P18" s="56">
        <f>COUNTIFS([1]EXPORT!$P$2:$P$10025,"ACBB ESCRIME",[1]EXPORT!$E$2:$E$10025,"F",[1]EXPORT!$T$2:$T$10025,"=14")+COUNTIFS([1]EXPORT!$P$2:$P$10025,"ACBB ESCRIME",[1]EXPORT!$E$2:$E$10025,"F",[1]EXPORT!$T$2:$T$10025,"=15")</f>
        <v>0</v>
      </c>
      <c r="Q18" s="56">
        <f>COUNTIFS([1]EXPORT!$P$2:$P$10025,"ACBB ESCRIME",[1]EXPORT!$E$2:$E$10025,"F",[1]EXPORT!$T$2:$T$10025,"=16")+COUNTIFS([1]EXPORT!$P$2:$P$10025,"ACBB ESCRIME",[1]EXPORT!$E$2:$E$10025,"F",[1]EXPORT!$T$2:$T$10025,"=17")</f>
        <v>0</v>
      </c>
      <c r="R18" s="56">
        <f>COUNTIFS([1]EXPORT!$P$2:$P$10025,"ACBB ESCRIME",[1]EXPORT!$E$2:$E$10025,"F",[1]EXPORT!$T$2:$T$10025,"&gt;=18")-COUNTIFS([1]EXPORT!$P$2:$P$10025,"ACBB ESCRIME",[1]EXPORT!$E$2:$E$10025,"F",[1]EXPORT!$T$2:$T$10025,"=121")</f>
        <v>0</v>
      </c>
      <c r="S18" s="20">
        <f t="shared" si="7"/>
        <v>0</v>
      </c>
      <c r="T18" s="18">
        <f t="shared" si="8"/>
        <v>0</v>
      </c>
      <c r="U18" s="18">
        <f t="shared" si="9"/>
        <v>0</v>
      </c>
      <c r="V18" s="18">
        <f t="shared" si="10"/>
        <v>0</v>
      </c>
      <c r="W18" s="18">
        <f t="shared" si="11"/>
        <v>0</v>
      </c>
      <c r="X18" s="18">
        <f t="shared" si="12"/>
        <v>0</v>
      </c>
      <c r="Y18" s="18">
        <f t="shared" si="13"/>
        <v>0</v>
      </c>
      <c r="Z18" s="18">
        <f t="shared" si="14"/>
        <v>0</v>
      </c>
      <c r="AA18" s="18">
        <f t="shared" si="15"/>
        <v>0</v>
      </c>
      <c r="AB18" s="19">
        <f t="shared" si="16"/>
        <v>0</v>
      </c>
    </row>
    <row r="19" spans="1:53" x14ac:dyDescent="0.25">
      <c r="A19" s="21" t="s">
        <v>23</v>
      </c>
      <c r="B19" s="13">
        <f ca="1">COUNTIFS([1]EXPORT!$P$2:$P$10025,"ACBB DANSE SPORTIVE",[1]EXPORT!$E$2:$E$10025,"M",[1]EXPORT!$T$2:$T$10025,"=5")+COUNTIFS([1]EXPORT!$P$2:$P$10025,"ACBB DANSE SPORTIVE",[1]EXPORT!$E$2:$E$10025,"M",[1]EXPORT!$T$2:$T$10025,"=4")+COUNTIFS([1]EXPORT!$P$2:$P$10025,"ACBB DANSE SPORTIVE",[1]EXPORT!$E$2:$E$10025,"M",[1]EXPORT!$T$2:$T$10025,"=3")+COUNTIFS([1]EXPORT!$P$2:$P$10025,"ACBB DANSE SPORTIVE",[1]EXPORT!$E$2:$E$10025,"M",[1]EXPORT!$T$2:$T$10025,"=2")+COUNTIFS([1]EXPORT!$P$2:$P$10025,"ACBB DANSE SPORTIVE",[1]EXPORT!$E$2:$E$10025,"M",[1]EXPORT!$T$2:$T$10025,"=1")</f>
        <v>0</v>
      </c>
      <c r="C19" s="13">
        <f ca="1">COUNTIFS([1]EXPORT!$P$2:$P$10025,"ACBB DANSE SPORTIVE",[1]EXPORT!$E$2:$E$10025,"M",[1]EXPORT!$T$2:$T$10025,"=6")+COUNTIFS([1]EXPORT!$P$2:$P$10025,"ACBB DANSE SPORTIVE",[1]EXPORT!$E$2:$E$10025,"M",[1]EXPORT!$T$2:$T$10025,"=7")</f>
        <v>0</v>
      </c>
      <c r="D19" s="13">
        <f ca="1">COUNTIFS([1]EXPORT!$P$2:$P$10025,"ACBB DANSE SPORTIVE",[1]EXPORT!$E$2:$E$10025,"M",[1]EXPORT!$T$2:$T$10025,"=8")+COUNTIFS([1]EXPORT!$P$2:$P$10025,"ACBB DANSE SPORTIVE",[1]EXPORT!$E$2:$E$10025,"M",[1]EXPORT!$T$2:$T$10025,"=9")</f>
        <v>0</v>
      </c>
      <c r="E19" s="13">
        <f ca="1">COUNTIFS([1]EXPORT!$P$2:$P$10025,"ACBB DANSE SPORTIVE",[1]EXPORT!$E$2:$E$10025,"M",[1]EXPORT!$T$2:$T$10025,"=10")+COUNTIFS([1]EXPORT!$P$2:$P$10025,"ACBB DANSE SPORTIVE",[1]EXPORT!$E$2:$E$10025,"M",[1]EXPORT!$T$2:$T$10025,"=11")</f>
        <v>0</v>
      </c>
      <c r="F19" s="13">
        <f ca="1">COUNTIFS([1]EXPORT!$P$2:$P$10025,"ACBB DANSE SPORTIVE",[1]EXPORT!$E$2:$E$10025,"M",[1]EXPORT!$T$2:$T$10025,"=12")+COUNTIFS([1]EXPORT!$P$2:$P$10025,"ACBB DANSE SPORTIVE",[1]EXPORT!$E$2:$E$10025,"M",[1]EXPORT!$T$2:$T$10025,"=13")</f>
        <v>0</v>
      </c>
      <c r="G19" s="13">
        <f ca="1">COUNTIFS([1]EXPORT!$P$2:$P$10025,"ACBB DANSE SPORTIVE",[1]EXPORT!$E$2:$E$10025,"M",[1]EXPORT!$T$2:$T$10025,"=14")+COUNTIFS([1]EXPORT!$P$2:$P$10025,"ACBB DANSE SPORTIVE",[1]EXPORT!$E$2:$E$10025,"M",[1]EXPORT!$T$2:$T$10025,"=15")</f>
        <v>0</v>
      </c>
      <c r="H19" s="13">
        <f ca="1">COUNTIFS([1]EXPORT!$P$2:$P$10025,"ACBB DANSE SPORTIVE",[1]EXPORT!$E$2:$E$10025,"M",[1]EXPORT!$T$2:$T$10025,"=16")+COUNTIFS([1]EXPORT!$P$2:$P$10025,"ACBB DANSE SPORTIVE",[1]EXPORT!$E$2:$E$10025,"M",[1]EXPORT!$T$2:$T$10025,"=17")</f>
        <v>0</v>
      </c>
      <c r="I19" s="13">
        <f ca="1">COUNTIFS([1]EXPORT!$P$2:$P$10025,"ACBB DANSE SPORTIVE",[1]EXPORT!$E$2:$E$10025,"M",[1]EXPORT!$T$2:$T$10025,"&gt;=18")-COUNTIFS([1]EXPORT!$P$2:$P$10025,"ACBB DANSE SPORTIVE",[1]EXPORT!$E$2:$E$10025,"M",[1]EXPORT!$T$2:$T$10025,"=121")</f>
        <v>6</v>
      </c>
      <c r="J19" s="15">
        <f t="shared" ca="1" si="6"/>
        <v>6</v>
      </c>
      <c r="K19" s="13">
        <f ca="1">COUNTIFS([1]EXPORT!$P$2:$P$10025,"ACBB DANSE SPORTIVE",[1]EXPORT!$E$2:$E$10025,"F",[1]EXPORT!$T$2:$T$10025,"=5")+COUNTIFS([1]EXPORT!$P$2:$P$10025,"ACBB DANSE SPORTIVE",[1]EXPORT!$E$2:$E$10025,"F",[1]EXPORT!$T$2:$T$10025,"=4")+COUNTIFS([1]EXPORT!$P$2:$P$10025,"ACBB DANSE SPORTIVE",[1]EXPORT!$E$2:$E$10025,"F",[1]EXPORT!$T$2:$T$10025,"=3")+COUNTIFS([1]EXPORT!$P$2:$P$10025,"ACBB DANSE SPORTIVE",[1]EXPORT!$E$2:$E$10025,"F",[1]EXPORT!$T$2:$T$10025,"=2")+COUNTIFS([1]EXPORT!$P$2:$P$10025,"ACBB DANSE SPORTIVE",[1]EXPORT!$E$2:$E$10025,"F",[1]EXPORT!$T$2:$T$10025,"=1")</f>
        <v>1</v>
      </c>
      <c r="L19" s="13">
        <f ca="1">COUNTIFS([1]EXPORT!$P$2:$P$10025,"ACBB DANSE SPORTIVE",[1]EXPORT!$E$2:$E$10025,"F",[1]EXPORT!$T$2:$T$10025,"=6")+COUNTIFS([1]EXPORT!$P$2:$P$10025,"ACBB DANSE SPORTIVE",[1]EXPORT!$E$2:$E$10025,"F",[1]EXPORT!$T$2:$T$10025,"=7")</f>
        <v>0</v>
      </c>
      <c r="M19" s="13">
        <f ca="1">COUNTIFS([1]EXPORT!$P$2:$P$10025,"ACBB DANSE SPORTIVE",[1]EXPORT!$E$2:$E$10025,"F",[1]EXPORT!$T$2:$T$10025,"=8")+COUNTIFS([1]EXPORT!$P$2:$P$10025,"ACBB DANSE SPORTIVE",[1]EXPORT!$E$2:$E$10025,"F",[1]EXPORT!$T$2:$T$10025,"=9")</f>
        <v>0</v>
      </c>
      <c r="N19" s="13">
        <f ca="1">COUNTIFS([1]EXPORT!$P$2:$P$10025,"ACBB DANSE SPORTIVE",[1]EXPORT!$E$2:$E$10025,"F",[1]EXPORT!$T$2:$T$10025,"=10")+COUNTIFS([1]EXPORT!$P$2:$P$10025,"ACBB DANSE SPORTIVE",[1]EXPORT!$E$2:$E$10025,"F",[1]EXPORT!$T$2:$T$10025,"=11")</f>
        <v>0</v>
      </c>
      <c r="O19" s="13">
        <f ca="1">COUNTIFS([1]EXPORT!$P$2:$P$10025,"ACBB DANSE SPORTIVE",[1]EXPORT!$E$2:$E$10025,"F",[1]EXPORT!$T$2:$T$10025,"=12")+COUNTIFS([1]EXPORT!$P$2:$P$10025,"ACBB DANSE SPORTIVE",[1]EXPORT!$E$2:$E$10025,"F",[1]EXPORT!$T$2:$T$10025,"=13")</f>
        <v>0</v>
      </c>
      <c r="P19" s="13">
        <f ca="1">COUNTIFS([1]EXPORT!$P$2:$P$10025,"ACBB DANSE SPORTIVE",[1]EXPORT!$E$2:$E$10025,"F",[1]EXPORT!$T$2:$T$10025,"=14")+COUNTIFS([1]EXPORT!$P$2:$P$10025,"ACBB DANSE SPORTIVE",[1]EXPORT!$E$2:$E$10025,"F",[1]EXPORT!$T$2:$T$10025,"=15")</f>
        <v>0</v>
      </c>
      <c r="Q19" s="13">
        <f ca="1">COUNTIFS([1]EXPORT!$P$2:$P$10025,"ACBB DANSE SPORTIVE",[1]EXPORT!$E$2:$E$10025,"F",[1]EXPORT!$T$2:$T$10025,"=16")+COUNTIFS([1]EXPORT!$P$2:$P$10025,"ACBB DANSE SPORTIVE",[1]EXPORT!$E$2:$E$10025,"F",[1]EXPORT!$T$2:$T$10025,"=17")</f>
        <v>0</v>
      </c>
      <c r="R19" s="13">
        <f ca="1">COUNTIFS([1]EXPORT!$P$2:$P$10025,"ACBB DANSE SPORTIVE",[1]EXPORT!$E$2:$E$10025,"F",[1]EXPORT!$T$2:$T$10025,"&gt;=18")-COUNTIFS([1]EXPORT!$P$2:$P$10025,"ACBB DANSE SPORTIVE",[1]EXPORT!$E$2:$E$10025,"F",[1]EXPORT!$T$2:$T$10025,"=121")</f>
        <v>5</v>
      </c>
      <c r="S19" s="16">
        <f t="shared" ca="1" si="7"/>
        <v>6</v>
      </c>
      <c r="T19" s="14">
        <f t="shared" ca="1" si="8"/>
        <v>1</v>
      </c>
      <c r="U19" s="14">
        <f t="shared" ca="1" si="9"/>
        <v>0</v>
      </c>
      <c r="V19" s="14">
        <f t="shared" ca="1" si="10"/>
        <v>0</v>
      </c>
      <c r="W19" s="14">
        <f t="shared" ca="1" si="11"/>
        <v>0</v>
      </c>
      <c r="X19" s="14">
        <f t="shared" ca="1" si="12"/>
        <v>0</v>
      </c>
      <c r="Y19" s="14">
        <f t="shared" ca="1" si="13"/>
        <v>0</v>
      </c>
      <c r="Z19" s="14">
        <f t="shared" ca="1" si="14"/>
        <v>0</v>
      </c>
      <c r="AA19" s="14">
        <f t="shared" ca="1" si="15"/>
        <v>11</v>
      </c>
      <c r="AB19" s="15">
        <f t="shared" ca="1" si="16"/>
        <v>12</v>
      </c>
    </row>
    <row r="20" spans="1:53" s="57" customFormat="1" x14ac:dyDescent="0.25">
      <c r="A20" s="17" t="s">
        <v>24</v>
      </c>
      <c r="B20" s="56">
        <v>2</v>
      </c>
      <c r="C20" s="56">
        <f>COUNTIFS([1]EXPORT!$P$2:$P$10025,"ACBB FOOTBALL",[1]EXPORT!$E$2:$E$10025,"M",[1]EXPORT!$T$2:$T$10025,"=6")+COUNTIFS([1]EXPORT!$P$2:$P$10025,"ACBB FOOTBALL",[1]EXPORT!$E$2:$E$10025,"M",[1]EXPORT!$T$2:$T$10025,"=7")</f>
        <v>0</v>
      </c>
      <c r="D20" s="56">
        <v>215</v>
      </c>
      <c r="E20" s="56">
        <v>213</v>
      </c>
      <c r="F20" s="56">
        <v>143</v>
      </c>
      <c r="G20" s="56">
        <v>139</v>
      </c>
      <c r="H20" s="56">
        <f>COUNTIFS([1]EXPORT!$P$2:$P$10025,"ACBB FOOTBALL",[1]EXPORT!$E$2:$E$10025,"M",[1]EXPORT!$T$2:$T$10025,"=16")+COUNTIFS([1]EXPORT!$P$2:$P$10025,"ACBB FOOTBALL",[1]EXPORT!$E$2:$E$10025,"M",[1]EXPORT!$T$2:$T$10025,"=17")</f>
        <v>0</v>
      </c>
      <c r="I20" s="56">
        <v>175</v>
      </c>
      <c r="J20" s="19">
        <f t="shared" si="6"/>
        <v>887</v>
      </c>
      <c r="K20" s="56">
        <v>0</v>
      </c>
      <c r="L20" s="56">
        <f>COUNTIFS([1]EXPORT!$P$2:$P$10025,"ACBB FOOTBALL",[1]EXPORT!$E$2:$E$10025,"F",[1]EXPORT!$T$2:$T$10025,"=6")+COUNTIFS([1]EXPORT!$P$2:$P$10025,"ACBB FOOTBALL",[1]EXPORT!$E$2:$E$10025,"F",[1]EXPORT!$T$2:$T$10025,"=7")</f>
        <v>0</v>
      </c>
      <c r="M20" s="56">
        <f>COUNTIFS([1]EXPORT!$P$2:$P$10025,"ACBB FOOTBALL",[1]EXPORT!$E$2:$E$10025,"F",[1]EXPORT!$T$2:$T$10025,"=8")+COUNTIFS([1]EXPORT!$P$2:$P$10025,"ACBB FOOTBALL",[1]EXPORT!$E$2:$E$10025,"F",[1]EXPORT!$T$2:$T$10025,"=9")</f>
        <v>0</v>
      </c>
      <c r="N20" s="56">
        <v>27</v>
      </c>
      <c r="O20" s="56">
        <v>22</v>
      </c>
      <c r="P20" s="56">
        <f>COUNTIFS([1]EXPORT!$P$2:$P$10025,"ACBB FOOTBALL",[1]EXPORT!$E$2:$E$10025,"F",[1]EXPORT!$T$2:$T$10025,"=14")+COUNTIFS([1]EXPORT!$P$2:$P$10025,"ACBB FOOTBALL",[1]EXPORT!$E$2:$E$10025,"F",[1]EXPORT!$T$2:$T$10025,"=15")</f>
        <v>0</v>
      </c>
      <c r="Q20" s="56">
        <f>COUNTIFS([1]EXPORT!$P$2:$P$10025,"ACBB FOOTBALL",[1]EXPORT!$E$2:$E$10025,"F",[1]EXPORT!$T$2:$T$10025,"=16")+COUNTIFS([1]EXPORT!$P$2:$P$10025,"ACBB FOOTBALL",[1]EXPORT!$E$2:$E$10025,"F",[1]EXPORT!$T$2:$T$10025,"=17")</f>
        <v>0</v>
      </c>
      <c r="R20" s="56">
        <v>55</v>
      </c>
      <c r="S20" s="20">
        <f t="shared" si="7"/>
        <v>104</v>
      </c>
      <c r="T20" s="18">
        <f t="shared" si="8"/>
        <v>2</v>
      </c>
      <c r="U20" s="18">
        <f t="shared" si="9"/>
        <v>0</v>
      </c>
      <c r="V20" s="18">
        <f t="shared" si="10"/>
        <v>215</v>
      </c>
      <c r="W20" s="18">
        <f t="shared" si="11"/>
        <v>240</v>
      </c>
      <c r="X20" s="18">
        <f t="shared" si="12"/>
        <v>165</v>
      </c>
      <c r="Y20" s="18">
        <f t="shared" si="13"/>
        <v>139</v>
      </c>
      <c r="Z20" s="18">
        <f t="shared" si="14"/>
        <v>0</v>
      </c>
      <c r="AA20" s="18">
        <f t="shared" si="15"/>
        <v>230</v>
      </c>
      <c r="AB20" s="19">
        <f t="shared" si="16"/>
        <v>991</v>
      </c>
    </row>
    <row r="21" spans="1:53" x14ac:dyDescent="0.25">
      <c r="A21" s="21" t="s">
        <v>25</v>
      </c>
      <c r="B21" s="13">
        <f>COUNTIFS([1]EXPORT!$P$2:$P$10025,"ACBB GYMNASTIQUE",[1]EXPORT!$E$2:$E$10025,"M",[1]EXPORT!$T$2:$T$10025,"=5")+COUNTIFS([1]EXPORT!$P$2:$P$10025,"ACBB GYMNASTIQUE",[1]EXPORT!$E$2:$E$10025,"M",[1]EXPORT!$T$2:$T$10025,"=4")+COUNTIFS([1]EXPORT!$P$2:$P$10025,"ACBB GYMNASTIQUE",[1]EXPORT!$E$2:$E$10025,"M",[1]EXPORT!$T$2:$T$10025,"=3")+COUNTIFS([1]EXPORT!$P$2:$P$10025,"ACBB GYMNASTIQUE",[1]EXPORT!$E$2:$E$10025,"M",[1]EXPORT!$T$2:$T$10025,"=2")+COUNTIFS([1]EXPORT!$P$2:$P$10025,"ACBB GYMNASTIQUE",[1]EXPORT!$E$2:$E$10025,"M",[1]EXPORT!$T$2:$T$10025,"=1")</f>
        <v>0</v>
      </c>
      <c r="C21" s="13">
        <f>COUNTIFS([1]EXPORT!$P$2:$P$10025,"ACBB GYMNASTIQUE",[1]EXPORT!$E$2:$E$10025,"M",[1]EXPORT!$T$2:$T$10025,"=6")+COUNTIFS([1]EXPORT!$P$2:$P$10025,"ACBB GYMNASTIQUE",[1]EXPORT!$E$2:$E$10025,"M",[1]EXPORT!$T$2:$T$10025,"=7")</f>
        <v>0</v>
      </c>
      <c r="D21" s="13">
        <v>2</v>
      </c>
      <c r="E21" s="13">
        <v>2</v>
      </c>
      <c r="F21" s="13">
        <f>COUNTIFS([1]EXPORT!$P$2:$P$10025,"ACBB GYMNASTIQUE",[1]EXPORT!$E$2:$E$10025,"M",[1]EXPORT!$T$2:$T$10025,"=12")+COUNTIFS([1]EXPORT!$P$2:$P$10025,"ACBB GYMNASTIQUE",[1]EXPORT!$E$2:$E$10025,"M",[1]EXPORT!$T$2:$T$10025,"=13")</f>
        <v>0</v>
      </c>
      <c r="G21" s="13">
        <f>COUNTIFS([1]EXPORT!$P$2:$P$10025,"ACBB GYMNASTIQUE",[1]EXPORT!$E$2:$E$10025,"M",[1]EXPORT!$T$2:$T$10025,"=14")+COUNTIFS([1]EXPORT!$P$2:$P$10025,"ACBB GYMNASTIQUE",[1]EXPORT!$E$2:$E$10025,"M",[1]EXPORT!$T$2:$T$10025,"=15")</f>
        <v>0</v>
      </c>
      <c r="H21" s="13">
        <f>COUNTIFS([1]EXPORT!$P$2:$P$10025,"ACBB GYMNASTIQUE",[1]EXPORT!$E$2:$E$10025,"M",[1]EXPORT!$T$2:$T$10025,"=16")+COUNTIFS([1]EXPORT!$P$2:$P$10025,"ACBB GYMNASTIQUE",[1]EXPORT!$E$2:$E$10025,"M",[1]EXPORT!$T$2:$T$10025,"=17")</f>
        <v>0</v>
      </c>
      <c r="I21" s="13">
        <f>COUNTIFS([1]EXPORT!$P$2:$P$10025,"ACBB GYMNASTIQUE",[1]EXPORT!$E$2:$E$10025,"M",[1]EXPORT!$T$2:$T$10025,"&gt;=18")-COUNTIFS([1]EXPORT!$P$2:$P$10025,"ACBB GYMNASTIQUE",[1]EXPORT!$E$2:$E$10025,"M",[1]EXPORT!$T$2:$T$10025,"=121")</f>
        <v>0</v>
      </c>
      <c r="J21" s="15">
        <f t="shared" si="6"/>
        <v>4</v>
      </c>
      <c r="K21" s="13">
        <f>COUNTIFS([1]EXPORT!$P$2:$P$10025,"ACBB GYMNASTIQUE",[1]EXPORT!$E$2:$E$10025,"F",[1]EXPORT!$T$2:$T$10025,"=5")+COUNTIFS([1]EXPORT!$P$2:$P$10025,"ACBB GYMNASTIQUE",[1]EXPORT!$E$2:$E$10025,"F",[1]EXPORT!$T$2:$T$10025,"=4")+COUNTIFS([1]EXPORT!$P$2:$P$10025,"ACBB GYMNASTIQUE",[1]EXPORT!$E$2:$E$10025,"F",[1]EXPORT!$T$2:$T$10025,"=3")+COUNTIFS([1]EXPORT!$P$2:$P$10025,"ACBB GYMNASTIQUE",[1]EXPORT!$E$2:$E$10025,"F",[1]EXPORT!$T$2:$T$10025,"=2")+COUNTIFS([1]EXPORT!$P$2:$P$10025,"ACBB GYMNASTIQUE",[1]EXPORT!$E$2:$E$10025,"F",[1]EXPORT!$T$2:$T$10025,"=1")</f>
        <v>0</v>
      </c>
      <c r="L21" s="13">
        <f>COUNTIFS([1]EXPORT!$P$2:$P$10025,"ACBB GYMNASTIQUE",[1]EXPORT!$E$2:$E$10025,"F",[1]EXPORT!$T$2:$T$10025,"=6")+COUNTIFS([1]EXPORT!$P$2:$P$10025,"ACBB GYMNASTIQUE",[1]EXPORT!$E$2:$E$10025,"F",[1]EXPORT!$T$2:$T$10025,"=7")</f>
        <v>0</v>
      </c>
      <c r="M21" s="13">
        <f>COUNTIFS([1]EXPORT!$P$2:$P$10025,"ACBB GYMNASTIQUE",[1]EXPORT!$E$2:$E$10025,"F",[1]EXPORT!$T$2:$T$10025,"=8")+COUNTIFS([1]EXPORT!$P$2:$P$10025,"ACBB GYMNASTIQUE",[1]EXPORT!$E$2:$E$10025,"F",[1]EXPORT!$T$2:$T$10025,"=9")</f>
        <v>0</v>
      </c>
      <c r="N21" s="13">
        <v>103</v>
      </c>
      <c r="O21" s="13">
        <v>92</v>
      </c>
      <c r="P21" s="13">
        <f>COUNTIFS([1]EXPORT!$P$2:$P$10025,"ACBB GYMNASTIQUE",[1]EXPORT!$E$2:$E$10025,"F",[1]EXPORT!$T$2:$T$10025,"=14")+COUNTIFS([1]EXPORT!$P$2:$P$10025,"ACBB GYMNASTIQUE",[1]EXPORT!$E$2:$E$10025,"F",[1]EXPORT!$T$2:$T$10025,"=15")</f>
        <v>0</v>
      </c>
      <c r="Q21" s="13">
        <v>29</v>
      </c>
      <c r="R21" s="13">
        <f>COUNTIFS([1]EXPORT!$P$2:$P$10025,"ACBB GYMNASTIQUE",[1]EXPORT!$E$2:$E$10025,"F",[1]EXPORT!$T$2:$T$10025,"&gt;=18")-COUNTIFS([1]EXPORT!$P$2:$P$10025,"ACBB GYMNASTIQUE",[1]EXPORT!$E$2:$E$10025,"F",[1]EXPORT!$T$2:$T$10025,"=121")</f>
        <v>0</v>
      </c>
      <c r="S21" s="16">
        <f t="shared" si="7"/>
        <v>224</v>
      </c>
      <c r="T21" s="14">
        <f t="shared" si="8"/>
        <v>0</v>
      </c>
      <c r="U21" s="14">
        <f t="shared" si="9"/>
        <v>0</v>
      </c>
      <c r="V21" s="14">
        <f t="shared" si="10"/>
        <v>2</v>
      </c>
      <c r="W21" s="14">
        <f t="shared" si="11"/>
        <v>105</v>
      </c>
      <c r="X21" s="14">
        <f t="shared" si="12"/>
        <v>92</v>
      </c>
      <c r="Y21" s="14">
        <f t="shared" si="13"/>
        <v>0</v>
      </c>
      <c r="Z21" s="14">
        <f t="shared" si="14"/>
        <v>29</v>
      </c>
      <c r="AA21" s="14">
        <f t="shared" si="15"/>
        <v>0</v>
      </c>
      <c r="AB21" s="19">
        <f>SUM(T21:AA21)</f>
        <v>228</v>
      </c>
    </row>
    <row r="22" spans="1:53" s="57" customFormat="1" x14ac:dyDescent="0.25">
      <c r="A22" s="17" t="s">
        <v>26</v>
      </c>
      <c r="B22" s="56">
        <f>COUNTIFS([1]EXPORT!$P$2:$P$10025,"ACBB HANDBALL",[1]EXPORT!$E$2:$E$10025,"M",[1]EXPORT!$T$2:$T$10025,"=5")+COUNTIFS([1]EXPORT!$P$2:$P$10025,"ACBB HANDBALL",[1]EXPORT!$E$2:$E$10025,"M",[1]EXPORT!$T$2:$T$10025,"=4")+COUNTIFS([1]EXPORT!$P$2:$P$10025,"ACBB HANDBALL",[1]EXPORT!$E$2:$E$10025,"M",[1]EXPORT!$T$2:$T$10025,"=3")+COUNTIFS([1]EXPORT!$P$2:$P$10025,"ACBB HANDBALL",[1]EXPORT!$E$2:$E$10025,"M",[1]EXPORT!$T$2:$T$10025,"=2")+COUNTIFS([1]EXPORT!$P$2:$P$10025,"ACBB HANDBALL",[1]EXPORT!$E$2:$E$10025,"M",[1]EXPORT!$T$2:$T$10025,"=1")</f>
        <v>0</v>
      </c>
      <c r="C22" s="56">
        <f>COUNTIFS([1]EXPORT!$P$2:$P$10025,"ACBB HANDBALL",[1]EXPORT!$E$2:$E$10025,"M",[1]EXPORT!$T$2:$T$10025,"=6")+COUNTIFS([1]EXPORT!$P$2:$P$10025,"ACBB HANDBALL",[1]EXPORT!$E$2:$E$10025,"M",[1]EXPORT!$T$2:$T$10025,"=7")</f>
        <v>0</v>
      </c>
      <c r="D22" s="56">
        <f>COUNTIFS([1]EXPORT!$P$2:$P$10025,"ACBB HANDBALL",[1]EXPORT!$E$2:$E$10025,"M",[1]EXPORT!$T$2:$T$10025,"=8")+COUNTIFS([1]EXPORT!$P$2:$P$10025,"ACBB HANDBALL",[1]EXPORT!$E$2:$E$10025,"M",[1]EXPORT!$T$2:$T$10025,"=9")</f>
        <v>0</v>
      </c>
      <c r="E22" s="56">
        <f>COUNTIFS([1]EXPORT!$P$2:$P$10025,"ACBB HANDBALL",[1]EXPORT!$E$2:$E$10025,"M",[1]EXPORT!$T$2:$T$10025,"=10")+COUNTIFS([1]EXPORT!$P$2:$P$10025,"ACBB HANDBALL",[1]EXPORT!$E$2:$E$10025,"M",[1]EXPORT!$T$2:$T$10025,"=11")</f>
        <v>0</v>
      </c>
      <c r="F22" s="56">
        <f>COUNTIFS([1]EXPORT!$P$2:$P$10025,"ACBB HANDBALL",[1]EXPORT!$E$2:$E$10025,"M",[1]EXPORT!$T$2:$T$10025,"=12")+COUNTIFS([1]EXPORT!$P$2:$P$10025,"ACBB HANDBALL",[1]EXPORT!$E$2:$E$10025,"M",[1]EXPORT!$T$2:$T$10025,"=13")</f>
        <v>0</v>
      </c>
      <c r="G22" s="56">
        <f>COUNTIFS([1]EXPORT!$P$2:$P$10025,"ACBB HANDBALL",[1]EXPORT!$E$2:$E$10025,"M",[1]EXPORT!$T$2:$T$10025,"=14")+COUNTIFS([1]EXPORT!$P$2:$P$10025,"ACBB HANDBALL",[1]EXPORT!$E$2:$E$10025,"M",[1]EXPORT!$T$2:$T$10025,"=15")</f>
        <v>0</v>
      </c>
      <c r="H22" s="56">
        <f>COUNTIFS([1]EXPORT!$P$2:$P$10025,"ACBB HANDBALL",[1]EXPORT!$E$2:$E$10025,"M",[1]EXPORT!$T$2:$T$10025,"=16")+COUNTIFS([1]EXPORT!$P$2:$P$10025,"ACBB HANDBALL",[1]EXPORT!$E$2:$E$10025,"M",[1]EXPORT!$T$2:$T$10025,"=17")</f>
        <v>0</v>
      </c>
      <c r="I22" s="56">
        <f>COUNTIFS([1]EXPORT!$P$2:$P$10025,"ACBB HANDBALL",[1]EXPORT!$E$2:$E$10025,"M",[1]EXPORT!$T$2:$T$10025,"&gt;=18")-COUNTIFS([1]EXPORT!$P$2:$P$10025,"ACBB HANDBALL",[1]EXPORT!$E$2:$E$10025,"M",[1]EXPORT!$T$2:$T$10025,"=121")</f>
        <v>0</v>
      </c>
      <c r="J22" s="19">
        <f t="shared" si="6"/>
        <v>0</v>
      </c>
      <c r="K22" s="56">
        <f>COUNTIFS([1]EXPORT!$P$2:$P$10025,"ACBB HANDBALL",[1]EXPORT!$E$2:$E$10025,"F",[1]EXPORT!$T$2:$T$10025,"=5")+COUNTIFS([1]EXPORT!$P$2:$P$10025,"ACBB HANDBALL",[1]EXPORT!$E$2:$E$10025,"F",[1]EXPORT!$T$2:$T$10025,"=4")+COUNTIFS([1]EXPORT!$P$2:$P$10025,"ACBB HANDBALL",[1]EXPORT!$E$2:$E$10025,"F",[1]EXPORT!$T$2:$T$10025,"=3")+COUNTIFS([1]EXPORT!$P$2:$P$10025,"ACBB HANDBALL",[1]EXPORT!$E$2:$E$10025,"F",[1]EXPORT!$T$2:$T$10025,"=2")+COUNTIFS([1]EXPORT!$P$2:$P$10025,"ACBB HANDBALL",[1]EXPORT!$E$2:$E$10025,"F",[1]EXPORT!$T$2:$T$10025,"=1")</f>
        <v>0</v>
      </c>
      <c r="L22" s="56">
        <f>COUNTIFS([1]EXPORT!$P$2:$P$10025,"ACBB HANDBALL",[1]EXPORT!$E$2:$E$10025,"F",[1]EXPORT!$T$2:$T$10025,"=6")+COUNTIFS([1]EXPORT!$P$2:$P$10025,"ACBB HANDBALL",[1]EXPORT!$E$2:$E$10025,"F",[1]EXPORT!$T$2:$T$10025,"=7")</f>
        <v>0</v>
      </c>
      <c r="M22" s="56">
        <f>COUNTIFS([1]EXPORT!$P$2:$P$10025,"ACBB HANDBALL",[1]EXPORT!$E$2:$E$10025,"F",[1]EXPORT!$T$2:$T$10025,"=8")+COUNTIFS([1]EXPORT!$P$2:$P$10025,"ACBB HANDBALL",[1]EXPORT!$E$2:$E$10025,"F",[1]EXPORT!$T$2:$T$10025,"=9")</f>
        <v>0</v>
      </c>
      <c r="N22" s="56">
        <f>COUNTIFS([1]EXPORT!$P$2:$P$10025,"ACBB HANDBALL",[1]EXPORT!$E$2:$E$10025,"F",[1]EXPORT!$T$2:$T$10025,"=10")+COUNTIFS([1]EXPORT!$P$2:$P$10025,"ACBB HANDBALL",[1]EXPORT!$E$2:$E$10025,"F",[1]EXPORT!$T$2:$T$10025,"=11")</f>
        <v>0</v>
      </c>
      <c r="O22" s="56">
        <f>COUNTIFS([1]EXPORT!$P$2:$P$10025,"ACBB HANDBALL",[1]EXPORT!$E$2:$E$10025,"F",[1]EXPORT!$T$2:$T$10025,"=12")+COUNTIFS([1]EXPORT!$P$2:$P$10025,"ACBB HANDBALL",[1]EXPORT!$E$2:$E$10025,"F",[1]EXPORT!$T$2:$T$10025,"=13")</f>
        <v>0</v>
      </c>
      <c r="P22" s="56">
        <f>COUNTIFS([1]EXPORT!$P$2:$P$10025,"ACBB HANDBALL",[1]EXPORT!$E$2:$E$10025,"F",[1]EXPORT!$T$2:$T$10025,"=14")+COUNTIFS([1]EXPORT!$P$2:$P$10025,"ACBB HANDBALL",[1]EXPORT!$E$2:$E$10025,"F",[1]EXPORT!$T$2:$T$10025,"=15")</f>
        <v>0</v>
      </c>
      <c r="Q22" s="56">
        <f>COUNTIFS([1]EXPORT!$P$2:$P$10025,"ACBB HANDBALL",[1]EXPORT!$E$2:$E$10025,"F",[1]EXPORT!$T$2:$T$10025,"=16")+COUNTIFS([1]EXPORT!$P$2:$P$10025,"ACBB HANDBALL",[1]EXPORT!$E$2:$E$10025,"F",[1]EXPORT!$T$2:$T$10025,"=17")</f>
        <v>0</v>
      </c>
      <c r="R22" s="56">
        <f>COUNTIFS([1]EXPORT!$P$2:$P$10025,"ACBB HANDBALL",[1]EXPORT!$E$2:$E$10025,"F",[1]EXPORT!$T$2:$T$10025,"&gt;=18")-COUNTIFS([1]EXPORT!$P$2:$P$10025,"ACBB HANDBALL",[1]EXPORT!$E$2:$E$10025,"F",[1]EXPORT!$T$2:$T$10025,"=121")</f>
        <v>0</v>
      </c>
      <c r="S22" s="20">
        <f t="shared" si="7"/>
        <v>0</v>
      </c>
      <c r="T22" s="18">
        <f t="shared" si="8"/>
        <v>0</v>
      </c>
      <c r="U22" s="18">
        <f t="shared" si="9"/>
        <v>0</v>
      </c>
      <c r="V22" s="18">
        <f t="shared" si="10"/>
        <v>0</v>
      </c>
      <c r="W22" s="18">
        <f t="shared" si="11"/>
        <v>0</v>
      </c>
      <c r="X22" s="18">
        <f t="shared" si="12"/>
        <v>0</v>
      </c>
      <c r="Y22" s="18">
        <f t="shared" si="13"/>
        <v>0</v>
      </c>
      <c r="Z22" s="18">
        <f t="shared" si="14"/>
        <v>0</v>
      </c>
      <c r="AA22" s="18">
        <f t="shared" si="15"/>
        <v>0</v>
      </c>
      <c r="AB22" s="19">
        <f t="shared" si="16"/>
        <v>0</v>
      </c>
    </row>
    <row r="23" spans="1:53" x14ac:dyDescent="0.25">
      <c r="A23" s="21" t="s">
        <v>27</v>
      </c>
      <c r="B23" s="13">
        <f>COUNTIFS([1]EXPORT!$P$2:$P$10025,"ACBB JUDO &amp; DA",[1]EXPORT!$E$2:$E$10025,"M",[1]EXPORT!$T$2:$T$10025,"=5")+COUNTIFS([1]EXPORT!$P$2:$P$10025,"ACBB JUDO &amp; DA",[1]EXPORT!$E$2:$E$10025,"M",[1]EXPORT!$T$2:$T$10025,"=4")+COUNTIFS([1]EXPORT!$P$2:$P$10025,"ACBB JUDO &amp; DA",[1]EXPORT!$E$2:$E$10025,"M",[1]EXPORT!$T$2:$T$10025,"=3")+COUNTIFS([1]EXPORT!$P$2:$P$10025,"ACBB JUDO &amp; DA",[1]EXPORT!$E$2:$E$10025,"M",[1]EXPORT!$T$2:$T$10025,"=2")+COUNTIFS([1]EXPORT!$P$2:$P$10025,"ACBB JUDO &amp; DA",[1]EXPORT!$E$2:$E$10025,"M",[1]EXPORT!$T$2:$T$10025,"=1")</f>
        <v>0</v>
      </c>
      <c r="C23" s="13">
        <f>COUNTIFS([1]EXPORT!$P$2:$P$10025,"ACBB JUDO &amp; DA",[1]EXPORT!$E$2:$E$10025,"M",[1]EXPORT!$T$2:$T$10025,"=6")+COUNTIFS([1]EXPORT!$P$2:$P$10025,"ACBB JUDO &amp; DA",[1]EXPORT!$E$2:$E$10025,"M",[1]EXPORT!$T$2:$T$10025,"=7")</f>
        <v>0</v>
      </c>
      <c r="D23" s="13">
        <f>COUNTIFS([1]EXPORT!$P$2:$P$10025,"ACBB JUDO &amp; DA",[1]EXPORT!$E$2:$E$10025,"M",[1]EXPORT!$T$2:$T$10025,"=8")+COUNTIFS([1]EXPORT!$P$2:$P$10025,"ACBB JUDO &amp; DA",[1]EXPORT!$E$2:$E$10025,"M",[1]EXPORT!$T$2:$T$10025,"=9")</f>
        <v>0</v>
      </c>
      <c r="E23" s="13">
        <f>COUNTIFS([1]EXPORT!$P$2:$P$10025,"ACBB JUDO &amp; DA",[1]EXPORT!$E$2:$E$10025,"M",[1]EXPORT!$T$2:$T$10025,"=10")+COUNTIFS([1]EXPORT!$P$2:$P$10025,"ACBB JUDO &amp; DA",[1]EXPORT!$E$2:$E$10025,"M",[1]EXPORT!$T$2:$T$10025,"=11")</f>
        <v>0</v>
      </c>
      <c r="F23" s="13">
        <f>COUNTIFS([1]EXPORT!$P$2:$P$10025,"ACBB JUDO &amp; DA",[1]EXPORT!$E$2:$E$10025,"M",[1]EXPORT!$T$2:$T$10025,"=12")+COUNTIFS([1]EXPORT!$P$2:$P$10025,"ACBB JUDO &amp; DA",[1]EXPORT!$E$2:$E$10025,"M",[1]EXPORT!$T$2:$T$10025,"=13")</f>
        <v>0</v>
      </c>
      <c r="G23" s="13">
        <f>COUNTIFS([1]EXPORT!$P$2:$P$10025,"ACBB JUDO &amp; DA",[1]EXPORT!$E$2:$E$10025,"M",[1]EXPORT!$T$2:$T$10025,"=14")+COUNTIFS([1]EXPORT!$P$2:$P$10025,"ACBB JUDO &amp; DA",[1]EXPORT!$E$2:$E$10025,"M",[1]EXPORT!$T$2:$T$10025,"=15")</f>
        <v>0</v>
      </c>
      <c r="H23" s="13">
        <f>COUNTIFS([1]EXPORT!$P$2:$P$10025,"ACBB JUDO &amp; DA",[1]EXPORT!$E$2:$E$10025,"M",[1]EXPORT!$T$2:$T$10025,"=16")+COUNTIFS([1]EXPORT!$P$2:$P$10025,"ACBB JUDO &amp; DA",[1]EXPORT!$E$2:$E$10025,"M",[1]EXPORT!$T$2:$T$10025,"=17")</f>
        <v>0</v>
      </c>
      <c r="I23" s="13">
        <f>COUNTIFS([1]EXPORT!$P$2:$P$10025,"ACBB JUDO &amp; DA",[1]EXPORT!$E$2:$E$10025,"M",[1]EXPORT!$T$2:$T$10025,"&gt;=18")-COUNTIFS([1]EXPORT!$P$2:$P$10025,"ACBB JUDO &amp; DA",[1]EXPORT!$E$2:$E$10025,"M",[1]EXPORT!$T$2:$T$10025,"=121")</f>
        <v>0</v>
      </c>
      <c r="J23" s="15">
        <f t="shared" si="6"/>
        <v>0</v>
      </c>
      <c r="K23" s="13">
        <f>COUNTIFS([1]EXPORT!$P$2:$P$10025,"ACBB JUDO &amp; DA",[1]EXPORT!$E$2:$E$10025,"F",[1]EXPORT!$T$2:$T$10025,"=5")+COUNTIFS([1]EXPORT!$P$2:$P$10025,"ACBB JUDO &amp; DA",[1]EXPORT!$E$2:$E$10025,"F",[1]EXPORT!$T$2:$T$10025,"=4")+COUNTIFS([1]EXPORT!$P$2:$P$10025,"ACBB JUDO &amp; DA",[1]EXPORT!$E$2:$E$10025,"F",[1]EXPORT!$T$2:$T$10025,"=3")+COUNTIFS([1]EXPORT!$P$2:$P$10025,"ACBB JUDO &amp; DA",[1]EXPORT!$E$2:$E$10025,"F",[1]EXPORT!$T$2:$T$10025,"=2")+COUNTIFS([1]EXPORT!$P$2:$P$10025,"ACBB JUDO &amp; DA",[1]EXPORT!$E$2:$E$10025,"F",[1]EXPORT!$T$2:$T$10025,"=1")</f>
        <v>0</v>
      </c>
      <c r="L23" s="13">
        <f>COUNTIFS([1]EXPORT!$P$2:$P$10025,"ACBB JUDO &amp; DA",[1]EXPORT!$E$2:$E$10025,"F",[1]EXPORT!$T$2:$T$10025,"=6")+COUNTIFS([1]EXPORT!$P$2:$P$10025,"ACBB JUDO &amp; DA",[1]EXPORT!$E$2:$E$10025,"F",[1]EXPORT!$T$2:$T$10025,"=7")</f>
        <v>0</v>
      </c>
      <c r="M23" s="13">
        <f>COUNTIFS([1]EXPORT!$P$2:$P$10025,"ACBB JUDO &amp; DA",[1]EXPORT!$E$2:$E$10025,"F",[1]EXPORT!$T$2:$T$10025,"=8")+COUNTIFS([1]EXPORT!$P$2:$P$10025,"ACBB JUDO &amp; DA",[1]EXPORT!$E$2:$E$10025,"F",[1]EXPORT!$T$2:$T$10025,"=9")</f>
        <v>0</v>
      </c>
      <c r="N23" s="13">
        <f>COUNTIFS([1]EXPORT!$P$2:$P$10025,"ACBB JUDO &amp; DA",[1]EXPORT!$E$2:$E$10025,"F",[1]EXPORT!$T$2:$T$10025,"=10")+COUNTIFS([1]EXPORT!$P$2:$P$10025,"ACBB JUDO &amp; DA",[1]EXPORT!$E$2:$E$10025,"F",[1]EXPORT!$T$2:$T$10025,"=11")</f>
        <v>0</v>
      </c>
      <c r="O23" s="13">
        <f>COUNTIFS([1]EXPORT!$P$2:$P$10025,"ACBB JUDO &amp; DA",[1]EXPORT!$E$2:$E$10025,"F",[1]EXPORT!$T$2:$T$10025,"=12")+COUNTIFS([1]EXPORT!$P$2:$P$10025,"ACBB JUDO &amp; DA",[1]EXPORT!$E$2:$E$10025,"F",[1]EXPORT!$T$2:$T$10025,"=13")</f>
        <v>0</v>
      </c>
      <c r="P23" s="13">
        <f>COUNTIFS([1]EXPORT!$P$2:$P$10025,"ACBB JUDO &amp; DA",[1]EXPORT!$E$2:$E$10025,"F",[1]EXPORT!$T$2:$T$10025,"=14")+COUNTIFS([1]EXPORT!$P$2:$P$10025,"ACBB JUDO &amp; DA",[1]EXPORT!$E$2:$E$10025,"F",[1]EXPORT!$T$2:$T$10025,"=15")</f>
        <v>0</v>
      </c>
      <c r="Q23" s="13">
        <f>COUNTIFS([1]EXPORT!$P$2:$P$10025,"ACBB JUDO &amp; DA",[1]EXPORT!$E$2:$E$10025,"F",[1]EXPORT!$T$2:$T$10025,"=16")+COUNTIFS([1]EXPORT!$P$2:$P$10025,"ACBB JUDO &amp; DA",[1]EXPORT!$E$2:$E$10025,"F",[1]EXPORT!$T$2:$T$10025,"=17")</f>
        <v>0</v>
      </c>
      <c r="R23" s="13">
        <f>COUNTIFS([1]EXPORT!$P$2:$P$10025,"ACBB JUDO &amp; DA",[1]EXPORT!$E$2:$E$10025,"F",[1]EXPORT!$T$2:$T$10025,"&gt;=18")-COUNTIFS([1]EXPORT!$P$2:$P$10025,"ACBB JUDO &amp; DA",[1]EXPORT!$E$2:$E$10025,"F",[1]EXPORT!$T$2:$T$10025,"=121")</f>
        <v>0</v>
      </c>
      <c r="S23" s="16">
        <f t="shared" si="7"/>
        <v>0</v>
      </c>
      <c r="T23" s="14">
        <f t="shared" si="8"/>
        <v>0</v>
      </c>
      <c r="U23" s="14">
        <f t="shared" si="9"/>
        <v>0</v>
      </c>
      <c r="V23" s="14">
        <f t="shared" si="10"/>
        <v>0</v>
      </c>
      <c r="W23" s="14">
        <f t="shared" si="11"/>
        <v>0</v>
      </c>
      <c r="X23" s="14">
        <f t="shared" si="12"/>
        <v>0</v>
      </c>
      <c r="Y23" s="14">
        <f t="shared" si="13"/>
        <v>0</v>
      </c>
      <c r="Z23" s="14">
        <f t="shared" si="14"/>
        <v>0</v>
      </c>
      <c r="AA23" s="14">
        <f t="shared" si="15"/>
        <v>0</v>
      </c>
      <c r="AB23" s="15">
        <f t="shared" si="16"/>
        <v>0</v>
      </c>
    </row>
    <row r="24" spans="1:53" s="57" customFormat="1" x14ac:dyDescent="0.25">
      <c r="A24" s="17" t="s">
        <v>28</v>
      </c>
      <c r="B24" s="56">
        <f>COUNTIFS([1]EXPORT!$P$2:$P$10025,"ACBB KARATÉ",[1]EXPORT!$E$2:$E$10025,"M",[1]EXPORT!$T$2:$T$10025,"=5")+COUNTIFS([1]EXPORT!$P$2:$P$10025,"ACBB KARATÉ",[1]EXPORT!$E$2:$E$10025,"M",[1]EXPORT!$T$2:$T$10025,"=4")+COUNTIFS([1]EXPORT!$P$2:$P$10025,"ACBB KARATÉ",[1]EXPORT!$E$2:$E$10025,"M",[1]EXPORT!$T$2:$T$10025,"=3")+COUNTIFS([1]EXPORT!$P$2:$P$10025,"ACBB KARATÉ",[1]EXPORT!$E$2:$E$10025,"M",[1]EXPORT!$T$2:$T$10025,"=2")+COUNTIFS([1]EXPORT!$P$2:$P$10025,"ACBB KARATÉ",[1]EXPORT!$E$2:$E$10025,"M",[1]EXPORT!$T$2:$T$10025,"=1")</f>
        <v>0</v>
      </c>
      <c r="C24" s="56">
        <f>COUNTIFS([1]EXPORT!$P$2:$P$10025,"ACBB KARATÉ",[1]EXPORT!$E$2:$E$10025,"M",[1]EXPORT!$T$2:$T$10025,"=6")+COUNTIFS([1]EXPORT!$P$2:$P$10025,"ACBB KARATÉ",[1]EXPORT!$E$2:$E$10025,"M",[1]EXPORT!$T$2:$T$10025,"=7")</f>
        <v>0</v>
      </c>
      <c r="D24" s="56">
        <f>COUNTIFS([1]EXPORT!$P$2:$P$10025,"ACBB KARATÉ",[1]EXPORT!$E$2:$E$10025,"M",[1]EXPORT!$T$2:$T$10025,"=8")+COUNTIFS([1]EXPORT!$P$2:$P$10025,"ACBB KARATÉ",[1]EXPORT!$E$2:$E$10025,"M",[1]EXPORT!$T$2:$T$10025,"=9")</f>
        <v>0</v>
      </c>
      <c r="E24" s="56">
        <f>COUNTIFS([1]EXPORT!$P$2:$P$10025,"ACBB KARATÉ",[1]EXPORT!$E$2:$E$10025,"M",[1]EXPORT!$T$2:$T$10025,"=10")+COUNTIFS([1]EXPORT!$P$2:$P$10025,"ACBB KARATÉ",[1]EXPORT!$E$2:$E$10025,"M",[1]EXPORT!$T$2:$T$10025,"=11")</f>
        <v>0</v>
      </c>
      <c r="F24" s="56">
        <f>COUNTIFS([1]EXPORT!$P$2:$P$10025,"ACBB KARATÉ",[1]EXPORT!$E$2:$E$10025,"M",[1]EXPORT!$T$2:$T$10025,"=12")+COUNTIFS([1]EXPORT!$P$2:$P$10025,"ACBB KARATÉ",[1]EXPORT!$E$2:$E$10025,"M",[1]EXPORT!$T$2:$T$10025,"=13")</f>
        <v>0</v>
      </c>
      <c r="G24" s="56">
        <f>COUNTIFS([1]EXPORT!$P$2:$P$10025,"ACBB KARATÉ",[1]EXPORT!$E$2:$E$10025,"M",[1]EXPORT!$T$2:$T$10025,"=14")+COUNTIFS([1]EXPORT!$P$2:$P$10025,"ACBB KARATÉ",[1]EXPORT!$E$2:$E$10025,"M",[1]EXPORT!$T$2:$T$10025,"=15")</f>
        <v>0</v>
      </c>
      <c r="H24" s="56">
        <f>COUNTIFS([1]EXPORT!$P$2:$P$10025,"ACBB KARATÉ",[1]EXPORT!$E$2:$E$10025,"M",[1]EXPORT!$T$2:$T$10025,"=16")+COUNTIFS([1]EXPORT!$P$2:$P$10025,"ACBB KARATÉ",[1]EXPORT!$E$2:$E$10025,"M",[1]EXPORT!$T$2:$T$10025,"=17")</f>
        <v>0</v>
      </c>
      <c r="I24" s="56">
        <f>COUNTIFS([1]EXPORT!$P$2:$P$10025,"ACBB KARATÉ",[1]EXPORT!$E$2:$E$10025,"M",[1]EXPORT!$T$2:$T$10025,"&gt;=18")-COUNTIFS([1]EXPORT!$P$2:$P$10025,"ACBB KARATÉ",[1]EXPORT!$E$2:$E$10025,"M",[1]EXPORT!$T$2:$T$10025,"=121")</f>
        <v>0</v>
      </c>
      <c r="J24" s="19">
        <f t="shared" si="6"/>
        <v>0</v>
      </c>
      <c r="K24" s="56">
        <f>COUNTIFS([1]EXPORT!$P$2:$P$10025,"ACBB KARATÉ",[1]EXPORT!$E$2:$E$10025,"F",[1]EXPORT!$T$2:$T$10025,"=5")+COUNTIFS([1]EXPORT!$P$2:$P$10025,"ACBB KARATÉ",[1]EXPORT!$E$2:$E$10025,"F",[1]EXPORT!$T$2:$T$10025,"=4")+COUNTIFS([1]EXPORT!$P$2:$P$10025,"ACBB KARATÉ",[1]EXPORT!$E$2:$E$10025,"F",[1]EXPORT!$T$2:$T$10025,"=3")+COUNTIFS([1]EXPORT!$P$2:$P$10025,"ACBB KARATÉ",[1]EXPORT!$E$2:$E$10025,"F",[1]EXPORT!$T$2:$T$10025,"=2")+COUNTIFS([1]EXPORT!$P$2:$P$10025,"ACBB KARATÉ",[1]EXPORT!$E$2:$E$10025,"F",[1]EXPORT!$T$2:$T$10025,"=1")</f>
        <v>0</v>
      </c>
      <c r="L24" s="56">
        <f>COUNTIFS([1]EXPORT!$P$2:$P$10025,"ACBB KARATÉ",[1]EXPORT!$E$2:$E$10025,"F",[1]EXPORT!$T$2:$T$10025,"=6")+COUNTIFS([1]EXPORT!$P$2:$P$10025,"ACBB KARATÉ",[1]EXPORT!$E$2:$E$10025,"F",[1]EXPORT!$T$2:$T$10025,"=7")</f>
        <v>0</v>
      </c>
      <c r="M24" s="56">
        <f>COUNTIFS([1]EXPORT!$P$2:$P$10025,"ACBB KARATÉ",[1]EXPORT!$E$2:$E$10025,"F",[1]EXPORT!$T$2:$T$10025,"=8")+COUNTIFS([1]EXPORT!$P$2:$P$10025,"ACBB KARATÉ",[1]EXPORT!$E$2:$E$10025,"F",[1]EXPORT!$T$2:$T$10025,"=9")</f>
        <v>0</v>
      </c>
      <c r="N24" s="56">
        <f>COUNTIFS([1]EXPORT!$P$2:$P$10025,"ACBB KARATÉ",[1]EXPORT!$E$2:$E$10025,"F",[1]EXPORT!$T$2:$T$10025,"=10")+COUNTIFS([1]EXPORT!$P$2:$P$10025,"ACBB KARATÉ",[1]EXPORT!$E$2:$E$10025,"F",[1]EXPORT!$T$2:$T$10025,"=11")</f>
        <v>0</v>
      </c>
      <c r="O24" s="56">
        <f>COUNTIFS([1]EXPORT!$P$2:$P$10025,"ACBB KARATÉ",[1]EXPORT!$E$2:$E$10025,"F",[1]EXPORT!$T$2:$T$10025,"=12")+COUNTIFS([1]EXPORT!$P$2:$P$10025,"ACBB KARATÉ",[1]EXPORT!$E$2:$E$10025,"F",[1]EXPORT!$T$2:$T$10025,"=13")</f>
        <v>0</v>
      </c>
      <c r="P24" s="56">
        <f>COUNTIFS([1]EXPORT!$P$2:$P$10025,"ACBB KARATÉ",[1]EXPORT!$E$2:$E$10025,"F",[1]EXPORT!$T$2:$T$10025,"=14")+COUNTIFS([1]EXPORT!$P$2:$P$10025,"ACBB KARATÉ",[1]EXPORT!$E$2:$E$10025,"F",[1]EXPORT!$T$2:$T$10025,"=15")</f>
        <v>0</v>
      </c>
      <c r="Q24" s="56">
        <f>COUNTIFS([1]EXPORT!$P$2:$P$10025,"ACBB KARATÉ",[1]EXPORT!$E$2:$E$10025,"F",[1]EXPORT!$T$2:$T$10025,"=16")+COUNTIFS([1]EXPORT!$P$2:$P$10025,"ACBB KARATÉ",[1]EXPORT!$E$2:$E$10025,"F",[1]EXPORT!$T$2:$T$10025,"=17")</f>
        <v>0</v>
      </c>
      <c r="R24" s="56">
        <f>COUNTIFS([1]EXPORT!$P$2:$P$10025,"ACBB KARATÉ",[1]EXPORT!$E$2:$E$10025,"F",[1]EXPORT!$T$2:$T$10025,"&gt;=18")-COUNTIFS([1]EXPORT!$P$2:$P$10025,"ACBB KARATÉ",[1]EXPORT!$E$2:$E$10025,"F",[1]EXPORT!$T$2:$T$10025,"=121")</f>
        <v>0</v>
      </c>
      <c r="S24" s="20">
        <f t="shared" si="7"/>
        <v>0</v>
      </c>
      <c r="T24" s="18">
        <f t="shared" si="8"/>
        <v>0</v>
      </c>
      <c r="U24" s="18">
        <f t="shared" si="9"/>
        <v>0</v>
      </c>
      <c r="V24" s="18">
        <f t="shared" si="10"/>
        <v>0</v>
      </c>
      <c r="W24" s="18">
        <f>E24+N24</f>
        <v>0</v>
      </c>
      <c r="X24" s="18">
        <f t="shared" si="12"/>
        <v>0</v>
      </c>
      <c r="Y24" s="18">
        <f t="shared" si="13"/>
        <v>0</v>
      </c>
      <c r="Z24" s="18">
        <f t="shared" si="14"/>
        <v>0</v>
      </c>
      <c r="AA24" s="18">
        <f t="shared" si="15"/>
        <v>0</v>
      </c>
      <c r="AB24" s="19">
        <f t="shared" si="16"/>
        <v>0</v>
      </c>
    </row>
    <row r="25" spans="1:53" x14ac:dyDescent="0.25">
      <c r="A25" s="21" t="s">
        <v>29</v>
      </c>
      <c r="B25" s="13">
        <f>COUNTIFS([1]EXPORT!$P$2:$P$10025,"ACBB HOCKEY SUR GAZON",[1]EXPORT!$E$2:$E$10025,"M",[1]EXPORT!$T$2:$T$10025,"=5")+COUNTIFS([1]EXPORT!$P$2:$P$10025,"ACBB HOCKEY SUR GAZON",[1]EXPORT!$E$2:$E$10025,"M",[1]EXPORT!$T$2:$T$10025,"=4")+COUNTIFS([1]EXPORT!$P$2:$P$10025,"ACBB HOCKEY SUR GAZON",[1]EXPORT!$E$2:$E$10025,"M",[1]EXPORT!$T$2:$T$10025,"=3")+COUNTIFS([1]EXPORT!$P$2:$P$10025,"ACBB HOCKEY SUR GAZON",[1]EXPORT!$E$2:$E$10025,"M",[1]EXPORT!$T$2:$T$10025,"=2")+COUNTIFS([1]EXPORT!$P$2:$P$10025,"ACBB HOCKEY SUR GAZON",[1]EXPORT!$E$2:$E$10025,"M",[1]EXPORT!$T$2:$T$10025,"=1")</f>
        <v>0</v>
      </c>
      <c r="C25" s="13">
        <f>COUNTIFS([1]EXPORT!$P$2:$P$10025,"ACBB HOCKEY SUR GAZON",[1]EXPORT!$E$2:$E$10025,"M",[1]EXPORT!$T$2:$T$10025,"=6")+COUNTIFS([1]EXPORT!$P$2:$P$10025,"ACBB HOCKEY SUR GAZON",[1]EXPORT!$E$2:$E$10025,"M",[1]EXPORT!$T$2:$T$10025,"=7")</f>
        <v>0</v>
      </c>
      <c r="D25" s="13">
        <f>COUNTIFS([1]EXPORT!$P$2:$P$10025,"ACBB HOCKEY SUR GAZON",[1]EXPORT!$E$2:$E$10025,"M",[1]EXPORT!$T$2:$T$10025,"=8")+COUNTIFS([1]EXPORT!$P$2:$P$10025,"ACBB HOCKEY SUR GAZON",[1]EXPORT!$E$2:$E$10025,"M",[1]EXPORT!$T$2:$T$10025,"=9")</f>
        <v>0</v>
      </c>
      <c r="E25" s="13">
        <f>COUNTIFS([1]EXPORT!$P$2:$P$10025,"ACBB HOCKEY SUR GAZON",[1]EXPORT!$E$2:$E$10025,"M",[1]EXPORT!$T$2:$T$10025,"=10")+COUNTIFS([1]EXPORT!$P$2:$P$10025,"ACBB HOCKEY SUR GAZON",[1]EXPORT!$E$2:$E$10025,"M",[1]EXPORT!$T$2:$T$10025,"=11")</f>
        <v>0</v>
      </c>
      <c r="F25" s="13">
        <f>COUNTIFS([1]EXPORT!$P$2:$P$10025,"ACBB HOCKEY SUR GAZON",[1]EXPORT!$E$2:$E$10025,"M",[1]EXPORT!$T$2:$T$10025,"=12")+COUNTIFS([1]EXPORT!$P$2:$P$10025,"ACBB HOCKEY SUR GAZON",[1]EXPORT!$E$2:$E$10025,"M",[1]EXPORT!$T$2:$T$10025,"=13")</f>
        <v>0</v>
      </c>
      <c r="G25" s="13">
        <f>COUNTIFS([1]EXPORT!$P$2:$P$10025,"ACBB HOCKEY SUR GAZON",[1]EXPORT!$E$2:$E$10025,"M",[1]EXPORT!$T$2:$T$10025,"=14")+COUNTIFS([1]EXPORT!$P$2:$P$10025,"ACBB HOCKEY SUR GAZON",[1]EXPORT!$E$2:$E$10025,"M",[1]EXPORT!$T$2:$T$10025,"=15")</f>
        <v>0</v>
      </c>
      <c r="H25" s="13">
        <f>COUNTIFS([1]EXPORT!$P$2:$P$10025,"ACBB HOCKEY SUR GAZON",[1]EXPORT!$E$2:$E$10025,"M",[1]EXPORT!$T$2:$T$10025,"=16")+COUNTIFS([1]EXPORT!$P$2:$P$10025,"ACBB HOCKEY SUR GAZON",[1]EXPORT!$E$2:$E$10025,"M",[1]EXPORT!$T$2:$T$10025,"=17")</f>
        <v>0</v>
      </c>
      <c r="I25" s="13">
        <f>COUNTIFS([1]EXPORT!$P$2:$P$10025,"ACBB HOCKEY SUR GAZON",[1]EXPORT!$E$2:$E$10025,"M",[1]EXPORT!$T$2:$T$10025,"&gt;=18")-COUNTIFS([1]EXPORT!$P$2:$P$10025,"ACBB HOCKEY SUR GAZON",[1]EXPORT!$E$2:$E$10025,"M",[1]EXPORT!$T$2:$T$10025,"=121")</f>
        <v>0</v>
      </c>
      <c r="J25" s="15">
        <f t="shared" si="6"/>
        <v>0</v>
      </c>
      <c r="K25" s="13">
        <f>COUNTIFS([1]EXPORT!$P$2:$P$10025,"ACBB HOCKEY SUR GAZON",[1]EXPORT!$E$2:$E$10025,"F",[1]EXPORT!$T$2:$T$10025,"=5")+COUNTIFS([1]EXPORT!$P$2:$P$10025,"ACBB HOCKEY SUR GAZON",[1]EXPORT!$E$2:$E$10025,"F",[1]EXPORT!$T$2:$T$10025,"=4")+COUNTIFS([1]EXPORT!$P$2:$P$10025,"ACBB HOCKEY SUR GAZON",[1]EXPORT!$E$2:$E$10025,"F",[1]EXPORT!$T$2:$T$10025,"=3")+COUNTIFS([1]EXPORT!$P$2:$P$10025,"ACBB HOCKEY SUR GAZON",[1]EXPORT!$E$2:$E$10025,"F",[1]EXPORT!$T$2:$T$10025,"=2")+COUNTIFS([1]EXPORT!$P$2:$P$10025,"ACBB HOCKEY SUR GAZON",[1]EXPORT!$E$2:$E$10025,"F",[1]EXPORT!$T$2:$T$10025,"=1")</f>
        <v>0</v>
      </c>
      <c r="L25" s="13">
        <f>COUNTIFS([1]EXPORT!$P$2:$P$10025,"ACBB HOCKEY SUR GAZON",[1]EXPORT!$E$2:$E$10025,"F",[1]EXPORT!$T$2:$T$10025,"=6")+COUNTIFS([1]EXPORT!$P$2:$P$10025,"ACBB HOCKEY SUR GAZON",[1]EXPORT!$E$2:$E$10025,"F",[1]EXPORT!$T$2:$T$10025,"=7")</f>
        <v>0</v>
      </c>
      <c r="M25" s="13">
        <f>COUNTIFS([1]EXPORT!$P$2:$P$10025,"ACBB HOCKEY SUR GAZON",[1]EXPORT!$E$2:$E$10025,"F",[1]EXPORT!$T$2:$T$10025,"=8")+COUNTIFS([1]EXPORT!$P$2:$P$10025,"ACBB HOCKEY SUR GAZON",[1]EXPORT!$E$2:$E$10025,"F",[1]EXPORT!$T$2:$T$10025,"=9")</f>
        <v>0</v>
      </c>
      <c r="N25" s="13">
        <f>COUNTIFS([1]EXPORT!$P$2:$P$10025,"ACBB HOCKEY SUR GAZON",[1]EXPORT!$E$2:$E$10025,"F",[1]EXPORT!$T$2:$T$10025,"=10")+COUNTIFS([1]EXPORT!$P$2:$P$10025,"ACBB HOCKEY SUR GAZON",[1]EXPORT!$E$2:$E$10025,"F",[1]EXPORT!$T$2:$T$10025,"=11")</f>
        <v>0</v>
      </c>
      <c r="O25" s="13">
        <f>COUNTIFS([1]EXPORT!$P$2:$P$10025,"ACBB HOCKEY SUR GAZON",[1]EXPORT!$E$2:$E$10025,"F",[1]EXPORT!$T$2:$T$10025,"=12")+COUNTIFS([1]EXPORT!$P$2:$P$10025,"ACBB HOCKEY SUR GAZON",[1]EXPORT!$E$2:$E$10025,"F",[1]EXPORT!$T$2:$T$10025,"=13")</f>
        <v>0</v>
      </c>
      <c r="P25" s="13">
        <f>COUNTIFS([1]EXPORT!$P$2:$P$10025,"ACBB HOCKEY SUR GAZON",[1]EXPORT!$E$2:$E$10025,"F",[1]EXPORT!$T$2:$T$10025,"=14")+COUNTIFS([1]EXPORT!$P$2:$P$10025,"ACBB HOCKEY SUR GAZON",[1]EXPORT!$E$2:$E$10025,"F",[1]EXPORT!$T$2:$T$10025,"=15")</f>
        <v>0</v>
      </c>
      <c r="Q25" s="13">
        <f>COUNTIFS([1]EXPORT!$P$2:$P$10025,"ACBB HOCKEY SUR GAZON",[1]EXPORT!$E$2:$E$10025,"F",[1]EXPORT!$T$2:$T$10025,"=16")+COUNTIFS([1]EXPORT!$P$2:$P$10025,"ACBB HOCKEY SUR GAZON",[1]EXPORT!$E$2:$E$10025,"F",[1]EXPORT!$T$2:$T$10025,"=17")</f>
        <v>0</v>
      </c>
      <c r="R25" s="13">
        <f>COUNTIFS([1]EXPORT!$P$2:$P$10025,"ACBB HOCKEY SUR GAZON",[1]EXPORT!$E$2:$E$10025,"F",[1]EXPORT!$T$2:$T$10025,"&gt;=18")-COUNTIFS([1]EXPORT!$P$2:$P$10025,"ACBB HOCKEY SUR GAZON",[1]EXPORT!$E$2:$E$10025,"F",[1]EXPORT!$T$2:$T$10025,"=121")</f>
        <v>0</v>
      </c>
      <c r="S25" s="16">
        <f t="shared" si="7"/>
        <v>0</v>
      </c>
      <c r="T25" s="14">
        <f t="shared" si="8"/>
        <v>0</v>
      </c>
      <c r="U25" s="14">
        <f t="shared" si="9"/>
        <v>0</v>
      </c>
      <c r="V25" s="14">
        <f t="shared" si="10"/>
        <v>0</v>
      </c>
      <c r="W25" s="14">
        <f t="shared" si="11"/>
        <v>0</v>
      </c>
      <c r="X25" s="14">
        <f t="shared" si="12"/>
        <v>0</v>
      </c>
      <c r="Y25" s="14">
        <f t="shared" si="13"/>
        <v>0</v>
      </c>
      <c r="Z25" s="14">
        <f t="shared" si="14"/>
        <v>0</v>
      </c>
      <c r="AA25" s="14">
        <f t="shared" si="15"/>
        <v>0</v>
      </c>
      <c r="AB25" s="15">
        <f t="shared" si="16"/>
        <v>0</v>
      </c>
    </row>
    <row r="26" spans="1:53" s="57" customFormat="1" x14ac:dyDescent="0.25">
      <c r="A26" s="17" t="s">
        <v>30</v>
      </c>
      <c r="B26" s="56">
        <f>COUNTIFS([1]EXPORT!$P$2:$P$10025,"ACBB HOCKEY SUR GLACE",[1]EXPORT!$E$2:$E$10025,"M",[1]EXPORT!$T$2:$T$10025,"=5")+COUNTIFS([1]EXPORT!$P$2:$P$10025,"ACBB HOCKEY SUR GLACE",[1]EXPORT!$E$2:$E$10025,"M",[1]EXPORT!$T$2:$T$10025,"=4")+COUNTIFS([1]EXPORT!$P$2:$P$10025,"ACBB HOCKEY SUR GLACE",[1]EXPORT!$E$2:$E$10025,"M",[1]EXPORT!$T$2:$T$10025,"=3")+COUNTIFS([1]EXPORT!$P$2:$P$10025,"ACBB HOCKEY SUR GLACE",[1]EXPORT!$E$2:$E$10025,"M",[1]EXPORT!$T$2:$T$10025,"=2")+COUNTIFS([1]EXPORT!$P$2:$P$10025,"ACBB HOCKEY SUR GLACE",[1]EXPORT!$E$2:$E$10025,"M",[1]EXPORT!$T$2:$T$10025,"=1")</f>
        <v>0</v>
      </c>
      <c r="C26" s="56">
        <f>COUNTIFS([1]EXPORT!$P$2:$P$10025,"ACBB HOCKEY SUR GLACE",[1]EXPORT!$E$2:$E$10025,"M",[1]EXPORT!$T$2:$T$10025,"=6")+COUNTIFS([1]EXPORT!$P$2:$P$10025,"ACBB HOCKEY SUR GLACE",[1]EXPORT!$E$2:$E$10025,"M",[1]EXPORT!$T$2:$T$10025,"=7")</f>
        <v>0</v>
      </c>
      <c r="D26" s="56">
        <f>COUNTIFS([1]EXPORT!$P$2:$P$10025,"ACBB HOCKEY SUR GLACE",[1]EXPORT!$E$2:$E$10025,"M",[1]EXPORT!$T$2:$T$10025,"=8")+COUNTIFS([1]EXPORT!$P$2:$P$10025,"ACBB HOCKEY SUR GLACE",[1]EXPORT!$E$2:$E$10025,"M",[1]EXPORT!$T$2:$T$10025,"=9")</f>
        <v>0</v>
      </c>
      <c r="E26" s="56">
        <f>COUNTIFS([1]EXPORT!$P$2:$P$10025,"ACBB HOCKEY SUR GLACE",[1]EXPORT!$E$2:$E$10025,"M",[1]EXPORT!$T$2:$T$10025,"=10")+COUNTIFS([1]EXPORT!$P$2:$P$10025,"ACBB HOCKEY SUR GLACE",[1]EXPORT!$E$2:$E$10025,"M",[1]EXPORT!$T$2:$T$10025,"=11")</f>
        <v>0</v>
      </c>
      <c r="F26" s="56">
        <f>COUNTIFS([1]EXPORT!$P$2:$P$10025,"ACBB HOCKEY SUR GLACE",[1]EXPORT!$E$2:$E$10025,"M",[1]EXPORT!$T$2:$T$10025,"=12")+COUNTIFS([1]EXPORT!$P$2:$P$10025,"ACBB HOCKEY SUR GLACE",[1]EXPORT!$E$2:$E$10025,"M",[1]EXPORT!$T$2:$T$10025,"=13")</f>
        <v>0</v>
      </c>
      <c r="G26" s="56">
        <f>COUNTIFS([1]EXPORT!$P$2:$P$10025,"ACBB HOCKEY SUR GLACE",[1]EXPORT!$E$2:$E$10025,"M",[1]EXPORT!$T$2:$T$10025,"=14")+COUNTIFS([1]EXPORT!$P$2:$P$10025,"ACBB HOCKEY SUR GLACE",[1]EXPORT!$E$2:$E$10025,"M",[1]EXPORT!$T$2:$T$10025,"=15")</f>
        <v>0</v>
      </c>
      <c r="H26" s="56">
        <f>COUNTIFS([1]EXPORT!$P$2:$P$10025,"ACBB HOCKEY SUR GLACE",[1]EXPORT!$E$2:$E$10025,"M",[1]EXPORT!$T$2:$T$10025,"=16")+COUNTIFS([1]EXPORT!$P$2:$P$10025,"ACBB HOCKEY SUR GLACE",[1]EXPORT!$E$2:$E$10025,"M",[1]EXPORT!$T$2:$T$10025,"=17")</f>
        <v>0</v>
      </c>
      <c r="I26" s="56">
        <f>COUNTIFS([1]EXPORT!$P$2:$P$10025,"ACBB HOCKEY SUR GLACE",[1]EXPORT!$E$2:$E$10025,"M",[1]EXPORT!$T$2:$T$10025,"&gt;=18")-COUNTIFS([1]EXPORT!$P$2:$P$10025,"ACBB HOCKEY SUR GLACE",[1]EXPORT!$E$2:$E$10025,"M",[1]EXPORT!$T$2:$T$10025,"=121")</f>
        <v>0</v>
      </c>
      <c r="J26" s="19">
        <f t="shared" si="6"/>
        <v>0</v>
      </c>
      <c r="K26" s="56">
        <f>COUNTIFS([1]EXPORT!$P$2:$P$10025,"ACBB HOCKEY SUR GLACE",[1]EXPORT!$E$2:$E$10025,"F",[1]EXPORT!$T$2:$T$10025,"=5")+COUNTIFS([1]EXPORT!$P$2:$P$10025,"ACBB HOCKEY SUR GLACE",[1]EXPORT!$E$2:$E$10025,"F",[1]EXPORT!$T$2:$T$10025,"=4")+COUNTIFS([1]EXPORT!$P$2:$P$10025,"ACBB HOCKEY SUR GLACE",[1]EXPORT!$E$2:$E$10025,"F",[1]EXPORT!$T$2:$T$10025,"=3")+COUNTIFS([1]EXPORT!$P$2:$P$10025,"ACBB HOCKEY SUR GLACE",[1]EXPORT!$E$2:$E$10025,"F",[1]EXPORT!$T$2:$T$10025,"=2")+COUNTIFS([1]EXPORT!$P$2:$P$10025,"ACBB HOCKEY SUR GLACE",[1]EXPORT!$E$2:$E$10025,"F",[1]EXPORT!$T$2:$T$10025,"=1")</f>
        <v>0</v>
      </c>
      <c r="L26" s="56">
        <f>COUNTIFS([1]EXPORT!$P$2:$P$10025,"ACBB HOCKEY SUR GLACE",[1]EXPORT!$E$2:$E$10025,"F",[1]EXPORT!$T$2:$T$10025,"=6")+COUNTIFS([1]EXPORT!$P$2:$P$10025,"ACBB HOCKEY SUR GLACE",[1]EXPORT!$E$2:$E$10025,"F",[1]EXPORT!$T$2:$T$10025,"=7")</f>
        <v>0</v>
      </c>
      <c r="M26" s="56">
        <f>COUNTIFS([1]EXPORT!$P$2:$P$10025,"ACBB HOCKEY SUR GLACE",[1]EXPORT!$E$2:$E$10025,"F",[1]EXPORT!$T$2:$T$10025,"=8")+COUNTIFS([1]EXPORT!$P$2:$P$10025,"ACBB HOCKEY SUR GLACE",[1]EXPORT!$E$2:$E$10025,"F",[1]EXPORT!$T$2:$T$10025,"=9")</f>
        <v>0</v>
      </c>
      <c r="N26" s="56">
        <f>COUNTIFS([1]EXPORT!$P$2:$P$10025,"ACBB HOCKEY SUR GLACE",[1]EXPORT!$E$2:$E$10025,"F",[1]EXPORT!$T$2:$T$10025,"=10")+COUNTIFS([1]EXPORT!$P$2:$P$10025,"ACBB HOCKEY SUR GLACE",[1]EXPORT!$E$2:$E$10025,"F",[1]EXPORT!$T$2:$T$10025,"=11")</f>
        <v>0</v>
      </c>
      <c r="O26" s="56">
        <f>COUNTIFS([1]EXPORT!$P$2:$P$10025,"ACBB HOCKEY SUR GLACE",[1]EXPORT!$E$2:$E$10025,"F",[1]EXPORT!$T$2:$T$10025,"=12")+COUNTIFS([1]EXPORT!$P$2:$P$10025,"ACBB HOCKEY SUR GLACE",[1]EXPORT!$E$2:$E$10025,"F",[1]EXPORT!$T$2:$T$10025,"=13")</f>
        <v>0</v>
      </c>
      <c r="P26" s="56">
        <f>COUNTIFS([1]EXPORT!$P$2:$P$10025,"ACBB HOCKEY SUR GLACE",[1]EXPORT!$E$2:$E$10025,"F",[1]EXPORT!$T$2:$T$10025,"=14")+COUNTIFS([1]EXPORT!$P$2:$P$10025,"ACBB HOCKEY SUR GLACE",[1]EXPORT!$E$2:$E$10025,"F",[1]EXPORT!$T$2:$T$10025,"=15")</f>
        <v>0</v>
      </c>
      <c r="Q26" s="56">
        <f>COUNTIFS([1]EXPORT!$P$2:$P$10025,"ACBB HOCKEY SUR GLACE",[1]EXPORT!$E$2:$E$10025,"F",[1]EXPORT!$T$2:$T$10025,"=16")+COUNTIFS([1]EXPORT!$P$2:$P$10025,"ACBB HOCKEY SUR GLACE",[1]EXPORT!$E$2:$E$10025,"F",[1]EXPORT!$T$2:$T$10025,"=17")</f>
        <v>0</v>
      </c>
      <c r="R26" s="56">
        <f>COUNTIFS([1]EXPORT!$P$2:$P$10025,"ACBB HOCKEY SUR GLACE",[1]EXPORT!$E$2:$E$10025,"F",[1]EXPORT!$T$2:$T$10025,"&gt;=18")-COUNTIFS([1]EXPORT!$P$2:$P$10025,"ACBB HOCKEY SUR GLACE",[1]EXPORT!$E$2:$E$10025,"F",[1]EXPORT!$T$2:$T$10025,"=121")</f>
        <v>0</v>
      </c>
      <c r="S26" s="20">
        <f t="shared" si="7"/>
        <v>0</v>
      </c>
      <c r="T26" s="18">
        <f t="shared" si="8"/>
        <v>0</v>
      </c>
      <c r="U26" s="18">
        <f t="shared" si="9"/>
        <v>0</v>
      </c>
      <c r="V26" s="18">
        <f t="shared" si="10"/>
        <v>0</v>
      </c>
      <c r="W26" s="18">
        <f t="shared" si="11"/>
        <v>0</v>
      </c>
      <c r="X26" s="18">
        <f t="shared" si="12"/>
        <v>0</v>
      </c>
      <c r="Y26" s="18">
        <f t="shared" si="13"/>
        <v>0</v>
      </c>
      <c r="Z26" s="18">
        <f t="shared" si="14"/>
        <v>0</v>
      </c>
      <c r="AA26" s="18">
        <f t="shared" si="15"/>
        <v>0</v>
      </c>
      <c r="AB26" s="19">
        <f t="shared" si="16"/>
        <v>0</v>
      </c>
    </row>
    <row r="27" spans="1:53" x14ac:dyDescent="0.25">
      <c r="A27" s="21" t="s">
        <v>31</v>
      </c>
      <c r="B27" s="13">
        <f>COUNTIFS([1]EXPORT!$P$2:$P$10025,"ACBB NATATION",[1]EXPORT!$E$2:$E$10025,"M",[1]EXPORT!$T$2:$T$10025,"=5")+COUNTIFS([1]EXPORT!$P$2:$P$10025,"ACBB NATATION",[1]EXPORT!$E$2:$E$10025,"M",[1]EXPORT!$T$2:$T$10025,"=4")+COUNTIFS([1]EXPORT!$P$2:$P$10025,"ACBB NATATION",[1]EXPORT!$E$2:$E$10025,"M",[1]EXPORT!$T$2:$T$10025,"=3")+COUNTIFS([1]EXPORT!$P$2:$P$10025,"ACBB NATATION",[1]EXPORT!$E$2:$E$10025,"M",[1]EXPORT!$T$2:$T$10025,"=2")+COUNTIFS([1]EXPORT!$P$2:$P$10025,"ACBB NATATION",[1]EXPORT!$E$2:$E$10025,"M",[1]EXPORT!$T$2:$T$10025,"=1")</f>
        <v>0</v>
      </c>
      <c r="C27" s="13">
        <f>COUNTIFS([1]EXPORT!$P$2:$P$10025,"ACBB NATATION",[1]EXPORT!$E$2:$E$10025,"M",[1]EXPORT!$T$2:$T$10025,"=6")+COUNTIFS([1]EXPORT!$P$2:$P$10025,"ACBB NATATION",[1]EXPORT!$E$2:$E$10025,"M",[1]EXPORT!$T$2:$T$10025,"=7")</f>
        <v>0</v>
      </c>
      <c r="D27" s="13">
        <f>COUNTIFS([1]EXPORT!$P$2:$P$10025,"ACBB NATATION",[1]EXPORT!$E$2:$E$10025,"M",[1]EXPORT!$T$2:$T$10025,"=8")+COUNTIFS([1]EXPORT!$P$2:$P$10025,"ACBB NATATION",[1]EXPORT!$E$2:$E$10025,"M",[1]EXPORT!$T$2:$T$10025,"=9")</f>
        <v>0</v>
      </c>
      <c r="E27" s="13">
        <f>COUNTIFS([1]EXPORT!$P$2:$P$10025,"ACBB NATATION",[1]EXPORT!$E$2:$E$10025,"M",[1]EXPORT!$T$2:$T$10025,"=10")+COUNTIFS([1]EXPORT!$P$2:$P$10025,"ACBB NATATION",[1]EXPORT!$E$2:$E$10025,"M",[1]EXPORT!$T$2:$T$10025,"=11")</f>
        <v>0</v>
      </c>
      <c r="F27" s="13">
        <f>COUNTIFS([1]EXPORT!$P$2:$P$10025,"ACBB NATATION",[1]EXPORT!$E$2:$E$10025,"M",[1]EXPORT!$T$2:$T$10025,"=12")+COUNTIFS([1]EXPORT!$P$2:$P$10025,"ACBB NATATION",[1]EXPORT!$E$2:$E$10025,"M",[1]EXPORT!$T$2:$T$10025,"=13")</f>
        <v>0</v>
      </c>
      <c r="G27" s="13">
        <f>COUNTIFS([1]EXPORT!$P$2:$P$10025,"ACBB NATATION",[1]EXPORT!$E$2:$E$10025,"M",[1]EXPORT!$T$2:$T$10025,"=14")+COUNTIFS([1]EXPORT!$P$2:$P$10025,"ACBB NATATION",[1]EXPORT!$E$2:$E$10025,"M",[1]EXPORT!$T$2:$T$10025,"=15")</f>
        <v>0</v>
      </c>
      <c r="H27" s="13">
        <f>COUNTIFS([1]EXPORT!$P$2:$P$10025,"ACBB NATATION",[1]EXPORT!$E$2:$E$10025,"M",[1]EXPORT!$T$2:$T$10025,"=16")+COUNTIFS([1]EXPORT!$P$2:$P$10025,"ACBB NATATION",[1]EXPORT!$E$2:$E$10025,"M",[1]EXPORT!$T$2:$T$10025,"=17")</f>
        <v>0</v>
      </c>
      <c r="I27" s="13">
        <f>COUNTIFS([1]EXPORT!$P$2:$P$10025,"ACBB NATATION",[1]EXPORT!$E$2:$E$10025,"M",[1]EXPORT!$T$2:$T$10025,"&gt;=18")-COUNTIFS([1]EXPORT!$P$2:$P$10025,"ACBB NATATION",[1]EXPORT!$E$2:$E$10025,"M",[1]EXPORT!$T$2:$T$10025,"=121")</f>
        <v>0</v>
      </c>
      <c r="J27" s="15">
        <f t="shared" si="6"/>
        <v>0</v>
      </c>
      <c r="K27" s="13">
        <f>COUNTIFS([1]EXPORT!$P$2:$P$10025,"ACBB NATATION",[1]EXPORT!$E$2:$E$10025,"F",[1]EXPORT!$T$2:$T$10025,"=5")+COUNTIFS([1]EXPORT!$P$2:$P$10025,"ACBB NATATION",[1]EXPORT!$E$2:$E$10025,"F",[1]EXPORT!$T$2:$T$10025,"=4")+COUNTIFS([1]EXPORT!$P$2:$P$10025,"ACBB NATATION",[1]EXPORT!$E$2:$E$10025,"F",[1]EXPORT!$T$2:$T$10025,"=3")+COUNTIFS([1]EXPORT!$P$2:$P$10025,"ACBB NATATION",[1]EXPORT!$E$2:$E$10025,"F",[1]EXPORT!$T$2:$T$10025,"=2")+COUNTIFS([1]EXPORT!$P$2:$P$10025,"ACBB NATATION",[1]EXPORT!$E$2:$E$10025,"F",[1]EXPORT!$T$2:$T$10025,"=1")</f>
        <v>0</v>
      </c>
      <c r="L27" s="13">
        <f>COUNTIFS([1]EXPORT!$P$2:$P$10025,"ACBB NATATION",[1]EXPORT!$E$2:$E$10025,"F",[1]EXPORT!$T$2:$T$10025,"=6")+COUNTIFS([1]EXPORT!$P$2:$P$10025,"ACBB NATATION",[1]EXPORT!$E$2:$E$10025,"F",[1]EXPORT!$T$2:$T$10025,"=7")</f>
        <v>0</v>
      </c>
      <c r="M27" s="13">
        <f>COUNTIFS([1]EXPORT!$P$2:$P$10025,"ACBB NATATION",[1]EXPORT!$E$2:$E$10025,"F",[1]EXPORT!$T$2:$T$10025,"=8")+COUNTIFS([1]EXPORT!$P$2:$P$10025,"ACBB NATATION",[1]EXPORT!$E$2:$E$10025,"F",[1]EXPORT!$T$2:$T$10025,"=9")</f>
        <v>0</v>
      </c>
      <c r="N27" s="13">
        <f>COUNTIFS([1]EXPORT!$P$2:$P$10025,"ACBB NATATION",[1]EXPORT!$E$2:$E$10025,"F",[1]EXPORT!$T$2:$T$10025,"=10")+COUNTIFS([1]EXPORT!$P$2:$P$10025,"ACBB NATATION",[1]EXPORT!$E$2:$E$10025,"F",[1]EXPORT!$T$2:$T$10025,"=11")</f>
        <v>0</v>
      </c>
      <c r="O27" s="13">
        <f>COUNTIFS([1]EXPORT!$P$2:$P$10025,"ACBB NATATION",[1]EXPORT!$E$2:$E$10025,"F",[1]EXPORT!$T$2:$T$10025,"=12")+COUNTIFS([1]EXPORT!$P$2:$P$10025,"ACBB NATATION",[1]EXPORT!$E$2:$E$10025,"F",[1]EXPORT!$T$2:$T$10025,"=13")</f>
        <v>0</v>
      </c>
      <c r="P27" s="13">
        <f>COUNTIFS([1]EXPORT!$P$2:$P$10025,"ACBB NATATION",[1]EXPORT!$E$2:$E$10025,"F",[1]EXPORT!$T$2:$T$10025,"=14")+COUNTIFS([1]EXPORT!$P$2:$P$10025,"ACBB NATATION",[1]EXPORT!$E$2:$E$10025,"F",[1]EXPORT!$T$2:$T$10025,"=15")</f>
        <v>0</v>
      </c>
      <c r="Q27" s="13">
        <f>COUNTIFS([1]EXPORT!$P$2:$P$10025,"ACBB NATATION",[1]EXPORT!$E$2:$E$10025,"F",[1]EXPORT!$T$2:$T$10025,"=16")+COUNTIFS([1]EXPORT!$P$2:$P$10025,"ACBB NATATION",[1]EXPORT!$E$2:$E$10025,"F",[1]EXPORT!$T$2:$T$10025,"=17")</f>
        <v>0</v>
      </c>
      <c r="R27" s="13">
        <f>COUNTIFS([1]EXPORT!$P$2:$P$10025,"ACBB NATATION",[1]EXPORT!$E$2:$E$10025,"F",[1]EXPORT!$T$2:$T$10025,"&gt;=18")-COUNTIFS([1]EXPORT!$P$2:$P$10025,"ACBB NATATION",[1]EXPORT!$E$2:$E$10025,"F",[1]EXPORT!$T$2:$T$10025,"=121")</f>
        <v>0</v>
      </c>
      <c r="S27" s="16">
        <f t="shared" si="7"/>
        <v>0</v>
      </c>
      <c r="T27" s="14">
        <f t="shared" si="8"/>
        <v>0</v>
      </c>
      <c r="U27" s="14">
        <f t="shared" si="9"/>
        <v>0</v>
      </c>
      <c r="V27" s="14">
        <f t="shared" si="10"/>
        <v>0</v>
      </c>
      <c r="W27" s="14">
        <f t="shared" si="11"/>
        <v>0</v>
      </c>
      <c r="X27" s="14">
        <f t="shared" si="12"/>
        <v>0</v>
      </c>
      <c r="Y27" s="14">
        <f t="shared" si="13"/>
        <v>0</v>
      </c>
      <c r="Z27" s="14">
        <f t="shared" si="14"/>
        <v>0</v>
      </c>
      <c r="AA27" s="14">
        <f t="shared" si="15"/>
        <v>0</v>
      </c>
      <c r="AB27" s="15">
        <f t="shared" si="16"/>
        <v>0</v>
      </c>
    </row>
    <row r="28" spans="1:53" s="57" customFormat="1" x14ac:dyDescent="0.25">
      <c r="A28" s="17" t="s">
        <v>32</v>
      </c>
      <c r="B28" s="56">
        <f>COUNTIFS([1]EXPORT!$P$2:$P$10025,"ACBB PÊCHES SPORTIVES",[1]EXPORT!$E$2:$E$10025,"M",[1]EXPORT!$T$2:$T$10025,"=5")+COUNTIFS([1]EXPORT!$P$2:$P$10025,"ACBB PÊCHES SPORTIVES",[1]EXPORT!$E$2:$E$10025,"M",[1]EXPORT!$T$2:$T$10025,"=4")+COUNTIFS([1]EXPORT!$P$2:$P$10025,"ACBB PÊCHES SPORTIVES",[1]EXPORT!$E$2:$E$10025,"M",[1]EXPORT!$T$2:$T$10025,"=3")+COUNTIFS([1]EXPORT!$P$2:$P$10025,"ACBB PÊCHES SPORTIVES",[1]EXPORT!$E$2:$E$10025,"M",[1]EXPORT!$T$2:$T$10025,"=2")+COUNTIFS([1]EXPORT!$P$2:$P$10025,"ACBB PÊCHES SPORTIVES",[1]EXPORT!$E$2:$E$10025,"M",[1]EXPORT!$T$2:$T$10025,"=1")</f>
        <v>0</v>
      </c>
      <c r="C28" s="56">
        <f>COUNTIFS([1]EXPORT!$P$2:$P$10025,"ACBB PÊCHES SPORTIVES",[1]EXPORT!$E$2:$E$10025,"M",[1]EXPORT!$T$2:$T$10025,"=6")+COUNTIFS([1]EXPORT!$P$2:$P$10025,"ACBB PÊCHES SPORTIVES",[1]EXPORT!$E$2:$E$10025,"M",[1]EXPORT!$T$2:$T$10025,"=7")</f>
        <v>0</v>
      </c>
      <c r="D28" s="56">
        <f>COUNTIFS([1]EXPORT!$P$2:$P$10025,"ACBB PÊCHES SPORTIVES",[1]EXPORT!$E$2:$E$10025,"M",[1]EXPORT!$T$2:$T$10025,"=8")+COUNTIFS([1]EXPORT!$P$2:$P$10025,"ACBB PÊCHES SPORTIVES",[1]EXPORT!$E$2:$E$10025,"M",[1]EXPORT!$T$2:$T$10025,"=9")</f>
        <v>0</v>
      </c>
      <c r="E28" s="56">
        <f>COUNTIFS([1]EXPORT!$P$2:$P$10025,"ACBB PÊCHES SPORTIVES",[1]EXPORT!$E$2:$E$10025,"M",[1]EXPORT!$T$2:$T$10025,"=10")+COUNTIFS([1]EXPORT!$P$2:$P$10025,"ACBB PÊCHES SPORTIVES",[1]EXPORT!$E$2:$E$10025,"M",[1]EXPORT!$T$2:$T$10025,"=11")</f>
        <v>0</v>
      </c>
      <c r="F28" s="56">
        <f>COUNTIFS([1]EXPORT!$P$2:$P$10025,"ACBB PÊCHES SPORTIVES",[1]EXPORT!$E$2:$E$10025,"M",[1]EXPORT!$T$2:$T$10025,"=12")+COUNTIFS([1]EXPORT!$P$2:$P$10025,"ACBB PÊCHES SPORTIVES",[1]EXPORT!$E$2:$E$10025,"M",[1]EXPORT!$T$2:$T$10025,"=13")</f>
        <v>0</v>
      </c>
      <c r="G28" s="56">
        <f>COUNTIFS([1]EXPORT!$P$2:$P$10025,"ACBB PÊCHES SPORTIVES",[1]EXPORT!$E$2:$E$10025,"M",[1]EXPORT!$T$2:$T$10025,"=14")+COUNTIFS([1]EXPORT!$P$2:$P$10025,"ACBB PÊCHES SPORTIVES",[1]EXPORT!$E$2:$E$10025,"M",[1]EXPORT!$T$2:$T$10025,"=15")</f>
        <v>0</v>
      </c>
      <c r="H28" s="56">
        <f>COUNTIFS([1]EXPORT!$P$2:$P$10025,"ACBB PÊCHES SPORTIVES",[1]EXPORT!$E$2:$E$10025,"M",[1]EXPORT!$T$2:$T$10025,"=16")+COUNTIFS([1]EXPORT!$P$2:$P$10025,"ACBB PÊCHES SPORTIVES",[1]EXPORT!$E$2:$E$10025,"M",[1]EXPORT!$T$2:$T$10025,"=17")</f>
        <v>0</v>
      </c>
      <c r="I28" s="56">
        <f>COUNTIFS([1]EXPORT!$P$2:$P$10025,"ACBB PÊCHES SPORTIVES",[1]EXPORT!$E$2:$E$10025,"M",[1]EXPORT!$T$2:$T$10025,"&gt;=18")-COUNTIFS([1]EXPORT!$P$2:$P$10025,"ACBB PÊCHES SPORTIVES",[1]EXPORT!$E$2:$E$10025,"M",[1]EXPORT!$T$2:$T$10025,"=121")</f>
        <v>0</v>
      </c>
      <c r="J28" s="19">
        <f t="shared" si="6"/>
        <v>0</v>
      </c>
      <c r="K28" s="56">
        <f>COUNTIFS([1]EXPORT!$P$2:$P$10025,"ACBB PÊCHES SPORTIVES",[1]EXPORT!$E$2:$E$10025,"F",[1]EXPORT!$T$2:$T$10025,"=5")+COUNTIFS([1]EXPORT!$P$2:$P$10025,"ACBB PÊCHES SPORTIVES",[1]EXPORT!$E$2:$E$10025,"F",[1]EXPORT!$T$2:$T$10025,"=4")+COUNTIFS([1]EXPORT!$P$2:$P$10025,"ACBB PÊCHES SPORTIVES",[1]EXPORT!$E$2:$E$10025,"F",[1]EXPORT!$T$2:$T$10025,"=3")+COUNTIFS([1]EXPORT!$P$2:$P$10025,"ACBB PÊCHES SPORTIVES",[1]EXPORT!$E$2:$E$10025,"F",[1]EXPORT!$T$2:$T$10025,"=2")+COUNTIFS([1]EXPORT!$P$2:$P$10025,"ACBB PÊCHES SPORTIVES",[1]EXPORT!$E$2:$E$10025,"F",[1]EXPORT!$T$2:$T$10025,"=1")</f>
        <v>0</v>
      </c>
      <c r="L28" s="56">
        <f>COUNTIFS([1]EXPORT!$P$2:$P$10025,"ACBB PÊCHES SPORTIVES",[1]EXPORT!$E$2:$E$10025,"F",[1]EXPORT!$T$2:$T$10025,"=6")+COUNTIFS([1]EXPORT!$P$2:$P$10025,"ACBB PÊCHES SPORTIVES",[1]EXPORT!$E$2:$E$10025,"F",[1]EXPORT!$T$2:$T$10025,"=7")</f>
        <v>0</v>
      </c>
      <c r="M28" s="56">
        <f>COUNTIFS([1]EXPORT!$P$2:$P$10025,"ACBB PÊCHES SPORTIVES",[1]EXPORT!$E$2:$E$10025,"F",[1]EXPORT!$T$2:$T$10025,"=8")+COUNTIFS([1]EXPORT!$P$2:$P$10025,"ACBB PÊCHES SPORTIVES",[1]EXPORT!$E$2:$E$10025,"F",[1]EXPORT!$T$2:$T$10025,"=9")</f>
        <v>0</v>
      </c>
      <c r="N28" s="56">
        <f>COUNTIFS([1]EXPORT!$P$2:$P$10025,"ACBB PÊCHES SPORTIVES",[1]EXPORT!$E$2:$E$10025,"F",[1]EXPORT!$T$2:$T$10025,"=10")+COUNTIFS([1]EXPORT!$P$2:$P$10025,"ACBB PÊCHES SPORTIVES",[1]EXPORT!$E$2:$E$10025,"F",[1]EXPORT!$T$2:$T$10025,"=11")</f>
        <v>0</v>
      </c>
      <c r="O28" s="56">
        <f>COUNTIFS([1]EXPORT!$P$2:$P$10025,"ACBB PÊCHES SPORTIVES",[1]EXPORT!$E$2:$E$10025,"F",[1]EXPORT!$T$2:$T$10025,"=12")+COUNTIFS([1]EXPORT!$P$2:$P$10025,"ACBB PÊCHES SPORTIVES",[1]EXPORT!$E$2:$E$10025,"F",[1]EXPORT!$T$2:$T$10025,"=13")</f>
        <v>0</v>
      </c>
      <c r="P28" s="56">
        <f>COUNTIFS([1]EXPORT!$P$2:$P$10025,"ACBB PÊCHES SPORTIVES",[1]EXPORT!$E$2:$E$10025,"F",[1]EXPORT!$T$2:$T$10025,"=14")+COUNTIFS([1]EXPORT!$P$2:$P$10025,"ACBB PÊCHES SPORTIVES",[1]EXPORT!$E$2:$E$10025,"F",[1]EXPORT!$T$2:$T$10025,"=15")</f>
        <v>0</v>
      </c>
      <c r="Q28" s="56">
        <f>COUNTIFS([1]EXPORT!$P$2:$P$10025,"ACBB PÊCHES SPORTIVES",[1]EXPORT!$E$2:$E$10025,"F",[1]EXPORT!$T$2:$T$10025,"=16")+COUNTIFS([1]EXPORT!$P$2:$P$10025,"ACBB PÊCHES SPORTIVES",[1]EXPORT!$E$2:$E$10025,"F",[1]EXPORT!$T$2:$T$10025,"=17")</f>
        <v>0</v>
      </c>
      <c r="R28" s="56">
        <f>COUNTIFS([1]EXPORT!$P$2:$P$10025,"ACBB PÊCHES SPORTIVES",[1]EXPORT!$E$2:$E$10025,"F",[1]EXPORT!$T$2:$T$10025,"&gt;=18")-COUNTIFS([1]EXPORT!$P$2:$P$10025,"ACBB PÊCHES SPORTIVES",[1]EXPORT!$E$2:$E$10025,"F",[1]EXPORT!$T$2:$T$10025,"=121")</f>
        <v>0</v>
      </c>
      <c r="S28" s="20">
        <f t="shared" si="7"/>
        <v>0</v>
      </c>
      <c r="T28" s="18">
        <f t="shared" si="8"/>
        <v>0</v>
      </c>
      <c r="U28" s="18">
        <f t="shared" si="9"/>
        <v>0</v>
      </c>
      <c r="V28" s="18">
        <f t="shared" si="10"/>
        <v>0</v>
      </c>
      <c r="W28" s="18">
        <f t="shared" si="11"/>
        <v>0</v>
      </c>
      <c r="X28" s="18">
        <f t="shared" si="12"/>
        <v>0</v>
      </c>
      <c r="Y28" s="18">
        <f t="shared" si="13"/>
        <v>0</v>
      </c>
      <c r="Z28" s="18">
        <f t="shared" si="14"/>
        <v>0</v>
      </c>
      <c r="AA28" s="18">
        <f t="shared" si="15"/>
        <v>0</v>
      </c>
      <c r="AB28" s="19">
        <f t="shared" si="16"/>
        <v>0</v>
      </c>
    </row>
    <row r="29" spans="1:53" s="58" customFormat="1" x14ac:dyDescent="0.25">
      <c r="A29" s="17" t="s">
        <v>33</v>
      </c>
      <c r="B29" s="13">
        <f>COUNTIFS([1]EXPORT!$P$2:$P$10025,"ACBB PÉTANQUE",[1]EXPORT!$E$2:$E$10025,"M",[1]EXPORT!$T$2:$T$10025,"=5")+COUNTIFS([1]EXPORT!$P$2:$P$10025,"ACBB PÉTANQUE",[1]EXPORT!$E$2:$E$10025,"M",[1]EXPORT!$T$2:$T$10025,"=4")+COUNTIFS([1]EXPORT!$P$2:$P$10025,"ACBB PÉTANQUE",[1]EXPORT!$E$2:$E$10025,"M",[1]EXPORT!$T$2:$T$10025,"=3")+COUNTIFS([1]EXPORT!$P$2:$P$10025,"ACBB PÉTANQUE",[1]EXPORT!$E$2:$E$10025,"M",[1]EXPORT!$T$2:$T$10025,"=2")+COUNTIFS([1]EXPORT!$P$2:$P$10025,"ACBB PÉTANQUE",[1]EXPORT!$E$2:$E$10025,"M",[1]EXPORT!$T$2:$T$10025,"=1")</f>
        <v>0</v>
      </c>
      <c r="C29" s="13">
        <f>COUNTIFS([1]EXPORT!$P$2:$P$10025,"ACBB PÉTANQUE",[1]EXPORT!$E$2:$E$10025,"M",[1]EXPORT!$T$2:$T$10025,"=6")+COUNTIFS([1]EXPORT!$P$2:$P$10025,"ACBB PÉTANQUE",[1]EXPORT!$E$2:$E$10025,"M",[1]EXPORT!$T$2:$T$10025,"=7")</f>
        <v>0</v>
      </c>
      <c r="D29" s="13">
        <f>COUNTIFS([1]EXPORT!$P$2:$P$10025,"ACBB PÉTANQUE",[1]EXPORT!$E$2:$E$10025,"M",[1]EXPORT!$T$2:$T$10025,"=8")+COUNTIFS([1]EXPORT!$P$2:$P$10025,"ACBB PÉTANQUE",[1]EXPORT!$E$2:$E$10025,"M",[1]EXPORT!$T$2:$T$10025,"=9")</f>
        <v>0</v>
      </c>
      <c r="E29" s="13">
        <f>COUNTIFS([1]EXPORT!$P$2:$P$10025,"ACBB PÉTANQUE",[1]EXPORT!$E$2:$E$10025,"M",[1]EXPORT!$T$2:$T$10025,"=10")+COUNTIFS([1]EXPORT!$P$2:$P$10025,"ACBB PÉTANQUE",[1]EXPORT!$E$2:$E$10025,"M",[1]EXPORT!$T$2:$T$10025,"=11")</f>
        <v>0</v>
      </c>
      <c r="F29" s="13">
        <f>COUNTIFS([1]EXPORT!$P$2:$P$10025,"ACBB PÉTANQUE",[1]EXPORT!$E$2:$E$10025,"M",[1]EXPORT!$T$2:$T$10025,"=12")+COUNTIFS([1]EXPORT!$P$2:$P$10025,"ACBB PÉTANQUE",[1]EXPORT!$E$2:$E$10025,"M",[1]EXPORT!$T$2:$T$10025,"=13")</f>
        <v>0</v>
      </c>
      <c r="G29" s="13">
        <f>COUNTIFS([1]EXPORT!$P$2:$P$10025,"ACBB PÉTANQUE",[1]EXPORT!$E$2:$E$10025,"M",[1]EXPORT!$T$2:$T$10025,"=14")+COUNTIFS([1]EXPORT!$P$2:$P$10025,"ACBB PÉTANQUE",[1]EXPORT!$E$2:$E$10025,"M",[1]EXPORT!$T$2:$T$10025,"=15")</f>
        <v>0</v>
      </c>
      <c r="H29" s="13">
        <f>COUNTIFS([1]EXPORT!$P$2:$P$10025,"ACBB PÉTANQUE",[1]EXPORT!$E$2:$E$10025,"M",[1]EXPORT!$T$2:$T$10025,"=16")+COUNTIFS([1]EXPORT!$P$2:$P$10025,"ACBB PÉTANQUE",[1]EXPORT!$E$2:$E$10025,"M",[1]EXPORT!$T$2:$T$10025,"=17")</f>
        <v>0</v>
      </c>
      <c r="I29" s="13">
        <f>COUNTIFS([1]EXPORT!$P$2:$P$10025,"ACBB PÉTANQUE",[1]EXPORT!$E$2:$E$10025,"M",[1]EXPORT!$T$2:$T$10025,"&gt;=18")-COUNTIFS([1]EXPORT!$P$2:$P$10025,"ACBB PÉTANQUE",[1]EXPORT!$E$2:$E$10025,"M",[1]EXPORT!$T$2:$T$10025,"=121")</f>
        <v>0</v>
      </c>
      <c r="J29" s="15">
        <f t="shared" ref="J29" si="25">SUM(B29:I29)</f>
        <v>0</v>
      </c>
      <c r="K29" s="13">
        <f>COUNTIFS([1]EXPORT!$P$2:$P$10025,"ACBB PÉTANQUE",[1]EXPORT!$E$2:$E$10025,"F",[1]EXPORT!$T$2:$T$10025,"=5")+COUNTIFS([1]EXPORT!$P$2:$P$10025,"ACBB PÉTANQUE",[1]EXPORT!$E$2:$E$10025,"F",[1]EXPORT!$T$2:$T$10025,"=4")+COUNTIFS([1]EXPORT!$P$2:$P$10025,"ACBB PÉTANQUE",[1]EXPORT!$E$2:$E$10025,"F",[1]EXPORT!$T$2:$T$10025,"=3")+COUNTIFS([1]EXPORT!$P$2:$P$10025,"ACBB PÉTANQUE",[1]EXPORT!$E$2:$E$10025,"F",[1]EXPORT!$T$2:$T$10025,"=2")+COUNTIFS([1]EXPORT!$P$2:$P$10025,"ACBB PÉTANQUE",[1]EXPORT!$E$2:$E$10025,"F",[1]EXPORT!$T$2:$T$10025,"=1")</f>
        <v>0</v>
      </c>
      <c r="L29" s="13">
        <f>COUNTIFS([1]EXPORT!$P$2:$P$10025,"ACBB PÉTANQUE",[1]EXPORT!$E$2:$E$10025,"F",[1]EXPORT!$T$2:$T$10025,"=6")+COUNTIFS([1]EXPORT!$P$2:$P$10025,"ACBB PÉTANQUE",[1]EXPORT!$E$2:$E$10025,"F",[1]EXPORT!$T$2:$T$10025,"=7")</f>
        <v>0</v>
      </c>
      <c r="M29" s="13">
        <f>COUNTIFS([1]EXPORT!$P$2:$P$10025,"ACBB PÉTANQUE",[1]EXPORT!$E$2:$E$10025,"F",[1]EXPORT!$T$2:$T$10025,"=8")+COUNTIFS([1]EXPORT!$P$2:$P$10025,"ACBB PÉTANQUE",[1]EXPORT!$E$2:$E$10025,"F",[1]EXPORT!$T$2:$T$10025,"=9")</f>
        <v>0</v>
      </c>
      <c r="N29" s="13">
        <f>COUNTIFS([1]EXPORT!$P$2:$P$10025,"ACBB PÉTANQUE",[1]EXPORT!$E$2:$E$10025,"F",[1]EXPORT!$T$2:$T$10025,"=10")+COUNTIFS([1]EXPORT!$P$2:$P$10025,"ACBB PÉTANQUE",[1]EXPORT!$E$2:$E$10025,"F",[1]EXPORT!$T$2:$T$10025,"=11")</f>
        <v>0</v>
      </c>
      <c r="O29" s="13">
        <f>COUNTIFS([1]EXPORT!$P$2:$P$10025,"ACBB PÉTANQUE",[1]EXPORT!$E$2:$E$10025,"F",[1]EXPORT!$T$2:$T$10025,"=12")+COUNTIFS([1]EXPORT!$P$2:$P$10025,"ACBB PÉTANQUE",[1]EXPORT!$E$2:$E$10025,"F",[1]EXPORT!$T$2:$T$10025,"=13")</f>
        <v>0</v>
      </c>
      <c r="P29" s="13">
        <f>COUNTIFS([1]EXPORT!$P$2:$P$10025,"ACBB PÉTANQUE",[1]EXPORT!$E$2:$E$10025,"F",[1]EXPORT!$T$2:$T$10025,"=14")+COUNTIFS([1]EXPORT!$P$2:$P$10025,"ACBB PÉTANQUE",[1]EXPORT!$E$2:$E$10025,"F",[1]EXPORT!$T$2:$T$10025,"=15")</f>
        <v>0</v>
      </c>
      <c r="Q29" s="13">
        <f>COUNTIFS([1]EXPORT!$P$2:$P$10025,"ACBB PÉTANQUE",[1]EXPORT!$E$2:$E$10025,"F",[1]EXPORT!$T$2:$T$10025,"=16")+COUNTIFS([1]EXPORT!$P$2:$P$10025,"ACBB PÉTANQUE",[1]EXPORT!$E$2:$E$10025,"F",[1]EXPORT!$T$2:$T$10025,"=17")</f>
        <v>0</v>
      </c>
      <c r="R29" s="13">
        <f>COUNTIFS([1]EXPORT!$P$2:$P$10025,"ACBB PÉTANQUE",[1]EXPORT!$E$2:$E$10025,"F",[1]EXPORT!$T$2:$T$10025,"&gt;=18")-COUNTIFS([1]EXPORT!$P$2:$P$10025,"ACBB PÉTANQUE",[1]EXPORT!$E$2:$E$10025,"F",[1]EXPORT!$T$2:$T$10025,"=121")</f>
        <v>0</v>
      </c>
      <c r="S29" s="16">
        <f t="shared" ref="S29" si="26">SUM(K29:R29)</f>
        <v>0</v>
      </c>
      <c r="T29" s="14">
        <f t="shared" ref="T29" si="27">B29+K29</f>
        <v>0</v>
      </c>
      <c r="U29" s="14">
        <f t="shared" ref="U29" si="28">C29+L29</f>
        <v>0</v>
      </c>
      <c r="V29" s="14">
        <f t="shared" ref="V29" si="29">D29+M29</f>
        <v>0</v>
      </c>
      <c r="W29" s="14">
        <f t="shared" ref="W29" si="30">E29+N29</f>
        <v>0</v>
      </c>
      <c r="X29" s="14">
        <f t="shared" ref="X29" si="31">F29+O29</f>
        <v>0</v>
      </c>
      <c r="Y29" s="14">
        <f t="shared" ref="Y29" si="32">G29+P29</f>
        <v>0</v>
      </c>
      <c r="Z29" s="14">
        <f t="shared" ref="Z29" si="33">H29+Q29</f>
        <v>0</v>
      </c>
      <c r="AA29" s="14">
        <f t="shared" ref="AA29" si="34">I29+R29</f>
        <v>0</v>
      </c>
      <c r="AB29" s="15">
        <f t="shared" ref="AB29" si="35">SUM(T29:AA29)</f>
        <v>0</v>
      </c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</row>
    <row r="30" spans="1:53" s="57" customFormat="1" x14ac:dyDescent="0.25">
      <c r="A30" s="17" t="s">
        <v>34</v>
      </c>
      <c r="B30" s="56">
        <f>COUNTIFS([1]EXPORT!$P$2:$P$10025,"ACBB PLONGÉE SOUS MARINE",[1]EXPORT!$E$2:$E$10025,"M",[1]EXPORT!$T$2:$T$10025,"=5")+COUNTIFS([1]EXPORT!$P$2:$P$10025,"ACBB PLONGÉE SOUS MARINE",[1]EXPORT!$E$2:$E$10025,"M",[1]EXPORT!$T$2:$T$10025,"=4")+COUNTIFS([1]EXPORT!$P$2:$P$10025,"ACBB PLONGÉE SOUS MARINE",[1]EXPORT!$E$2:$E$10025,"M",[1]EXPORT!$T$2:$T$10025,"=3")+COUNTIFS([1]EXPORT!$P$2:$P$10025,"ACBB PLONGÉE SOUS MARINE",[1]EXPORT!$E$2:$E$10025,"M",[1]EXPORT!$T$2:$T$10025,"=2")+COUNTIFS([1]EXPORT!$P$2:$P$10025,"ACBB PLONGÉE SOUS MARINE",[1]EXPORT!$E$2:$E$10025,"M",[1]EXPORT!$T$2:$T$10025,"=1")</f>
        <v>0</v>
      </c>
      <c r="C30" s="56">
        <f>COUNTIFS([1]EXPORT!$P$2:$P$10025,"ACBB PLONGÉE SOUS MARINE",[1]EXPORT!$E$2:$E$10025,"M",[1]EXPORT!$T$2:$T$10025,"=6")+COUNTIFS([1]EXPORT!$P$2:$P$10025,"ACBB PLONGÉE SOUS MARINE",[1]EXPORT!$E$2:$E$10025,"M",[1]EXPORT!$T$2:$T$10025,"=7")</f>
        <v>0</v>
      </c>
      <c r="D30" s="56">
        <f>COUNTIFS([1]EXPORT!$P$2:$P$10025,"ACBB PLONGÉE SOUS MARINE",[1]EXPORT!$E$2:$E$10025,"M",[1]EXPORT!$T$2:$T$10025,"=8")+COUNTIFS([1]EXPORT!$P$2:$P$10025,"ACBB PLONGÉE SOUS MARINE",[1]EXPORT!$E$2:$E$10025,"M",[1]EXPORT!$T$2:$T$10025,"=9")</f>
        <v>0</v>
      </c>
      <c r="E30" s="56">
        <f>COUNTIFS([1]EXPORT!$P$2:$P$10025,"ACBB PLONGÉE SOUS MARINE",[1]EXPORT!$E$2:$E$10025,"M",[1]EXPORT!$T$2:$T$10025,"=10")+COUNTIFS([1]EXPORT!$P$2:$P$10025,"ACBB PLONGÉE SOUS MARINE",[1]EXPORT!$E$2:$E$10025,"M",[1]EXPORT!$T$2:$T$10025,"=11")</f>
        <v>0</v>
      </c>
      <c r="F30" s="56">
        <f>COUNTIFS([1]EXPORT!$P$2:$P$10025,"ACBB PLONGÉE SOUS MARINE",[1]EXPORT!$E$2:$E$10025,"M",[1]EXPORT!$T$2:$T$10025,"=12")+COUNTIFS([1]EXPORT!$P$2:$P$10025,"ACBB PLONGÉE SOUS MARINE",[1]EXPORT!$E$2:$E$10025,"M",[1]EXPORT!$T$2:$T$10025,"=13")</f>
        <v>0</v>
      </c>
      <c r="G30" s="56">
        <f>COUNTIFS([1]EXPORT!$P$2:$P$10025,"ACBB PLONGÉE SOUS MARINE",[1]EXPORT!$E$2:$E$10025,"M",[1]EXPORT!$T$2:$T$10025,"=14")+COUNTIFS([1]EXPORT!$P$2:$P$10025,"ACBB PLONGÉE SOUS MARINE",[1]EXPORT!$E$2:$E$10025,"M",[1]EXPORT!$T$2:$T$10025,"=15")</f>
        <v>0</v>
      </c>
      <c r="H30" s="56">
        <f>COUNTIFS([1]EXPORT!$P$2:$P$10025,"ACBB PLONGÉE SOUS MARINE",[1]EXPORT!$E$2:$E$10025,"M",[1]EXPORT!$T$2:$T$10025,"=16")+COUNTIFS([1]EXPORT!$P$2:$P$10025,"ACBB PLONGÉE SOUS MARINE",[1]EXPORT!$E$2:$E$10025,"M",[1]EXPORT!$T$2:$T$10025,"=17")</f>
        <v>0</v>
      </c>
      <c r="I30" s="56">
        <f>COUNTIFS([1]EXPORT!$P$2:$P$10025,"ACBB PLONGÉE SOUS MARINE",[1]EXPORT!$E$2:$E$10025,"M",[1]EXPORT!$T$2:$T$10025,"&gt;=18")-COUNTIFS([1]EXPORT!$P$2:$P$10025,"ACBB PLONGÉE SOUS MARINE",[1]EXPORT!$E$2:$E$10025,"M",[1]EXPORT!$T$2:$T$10025,"=121")</f>
        <v>0</v>
      </c>
      <c r="J30" s="19">
        <f t="shared" si="6"/>
        <v>0</v>
      </c>
      <c r="K30" s="56">
        <f>COUNTIFS([1]EXPORT!$P$2:$P$10025,"ACBB PLONGÉE SOUS MARINE",[1]EXPORT!$E$2:$E$10025,"F",[1]EXPORT!$T$2:$T$10025,"=5")+COUNTIFS([1]EXPORT!$P$2:$P$10025,"ACBB PLONGÉE SOUS MARINE",[1]EXPORT!$E$2:$E$10025,"F",[1]EXPORT!$T$2:$T$10025,"=4")+COUNTIFS([1]EXPORT!$P$2:$P$10025,"ACBB PLONGÉE SOUS MARINE",[1]EXPORT!$E$2:$E$10025,"F",[1]EXPORT!$T$2:$T$10025,"=3")+COUNTIFS([1]EXPORT!$P$2:$P$10025,"ACBB PLONGÉE SOUS MARINE",[1]EXPORT!$E$2:$E$10025,"F",[1]EXPORT!$T$2:$T$10025,"=2")+COUNTIFS([1]EXPORT!$P$2:$P$10025,"ACBB PLONGÉE SOUS MARINE",[1]EXPORT!$E$2:$E$10025,"F",[1]EXPORT!$T$2:$T$10025,"=1")</f>
        <v>0</v>
      </c>
      <c r="L30" s="56">
        <f>COUNTIFS([1]EXPORT!$P$2:$P$10025,"ACBB PLONGÉE SOUS MARINE",[1]EXPORT!$E$2:$E$10025,"F",[1]EXPORT!$T$2:$T$10025,"=6")+COUNTIFS([1]EXPORT!$P$2:$P$10025,"ACBB PLONGÉE SOUS MARINE",[1]EXPORT!$E$2:$E$10025,"F",[1]EXPORT!$T$2:$T$10025,"=7")</f>
        <v>0</v>
      </c>
      <c r="M30" s="56">
        <f>COUNTIFS([1]EXPORT!$P$2:$P$10025,"ACBB PLONGÉE SOUS MARINE",[1]EXPORT!$E$2:$E$10025,"F",[1]EXPORT!$T$2:$T$10025,"=8")+COUNTIFS([1]EXPORT!$P$2:$P$10025,"ACBB PLONGÉE SOUS MARINE",[1]EXPORT!$E$2:$E$10025,"F",[1]EXPORT!$T$2:$T$10025,"=9")</f>
        <v>0</v>
      </c>
      <c r="N30" s="56">
        <f>COUNTIFS([1]EXPORT!$P$2:$P$10025,"ACBB PLONGÉE SOUS MARINE",[1]EXPORT!$E$2:$E$10025,"F",[1]EXPORT!$T$2:$T$10025,"=10")+COUNTIFS([1]EXPORT!$P$2:$P$10025,"ACBB PLONGÉE SOUS MARINE",[1]EXPORT!$E$2:$E$10025,"F",[1]EXPORT!$T$2:$T$10025,"=11")</f>
        <v>0</v>
      </c>
      <c r="O30" s="56">
        <f>COUNTIFS([1]EXPORT!$P$2:$P$10025,"ACBB PLONGÉE SOUS MARINE",[1]EXPORT!$E$2:$E$10025,"F",[1]EXPORT!$T$2:$T$10025,"=12")+COUNTIFS([1]EXPORT!$P$2:$P$10025,"ACBB PLONGÉE SOUS MARINE",[1]EXPORT!$E$2:$E$10025,"F",[1]EXPORT!$T$2:$T$10025,"=13")</f>
        <v>0</v>
      </c>
      <c r="P30" s="56">
        <f>COUNTIFS([1]EXPORT!$P$2:$P$10025,"ACBB PLONGÉE SOUS MARINE",[1]EXPORT!$E$2:$E$10025,"F",[1]EXPORT!$T$2:$T$10025,"=14")+COUNTIFS([1]EXPORT!$P$2:$P$10025,"ACBB PLONGÉE SOUS MARINE",[1]EXPORT!$E$2:$E$10025,"F",[1]EXPORT!$T$2:$T$10025,"=15")</f>
        <v>0</v>
      </c>
      <c r="Q30" s="56">
        <f>COUNTIFS([1]EXPORT!$P$2:$P$10025,"ACBB PLONGÉE SOUS MARINE",[1]EXPORT!$E$2:$E$10025,"F",[1]EXPORT!$T$2:$T$10025,"=16")+COUNTIFS([1]EXPORT!$P$2:$P$10025,"ACBB PLONGÉE SOUS MARINE",[1]EXPORT!$E$2:$E$10025,"F",[1]EXPORT!$T$2:$T$10025,"=17")</f>
        <v>0</v>
      </c>
      <c r="R30" s="56">
        <f>COUNTIFS([1]EXPORT!$P$2:$P$10025,"ACBB PLONGÉE SOUS MARINE",[1]EXPORT!$E$2:$E$10025,"F",[1]EXPORT!$T$2:$T$10025,"&gt;=18")-COUNTIFS([1]EXPORT!$P$2:$P$10025,"ACBB PLONGÉE SOUS MARINE",[1]EXPORT!$E$2:$E$10025,"F",[1]EXPORT!$T$2:$T$10025,"=121")</f>
        <v>0</v>
      </c>
      <c r="S30" s="20">
        <f t="shared" si="7"/>
        <v>0</v>
      </c>
      <c r="T30" s="18">
        <f t="shared" si="8"/>
        <v>0</v>
      </c>
      <c r="U30" s="18">
        <f t="shared" si="9"/>
        <v>0</v>
      </c>
      <c r="V30" s="18">
        <f t="shared" si="10"/>
        <v>0</v>
      </c>
      <c r="W30" s="18">
        <f t="shared" si="11"/>
        <v>0</v>
      </c>
      <c r="X30" s="18">
        <f t="shared" si="12"/>
        <v>0</v>
      </c>
      <c r="Y30" s="18">
        <f t="shared" si="13"/>
        <v>0</v>
      </c>
      <c r="Z30" s="18">
        <f t="shared" si="14"/>
        <v>0</v>
      </c>
      <c r="AA30" s="18">
        <f t="shared" si="15"/>
        <v>0</v>
      </c>
      <c r="AB30" s="19">
        <f t="shared" si="16"/>
        <v>0</v>
      </c>
    </row>
    <row r="31" spans="1:53" x14ac:dyDescent="0.25">
      <c r="A31" s="21" t="s">
        <v>35</v>
      </c>
      <c r="B31" s="13">
        <f>COUNTIFS([1]EXPORT!$P$2:$P$10025,"ACBB MUSCULATION/WELLNESS",[1]EXPORT!$E$2:$E$10025,"M",[1]EXPORT!$T$2:$T$10025,"=5")+COUNTIFS([1]EXPORT!$P$2:$P$10025,"ACBB MUSCULATION/WELLNESS",[1]EXPORT!$E$2:$E$10025,"M",[1]EXPORT!$T$2:$T$10025,"=4")+COUNTIFS([1]EXPORT!$P$2:$P$10025,"ACBB MUSCULATION/WELLNESS",[1]EXPORT!$E$2:$E$10025,"M",[1]EXPORT!$T$2:$T$10025,"=3")+COUNTIFS([1]EXPORT!$P$2:$P$10025,"ACBB MUSCULATION/WELLNESS",[1]EXPORT!$E$2:$E$10025,"M",[1]EXPORT!$T$2:$T$10025,"=2")+COUNTIFS([1]EXPORT!$P$2:$P$10025,"ACBB MUSCULATION/WELLNESS",[1]EXPORT!$E$2:$E$10025,"M",[1]EXPORT!$T$2:$T$10025,"=1")</f>
        <v>0</v>
      </c>
      <c r="C31" s="13">
        <f>COUNTIFS([1]EXPORT!$P$2:$P$10025,"ACBB MUSCULATION/WELLNESS",[1]EXPORT!$E$2:$E$10025,"M",[1]EXPORT!$T$2:$T$10025,"=6")+COUNTIFS([1]EXPORT!$P$2:$P$10025,"ACBB MUSCULATION/WELLNESS",[1]EXPORT!$E$2:$E$10025,"M",[1]EXPORT!$T$2:$T$10025,"=7")</f>
        <v>0</v>
      </c>
      <c r="D31" s="13">
        <f>COUNTIFS([1]EXPORT!$P$2:$P$10025,"ACBB MUSCULATION/WELLNESS",[1]EXPORT!$E$2:$E$10025,"M",[1]EXPORT!$T$2:$T$10025,"=8")+COUNTIFS([1]EXPORT!$P$2:$P$10025,"ACBB MUSCULATION/WELLNESS",[1]EXPORT!$E$2:$E$10025,"M",[1]EXPORT!$T$2:$T$10025,"=9")</f>
        <v>0</v>
      </c>
      <c r="E31" s="13">
        <f>COUNTIFS([1]EXPORT!$P$2:$P$10025,"ACBB MUSCULATION/WELLNESS",[1]EXPORT!$E$2:$E$10025,"M",[1]EXPORT!$T$2:$T$10025,"=10")+COUNTIFS([1]EXPORT!$P$2:$P$10025,"ACBB MUSCULATION/WELLNESS",[1]EXPORT!$E$2:$E$10025,"M",[1]EXPORT!$T$2:$T$10025,"=11")</f>
        <v>0</v>
      </c>
      <c r="F31" s="13">
        <f>COUNTIFS([1]EXPORT!$P$2:$P$10025,"ACBB MUSCULATION/WELLNESS",[1]EXPORT!$E$2:$E$10025,"M",[1]EXPORT!$T$2:$T$10025,"=12")+COUNTIFS([1]EXPORT!$P$2:$P$10025,"ACBB MUSCULATION/WELLNESS",[1]EXPORT!$E$2:$E$10025,"M",[1]EXPORT!$T$2:$T$10025,"=13")</f>
        <v>0</v>
      </c>
      <c r="G31" s="13">
        <f>COUNTIFS([1]EXPORT!$P$2:$P$10025,"ACBB MUSCULATION/WELLNESS",[1]EXPORT!$E$2:$E$10025,"M",[1]EXPORT!$T$2:$T$10025,"=14")+COUNTIFS([1]EXPORT!$P$2:$P$10025,"ACBB MUSCULATION/WELLNESS",[1]EXPORT!$E$2:$E$10025,"M",[1]EXPORT!$T$2:$T$10025,"=15")</f>
        <v>0</v>
      </c>
      <c r="H31" s="13">
        <f>COUNTIFS([1]EXPORT!$P$2:$P$10025,"ACBB MUSCULATION/WELLNESS",[1]EXPORT!$E$2:$E$10025,"M",[1]EXPORT!$T$2:$T$10025,"=16")+COUNTIFS([1]EXPORT!$P$2:$P$10025,"ACBB MUSCULATION/WELLNESS",[1]EXPORT!$E$2:$E$10025,"M",[1]EXPORT!$T$2:$T$10025,"=17")</f>
        <v>0</v>
      </c>
      <c r="I31" s="13">
        <f>COUNTIFS([1]EXPORT!$P$2:$P$10025,"ACBB MUSCULATION/WELLNESS",[1]EXPORT!$E$2:$E$10025,"M",[1]EXPORT!$T$2:$T$10025,"&gt;=18")-COUNTIFS([1]EXPORT!$P$2:$P$10025,"ACBB MUSCULATION/WELLNESS",[1]EXPORT!$E$2:$E$10025,"M",[1]EXPORT!$T$2:$T$10025,"=121")</f>
        <v>0</v>
      </c>
      <c r="J31" s="15">
        <f t="shared" si="6"/>
        <v>0</v>
      </c>
      <c r="K31" s="13">
        <f>COUNTIFS([1]EXPORT!$P$2:$P$10025,"ACBB MUSCULATION/WELLNESS",[1]EXPORT!$E$2:$E$10025,"F",[1]EXPORT!$T$2:$T$10025,"=5")+COUNTIFS([1]EXPORT!$P$2:$P$10025,"ACBB MUSCULATION/WELLNESS",[1]EXPORT!$E$2:$E$10025,"F",[1]EXPORT!$T$2:$T$10025,"=4")+COUNTIFS([1]EXPORT!$P$2:$P$10025,"ACBB MUSCULATION/WELLNESS",[1]EXPORT!$E$2:$E$10025,"F",[1]EXPORT!$T$2:$T$10025,"=3")+COUNTIFS([1]EXPORT!$P$2:$P$10025,"ACBB MUSCULATION/WELLNESS",[1]EXPORT!$E$2:$E$10025,"F",[1]EXPORT!$T$2:$T$10025,"=2")+COUNTIFS([1]EXPORT!$P$2:$P$10025,"ACBB MUSCULATION/WELLNESS",[1]EXPORT!$E$2:$E$10025,"F",[1]EXPORT!$T$2:$T$10025,"=1")</f>
        <v>0</v>
      </c>
      <c r="L31" s="13">
        <f>COUNTIFS([1]EXPORT!$P$2:$P$10025,"ACBB MUSCULATION/WELLNESS",[1]EXPORT!$E$2:$E$10025,"F",[1]EXPORT!$T$2:$T$10025,"=6")+COUNTIFS([1]EXPORT!$P$2:$P$10025,"ACBB MUSCULATION/WELLNESS",[1]EXPORT!$E$2:$E$10025,"F",[1]EXPORT!$T$2:$T$10025,"=7")</f>
        <v>0</v>
      </c>
      <c r="M31" s="13">
        <f>COUNTIFS([1]EXPORT!$P$2:$P$10025,"ACBB MUSCULATION/WELLNESS",[1]EXPORT!$E$2:$E$10025,"F",[1]EXPORT!$T$2:$T$10025,"=8")+COUNTIFS([1]EXPORT!$P$2:$P$10025,"ACBB MUSCULATION/WELLNESS",[1]EXPORT!$E$2:$E$10025,"F",[1]EXPORT!$T$2:$T$10025,"=9")</f>
        <v>0</v>
      </c>
      <c r="N31" s="13">
        <f>COUNTIFS([1]EXPORT!$P$2:$P$10025,"ACBB MUSCULATION/WELLNESS",[1]EXPORT!$E$2:$E$10025,"F",[1]EXPORT!$T$2:$T$10025,"=10")+COUNTIFS([1]EXPORT!$P$2:$P$10025,"ACBB MUSCULATION/WELLNESS",[1]EXPORT!$E$2:$E$10025,"F",[1]EXPORT!$T$2:$T$10025,"=11")</f>
        <v>0</v>
      </c>
      <c r="O31" s="13">
        <f>COUNTIFS([1]EXPORT!$P$2:$P$10025,"ACBB MUSCULATION/WELLNESS",[1]EXPORT!$E$2:$E$10025,"F",[1]EXPORT!$T$2:$T$10025,"=12")+COUNTIFS([1]EXPORT!$P$2:$P$10025,"ACBB MUSCULATION/WELLNESS",[1]EXPORT!$E$2:$E$10025,"F",[1]EXPORT!$T$2:$T$10025,"=13")</f>
        <v>0</v>
      </c>
      <c r="P31" s="13">
        <f>COUNTIFS([1]EXPORT!$P$2:$P$10025,"ACBB MUSCULATION/WELLNESS",[1]EXPORT!$E$2:$E$10025,"F",[1]EXPORT!$T$2:$T$10025,"=14")+COUNTIFS([1]EXPORT!$P$2:$P$10025,"ACBB MUSCULATION/WELLNESS",[1]EXPORT!$E$2:$E$10025,"F",[1]EXPORT!$T$2:$T$10025,"=15")</f>
        <v>0</v>
      </c>
      <c r="Q31" s="13">
        <f>COUNTIFS([1]EXPORT!$P$2:$P$10025,"ACBB MUSCULATION/WELLNESS",[1]EXPORT!$E$2:$E$10025,"F",[1]EXPORT!$T$2:$T$10025,"=16")+COUNTIFS([1]EXPORT!$P$2:$P$10025,"ACBB MUSCULATION/WELLNESS",[1]EXPORT!$E$2:$E$10025,"F",[1]EXPORT!$T$2:$T$10025,"=17")</f>
        <v>0</v>
      </c>
      <c r="R31" s="13">
        <f>COUNTIFS([1]EXPORT!$P$2:$P$10025,"ACBB MUSCULATION/WELLNESS",[1]EXPORT!$E$2:$E$10025,"F",[1]EXPORT!$T$2:$T$10025,"&gt;=18")-COUNTIFS([1]EXPORT!$P$2:$P$10025,"ACBB MUSCULATION/WELLNESS",[1]EXPORT!$E$2:$E$10025,"F",[1]EXPORT!$T$2:$T$10025,"=121")</f>
        <v>0</v>
      </c>
      <c r="S31" s="16">
        <f>SUM(K31:R31)</f>
        <v>0</v>
      </c>
      <c r="T31" s="14">
        <f t="shared" si="8"/>
        <v>0</v>
      </c>
      <c r="U31" s="14">
        <f t="shared" si="9"/>
        <v>0</v>
      </c>
      <c r="V31" s="14">
        <f t="shared" si="10"/>
        <v>0</v>
      </c>
      <c r="W31" s="14">
        <f t="shared" si="11"/>
        <v>0</v>
      </c>
      <c r="X31" s="14">
        <f t="shared" si="12"/>
        <v>0</v>
      </c>
      <c r="Y31" s="14">
        <f t="shared" si="13"/>
        <v>0</v>
      </c>
      <c r="Z31" s="14">
        <f t="shared" si="14"/>
        <v>0</v>
      </c>
      <c r="AA31" s="14">
        <f t="shared" si="15"/>
        <v>0</v>
      </c>
      <c r="AB31" s="15">
        <f t="shared" si="16"/>
        <v>0</v>
      </c>
    </row>
    <row r="32" spans="1:53" s="58" customFormat="1" x14ac:dyDescent="0.25">
      <c r="A32" s="17" t="s">
        <v>36</v>
      </c>
      <c r="B32" s="13">
        <f>COUNTIFS([1]EXPORT!$P$2:$P$10025,"ACBB PONEY",[1]EXPORT!$E$2:$E$10025,"M",[1]EXPORT!$T$2:$T$10025,"=5")+COUNTIFS([1]EXPORT!$P$2:$P$10025,"ACBB PONEY",[1]EXPORT!$E$2:$E$10025,"M",[1]EXPORT!$T$2:$T$10025,"=4")+COUNTIFS([1]EXPORT!$P$2:$P$10025,"ACBB PONEY",[1]EXPORT!$E$2:$E$10025,"M",[1]EXPORT!$T$2:$T$10025,"=3")+COUNTIFS([1]EXPORT!$P$2:$P$10025,"ACBB PONEY",[1]EXPORT!$E$2:$E$10025,"M",[1]EXPORT!$T$2:$T$10025,"=2")+COUNTIFS([1]EXPORT!$P$2:$P$10025,"ACBB PONEY",[1]EXPORT!$E$2:$E$10025,"M",[1]EXPORT!$T$2:$T$10025,"=1")</f>
        <v>0</v>
      </c>
      <c r="C32" s="13">
        <f>COUNTIFS([1]EXPORT!$P$2:$P$10025,"ACBB PONEY",[1]EXPORT!$E$2:$E$10025,"M",[1]EXPORT!$T$2:$T$10025,"=6")+COUNTIFS([1]EXPORT!$P$2:$P$10025,"ACBB PONEY",[1]EXPORT!$E$2:$E$10025,"M",[1]EXPORT!$T$2:$T$10025,"=7")</f>
        <v>0</v>
      </c>
      <c r="D32" s="13">
        <f>COUNTIFS([1]EXPORT!$P$2:$P$10025,"ACBB PONEY",[1]EXPORT!$E$2:$E$10025,"M",[1]EXPORT!$T$2:$T$10025,"=8")+COUNTIFS([1]EXPORT!$P$2:$P$10025,"ACBB PONEY",[1]EXPORT!$E$2:$E$10025,"M",[1]EXPORT!$T$2:$T$10025,"=9")</f>
        <v>0</v>
      </c>
      <c r="E32" s="13">
        <f>COUNTIFS([1]EXPORT!$P$2:$P$10025,"ACBB PONEY",[1]EXPORT!$E$2:$E$10025,"M",[1]EXPORT!$T$2:$T$10025,"=10")+COUNTIFS([1]EXPORT!$P$2:$P$10025,"ACBB PONEY",[1]EXPORT!$E$2:$E$10025,"M",[1]EXPORT!$T$2:$T$10025,"=11")</f>
        <v>0</v>
      </c>
      <c r="F32" s="13">
        <f>COUNTIFS([1]EXPORT!$P$2:$P$10025,"ACBB PONEY",[1]EXPORT!$E$2:$E$10025,"M",[1]EXPORT!$T$2:$T$10025,"=12")+COUNTIFS([1]EXPORT!$P$2:$P$10025,"ACBB PONEY",[1]EXPORT!$E$2:$E$10025,"M",[1]EXPORT!$T$2:$T$10025,"=13")</f>
        <v>0</v>
      </c>
      <c r="G32" s="13">
        <f>COUNTIFS([1]EXPORT!$P$2:$P$10025,"ACBB PONEY",[1]EXPORT!$E$2:$E$10025,"M",[1]EXPORT!$T$2:$T$10025,"=14")+COUNTIFS([1]EXPORT!$P$2:$P$10025,"ACBB PONEY",[1]EXPORT!$E$2:$E$10025,"M",[1]EXPORT!$T$2:$T$10025,"=15")</f>
        <v>0</v>
      </c>
      <c r="H32" s="13">
        <f>COUNTIFS([1]EXPORT!$P$2:$P$10025,"ACBB PONEY",[1]EXPORT!$E$2:$E$10025,"M",[1]EXPORT!$T$2:$T$10025,"=16")+COUNTIFS([1]EXPORT!$P$2:$P$10025,"ACBB PONEY",[1]EXPORT!$E$2:$E$10025,"M",[1]EXPORT!$T$2:$T$10025,"=17")</f>
        <v>0</v>
      </c>
      <c r="I32" s="13">
        <f>COUNTIFS([1]EXPORT!$P$2:$P$10025,"ACBB PONEY",[1]EXPORT!$E$2:$E$10025,"M",[1]EXPORT!$T$2:$T$10025,"&gt;=18")-COUNTIFS([1]EXPORT!$P$2:$P$10025,"ACBB PONEY",[1]EXPORT!$E$2:$E$10025,"M",[1]EXPORT!$T$2:$T$10025,"=121")</f>
        <v>0</v>
      </c>
      <c r="J32" s="15">
        <f t="shared" ref="J32" si="36">SUM(B32:I32)</f>
        <v>0</v>
      </c>
      <c r="K32" s="13">
        <f>COUNTIFS([1]EXPORT!$P$2:$P$10025,"ACBB PONEY",[1]EXPORT!$E$2:$E$10025,"F",[1]EXPORT!$T$2:$T$10025,"=5")+COUNTIFS([1]EXPORT!$P$2:$P$10025,"ACBB PONEY",[1]EXPORT!$E$2:$E$10025,"F",[1]EXPORT!$T$2:$T$10025,"=4")+COUNTIFS([1]EXPORT!$P$2:$P$10025,"ACBB PONEY",[1]EXPORT!$E$2:$E$10025,"F",[1]EXPORT!$T$2:$T$10025,"=3")+COUNTIFS([1]EXPORT!$P$2:$P$10025,"ACBB PONEY",[1]EXPORT!$E$2:$E$10025,"F",[1]EXPORT!$T$2:$T$10025,"=2")+COUNTIFS([1]EXPORT!$P$2:$P$10025,"ACBB PONEY",[1]EXPORT!$E$2:$E$10025,"F",[1]EXPORT!$T$2:$T$10025,"=1")</f>
        <v>0</v>
      </c>
      <c r="L32" s="13">
        <f>COUNTIFS([1]EXPORT!$P$2:$P$10025,"ACBB PONEY",[1]EXPORT!$E$2:$E$10025,"F",[1]EXPORT!$T$2:$T$10025,"=6")+COUNTIFS([1]EXPORT!$P$2:$P$10025,"ACBB PONEY",[1]EXPORT!$E$2:$E$10025,"F",[1]EXPORT!$T$2:$T$10025,"=7")</f>
        <v>0</v>
      </c>
      <c r="M32" s="13">
        <f>COUNTIFS([1]EXPORT!$P$2:$P$10025,"ACBB PONEY",[1]EXPORT!$E$2:$E$10025,"F",[1]EXPORT!$T$2:$T$10025,"=8")+COUNTIFS([1]EXPORT!$P$2:$P$10025,"ACBB PONEY",[1]EXPORT!$E$2:$E$10025,"F",[1]EXPORT!$T$2:$T$10025,"=9")</f>
        <v>0</v>
      </c>
      <c r="N32" s="13">
        <f>COUNTIFS([1]EXPORT!$P$2:$P$10025,"ACBB PONEY",[1]EXPORT!$E$2:$E$10025,"F",[1]EXPORT!$T$2:$T$10025,"=10")+COUNTIFS([1]EXPORT!$P$2:$P$10025,"ACBB PONEY",[1]EXPORT!$E$2:$E$10025,"F",[1]EXPORT!$T$2:$T$10025,"=11")</f>
        <v>0</v>
      </c>
      <c r="O32" s="13">
        <f>COUNTIFS([1]EXPORT!$P$2:$P$10025,"ACBB PONEY",[1]EXPORT!$E$2:$E$10025,"F",[1]EXPORT!$T$2:$T$10025,"=12")+COUNTIFS([1]EXPORT!$P$2:$P$10025,"ACBB PONEY",[1]EXPORT!$E$2:$E$10025,"F",[1]EXPORT!$T$2:$T$10025,"=13")</f>
        <v>0</v>
      </c>
      <c r="P32" s="13">
        <f>COUNTIFS([1]EXPORT!$P$2:$P$10025,"ACBB PONEY",[1]EXPORT!$E$2:$E$10025,"F",[1]EXPORT!$T$2:$T$10025,"=14")+COUNTIFS([1]EXPORT!$P$2:$P$10025,"ACBB PONEY",[1]EXPORT!$E$2:$E$10025,"F",[1]EXPORT!$T$2:$T$10025,"=15")</f>
        <v>0</v>
      </c>
      <c r="Q32" s="13">
        <f>COUNTIFS([1]EXPORT!$P$2:$P$10025,"ACBB PONEY",[1]EXPORT!$E$2:$E$10025,"F",[1]EXPORT!$T$2:$T$10025,"=16")+COUNTIFS([1]EXPORT!$P$2:$P$10025,"ACBB PONEY",[1]EXPORT!$E$2:$E$10025,"F",[1]EXPORT!$T$2:$T$10025,"=17")</f>
        <v>0</v>
      </c>
      <c r="R32" s="13">
        <f>COUNTIFS([1]EXPORT!$P$2:$P$10025,"ACBB PONEY",[1]EXPORT!$E$2:$E$10025,"F",[1]EXPORT!$T$2:$T$10025,"&gt;=18")-COUNTIFS([1]EXPORT!$P$2:$P$10025,"ACBB PONEY",[1]EXPORT!$E$2:$E$10025,"F",[1]EXPORT!$T$2:$T$10025,"=121")</f>
        <v>0</v>
      </c>
      <c r="S32" s="16">
        <f t="shared" ref="S32:S33" si="37">SUM(K32:R32)</f>
        <v>0</v>
      </c>
      <c r="T32" s="14">
        <f t="shared" ref="T32" si="38">B32+K32</f>
        <v>0</v>
      </c>
      <c r="U32" s="14">
        <f t="shared" ref="U32" si="39">C32+L32</f>
        <v>0</v>
      </c>
      <c r="V32" s="14">
        <f t="shared" ref="V32" si="40">D32+M32</f>
        <v>0</v>
      </c>
      <c r="W32" s="14">
        <f t="shared" ref="W32" si="41">E32+N32</f>
        <v>0</v>
      </c>
      <c r="X32" s="14">
        <f t="shared" ref="X32" si="42">F32+O32</f>
        <v>0</v>
      </c>
      <c r="Y32" s="14">
        <f t="shared" ref="Y32" si="43">G32+P32</f>
        <v>0</v>
      </c>
      <c r="Z32" s="14">
        <f t="shared" ref="Z32" si="44">H32+Q32</f>
        <v>0</v>
      </c>
      <c r="AA32" s="14">
        <f t="shared" ref="AA32" si="45">I32+R32</f>
        <v>0</v>
      </c>
      <c r="AB32" s="15">
        <f t="shared" ref="AB32" si="46">SUM(T32:AA32)</f>
        <v>0</v>
      </c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</row>
    <row r="33" spans="1:53" x14ac:dyDescent="0.25">
      <c r="A33" s="21" t="s">
        <v>37</v>
      </c>
      <c r="B33" s="13">
        <f>COUNTIFS([1]EXPORT!$P$2:$P$10025,"ACBB RUGBY",[1]EXPORT!$E$2:$E$10025,"M",[1]EXPORT!$T$2:$T$10025,"=5")+COUNTIFS([1]EXPORT!$P$2:$P$10025,"ACBB RUGBY",[1]EXPORT!$E$2:$E$10025,"M",[1]EXPORT!$T$2:$T$10025,"=4")+COUNTIFS([1]EXPORT!$P$2:$P$10025,"ACBB RUGBY",[1]EXPORT!$E$2:$E$10025,"M",[1]EXPORT!$T$2:$T$10025,"=3")+COUNTIFS([1]EXPORT!$P$2:$P$10025,"ACBB RUGBY",[1]EXPORT!$E$2:$E$10025,"M",[1]EXPORT!$T$2:$T$10025,"=2")+COUNTIFS([1]EXPORT!$P$2:$P$10025,"ACBB RUGBY",[1]EXPORT!$E$2:$E$10025,"M",[1]EXPORT!$T$2:$T$10025,"=1")</f>
        <v>0</v>
      </c>
      <c r="C33" s="13">
        <f>COUNTIFS([1]EXPORT!$P$2:$P$10025,"ACBB RUGBY",[1]EXPORT!$E$2:$E$10025,"M",[1]EXPORT!$T$2:$T$10025,"=6")+COUNTIFS([1]EXPORT!$P$2:$P$10025,"ACBB RUGBY",[1]EXPORT!$E$2:$E$10025,"M",[1]EXPORT!$T$2:$T$10025,"=7")</f>
        <v>0</v>
      </c>
      <c r="D33" s="13">
        <f>COUNTIFS([1]EXPORT!$P$2:$P$10025,"ACBB RUGBY",[1]EXPORT!$E$2:$E$10025,"M",[1]EXPORT!$T$2:$T$10025,"=8")+COUNTIFS([1]EXPORT!$P$2:$P$10025,"ACBB RUGBY",[1]EXPORT!$E$2:$E$10025,"M",[1]EXPORT!$T$2:$T$10025,"=9")</f>
        <v>0</v>
      </c>
      <c r="E33" s="13">
        <f>COUNTIFS([1]EXPORT!$P$2:$P$10025,"ACBB RUGBY",[1]EXPORT!$E$2:$E$10025,"M",[1]EXPORT!$T$2:$T$10025,"=10")+COUNTIFS([1]EXPORT!$P$2:$P$10025,"ACBB RUGBY",[1]EXPORT!$E$2:$E$10025,"M",[1]EXPORT!$T$2:$T$10025,"=11")</f>
        <v>0</v>
      </c>
      <c r="F33" s="13">
        <f>COUNTIFS([1]EXPORT!$P$2:$P$10025,"ACBB RUGBY",[1]EXPORT!$E$2:$E$10025,"M",[1]EXPORT!$T$2:$T$10025,"=12")+COUNTIFS([1]EXPORT!$P$2:$P$10025,"ACBB RUGBY",[1]EXPORT!$E$2:$E$10025,"M",[1]EXPORT!$T$2:$T$10025,"=13")</f>
        <v>0</v>
      </c>
      <c r="G33" s="13">
        <f>COUNTIFS([1]EXPORT!$P$2:$P$10025,"ACBB RUGBY",[1]EXPORT!$E$2:$E$10025,"M",[1]EXPORT!$T$2:$T$10025,"=14")+COUNTIFS([1]EXPORT!$P$2:$P$10025,"ACBB RUGBY",[1]EXPORT!$E$2:$E$10025,"M",[1]EXPORT!$T$2:$T$10025,"=15")</f>
        <v>0</v>
      </c>
      <c r="H33" s="13">
        <f>COUNTIFS([1]EXPORT!$P$2:$P$10025,"ACBB RUGBY",[1]EXPORT!$E$2:$E$10025,"M",[1]EXPORT!$T$2:$T$10025,"=16")+COUNTIFS([1]EXPORT!$P$2:$P$10025,"ACBB RUGBY",[1]EXPORT!$E$2:$E$10025,"M",[1]EXPORT!$T$2:$T$10025,"=17")</f>
        <v>0</v>
      </c>
      <c r="I33" s="13">
        <f>COUNTIFS([1]EXPORT!$P$2:$P$10025,"ACBB RUGBY",[1]EXPORT!$E$2:$E$10025,"M",[1]EXPORT!$T$2:$T$10025,"&gt;=18")-COUNTIFS([1]EXPORT!$P$2:$P$10025,"ACBB RUGBY",[1]EXPORT!$E$2:$E$10025,"M",[1]EXPORT!$T$2:$T$10025,"=121")</f>
        <v>0</v>
      </c>
      <c r="J33" s="15">
        <f t="shared" si="6"/>
        <v>0</v>
      </c>
      <c r="K33" s="13">
        <f>COUNTIFS([1]EXPORT!$P$2:$P$10025,"ACBB RUGBY",[1]EXPORT!$E$2:$E$10025,"F",[1]EXPORT!$T$2:$T$10025,"=5")+COUNTIFS([1]EXPORT!$P$2:$P$10025,"ACBB RUGBY",[1]EXPORT!$E$2:$E$10025,"F",[1]EXPORT!$T$2:$T$10025,"=4")+COUNTIFS([1]EXPORT!$P$2:$P$10025,"ACBB RUGBY",[1]EXPORT!$E$2:$E$10025,"F",[1]EXPORT!$T$2:$T$10025,"=3")+COUNTIFS([1]EXPORT!$P$2:$P$10025,"ACBB RUGBY",[1]EXPORT!$E$2:$E$10025,"F",[1]EXPORT!$T$2:$T$10025,"=2")+COUNTIFS([1]EXPORT!$P$2:$P$10025,"ACBB RUGBY",[1]EXPORT!$E$2:$E$10025,"F",[1]EXPORT!$T$2:$T$10025,"=1")</f>
        <v>0</v>
      </c>
      <c r="L33" s="13">
        <f>COUNTIFS([1]EXPORT!$P$2:$P$10025,"ACBB RUGBY",[1]EXPORT!$E$2:$E$10025,"F",[1]EXPORT!$T$2:$T$10025,"=6")+COUNTIFS([1]EXPORT!$P$2:$P$10025,"ACBB RUGBY",[1]EXPORT!$E$2:$E$10025,"F",[1]EXPORT!$T$2:$T$10025,"=7")</f>
        <v>0</v>
      </c>
      <c r="M33" s="13">
        <f>COUNTIFS([1]EXPORT!$P$2:$P$10025,"ACBB RUGBY",[1]EXPORT!$E$2:$E$10025,"F",[1]EXPORT!$T$2:$T$10025,"=8")+COUNTIFS([1]EXPORT!$P$2:$P$10025,"ACBB RUGBY",[1]EXPORT!$E$2:$E$10025,"F",[1]EXPORT!$T$2:$T$10025,"=9")</f>
        <v>0</v>
      </c>
      <c r="N33" s="13">
        <f>COUNTIFS([1]EXPORT!$P$2:$P$10025,"ACBB RUGBY",[1]EXPORT!$E$2:$E$10025,"F",[1]EXPORT!$T$2:$T$10025,"=10")+COUNTIFS([1]EXPORT!$P$2:$P$10025,"ACBB RUGBY",[1]EXPORT!$E$2:$E$10025,"F",[1]EXPORT!$T$2:$T$10025,"=11")</f>
        <v>0</v>
      </c>
      <c r="O33" s="56">
        <f>COUNTIFS([1]EXPORT!$P$2:$P$10025,"ACBB RUGBY",[1]EXPORT!$E$2:$E$10025,"F",[1]EXPORT!$T$2:$T$10025,"=12")+COUNTIFS([1]EXPORT!$P$2:$P$10025,"ACBB RUGBY",[1]EXPORT!$E$2:$E$10025,"F",[1]EXPORT!$T$2:$T$10025,"=13")</f>
        <v>0</v>
      </c>
      <c r="P33" s="56">
        <f>COUNTIFS([1]EXPORT!$P$2:$P$10025,"ACBB RUGBY",[1]EXPORT!$E$2:$E$10025,"F",[1]EXPORT!$T$2:$T$10025,"=14")+COUNTIFS([1]EXPORT!$P$2:$P$10025,"ACBB RUGBY",[1]EXPORT!$E$2:$E$10025,"F",[1]EXPORT!$T$2:$T$10025,"=15")</f>
        <v>0</v>
      </c>
      <c r="Q33" s="56">
        <f>COUNTIFS([1]EXPORT!$P$2:$P$10025,"ACBB RUGBY",[1]EXPORT!$E$2:$E$10025,"F",[1]EXPORT!$T$2:$T$10025,"=16")+COUNTIFS([1]EXPORT!$P$2:$P$10025,"ACBB RUGBY",[1]EXPORT!$E$2:$E$10025,"F",[1]EXPORT!$T$2:$T$10025,"=17")</f>
        <v>0</v>
      </c>
      <c r="R33" s="56">
        <f>COUNTIFS([1]EXPORT!$P$2:$P$10025,"ACBB RUGBY",[1]EXPORT!$E$2:$E$10025,"F",[1]EXPORT!$T$2:$T$10025,"&gt;=18")-COUNTIFS([1]EXPORT!$P$2:$P$10025,"ACBB RUGBY",[1]EXPORT!$E$2:$E$10025,"F",[1]EXPORT!$T$2:$T$10025,"=121")</f>
        <v>0</v>
      </c>
      <c r="S33" s="20">
        <f t="shared" si="37"/>
        <v>0</v>
      </c>
      <c r="T33" s="14">
        <f t="shared" si="8"/>
        <v>0</v>
      </c>
      <c r="U33" s="14">
        <f t="shared" si="9"/>
        <v>0</v>
      </c>
      <c r="V33" s="14">
        <f t="shared" si="10"/>
        <v>0</v>
      </c>
      <c r="W33" s="14">
        <f t="shared" si="11"/>
        <v>0</v>
      </c>
      <c r="X33" s="14">
        <f t="shared" si="12"/>
        <v>0</v>
      </c>
      <c r="Y33" s="14">
        <f t="shared" si="13"/>
        <v>0</v>
      </c>
      <c r="Z33" s="14">
        <f t="shared" si="14"/>
        <v>0</v>
      </c>
      <c r="AA33" s="14">
        <f t="shared" si="15"/>
        <v>0</v>
      </c>
      <c r="AB33" s="15">
        <f t="shared" si="16"/>
        <v>0</v>
      </c>
    </row>
    <row r="34" spans="1:53" s="57" customFormat="1" x14ac:dyDescent="0.25">
      <c r="A34" s="17" t="s">
        <v>38</v>
      </c>
      <c r="B34" s="56">
        <f>COUNTIFS([1]EXPORT!$P$2:$P$10025,"ACBB BOXE FRANÇAISE - SAVATE",[1]EXPORT!$E$2:$E$10025,"M",[1]EXPORT!$T$2:$T$10025,"=5")+COUNTIFS([1]EXPORT!$P$2:$P$10025,"ACBB BOXE FRANÇAISE - SAVATE",[1]EXPORT!$E$2:$E$10025,"M",[1]EXPORT!$T$2:$T$10025,"=4")+COUNTIFS([1]EXPORT!$P$2:$P$10025,"ACBB BOXE FRANÇAISE - SAVATE",[1]EXPORT!$E$2:$E$10025,"M",[1]EXPORT!$T$2:$T$10025,"=3")+COUNTIFS([1]EXPORT!$P$2:$P$10025,"ACBB BOXE FRANÇAISE - SAVATE",[1]EXPORT!$E$2:$E$10025,"M",[1]EXPORT!$T$2:$T$10025,"=2")+COUNTIFS([1]EXPORT!$P$2:$P$10025,"ACBB BOXE FRANÇAISE - SAVATE",[1]EXPORT!$E$2:$E$10025,"M",[1]EXPORT!$T$2:$T$10025,"=1")</f>
        <v>0</v>
      </c>
      <c r="C34" s="56">
        <f>COUNTIFS([1]EXPORT!$P$2:$P$10025,"ACBB BOXE FRANÇAISE - SAVATE",[1]EXPORT!$E$2:$E$10025,"M",[1]EXPORT!$T$2:$T$10025,"=6")+COUNTIFS([1]EXPORT!$P$2:$P$10025,"ACBB BOXE FRANÇAISE - SAVATE",[1]EXPORT!$E$2:$E$10025,"M",[1]EXPORT!$T$2:$T$10025,"=7")</f>
        <v>0</v>
      </c>
      <c r="D34" s="56">
        <f>COUNTIFS([1]EXPORT!$P$2:$P$10025,"ACBB BOXE FRANÇAISE - SAVATE",[1]EXPORT!$E$2:$E$10025,"M",[1]EXPORT!$T$2:$T$10025,"=8")+COUNTIFS([1]EXPORT!$P$2:$P$10025,"ACBB BOXE FRANÇAISE - SAVATE",[1]EXPORT!$E$2:$E$10025,"M",[1]EXPORT!$T$2:$T$10025,"=9")</f>
        <v>0</v>
      </c>
      <c r="E34" s="56">
        <f>COUNTIFS([1]EXPORT!$P$2:$P$10025,"ACBB BOXE FRANÇAISE - SAVATE",[1]EXPORT!$E$2:$E$10025,"M",[1]EXPORT!$T$2:$T$10025,"=10")+COUNTIFS([1]EXPORT!$P$2:$P$10025,"ACBB BOXE FRANÇAISE - SAVATE",[1]EXPORT!$E$2:$E$10025,"M",[1]EXPORT!$T$2:$T$10025,"=11")</f>
        <v>0</v>
      </c>
      <c r="F34" s="56">
        <f>COUNTIFS([1]EXPORT!$P$2:$P$10025,"ACBB BOXE FRANÇAISE - SAVATE",[1]EXPORT!$E$2:$E$10025,"M",[1]EXPORT!$T$2:$T$10025,"=12")+COUNTIFS([1]EXPORT!$P$2:$P$10025,"ACBB BOXE FRANÇAISE - SAVATE",[1]EXPORT!$E$2:$E$10025,"M",[1]EXPORT!$T$2:$T$10025,"=13")</f>
        <v>0</v>
      </c>
      <c r="G34" s="56">
        <f>COUNTIFS([1]EXPORT!$P$2:$P$10025,"ACBB BOXE FRANÇAISE - SAVATE",[1]EXPORT!$E$2:$E$10025,"M",[1]EXPORT!$T$2:$T$10025,"=14")+COUNTIFS([1]EXPORT!$P$2:$P$10025,"ACBB BOXE FRANÇAISE - SAVATE",[1]EXPORT!$E$2:$E$10025,"M",[1]EXPORT!$T$2:$T$10025,"=15")</f>
        <v>0</v>
      </c>
      <c r="H34" s="56">
        <f>COUNTIFS([1]EXPORT!$P$2:$P$10025,"ACBB BOXE FRANÇAISE - SAVATE",[1]EXPORT!$E$2:$E$10025,"M",[1]EXPORT!$T$2:$T$10025,"=16")+COUNTIFS([1]EXPORT!$P$2:$P$10025,"ACBB BOXE FRANÇAISE - SAVATE",[1]EXPORT!$E$2:$E$10025,"M",[1]EXPORT!$T$2:$T$10025,"=17")</f>
        <v>0</v>
      </c>
      <c r="I34" s="56">
        <f>COUNTIFS([1]EXPORT!$P$2:$P$10025,"ACBB BOXE FRANÇAISE - SAVATE",[1]EXPORT!$E$2:$E$10025,"M",[1]EXPORT!$T$2:$T$10025,"&gt;=18")-COUNTIFS([1]EXPORT!$P$2:$P$10025,"ACBB BOXE FRANÇAISE - SAVATE",[1]EXPORT!$E$2:$E$10025,"M",[1]EXPORT!$T$2:$T$10025,"=121")</f>
        <v>0</v>
      </c>
      <c r="J34" s="19">
        <f t="shared" si="6"/>
        <v>0</v>
      </c>
      <c r="K34" s="56">
        <f>COUNTIFS([1]EXPORT!$P$2:$P$10025,"ACBB BOXE FRANÇAISE - SAVATE",[1]EXPORT!$E$2:$E$10025,"F",[1]EXPORT!$T$2:$T$10025,"=5")+COUNTIFS([1]EXPORT!$P$2:$P$10025,"ACBB BOXE FRANÇAISE - SAVATE",[1]EXPORT!$E$2:$E$10025,"F",[1]EXPORT!$T$2:$T$10025,"=4")+COUNTIFS([1]EXPORT!$P$2:$P$10025,"ACBB BOXE FRANÇAISE - SAVATE",[1]EXPORT!$E$2:$E$10025,"F",[1]EXPORT!$T$2:$T$10025,"=3")+COUNTIFS([1]EXPORT!$P$2:$P$10025,"ACBB BOXE FRANÇAISE - SAVATE",[1]EXPORT!$E$2:$E$10025,"F",[1]EXPORT!$T$2:$T$10025,"=2")+COUNTIFS([1]EXPORT!$P$2:$P$10025,"ACBB BOXE FRANÇAISE - SAVATE",[1]EXPORT!$E$2:$E$10025,"F",[1]EXPORT!$T$2:$T$10025,"=1")</f>
        <v>0</v>
      </c>
      <c r="L34" s="56">
        <f>COUNTIFS([1]EXPORT!$P$2:$P$10025,"ACBB BOXE FRANÇAISE - SAVATE",[1]EXPORT!$E$2:$E$10025,"F",[1]EXPORT!$T$2:$T$10025,"=6")+COUNTIFS([1]EXPORT!$P$2:$P$10025,"ACBB BOXE FRANÇAISE - SAVATE",[1]EXPORT!$E$2:$E$10025,"F",[1]EXPORT!$T$2:$T$10025,"=7")</f>
        <v>0</v>
      </c>
      <c r="M34" s="56">
        <f>COUNTIFS([1]EXPORT!$P$2:$P$10025,"ACBB BOXE FRANÇAISE - SAVATE",[1]EXPORT!$E$2:$E$10025,"F",[1]EXPORT!$T$2:$T$10025,"=8")+COUNTIFS([1]EXPORT!$P$2:$P$10025,"ACBB BOXE FRANÇAISE - SAVATE",[1]EXPORT!$E$2:$E$10025,"F",[1]EXPORT!$T$2:$T$10025,"=9")</f>
        <v>0</v>
      </c>
      <c r="N34" s="56">
        <f>COUNTIFS([1]EXPORT!$P$2:$P$10025,"ACBB BOXE FRANÇAISE - SAVATE",[1]EXPORT!$E$2:$E$10025,"F",[1]EXPORT!$T$2:$T$10025,"=10")+COUNTIFS([1]EXPORT!$P$2:$P$10025,"ACBB BOXE FRANÇAISE - SAVATE",[1]EXPORT!$E$2:$E$10025,"F",[1]EXPORT!$T$2:$T$10025,"=11")</f>
        <v>0</v>
      </c>
      <c r="O34" s="56">
        <f>COUNTIFS([1]EXPORT!$P$2:$P$10025,"ACBB BOXE FRANÇAISE - SAVATE",[1]EXPORT!$E$2:$E$10025,"F",[1]EXPORT!$T$2:$T$10025,"=12")+COUNTIFS([1]EXPORT!$P$2:$P$10025,"ACBB BOXE FRANÇAISE - SAVATE",[1]EXPORT!$E$2:$E$10025,"F",[1]EXPORT!$T$2:$T$10025,"=13")</f>
        <v>0</v>
      </c>
      <c r="P34" s="56">
        <f>COUNTIFS([1]EXPORT!$P$2:$P$10025,"ACBB BOXE FRANÇAISE - SAVATE",[1]EXPORT!$E$2:$E$10025,"F",[1]EXPORT!$T$2:$T$10025,"=14")+COUNTIFS([1]EXPORT!$P$2:$P$10025,"ACBB BOXE FRANÇAISE - SAVATE",[1]EXPORT!$E$2:$E$10025,"F",[1]EXPORT!$T$2:$T$10025,"=15")</f>
        <v>0</v>
      </c>
      <c r="Q34" s="56">
        <f>COUNTIFS([1]EXPORT!$P$2:$P$10025,"ACBB BOXE FRANÇAISE - SAVATE",[1]EXPORT!$E$2:$E$10025,"F",[1]EXPORT!$T$2:$T$10025,"=16")+COUNTIFS([1]EXPORT!$P$2:$P$10025,"ACBB BOXE FRANÇAISE - SAVATE",[1]EXPORT!$E$2:$E$10025,"F",[1]EXPORT!$T$2:$T$10025,"=17")</f>
        <v>0</v>
      </c>
      <c r="R34" s="56">
        <f>COUNTIFS([1]EXPORT!$P$2:$P$10025,"ACBB AVIRON",[1]EXPORT!$E$2:$E$10025,"F",[1]EXPORT!$T$2:$T$10025,"&gt;=18")-COUNTIFS([1]EXPORT!$P$2:$P$10025,"ACBB AVIRON",[1]EXPORT!$E$2:$E$10025,"F",[1]EXPORT!$T$2:$T$10025,"=121")</f>
        <v>0</v>
      </c>
      <c r="S34" s="20">
        <f t="shared" si="7"/>
        <v>0</v>
      </c>
      <c r="T34" s="18">
        <f t="shared" si="8"/>
        <v>0</v>
      </c>
      <c r="U34" s="18">
        <f t="shared" si="9"/>
        <v>0</v>
      </c>
      <c r="V34" s="18">
        <f t="shared" si="10"/>
        <v>0</v>
      </c>
      <c r="W34" s="18">
        <f t="shared" si="11"/>
        <v>0</v>
      </c>
      <c r="X34" s="18">
        <f t="shared" si="12"/>
        <v>0</v>
      </c>
      <c r="Y34" s="18">
        <f t="shared" si="13"/>
        <v>0</v>
      </c>
      <c r="Z34" s="18">
        <f t="shared" si="14"/>
        <v>0</v>
      </c>
      <c r="AA34" s="18">
        <f t="shared" si="15"/>
        <v>0</v>
      </c>
      <c r="AB34" s="19">
        <f t="shared" si="16"/>
        <v>0</v>
      </c>
    </row>
    <row r="35" spans="1:53" s="58" customFormat="1" x14ac:dyDescent="0.25">
      <c r="A35" s="17" t="s">
        <v>39</v>
      </c>
      <c r="B35" s="13">
        <f>COUNTIFS([1]EXPORT!$P$2:$P$10025,"ACBB EQUITATION",[1]EXPORT!$E$2:$E$10025,"M",[1]EXPORT!$T$2:$T$10025,"=5")+COUNTIFS([1]EXPORT!$P$2:$P$10025,"ACBB EQUITATION",[1]EXPORT!$E$2:$E$10025,"M",[1]EXPORT!$T$2:$T$10025,"=4")+COUNTIFS([1]EXPORT!$P$2:$P$10025,"ACBB EQUITATION",[1]EXPORT!$E$2:$E$10025,"M",[1]EXPORT!$T$2:$T$10025,"=3")+COUNTIFS([1]EXPORT!$P$2:$P$10025,"ACBB EQUITATION",[1]EXPORT!$E$2:$E$10025,"M",[1]EXPORT!$T$2:$T$10025,"=2")+COUNTIFS([1]EXPORT!$P$2:$P$10025,"ACBB EQUITATION",[1]EXPORT!$E$2:$E$10025,"M",[1]EXPORT!$T$2:$T$10025,"=1")</f>
        <v>0</v>
      </c>
      <c r="C35" s="13">
        <f>COUNTIFS([1]EXPORT!$P$2:$P$10025,"ACBB EQUITATION",[1]EXPORT!$E$2:$E$10025,"M",[1]EXPORT!$T$2:$T$10025,"=6")+COUNTIFS([1]EXPORT!$P$2:$P$10025,"ACBB EQUITATION",[1]EXPORT!$E$2:$E$10025,"M",[1]EXPORT!$T$2:$T$10025,"=7")</f>
        <v>0</v>
      </c>
      <c r="D35" s="13">
        <f>COUNTIFS([1]EXPORT!$P$2:$P$10025,"ACBB EQUITATION",[1]EXPORT!$E$2:$E$10025,"M",[1]EXPORT!$T$2:$T$10025,"=8")+COUNTIFS([1]EXPORT!$P$2:$P$10025,"ACBB EQUITATION",[1]EXPORT!$E$2:$E$10025,"M",[1]EXPORT!$T$2:$T$10025,"=9")</f>
        <v>0</v>
      </c>
      <c r="E35" s="13">
        <f>COUNTIFS([1]EXPORT!$P$2:$P$10025,"ACBB EQUITATION",[1]EXPORT!$E$2:$E$10025,"M",[1]EXPORT!$T$2:$T$10025,"=10")+COUNTIFS([1]EXPORT!$P$2:$P$10025,"ACBB EQUITATION",[1]EXPORT!$E$2:$E$10025,"M",[1]EXPORT!$T$2:$T$10025,"=11")</f>
        <v>0</v>
      </c>
      <c r="F35" s="13">
        <f>COUNTIFS([1]EXPORT!$P$2:$P$10025,"ACBB EQUITATION",[1]EXPORT!$E$2:$E$10025,"M",[1]EXPORT!$T$2:$T$10025,"=12")+COUNTIFS([1]EXPORT!$P$2:$P$10025,"ACBB EQUITATION",[1]EXPORT!$E$2:$E$10025,"M",[1]EXPORT!$T$2:$T$10025,"=13")</f>
        <v>0</v>
      </c>
      <c r="G35" s="13">
        <f>COUNTIFS([1]EXPORT!$P$2:$P$10025,"ACBB EQUITATION",[1]EXPORT!$E$2:$E$10025,"M",[1]EXPORT!$T$2:$T$10025,"=14")+COUNTIFS([1]EXPORT!$P$2:$P$10025,"ACBB EQUITATION",[1]EXPORT!$E$2:$E$10025,"M",[1]EXPORT!$T$2:$T$10025,"=15")</f>
        <v>0</v>
      </c>
      <c r="H35" s="13">
        <f>COUNTIFS([1]EXPORT!$P$2:$P$10025,"ACBB EQUITATION",[1]EXPORT!$E$2:$E$10025,"M",[1]EXPORT!$T$2:$T$10025,"=16")+COUNTIFS([1]EXPORT!$P$2:$P$10025,"ACBB EQUITATION",[1]EXPORT!$E$2:$E$10025,"M",[1]EXPORT!$T$2:$T$10025,"=17")</f>
        <v>0</v>
      </c>
      <c r="I35" s="13">
        <f>COUNTIFS([1]EXPORT!$P$2:$P$10025,"ACBB EQUITATION",[1]EXPORT!$E$2:$E$10025,"M",[1]EXPORT!$T$2:$T$10025,"&gt;=18")-COUNTIFS([1]EXPORT!$P$2:$P$10025,"ACBB EQUITATION",[1]EXPORT!$E$2:$E$10025,"M",[1]EXPORT!$T$2:$T$10025,"=121")</f>
        <v>0</v>
      </c>
      <c r="J35" s="15">
        <f t="shared" si="6"/>
        <v>0</v>
      </c>
      <c r="K35" s="13">
        <f>COUNTIFS([1]EXPORT!$P$2:$P$10025,"ACBB EQUITATION",[1]EXPORT!$E$2:$E$10025,"F",[1]EXPORT!$T$2:$T$10025,"=5")+COUNTIFS([1]EXPORT!$P$2:$P$10025,"ACBB EQUITATION",[1]EXPORT!$E$2:$E$10025,"F",[1]EXPORT!$T$2:$T$10025,"=4")+COUNTIFS([1]EXPORT!$P$2:$P$10025,"ACBB EQUITATION",[1]EXPORT!$E$2:$E$10025,"F",[1]EXPORT!$T$2:$T$10025,"=3")+COUNTIFS([1]EXPORT!$P$2:$P$10025,"ACBB EQUITATION",[1]EXPORT!$E$2:$E$10025,"F",[1]EXPORT!$T$2:$T$10025,"=2")+COUNTIFS([1]EXPORT!$P$2:$P$10025,"ACBB EQUITATION",[1]EXPORT!$E$2:$E$10025,"F",[1]EXPORT!$T$2:$T$10025,"=1")</f>
        <v>0</v>
      </c>
      <c r="L35" s="13">
        <f>COUNTIFS([1]EXPORT!$P$2:$P$10025,"ACBB EQUITATION",[1]EXPORT!$E$2:$E$10025,"F",[1]EXPORT!$T$2:$T$10025,"=6")+COUNTIFS([1]EXPORT!$P$2:$P$10025,"ACBB EQUITATION",[1]EXPORT!$E$2:$E$10025,"F",[1]EXPORT!$T$2:$T$10025,"=7")</f>
        <v>0</v>
      </c>
      <c r="M35" s="13">
        <f>COUNTIFS([1]EXPORT!$P$2:$P$10025,"ACBB EQUITATION",[1]EXPORT!$E$2:$E$10025,"F",[1]EXPORT!$T$2:$T$10025,"=8")+COUNTIFS([1]EXPORT!$P$2:$P$10025,"ACBB EQUITATION",[1]EXPORT!$E$2:$E$10025,"F",[1]EXPORT!$T$2:$T$10025,"=9")</f>
        <v>0</v>
      </c>
      <c r="N35" s="13">
        <f>COUNTIFS([1]EXPORT!$P$2:$P$10025,"ACBB EQUITATION",[1]EXPORT!$E$2:$E$10025,"F",[1]EXPORT!$T$2:$T$10025,"=10")+COUNTIFS([1]EXPORT!$P$2:$P$10025,"ACBB EQUITATION",[1]EXPORT!$E$2:$E$10025,"F",[1]EXPORT!$T$2:$T$10025,"=11")</f>
        <v>0</v>
      </c>
      <c r="O35" s="13">
        <f>COUNTIFS([1]EXPORT!$P$2:$P$10025,"ACBB EQUITATION",[1]EXPORT!$E$2:$E$10025,"F",[1]EXPORT!$T$2:$T$10025,"=12")+COUNTIFS([1]EXPORT!$P$2:$P$10025,"ACBB EQUITATION",[1]EXPORT!$E$2:$E$10025,"F",[1]EXPORT!$T$2:$T$10025,"=13")</f>
        <v>0</v>
      </c>
      <c r="P35" s="13">
        <f>COUNTIFS([1]EXPORT!$P$2:$P$10025,"ACBB EQUITATION",[1]EXPORT!$E$2:$E$10025,"F",[1]EXPORT!$T$2:$T$10025,"=14")+COUNTIFS([1]EXPORT!$P$2:$P$10025,"ACBB EQUITATION",[1]EXPORT!$E$2:$E$10025,"F",[1]EXPORT!$T$2:$T$10025,"=15")</f>
        <v>0</v>
      </c>
      <c r="Q35" s="13">
        <f>COUNTIFS([1]EXPORT!$P$2:$P$10025,"ACBB EQUITATION",[1]EXPORT!$E$2:$E$10025,"F",[1]EXPORT!$T$2:$T$10025,"=16")+COUNTIFS([1]EXPORT!$P$2:$P$10025,"ACBB EQUITATION",[1]EXPORT!$E$2:$E$10025,"F",[1]EXPORT!$T$2:$T$10025,"=17")</f>
        <v>0</v>
      </c>
      <c r="R35" s="13">
        <f>COUNTIFS([1]EXPORT!$P$2:$P$10025,"ACBB EQUITATION",[1]EXPORT!$E$2:$E$10025,"F",[1]EXPORT!$T$2:$T$10025,"&gt;=18")-COUNTIFS([1]EXPORT!$P$2:$P$10025,"ACBB EQUITATION",[1]EXPORT!$E$2:$E$10025,"F",[1]EXPORT!$T$2:$T$10025,"=121")</f>
        <v>0</v>
      </c>
      <c r="S35" s="16">
        <f t="shared" si="7"/>
        <v>0</v>
      </c>
      <c r="T35" s="14">
        <f t="shared" si="8"/>
        <v>0</v>
      </c>
      <c r="U35" s="14">
        <f t="shared" si="9"/>
        <v>0</v>
      </c>
      <c r="V35" s="14">
        <f t="shared" si="10"/>
        <v>0</v>
      </c>
      <c r="W35" s="14">
        <f t="shared" si="11"/>
        <v>0</v>
      </c>
      <c r="X35" s="14">
        <f t="shared" si="12"/>
        <v>0</v>
      </c>
      <c r="Y35" s="14">
        <f t="shared" si="13"/>
        <v>0</v>
      </c>
      <c r="Z35" s="14">
        <f t="shared" si="14"/>
        <v>0</v>
      </c>
      <c r="AA35" s="14">
        <f t="shared" si="15"/>
        <v>0</v>
      </c>
      <c r="AB35" s="15">
        <f t="shared" si="16"/>
        <v>0</v>
      </c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</row>
    <row r="36" spans="1:53" s="57" customFormat="1" x14ac:dyDescent="0.25">
      <c r="A36" s="17" t="s">
        <v>40</v>
      </c>
      <c r="B36" s="56">
        <f>COUNTIFS([1]EXPORT!$P$2:$P$10025,"ACBB SPORTS DE GLACE",[1]EXPORT!$E$2:$E$10025,"M",[1]EXPORT!$T$2:$T$10025,"=5")+COUNTIFS([1]EXPORT!$P$2:$P$10025,"ACBB SPORTS DE GLACE",[1]EXPORT!$E$2:$E$10025,"M",[1]EXPORT!$T$2:$T$10025,"=4")+COUNTIFS([1]EXPORT!$P$2:$P$10025,"ACBB SPORTS DE GLACE",[1]EXPORT!$E$2:$E$10025,"M",[1]EXPORT!$T$2:$T$10025,"=3")+COUNTIFS([1]EXPORT!$P$2:$P$10025,"ACBB SPORTS DE GLACE",[1]EXPORT!$E$2:$E$10025,"M",[1]EXPORT!$T$2:$T$10025,"=2")+COUNTIFS([1]EXPORT!$P$2:$P$10025,"ACBB SPORTS DE GLACE",[1]EXPORT!$E$2:$E$10025,"M",[1]EXPORT!$T$2:$T$10025,"=1")</f>
        <v>0</v>
      </c>
      <c r="C36" s="56">
        <f>COUNTIFS([1]EXPORT!$P$2:$P$10025,"ACBB SPORTS DE GLACE",[1]EXPORT!$E$2:$E$10025,"M",[1]EXPORT!$T$2:$T$10025,"=6")+COUNTIFS([1]EXPORT!$P$2:$P$10025,"ACBB SPORTS DE GLACE",[1]EXPORT!$E$2:$E$10025,"M",[1]EXPORT!$T$2:$T$10025,"=7")</f>
        <v>0</v>
      </c>
      <c r="D36" s="56">
        <f>COUNTIFS([1]EXPORT!$P$2:$P$10025,"ACBB SPORTS DE GLACE",[1]EXPORT!$E$2:$E$10025,"M",[1]EXPORT!$T$2:$T$10025,"=8")+COUNTIFS([1]EXPORT!$P$2:$P$10025,"ACBB SPORTS DE GLACE",[1]EXPORT!$E$2:$E$10025,"M",[1]EXPORT!$T$2:$T$10025,"=9")</f>
        <v>0</v>
      </c>
      <c r="E36" s="56">
        <f>COUNTIFS([1]EXPORT!$P$2:$P$10025,"ACBB SPORTS DE GLACE",[1]EXPORT!$E$2:$E$10025,"M",[1]EXPORT!$T$2:$T$10025,"=10")+COUNTIFS([1]EXPORT!$P$2:$P$10025,"ACBB SPORTS DE GLACE",[1]EXPORT!$E$2:$E$10025,"M",[1]EXPORT!$T$2:$T$10025,"=11")</f>
        <v>0</v>
      </c>
      <c r="F36" s="56">
        <f>COUNTIFS([1]EXPORT!$P$2:$P$10025,"ACBB SPORTS DE GLACE",[1]EXPORT!$E$2:$E$10025,"M",[1]EXPORT!$T$2:$T$10025,"=12")+COUNTIFS([1]EXPORT!$P$2:$P$10025,"ACBB SPORTS DE GLACE",[1]EXPORT!$E$2:$E$10025,"M",[1]EXPORT!$T$2:$T$10025,"=13")</f>
        <v>0</v>
      </c>
      <c r="G36" s="56">
        <f>COUNTIFS([1]EXPORT!$P$2:$P$10025,"ACBB SPORTS DE GLACE",[1]EXPORT!$E$2:$E$10025,"M",[1]EXPORT!$T$2:$T$10025,"=14")+COUNTIFS([1]EXPORT!$P$2:$P$10025,"ACBB SPORTS DE GLACE",[1]EXPORT!$E$2:$E$10025,"M",[1]EXPORT!$T$2:$T$10025,"=15")</f>
        <v>0</v>
      </c>
      <c r="H36" s="56">
        <f>COUNTIFS([1]EXPORT!$P$2:$P$10025,"ACBB SPORTS DE GLACE",[1]EXPORT!$E$2:$E$10025,"M",[1]EXPORT!$T$2:$T$10025,"=16")+COUNTIFS([1]EXPORT!$P$2:$P$10025,"ACBB SPORTS DE GLACE",[1]EXPORT!$E$2:$E$10025,"M",[1]EXPORT!$T$2:$T$10025,"=17")</f>
        <v>0</v>
      </c>
      <c r="I36" s="56">
        <f>COUNTIFS([1]EXPORT!$P$2:$P$10025,"ACBB SPORTS DE GLACE",[1]EXPORT!$E$2:$E$10025,"M",[1]EXPORT!$T$2:$T$10025,"&gt;=18")-COUNTIFS([1]EXPORT!$P$2:$P$10025,"ACBB SPORTS DE GLACE",[1]EXPORT!$E$2:$E$10025,"M",[1]EXPORT!$T$2:$T$10025,"=121")</f>
        <v>0</v>
      </c>
      <c r="J36" s="19">
        <f t="shared" si="6"/>
        <v>0</v>
      </c>
      <c r="K36" s="56">
        <f>COUNTIFS([1]EXPORT!$P$2:$P$10025,"ACBB SPORTS DE GLACE",[1]EXPORT!$E$2:$E$10025,"F",[1]EXPORT!$T$2:$T$10025,"=5")+COUNTIFS([1]EXPORT!$P$2:$P$10025,"ACBB SPORTS DE GLACE",[1]EXPORT!$E$2:$E$10025,"F",[1]EXPORT!$T$2:$T$10025,"=4")+COUNTIFS([1]EXPORT!$P$2:$P$10025,"ACBB SPORTS DE GLACE",[1]EXPORT!$E$2:$E$10025,"F",[1]EXPORT!$T$2:$T$10025,"=3")+COUNTIFS([1]EXPORT!$P$2:$P$10025,"ACBB SPORTS DE GLACE",[1]EXPORT!$E$2:$E$10025,"F",[1]EXPORT!$T$2:$T$10025,"=2")+COUNTIFS([1]EXPORT!$P$2:$P$10025,"ACBB SPORTS DE GLACE",[1]EXPORT!$E$2:$E$10025,"F",[1]EXPORT!$T$2:$T$10025,"=1")</f>
        <v>0</v>
      </c>
      <c r="L36" s="56">
        <f>COUNTIFS([1]EXPORT!$P$2:$P$10025,"ACBB SPORTS DE GLACE",[1]EXPORT!$E$2:$E$10025,"F",[1]EXPORT!$T$2:$T$10025,"=6")+COUNTIFS([1]EXPORT!$P$2:$P$10025,"ACBB SPORTS DE GLACE",[1]EXPORT!$E$2:$E$10025,"F",[1]EXPORT!$T$2:$T$10025,"=7")</f>
        <v>0</v>
      </c>
      <c r="M36" s="56">
        <f>COUNTIFS([1]EXPORT!$P$2:$P$10025,"ACBB SPORTS DE GLACE",[1]EXPORT!$E$2:$E$10025,"F",[1]EXPORT!$T$2:$T$10025,"=8")+COUNTIFS([1]EXPORT!$P$2:$P$10025,"ACBB SPORTS DE GLACE",[1]EXPORT!$E$2:$E$10025,"F",[1]EXPORT!$T$2:$T$10025,"=9")</f>
        <v>0</v>
      </c>
      <c r="N36" s="56">
        <f>COUNTIFS([1]EXPORT!$P$2:$P$10025,"ACBB SPORTS DE GLACE",[1]EXPORT!$E$2:$E$10025,"F",[1]EXPORT!$T$2:$T$10025,"=10")+COUNTIFS([1]EXPORT!$P$2:$P$10025,"ACBB SPORTS DE GLACE",[1]EXPORT!$E$2:$E$10025,"F",[1]EXPORT!$T$2:$T$10025,"=11")</f>
        <v>0</v>
      </c>
      <c r="O36" s="56">
        <f>COUNTIFS([1]EXPORT!$P$2:$P$10025,"ACBB SPORTS DE GLACE",[1]EXPORT!$E$2:$E$10025,"F",[1]EXPORT!$T$2:$T$10025,"=12")+COUNTIFS([1]EXPORT!$P$2:$P$10025,"ACBB SPORTS DE GLACE",[1]EXPORT!$E$2:$E$10025,"F",[1]EXPORT!$T$2:$T$10025,"=13")</f>
        <v>0</v>
      </c>
      <c r="P36" s="56">
        <f>COUNTIFS([1]EXPORT!$P$2:$P$10025,"ACBB SPORTS DE GLACE",[1]EXPORT!$E$2:$E$10025,"F",[1]EXPORT!$T$2:$T$10025,"=14")+COUNTIFS([1]EXPORT!$P$2:$P$10025,"ACBB SPORTS DE GLACE",[1]EXPORT!$E$2:$E$10025,"F",[1]EXPORT!$T$2:$T$10025,"=15")</f>
        <v>0</v>
      </c>
      <c r="Q36" s="56">
        <f>COUNTIFS([1]EXPORT!$P$2:$P$10025,"ACBB SPORTS DE GLACE",[1]EXPORT!$E$2:$E$10025,"F",[1]EXPORT!$T$2:$T$10025,"=16")+COUNTIFS([1]EXPORT!$P$2:$P$10025,"ACBB SPORTS DE GLACE",[1]EXPORT!$E$2:$E$10025,"F",[1]EXPORT!$T$2:$T$10025,"=17")</f>
        <v>0</v>
      </c>
      <c r="R36" s="56">
        <f>COUNTIFS([1]EXPORT!$P$2:$P$10025,"ACBB SPORTS DE GLACE",[1]EXPORT!$E$2:$E$10025,"F",[1]EXPORT!$T$2:$T$10025,"&gt;=18")-COUNTIFS([1]EXPORT!$P$2:$P$10025,"ACBB SPORTS DE GLACE",[1]EXPORT!$E$2:$E$10025,"F",[1]EXPORT!$T$2:$T$10025,"=121")</f>
        <v>0</v>
      </c>
      <c r="S36" s="20">
        <f t="shared" si="7"/>
        <v>0</v>
      </c>
      <c r="T36" s="18">
        <f t="shared" si="8"/>
        <v>0</v>
      </c>
      <c r="U36" s="18">
        <f t="shared" si="9"/>
        <v>0</v>
      </c>
      <c r="V36" s="18">
        <f t="shared" si="10"/>
        <v>0</v>
      </c>
      <c r="W36" s="18">
        <f t="shared" si="11"/>
        <v>0</v>
      </c>
      <c r="X36" s="18">
        <f t="shared" si="12"/>
        <v>0</v>
      </c>
      <c r="Y36" s="18">
        <f t="shared" si="13"/>
        <v>0</v>
      </c>
      <c r="Z36" s="18">
        <f t="shared" si="14"/>
        <v>0</v>
      </c>
      <c r="AA36" s="18">
        <f t="shared" si="15"/>
        <v>0</v>
      </c>
      <c r="AB36" s="19">
        <f t="shared" si="16"/>
        <v>0</v>
      </c>
    </row>
    <row r="37" spans="1:53" x14ac:dyDescent="0.25">
      <c r="A37" s="21" t="s">
        <v>41</v>
      </c>
      <c r="B37" s="13">
        <f>COUNTIFS([1]EXPORT!$P$2:$P$10025,"ACBB TENNIS DE TABLE",[1]EXPORT!$E$2:$E$10025,"M",[1]EXPORT!$T$2:$T$10025,"=5")+COUNTIFS([1]EXPORT!$P$2:$P$10025,"ACBB TENNIS DE TABLE",[1]EXPORT!$E$2:$E$10025,"M",[1]EXPORT!$T$2:$T$10025,"=4")+COUNTIFS([1]EXPORT!$P$2:$P$10025,"ACBB TENNIS DE TABLE",[1]EXPORT!$E$2:$E$10025,"M",[1]EXPORT!$T$2:$T$10025,"=3")+COUNTIFS([1]EXPORT!$P$2:$P$10025,"ACBB TENNIS DE TABLE",[1]EXPORT!$E$2:$E$10025,"M",[1]EXPORT!$T$2:$T$10025,"=2")+COUNTIFS([1]EXPORT!$P$2:$P$10025,"ACBB TENNIS DE TABLE",[1]EXPORT!$E$2:$E$10025,"M",[1]EXPORT!$T$2:$T$10025,"=1")</f>
        <v>0</v>
      </c>
      <c r="C37" s="13">
        <f>COUNTIFS([1]EXPORT!$P$2:$P$10025,"ACBB TENNIS DE TABLE",[1]EXPORT!$E$2:$E$10025,"M",[1]EXPORT!$T$2:$T$10025,"=6")+COUNTIFS([1]EXPORT!$P$2:$P$10025,"ACBB TENNIS DE TABLE",[1]EXPORT!$E$2:$E$10025,"M",[1]EXPORT!$T$2:$T$10025,"=7")</f>
        <v>0</v>
      </c>
      <c r="D37" s="13">
        <f>COUNTIFS([1]EXPORT!$P$2:$P$10025,"ACBB TENNIS DE TABLE",[1]EXPORT!$E$2:$E$10025,"M",[1]EXPORT!$T$2:$T$10025,"=8")+COUNTIFS([1]EXPORT!$P$2:$P$10025,"ACBB TENNIS DE TABLE",[1]EXPORT!$E$2:$E$10025,"M",[1]EXPORT!$T$2:$T$10025,"=9")</f>
        <v>0</v>
      </c>
      <c r="E37" s="13">
        <f>COUNTIFS([1]EXPORT!$P$2:$P$10025,"ACBB TENNIS DE TABLE",[1]EXPORT!$E$2:$E$10025,"M",[1]EXPORT!$T$2:$T$10025,"=10")+COUNTIFS([1]EXPORT!$P$2:$P$10025,"ACBB TENNIS DE TABLE",[1]EXPORT!$E$2:$E$10025,"M",[1]EXPORT!$T$2:$T$10025,"=11")</f>
        <v>0</v>
      </c>
      <c r="F37" s="13">
        <f>COUNTIFS([1]EXPORT!$P$2:$P$10025,"ACBB TENNIS DE TABLE",[1]EXPORT!$E$2:$E$10025,"M",[1]EXPORT!$T$2:$T$10025,"=12")+COUNTIFS([1]EXPORT!$P$2:$P$10025,"ACBB TENNIS DE TABLE",[1]EXPORT!$E$2:$E$10025,"M",[1]EXPORT!$T$2:$T$10025,"=13")</f>
        <v>0</v>
      </c>
      <c r="G37" s="13">
        <f>COUNTIFS([1]EXPORT!$P$2:$P$10025,"ACBB TENNIS DE TABLE",[1]EXPORT!$E$2:$E$10025,"M",[1]EXPORT!$T$2:$T$10025,"=14")+COUNTIFS([1]EXPORT!$P$2:$P$10025,"ACBB TENNIS DE TABLE",[1]EXPORT!$E$2:$E$10025,"M",[1]EXPORT!$T$2:$T$10025,"=15")</f>
        <v>0</v>
      </c>
      <c r="H37" s="13">
        <f>COUNTIFS([1]EXPORT!$P$2:$P$10025,"ACBB TENNIS DE TABLE",[1]EXPORT!$E$2:$E$10025,"M",[1]EXPORT!$T$2:$T$10025,"=16")+COUNTIFS([1]EXPORT!$P$2:$P$10025,"ACBB TENNIS DE TABLE",[1]EXPORT!$E$2:$E$10025,"M",[1]EXPORT!$T$2:$T$10025,"=17")</f>
        <v>0</v>
      </c>
      <c r="I37" s="13">
        <f>COUNTIFS([1]EXPORT!$P$2:$P$10025,"ACBB TENNIS DE TABLE",[1]EXPORT!$E$2:$E$10025,"M",[1]EXPORT!$T$2:$T$10025,"&gt;=18")-COUNTIFS([1]EXPORT!$P$2:$P$10025,"ACBB TENNIS DE TABLE",[1]EXPORT!$E$2:$E$10025,"M",[1]EXPORT!$T$2:$T$10025,"=121")</f>
        <v>0</v>
      </c>
      <c r="J37" s="15">
        <f t="shared" si="6"/>
        <v>0</v>
      </c>
      <c r="K37" s="13">
        <f>COUNTIFS([1]EXPORT!$P$2:$P$10025,"ACBB TENNIS DE TABLE",[1]EXPORT!$E$2:$E$10025,"F",[1]EXPORT!$T$2:$T$10025,"=5")+COUNTIFS([1]EXPORT!$P$2:$P$10025,"ACBB TENNIS DE TABLE",[1]EXPORT!$E$2:$E$10025,"F",[1]EXPORT!$T$2:$T$10025,"=4")+COUNTIFS([1]EXPORT!$P$2:$P$10025,"ACBB TENNIS DE TABLE",[1]EXPORT!$E$2:$E$10025,"F",[1]EXPORT!$T$2:$T$10025,"=3")+COUNTIFS([1]EXPORT!$P$2:$P$10025,"ACBB TENNIS DE TABLE",[1]EXPORT!$E$2:$E$10025,"F",[1]EXPORT!$T$2:$T$10025,"=2")+COUNTIFS([1]EXPORT!$P$2:$P$10025,"ACBB TENNIS DE TABLE",[1]EXPORT!$E$2:$E$10025,"F",[1]EXPORT!$T$2:$T$10025,"=1")</f>
        <v>0</v>
      </c>
      <c r="L37" s="13">
        <f>COUNTIFS([1]EXPORT!$P$2:$P$10025,"ACBB TENNIS DE TABLE",[1]EXPORT!$E$2:$E$10025,"F",[1]EXPORT!$T$2:$T$10025,"=6")+COUNTIFS([1]EXPORT!$P$2:$P$10025,"ACBB TENNIS DE TABLE",[1]EXPORT!$E$2:$E$10025,"F",[1]EXPORT!$T$2:$T$10025,"=7")</f>
        <v>0</v>
      </c>
      <c r="M37" s="13">
        <f>COUNTIFS([1]EXPORT!$P$2:$P$10025,"ACBB TENNIS DE TABLE",[1]EXPORT!$E$2:$E$10025,"F",[1]EXPORT!$T$2:$T$10025,"=8")+COUNTIFS([1]EXPORT!$P$2:$P$10025,"ACBB TENNIS DE TABLE",[1]EXPORT!$E$2:$E$10025,"F",[1]EXPORT!$T$2:$T$10025,"=9")</f>
        <v>0</v>
      </c>
      <c r="N37" s="13">
        <f>COUNTIFS([1]EXPORT!$P$2:$P$10025,"ACBB TENNIS DE TABLE",[1]EXPORT!$E$2:$E$10025,"F",[1]EXPORT!$T$2:$T$10025,"=10")+COUNTIFS([1]EXPORT!$P$2:$P$10025,"ACBB TENNIS DE TABLE",[1]EXPORT!$E$2:$E$10025,"F",[1]EXPORT!$T$2:$T$10025,"=11")</f>
        <v>0</v>
      </c>
      <c r="O37" s="13">
        <f>COUNTIFS([1]EXPORT!$P$2:$P$10025,"ACBB TENNIS DE TABLE",[1]EXPORT!$E$2:$E$10025,"F",[1]EXPORT!$T$2:$T$10025,"=12")+COUNTIFS([1]EXPORT!$P$2:$P$10025,"ACBB TENNIS DE TABLE",[1]EXPORT!$E$2:$E$10025,"F",[1]EXPORT!$T$2:$T$10025,"=13")</f>
        <v>0</v>
      </c>
      <c r="P37" s="13">
        <f>COUNTIFS([1]EXPORT!$P$2:$P$10025,"ACBB TENNIS DE TABLE",[1]EXPORT!$E$2:$E$10025,"F",[1]EXPORT!$T$2:$T$10025,"=14")+COUNTIFS([1]EXPORT!$P$2:$P$10025,"ACBB TENNIS DE TABLE",[1]EXPORT!$E$2:$E$10025,"F",[1]EXPORT!$T$2:$T$10025,"=15")</f>
        <v>0</v>
      </c>
      <c r="Q37" s="13">
        <f>COUNTIFS([1]EXPORT!$P$2:$P$10025,"ACBB TENNIS DE TABLE",[1]EXPORT!$E$2:$E$10025,"F",[1]EXPORT!$T$2:$T$10025,"=16")+COUNTIFS([1]EXPORT!$P$2:$P$10025,"ACBB TENNIS DE TABLE",[1]EXPORT!$E$2:$E$10025,"F",[1]EXPORT!$T$2:$T$10025,"=17")</f>
        <v>0</v>
      </c>
      <c r="R37" s="13">
        <f>COUNTIFS([1]EXPORT!$P$2:$P$10025,"ACBB TENNIS DE TABLE",[1]EXPORT!$E$2:$E$10025,"F",[1]EXPORT!$T$2:$T$10025,"&gt;=18")-COUNTIFS([1]EXPORT!$P$2:$P$10025,"ACBB TENNIS DE TABLE",[1]EXPORT!$E$2:$E$10025,"F",[1]EXPORT!$T$2:$T$10025,"=121")</f>
        <v>0</v>
      </c>
      <c r="S37" s="16">
        <f t="shared" si="7"/>
        <v>0</v>
      </c>
      <c r="T37" s="14">
        <f t="shared" si="8"/>
        <v>0</v>
      </c>
      <c r="U37" s="14">
        <f t="shared" si="9"/>
        <v>0</v>
      </c>
      <c r="V37" s="14">
        <f t="shared" si="10"/>
        <v>0</v>
      </c>
      <c r="W37" s="14">
        <f t="shared" si="11"/>
        <v>0</v>
      </c>
      <c r="X37" s="14">
        <f t="shared" si="12"/>
        <v>0</v>
      </c>
      <c r="Y37" s="14">
        <f t="shared" si="13"/>
        <v>0</v>
      </c>
      <c r="Z37" s="14">
        <f t="shared" si="14"/>
        <v>0</v>
      </c>
      <c r="AA37" s="14">
        <f t="shared" si="15"/>
        <v>0</v>
      </c>
      <c r="AB37" s="15">
        <f t="shared" si="16"/>
        <v>0</v>
      </c>
    </row>
    <row r="38" spans="1:53" s="57" customFormat="1" x14ac:dyDescent="0.25">
      <c r="A38" s="17" t="s">
        <v>42</v>
      </c>
      <c r="B38" s="56">
        <f>COUNTIFS([1]EXPORT!$P$2:$P$10025,"ACBB TIR À L'ARC",[1]EXPORT!$E$2:$E$10025,"M",[1]EXPORT!$T$2:$T$10025,"=5")+COUNTIFS([1]EXPORT!$P$2:$P$10025,"ACBB TIR À L'ARC",[1]EXPORT!$E$2:$E$10025,"M",[1]EXPORT!$T$2:$T$10025,"=4")+COUNTIFS([1]EXPORT!$P$2:$P$10025,"ACBB TIR À L'ARC",[1]EXPORT!$E$2:$E$10025,"M",[1]EXPORT!$T$2:$T$10025,"=3")+COUNTIFS([1]EXPORT!$P$2:$P$10025,"ACBB TIR À L'ARC",[1]EXPORT!$E$2:$E$10025,"M",[1]EXPORT!$T$2:$T$10025,"=2")+COUNTIFS([1]EXPORT!$P$2:$P$10025,"ACBB TIR À L'ARC",[1]EXPORT!$E$2:$E$10025,"M",[1]EXPORT!$T$2:$T$10025,"=1")</f>
        <v>0</v>
      </c>
      <c r="C38" s="56">
        <f>COUNTIFS([1]EXPORT!$P$2:$P$10025,"ACBB TIR À L'ARC",[1]EXPORT!$E$2:$E$10025,"M",[1]EXPORT!$T$2:$T$10025,"=6")+COUNTIFS([1]EXPORT!$P$2:$P$10025,"ACBB TIR À L'ARC",[1]EXPORT!$E$2:$E$10025,"M",[1]EXPORT!$T$2:$T$10025,"=7")</f>
        <v>0</v>
      </c>
      <c r="D38" s="56">
        <f>COUNTIFS([1]EXPORT!$P$2:$P$10025,"ACBB TIR À L'ARC",[1]EXPORT!$E$2:$E$10025,"M",[1]EXPORT!$T$2:$T$10025,"=8")+COUNTIFS([1]EXPORT!$P$2:$P$10025,"ACBB TIR À L'ARC",[1]EXPORT!$E$2:$E$10025,"M",[1]EXPORT!$T$2:$T$10025,"=9")</f>
        <v>0</v>
      </c>
      <c r="E38" s="56">
        <f>COUNTIFS([1]EXPORT!$P$2:$P$10025,"ACBB TIR À L'ARC",[1]EXPORT!$E$2:$E$10025,"M",[1]EXPORT!$T$2:$T$10025,"=10")+COUNTIFS([1]EXPORT!$P$2:$P$10025,"ACBB TIR À L'ARC",[1]EXPORT!$E$2:$E$10025,"M",[1]EXPORT!$T$2:$T$10025,"=11")</f>
        <v>0</v>
      </c>
      <c r="F38" s="56">
        <f>COUNTIFS([1]EXPORT!$P$2:$P$10025,"ACBB TIR À L'ARC",[1]EXPORT!$E$2:$E$10025,"M",[1]EXPORT!$T$2:$T$10025,"=12")+COUNTIFS([1]EXPORT!$P$2:$P$10025,"ACBB TIR À L'ARC",[1]EXPORT!$E$2:$E$10025,"M",[1]EXPORT!$T$2:$T$10025,"=13")</f>
        <v>0</v>
      </c>
      <c r="G38" s="56">
        <f>COUNTIFS([1]EXPORT!$P$2:$P$10025,"ACBB TIR À L'ARC",[1]EXPORT!$E$2:$E$10025,"M",[1]EXPORT!$T$2:$T$10025,"=14")+COUNTIFS([1]EXPORT!$P$2:$P$10025,"ACBB TIR À L'ARC",[1]EXPORT!$E$2:$E$10025,"M",[1]EXPORT!$T$2:$T$10025,"=15")</f>
        <v>0</v>
      </c>
      <c r="H38" s="56">
        <f>COUNTIFS([1]EXPORT!$P$2:$P$10025,"ACBB TIR À L'ARC",[1]EXPORT!$E$2:$E$10025,"M",[1]EXPORT!$T$2:$T$10025,"=16")+COUNTIFS([1]EXPORT!$P$2:$P$10025,"ACBB TIR À L'ARC",[1]EXPORT!$E$2:$E$10025,"M",[1]EXPORT!$T$2:$T$10025,"=17")</f>
        <v>0</v>
      </c>
      <c r="I38" s="56">
        <f>COUNTIFS([1]EXPORT!$P$2:$P$10025,"ACBB TIR À L'ARC",[1]EXPORT!$E$2:$E$10025,"M",[1]EXPORT!$T$2:$T$10025,"&gt;=18")-COUNTIFS([1]EXPORT!$P$2:$P$10025,"ACBB TIR À L'ARC",[1]EXPORT!$E$2:$E$10025,"M",[1]EXPORT!$T$2:$T$10025,"=121")</f>
        <v>0</v>
      </c>
      <c r="J38" s="19">
        <f t="shared" si="6"/>
        <v>0</v>
      </c>
      <c r="K38" s="56">
        <f>COUNTIFS([1]EXPORT!$P$2:$P$10025,"ACBB TIR À L'ARC",[1]EXPORT!$E$2:$E$10025,"F",[1]EXPORT!$T$2:$T$10025,"=5")+COUNTIFS([1]EXPORT!$P$2:$P$10025,"ACBB TIR À L'ARC",[1]EXPORT!$E$2:$E$10025,"F",[1]EXPORT!$T$2:$T$10025,"=4")+COUNTIFS([1]EXPORT!$P$2:$P$10025,"ACBB TIR À L'ARC",[1]EXPORT!$E$2:$E$10025,"F",[1]EXPORT!$T$2:$T$10025,"=3")+COUNTIFS([1]EXPORT!$P$2:$P$10025,"ACBB TIR À L'ARC",[1]EXPORT!$E$2:$E$10025,"F",[1]EXPORT!$T$2:$T$10025,"=2")+COUNTIFS([1]EXPORT!$P$2:$P$10025,"ACBB TIR À L'ARC",[1]EXPORT!$E$2:$E$10025,"F",[1]EXPORT!$T$2:$T$10025,"=1")</f>
        <v>0</v>
      </c>
      <c r="L38" s="56">
        <f>COUNTIFS([1]EXPORT!$P$2:$P$10025,"ACBB TIR À L'ARC",[1]EXPORT!$E$2:$E$10025,"F",[1]EXPORT!$T$2:$T$10025,"=6")+COUNTIFS([1]EXPORT!$P$2:$P$10025,"ACBB TIR À L'ARC",[1]EXPORT!$E$2:$E$10025,"F",[1]EXPORT!$T$2:$T$10025,"=7")</f>
        <v>0</v>
      </c>
      <c r="M38" s="56">
        <f>COUNTIFS([1]EXPORT!$P$2:$P$10025,"ACBB TIR À L'ARC",[1]EXPORT!$E$2:$E$10025,"F",[1]EXPORT!$T$2:$T$10025,"=8")+COUNTIFS([1]EXPORT!$P$2:$P$10025,"ACBB TIR À L'ARC",[1]EXPORT!$E$2:$E$10025,"F",[1]EXPORT!$T$2:$T$10025,"=9")</f>
        <v>0</v>
      </c>
      <c r="N38" s="56">
        <f>COUNTIFS([1]EXPORT!$P$2:$P$10025,"ACBB TIR À L'ARC",[1]EXPORT!$E$2:$E$10025,"F",[1]EXPORT!$T$2:$T$10025,"=10")+COUNTIFS([1]EXPORT!$P$2:$P$10025,"ACBB TIR À L'ARC",[1]EXPORT!$E$2:$E$10025,"F",[1]EXPORT!$T$2:$T$10025,"=11")</f>
        <v>0</v>
      </c>
      <c r="O38" s="56">
        <f>COUNTIFS([1]EXPORT!$P$2:$P$10025,"ACBB TIR À L'ARC",[1]EXPORT!$E$2:$E$10025,"F",[1]EXPORT!$T$2:$T$10025,"=12")+COUNTIFS([1]EXPORT!$P$2:$P$10025,"ACBB TIR À L'ARC",[1]EXPORT!$E$2:$E$10025,"F",[1]EXPORT!$T$2:$T$10025,"=13")</f>
        <v>0</v>
      </c>
      <c r="P38" s="56">
        <f>COUNTIFS([1]EXPORT!$P$2:$P$10025,"ACBB TIR À L'ARC",[1]EXPORT!$E$2:$E$10025,"F",[1]EXPORT!$T$2:$T$10025,"=14")+COUNTIFS([1]EXPORT!$P$2:$P$10025,"ACBB TIR À L'ARC",[1]EXPORT!$E$2:$E$10025,"F",[1]EXPORT!$T$2:$T$10025,"=15")</f>
        <v>0</v>
      </c>
      <c r="Q38" s="56">
        <f>COUNTIFS([1]EXPORT!$P$2:$P$10025,"ACBB TIR À L'ARC",[1]EXPORT!$E$2:$E$10025,"F",[1]EXPORT!$T$2:$T$10025,"=16")+COUNTIFS([1]EXPORT!$P$2:$P$10025,"ACBB TIR À L'ARC",[1]EXPORT!$E$2:$E$10025,"F",[1]EXPORT!$T$2:$T$10025,"=17")</f>
        <v>0</v>
      </c>
      <c r="R38" s="56">
        <f>COUNTIFS([1]EXPORT!$P$2:$P$10025,"ACBB TIR À L'ARC",[1]EXPORT!$E$2:$E$10025,"F",[1]EXPORT!$T$2:$T$10025,"&gt;=18")-COUNTIFS([1]EXPORT!$P$2:$P$10025,"ACBB TIR À L'ARC",[1]EXPORT!$E$2:$E$10025,"F",[1]EXPORT!$T$2:$T$10025,"=121")</f>
        <v>0</v>
      </c>
      <c r="S38" s="20">
        <f t="shared" si="7"/>
        <v>0</v>
      </c>
      <c r="T38" s="18">
        <f t="shared" si="8"/>
        <v>0</v>
      </c>
      <c r="U38" s="18">
        <f t="shared" si="9"/>
        <v>0</v>
      </c>
      <c r="V38" s="18">
        <f t="shared" si="10"/>
        <v>0</v>
      </c>
      <c r="W38" s="18">
        <f t="shared" si="11"/>
        <v>0</v>
      </c>
      <c r="X38" s="18">
        <f t="shared" si="12"/>
        <v>0</v>
      </c>
      <c r="Y38" s="18">
        <f t="shared" si="13"/>
        <v>0</v>
      </c>
      <c r="Z38" s="18">
        <f t="shared" si="14"/>
        <v>0</v>
      </c>
      <c r="AA38" s="18">
        <f t="shared" si="15"/>
        <v>0</v>
      </c>
      <c r="AB38" s="19">
        <f t="shared" si="16"/>
        <v>0</v>
      </c>
    </row>
    <row r="39" spans="1:53" x14ac:dyDescent="0.25">
      <c r="A39" s="21" t="s">
        <v>43</v>
      </c>
      <c r="B39" s="13">
        <f>COUNTIFS([1]EXPORT!$P$2:$P$10025,"ACBB Triathlon",[1]EXPORT!$E$2:$E$10025,"M",[1]EXPORT!$T$2:$T$10025,"=5")+COUNTIFS([1]EXPORT!$P$2:$P$10025,"ACBB Triathlon",[1]EXPORT!$E$2:$E$10025,"M",[1]EXPORT!$T$2:$T$10025,"=4")+COUNTIFS([1]EXPORT!$P$2:$P$10025,"ACBB Triathlon",[1]EXPORT!$E$2:$E$10025,"M",[1]EXPORT!$T$2:$T$10025,"=3")+COUNTIFS([1]EXPORT!$P$2:$P$10025,"ACBB Triathlon",[1]EXPORT!$E$2:$E$10025,"M",[1]EXPORT!$T$2:$T$10025,"=2")+COUNTIFS([1]EXPORT!$P$2:$P$10025,"ACBB Triathlon",[1]EXPORT!$E$2:$E$10025,"M",[1]EXPORT!$T$2:$T$10025,"=1")</f>
        <v>0</v>
      </c>
      <c r="C39" s="13">
        <f>COUNTIFS([1]EXPORT!$P$2:$P$10025,"ACBB Triathlon",[1]EXPORT!$E$2:$E$10025,"M",[1]EXPORT!$T$2:$T$10025,"=6")+COUNTIFS([1]EXPORT!$P$2:$P$10025,"ACBB Triathlon",[1]EXPORT!$E$2:$E$10025,"M",[1]EXPORT!$T$2:$T$10025,"=7")</f>
        <v>0</v>
      </c>
      <c r="D39" s="13">
        <v>11</v>
      </c>
      <c r="E39" s="13">
        <v>17</v>
      </c>
      <c r="F39" s="13">
        <v>20</v>
      </c>
      <c r="G39" s="13">
        <v>18</v>
      </c>
      <c r="H39" s="13">
        <v>24</v>
      </c>
      <c r="I39" s="13">
        <v>86</v>
      </c>
      <c r="J39" s="15">
        <f t="shared" si="6"/>
        <v>176</v>
      </c>
      <c r="K39" s="13">
        <f>COUNTIFS([1]EXPORT!$P$2:$P$10025,"ACBB Triathlon",[1]EXPORT!$E$2:$E$10025,"F",[1]EXPORT!$T$2:$T$10025,"=5")+COUNTIFS([1]EXPORT!$P$2:$P$10025,"ACBB Triathlon",[1]EXPORT!$E$2:$E$10025,"F",[1]EXPORT!$T$2:$T$10025,"=4")+COUNTIFS([1]EXPORT!$P$2:$P$10025,"ACBB Triathlon",[1]EXPORT!$E$2:$E$10025,"F",[1]EXPORT!$T$2:$T$10025,"=3")+COUNTIFS([1]EXPORT!$P$2:$P$10025,"ACBB Triathlon",[1]EXPORT!$E$2:$E$10025,"F",[1]EXPORT!$T$2:$T$10025,"=2")+COUNTIFS([1]EXPORT!$P$2:$P$10025,"ACBB Triathlon",[1]EXPORT!$E$2:$E$10025,"F",[1]EXPORT!$T$2:$T$10025,"=1")</f>
        <v>0</v>
      </c>
      <c r="L39" s="13">
        <f>COUNTIFS([1]EXPORT!$P$2:$P$10025,"ACBB Triathlon",[1]EXPORT!$E$2:$E$10025,"F",[1]EXPORT!$T$2:$T$10025,"=6")+COUNTIFS([1]EXPORT!$P$2:$P$10025,"ACBB Triathlon",[1]EXPORT!$E$2:$E$10025,"F",[1]EXPORT!$T$2:$T$10025,"=7")</f>
        <v>0</v>
      </c>
      <c r="M39" s="13">
        <v>5</v>
      </c>
      <c r="N39" s="13">
        <v>15</v>
      </c>
      <c r="O39" s="13">
        <v>15</v>
      </c>
      <c r="P39" s="13">
        <v>5</v>
      </c>
      <c r="Q39" s="13">
        <v>8</v>
      </c>
      <c r="R39" s="13">
        <f>COUNTIFS([1]EXPORT!$P$2:$P$10025,"ACBB Triathlon",[1]EXPORT!$E$2:$E$10025,"F",[1]EXPORT!$T$2:$T$10025,"&gt;=18")-COUNTIFS([1]EXPORT!$P$2:$P$10025,"ACBB Triathlon",[1]EXPORT!$E$2:$E$10025,"F",[1]EXPORT!$T$2:$T$10025,"=121")</f>
        <v>0</v>
      </c>
      <c r="S39" s="16">
        <f t="shared" si="7"/>
        <v>48</v>
      </c>
      <c r="T39" s="14">
        <f t="shared" si="8"/>
        <v>0</v>
      </c>
      <c r="U39" s="14">
        <f t="shared" si="9"/>
        <v>0</v>
      </c>
      <c r="V39" s="14">
        <f t="shared" si="10"/>
        <v>16</v>
      </c>
      <c r="W39" s="14">
        <f t="shared" si="11"/>
        <v>32</v>
      </c>
      <c r="X39" s="14">
        <f t="shared" si="12"/>
        <v>35</v>
      </c>
      <c r="Y39" s="14">
        <f t="shared" si="13"/>
        <v>23</v>
      </c>
      <c r="Z39" s="14">
        <f t="shared" si="14"/>
        <v>32</v>
      </c>
      <c r="AA39" s="14">
        <f t="shared" si="15"/>
        <v>86</v>
      </c>
      <c r="AB39" s="19">
        <f t="shared" si="16"/>
        <v>224</v>
      </c>
    </row>
    <row r="40" spans="1:53" s="57" customFormat="1" x14ac:dyDescent="0.25">
      <c r="A40" s="17" t="s">
        <v>44</v>
      </c>
      <c r="B40" s="56">
        <f>COUNTIFS([1]EXPORT!$P$2:$P$10025,"ACBB VOLLEY-BALL",[1]EXPORT!$E$2:$E$10025,"M",[1]EXPORT!$T$2:$T$10025,"=5")+COUNTIFS([1]EXPORT!$P$2:$P$10025,"ACBB VOLLEY-BALL",[1]EXPORT!$E$2:$E$10025,"M",[1]EXPORT!$T$2:$T$10025,"=4")+COUNTIFS([1]EXPORT!$P$2:$P$10025,"ACBB VOLLEY-BALL",[1]EXPORT!$E$2:$E$10025,"M",[1]EXPORT!$T$2:$T$10025,"=3")+COUNTIFS([1]EXPORT!$P$2:$P$10025,"ACBB VOLLEY-BALL",[1]EXPORT!$E$2:$E$10025,"M",[1]EXPORT!$T$2:$T$10025,"=2")+COUNTIFS([1]EXPORT!$P$2:$P$10025,"ACBB VOLLEY-BALL",[1]EXPORT!$E$2:$E$10025,"M",[1]EXPORT!$T$2:$T$10025,"=1")</f>
        <v>0</v>
      </c>
      <c r="C40" s="56">
        <f>COUNTIFS([1]EXPORT!$P$2:$P$10025,"ACBB VOLLEY-BALL",[1]EXPORT!$E$2:$E$10025,"M",[1]EXPORT!$T$2:$T$10025,"=6")+COUNTIFS([1]EXPORT!$P$2:$P$10025,"ACBB VOLLEY-BALL",[1]EXPORT!$E$2:$E$10025,"M",[1]EXPORT!$T$2:$T$10025,"=7")</f>
        <v>0</v>
      </c>
      <c r="D40" s="56">
        <f>COUNTIFS([1]EXPORT!$P$2:$P$10025,"ACBB VOLLEY-BALL",[1]EXPORT!$E$2:$E$10025,"M",[1]EXPORT!$T$2:$T$10025,"=8")+COUNTIFS([1]EXPORT!$P$2:$P$10025,"ACBB VOLLEY-BALL",[1]EXPORT!$E$2:$E$10025,"M",[1]EXPORT!$T$2:$T$10025,"=9")</f>
        <v>0</v>
      </c>
      <c r="E40" s="56">
        <f>COUNTIFS([1]EXPORT!$P$2:$P$10025,"ACBB VOLLEY-BALL",[1]EXPORT!$E$2:$E$10025,"M",[1]EXPORT!$T$2:$T$10025,"=10")+COUNTIFS([1]EXPORT!$P$2:$P$10025,"ACBB VOLLEY-BALL",[1]EXPORT!$E$2:$E$10025,"M",[1]EXPORT!$T$2:$T$10025,"=11")</f>
        <v>0</v>
      </c>
      <c r="F40" s="56">
        <f>COUNTIFS([1]EXPORT!$P$2:$P$10025,"ACBB VOLLEY-BALL",[1]EXPORT!$E$2:$E$10025,"M",[1]EXPORT!$T$2:$T$10025,"=12")+COUNTIFS([1]EXPORT!$P$2:$P$10025,"ACBB VOLLEY-BALL",[1]EXPORT!$E$2:$E$10025,"M",[1]EXPORT!$T$2:$T$10025,"=13")</f>
        <v>0</v>
      </c>
      <c r="G40" s="56">
        <f>COUNTIFS([1]EXPORT!$P$2:$P$10025,"ACBB VOLLEY-BALL",[1]EXPORT!$E$2:$E$10025,"M",[1]EXPORT!$T$2:$T$10025,"=14")+COUNTIFS([1]EXPORT!$P$2:$P$10025,"ACBB VOLLEY-BALL",[1]EXPORT!$E$2:$E$10025,"M",[1]EXPORT!$T$2:$T$10025,"=15")</f>
        <v>0</v>
      </c>
      <c r="H40" s="56">
        <f>COUNTIFS([1]EXPORT!$P$2:$P$10025,"ACBB VOLLEY-BALL",[1]EXPORT!$E$2:$E$10025,"M",[1]EXPORT!$T$2:$T$10025,"=16")+COUNTIFS([1]EXPORT!$P$2:$P$10025,"ACBB VOLLEY-BALL",[1]EXPORT!$E$2:$E$10025,"M",[1]EXPORT!$T$2:$T$10025,"=17")</f>
        <v>0</v>
      </c>
      <c r="I40" s="56">
        <f>COUNTIFS([1]EXPORT!$P$2:$P$10025,"ACBB VOLLEY-BALL",[1]EXPORT!$E$2:$E$10025,"M",[1]EXPORT!$T$2:$T$10025,"&gt;=18")-COUNTIFS([1]EXPORT!$P$2:$P$10025,"ACBB VOLLEY-BALL",[1]EXPORT!$E$2:$E$10025,"M",[1]EXPORT!$T$2:$T$10025,"=121")</f>
        <v>0</v>
      </c>
      <c r="J40" s="19">
        <f t="shared" si="6"/>
        <v>0</v>
      </c>
      <c r="K40" s="56">
        <f>COUNTIFS([1]EXPORT!$P$2:$P$10025,"ACBB VOLLEY-BALL",[1]EXPORT!$E$2:$E$10025,"F",[1]EXPORT!$T$2:$T$10025,"=5")+COUNTIFS([1]EXPORT!$P$2:$P$10025,"ACBB VOLLEY-BALL",[1]EXPORT!$E$2:$E$10025,"F",[1]EXPORT!$T$2:$T$10025,"=4")+COUNTIFS([1]EXPORT!$P$2:$P$10025,"ACBB VOLLEY-BALL",[1]EXPORT!$E$2:$E$10025,"F",[1]EXPORT!$T$2:$T$10025,"=3")+COUNTIFS([1]EXPORT!$P$2:$P$10025,"ACBB VOLLEY-BALL",[1]EXPORT!$E$2:$E$10025,"F",[1]EXPORT!$T$2:$T$10025,"=2")+COUNTIFS([1]EXPORT!$P$2:$P$10025,"ACBB VOLLEY-BALL",[1]EXPORT!$E$2:$E$10025,"F",[1]EXPORT!$T$2:$T$10025,"=1")</f>
        <v>0</v>
      </c>
      <c r="L40" s="56">
        <f>COUNTIFS([1]EXPORT!$P$2:$P$10025,"ACBB VOLLEY-BALL",[1]EXPORT!$E$2:$E$10025,"F",[1]EXPORT!$T$2:$T$10025,"=6")+COUNTIFS([1]EXPORT!$P$2:$P$10025,"ACBB VOLLEY-BALL",[1]EXPORT!$E$2:$E$10025,"F",[1]EXPORT!$T$2:$T$10025,"=7")</f>
        <v>0</v>
      </c>
      <c r="M40" s="56">
        <f>COUNTIFS([1]EXPORT!$P$2:$P$10025,"ACBB VOLLEY-BALL",[1]EXPORT!$E$2:$E$10025,"F",[1]EXPORT!$T$2:$T$10025,"=8")+COUNTIFS([1]EXPORT!$P$2:$P$10025,"ACBB VOLLEY-BALL",[1]EXPORT!$E$2:$E$10025,"F",[1]EXPORT!$T$2:$T$10025,"=9")</f>
        <v>0</v>
      </c>
      <c r="N40" s="56">
        <f>COUNTIFS([1]EXPORT!$P$2:$P$10025,"ACBB VOLLEY-BALL",[1]EXPORT!$E$2:$E$10025,"F",[1]EXPORT!$T$2:$T$10025,"=10")+COUNTIFS([1]EXPORT!$P$2:$P$10025,"ACBB VOLLEY-BALL",[1]EXPORT!$E$2:$E$10025,"F",[1]EXPORT!$T$2:$T$10025,"=11")</f>
        <v>0</v>
      </c>
      <c r="O40" s="56">
        <f>COUNTIFS([1]EXPORT!$P$2:$P$10025,"ACBB VOLLEY-BALL",[1]EXPORT!$E$2:$E$10025,"F",[1]EXPORT!$T$2:$T$10025,"=12")+COUNTIFS([1]EXPORT!$P$2:$P$10025,"ACBB VOLLEY-BALL",[1]EXPORT!$E$2:$E$10025,"F",[1]EXPORT!$T$2:$T$10025,"=13")</f>
        <v>0</v>
      </c>
      <c r="P40" s="56">
        <f>COUNTIFS([1]EXPORT!$P$2:$P$10025,"ACBB VOLLEY-BALL",[1]EXPORT!$E$2:$E$10025,"F",[1]EXPORT!$T$2:$T$10025,"=14")+COUNTIFS([1]EXPORT!$P$2:$P$10025,"ACBB VOLLEY-BALL",[1]EXPORT!$E$2:$E$10025,"F",[1]EXPORT!$T$2:$T$10025,"=15")</f>
        <v>0</v>
      </c>
      <c r="Q40" s="56">
        <f>COUNTIFS([1]EXPORT!$P$2:$P$10025,"ACBB VOLLEY-BALL",[1]EXPORT!$E$2:$E$10025,"F",[1]EXPORT!$T$2:$T$10025,"=16")+COUNTIFS([1]EXPORT!$P$2:$P$10025,"ACBB VOLLEY-BALL",[1]EXPORT!$E$2:$E$10025,"F",[1]EXPORT!$T$2:$T$10025,"=17")</f>
        <v>0</v>
      </c>
      <c r="R40" s="56">
        <f>COUNTIFS([1]EXPORT!$P$2:$P$10025,"ACBB VOLLEY-BALL",[1]EXPORT!$E$2:$E$10025,"F",[1]EXPORT!$T$2:$T$10025,"&gt;=18")-COUNTIFS([1]EXPORT!$P$2:$P$10025,"ACBB VOLLEY-BALL",[1]EXPORT!$E$2:$E$10025,"F",[1]EXPORT!$T$2:$T$10025,"=121")</f>
        <v>0</v>
      </c>
      <c r="S40" s="20">
        <f t="shared" si="7"/>
        <v>0</v>
      </c>
      <c r="T40" s="18">
        <f t="shared" si="8"/>
        <v>0</v>
      </c>
      <c r="U40" s="18">
        <f t="shared" si="9"/>
        <v>0</v>
      </c>
      <c r="V40" s="18">
        <f t="shared" si="10"/>
        <v>0</v>
      </c>
      <c r="W40" s="18">
        <f t="shared" si="11"/>
        <v>0</v>
      </c>
      <c r="X40" s="18">
        <f t="shared" si="12"/>
        <v>0</v>
      </c>
      <c r="Y40" s="18">
        <f t="shared" si="13"/>
        <v>0</v>
      </c>
      <c r="Z40" s="18">
        <f t="shared" si="14"/>
        <v>0</v>
      </c>
      <c r="AA40" s="18">
        <f t="shared" si="15"/>
        <v>0</v>
      </c>
      <c r="AB40" s="19">
        <f t="shared" si="16"/>
        <v>0</v>
      </c>
    </row>
    <row r="41" spans="1:53" x14ac:dyDescent="0.25">
      <c r="A41" s="22" t="s">
        <v>45</v>
      </c>
      <c r="B41" s="13">
        <f>COUNTIFS([1]EXPORT!$P$2:$P$10025,"ACBB YOGA",[1]EXPORT!$E$2:$E$10025,"M",[1]EXPORT!$T$2:$T$10025,"=5")+COUNTIFS([1]EXPORT!$P$2:$P$10025,"ACBB YOGA",[1]EXPORT!$E$2:$E$10025,"M",[1]EXPORT!$T$2:$T$10025,"=4")+COUNTIFS([1]EXPORT!$P$2:$P$10025,"ACBB YOGA",[1]EXPORT!$E$2:$E$10025,"M",[1]EXPORT!$T$2:$T$10025,"=3")+COUNTIFS([1]EXPORT!$P$2:$P$10025,"ACBB YOGA",[1]EXPORT!$E$2:$E$10025,"M",[1]EXPORT!$T$2:$T$10025,"=2")+COUNTIFS([1]EXPORT!$P$2:$P$10025,"ACBB YOGA",[1]EXPORT!$E$2:$E$10025,"M",[1]EXPORT!$T$2:$T$10025,"=1")</f>
        <v>0</v>
      </c>
      <c r="C41" s="13">
        <f>COUNTIFS([1]EXPORT!$P$2:$P$10025,"ACBB YOGA",[1]EXPORT!$E$2:$E$10025,"M",[1]EXPORT!$T$2:$T$10025,"=6")+COUNTIFS([1]EXPORT!$P$2:$P$10025,"ACBB YOGA",[1]EXPORT!$E$2:$E$10025,"M",[1]EXPORT!$T$2:$T$10025,"=7")</f>
        <v>0</v>
      </c>
      <c r="D41" s="13">
        <f>COUNTIFS([1]EXPORT!$P$2:$P$10025,"ACBB YOGA",[1]EXPORT!$E$2:$E$10025,"M",[1]EXPORT!$T$2:$T$10025,"=8")+COUNTIFS([1]EXPORT!$P$2:$P$10025,"ACBB YOGA",[1]EXPORT!$E$2:$E$10025,"M",[1]EXPORT!$T$2:$T$10025,"=9")</f>
        <v>0</v>
      </c>
      <c r="E41" s="13">
        <f>COUNTIFS([1]EXPORT!$P$2:$P$10025,"ACBB YOGA",[1]EXPORT!$E$2:$E$10025,"M",[1]EXPORT!$T$2:$T$10025,"=10")+COUNTIFS([1]EXPORT!$P$2:$P$10025,"ACBB YOGA",[1]EXPORT!$E$2:$E$10025,"M",[1]EXPORT!$T$2:$T$10025,"=11")</f>
        <v>0</v>
      </c>
      <c r="F41" s="13">
        <f>COUNTIFS([1]EXPORT!$P$2:$P$10025,"ACBB YOGA",[1]EXPORT!$E$2:$E$10025,"M",[1]EXPORT!$T$2:$T$10025,"=12")+COUNTIFS([1]EXPORT!$P$2:$P$10025,"ACBB YOGA",[1]EXPORT!$E$2:$E$10025,"M",[1]EXPORT!$T$2:$T$10025,"=13")</f>
        <v>0</v>
      </c>
      <c r="G41" s="13">
        <f>COUNTIFS([1]EXPORT!$P$2:$P$10025,"ACBB YOGA",[1]EXPORT!$E$2:$E$10025,"M",[1]EXPORT!$T$2:$T$10025,"=14")+COUNTIFS([1]EXPORT!$P$2:$P$10025,"ACBB YOGA",[1]EXPORT!$E$2:$E$10025,"M",[1]EXPORT!$T$2:$T$10025,"=15")</f>
        <v>0</v>
      </c>
      <c r="H41" s="13">
        <f>COUNTIFS([1]EXPORT!$P$2:$P$10025,"ACBB YOGA",[1]EXPORT!$E$2:$E$10025,"M",[1]EXPORT!$T$2:$T$10025,"=16")+COUNTIFS([1]EXPORT!$P$2:$P$10025,"ACBB YOGA",[1]EXPORT!$E$2:$E$10025,"M",[1]EXPORT!$T$2:$T$10025,"=17")</f>
        <v>0</v>
      </c>
      <c r="I41" s="13">
        <v>27</v>
      </c>
      <c r="J41" s="15">
        <f t="shared" si="6"/>
        <v>27</v>
      </c>
      <c r="K41" s="13">
        <v>0</v>
      </c>
      <c r="L41" s="13">
        <f>COUNTIFS([1]EXPORT!$P$2:$P$10025,"ACBB YOGA",[1]EXPORT!$E$2:$E$10025,"F",[1]EXPORT!$T$2:$T$10025,"=6")+COUNTIFS([1]EXPORT!$P$2:$P$10025,"ACBB YOGA",[1]EXPORT!$E$2:$E$10025,"F",[1]EXPORT!$T$2:$T$10025,"=7")</f>
        <v>0</v>
      </c>
      <c r="M41" s="13">
        <f>COUNTIFS([1]EXPORT!$P$2:$P$10025,"ACBB YOGA",[1]EXPORT!$E$2:$E$10025,"F",[1]EXPORT!$T$2:$T$10025,"=8")+COUNTIFS([1]EXPORT!$P$2:$P$10025,"ACBB YOGA",[1]EXPORT!$E$2:$E$10025,"F",[1]EXPORT!$T$2:$T$10025,"=9")</f>
        <v>0</v>
      </c>
      <c r="N41" s="13">
        <f>COUNTIFS([1]EXPORT!$P$2:$P$10025,"ACBB YOGA",[1]EXPORT!$E$2:$E$10025,"F",[1]EXPORT!$T$2:$T$10025,"=10")+COUNTIFS([1]EXPORT!$P$2:$P$10025,"ACBB YOGA",[1]EXPORT!$E$2:$E$10025,"F",[1]EXPORT!$T$2:$T$10025,"=11")</f>
        <v>0</v>
      </c>
      <c r="O41" s="13">
        <f>COUNTIFS([1]EXPORT!$P$2:$P$10025,"ACBB YOGA",[1]EXPORT!$E$2:$E$10025,"F",[1]EXPORT!$T$2:$T$10025,"=12")+COUNTIFS([1]EXPORT!$P$2:$P$10025,"ACBB YOGA",[1]EXPORT!$E$2:$E$10025,"F",[1]EXPORT!$T$2:$T$10025,"=13")</f>
        <v>0</v>
      </c>
      <c r="P41" s="13">
        <f>COUNTIFS([1]EXPORT!$P$2:$P$10025,"ACBB YOGA",[1]EXPORT!$E$2:$E$10025,"F",[1]EXPORT!$T$2:$T$10025,"=14")+COUNTIFS([1]EXPORT!$P$2:$P$10025,"ACBB YOGA",[1]EXPORT!$E$2:$E$10025,"F",[1]EXPORT!$T$2:$T$10025,"=15")</f>
        <v>0</v>
      </c>
      <c r="Q41" s="13">
        <f>COUNTIFS([1]EXPORT!$P$2:$P$10025,"ACBB YOGA",[1]EXPORT!$E$2:$E$10025,"F",[1]EXPORT!$T$2:$T$10025,"=16")+COUNTIFS([1]EXPORT!$P$2:$P$10025,"ACBB YOGA",[1]EXPORT!$E$2:$E$10025,"F",[1]EXPORT!$T$2:$T$10025,"=17")</f>
        <v>0</v>
      </c>
      <c r="R41" s="13">
        <f>COUNTIFS([1]EXPORT!$P$2:$P$10025,"ACBB YOGA",[1]EXPORT!$E$2:$E$10025,"F",[1]EXPORT!$T$2:$T$10025,"&gt;=18")-COUNTIFS([1]EXPORT!$P$2:$P$10025,"ACBB YOGA",[1]EXPORT!$E$2:$E$10025,"F",[1]EXPORT!$T$2:$T$10025,"=121")</f>
        <v>0</v>
      </c>
      <c r="S41" s="16">
        <f t="shared" si="7"/>
        <v>0</v>
      </c>
      <c r="T41" s="14">
        <f t="shared" si="8"/>
        <v>0</v>
      </c>
      <c r="U41" s="14">
        <f t="shared" si="9"/>
        <v>0</v>
      </c>
      <c r="V41" s="14">
        <f t="shared" si="10"/>
        <v>0</v>
      </c>
      <c r="W41" s="14">
        <f t="shared" si="11"/>
        <v>0</v>
      </c>
      <c r="X41" s="14">
        <f t="shared" si="12"/>
        <v>0</v>
      </c>
      <c r="Y41" s="14">
        <f t="shared" si="13"/>
        <v>0</v>
      </c>
      <c r="Z41" s="14">
        <f t="shared" si="14"/>
        <v>0</v>
      </c>
      <c r="AA41" s="14">
        <f t="shared" si="15"/>
        <v>27</v>
      </c>
      <c r="AB41" s="15">
        <f t="shared" si="16"/>
        <v>27</v>
      </c>
    </row>
    <row r="42" spans="1:53" ht="15.75" thickBot="1" x14ac:dyDescent="0.3">
      <c r="J42" s="23"/>
      <c r="R42" s="24"/>
      <c r="S42" s="20"/>
      <c r="AB42" s="25"/>
    </row>
    <row r="43" spans="1:53" ht="16.5" thickTop="1" thickBot="1" x14ac:dyDescent="0.3">
      <c r="A43" s="26" t="s">
        <v>4</v>
      </c>
      <c r="B43" s="27">
        <f ca="1" xml:space="preserve"> SUM(B9:B41)</f>
        <v>2</v>
      </c>
      <c r="C43" s="27">
        <f t="shared" ref="C43:AA43" ca="1" si="47" xml:space="preserve"> SUM(C9:C41)</f>
        <v>0</v>
      </c>
      <c r="D43" s="27">
        <f t="shared" ca="1" si="47"/>
        <v>228</v>
      </c>
      <c r="E43" s="27">
        <f t="shared" ca="1" si="47"/>
        <v>258</v>
      </c>
      <c r="F43" s="27">
        <f t="shared" ca="1" si="47"/>
        <v>224</v>
      </c>
      <c r="G43" s="27">
        <f t="shared" ca="1" si="47"/>
        <v>258</v>
      </c>
      <c r="H43" s="27">
        <f t="shared" ca="1" si="47"/>
        <v>115</v>
      </c>
      <c r="I43" s="27">
        <f t="shared" ca="1" si="47"/>
        <v>893</v>
      </c>
      <c r="J43" s="27">
        <f t="shared" ca="1" si="47"/>
        <v>1978</v>
      </c>
      <c r="K43" s="27">
        <f t="shared" ca="1" si="47"/>
        <v>1</v>
      </c>
      <c r="L43" s="27">
        <f t="shared" ca="1" si="47"/>
        <v>0</v>
      </c>
      <c r="M43" s="27">
        <f t="shared" ca="1" si="47"/>
        <v>5</v>
      </c>
      <c r="N43" s="27">
        <f t="shared" ca="1" si="47"/>
        <v>155</v>
      </c>
      <c r="O43" s="27">
        <f t="shared" ca="1" si="47"/>
        <v>138</v>
      </c>
      <c r="P43" s="27">
        <f t="shared" ca="1" si="47"/>
        <v>36</v>
      </c>
      <c r="Q43" s="27">
        <f t="shared" ca="1" si="47"/>
        <v>70</v>
      </c>
      <c r="R43" s="27">
        <f t="shared" ca="1" si="47"/>
        <v>416</v>
      </c>
      <c r="S43" s="27">
        <f t="shared" ca="1" si="47"/>
        <v>821</v>
      </c>
      <c r="T43" s="27">
        <f t="shared" ca="1" si="47"/>
        <v>3</v>
      </c>
      <c r="U43" s="27">
        <f t="shared" ca="1" si="47"/>
        <v>0</v>
      </c>
      <c r="V43" s="27">
        <f t="shared" ca="1" si="47"/>
        <v>233</v>
      </c>
      <c r="W43" s="27">
        <f t="shared" ca="1" si="47"/>
        <v>413</v>
      </c>
      <c r="X43" s="27">
        <f t="shared" ca="1" si="47"/>
        <v>362</v>
      </c>
      <c r="Y43" s="27">
        <f t="shared" ca="1" si="47"/>
        <v>294</v>
      </c>
      <c r="Z43" s="27">
        <f t="shared" ca="1" si="47"/>
        <v>185</v>
      </c>
      <c r="AA43" s="27">
        <f t="shared" ca="1" si="47"/>
        <v>1309</v>
      </c>
      <c r="AB43" s="85">
        <f ca="1" xml:space="preserve"> SUM(AB9:AB41)</f>
        <v>2799</v>
      </c>
    </row>
    <row r="44" spans="1:53" ht="15.75" thickTop="1" x14ac:dyDescent="0.25">
      <c r="B44" s="94" t="s">
        <v>91</v>
      </c>
      <c r="C44" s="94"/>
      <c r="D44" s="94"/>
      <c r="E44" s="94"/>
      <c r="F44" s="94"/>
      <c r="T44" s="77"/>
    </row>
  </sheetData>
  <mergeCells count="5">
    <mergeCell ref="B44:F44"/>
    <mergeCell ref="A1:AB1"/>
    <mergeCell ref="B7:J7"/>
    <mergeCell ref="K7:S7"/>
    <mergeCell ref="T7:AB7"/>
  </mergeCells>
  <pageMargins left="0.25" right="0.25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 DOMICILE</vt:lpstr>
      <vt:lpstr>PAR AGES ET GENRES</vt:lpstr>
      <vt:lpstr>'PAR AGES ET GENRES'!Zone_d_impression</vt:lpstr>
      <vt:lpstr>'PAR DOMICILE'!Zone_d_impression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 Franco</dc:creator>
  <cp:lastModifiedBy>ACBB</cp:lastModifiedBy>
  <cp:lastPrinted>2021-12-16T15:07:43Z</cp:lastPrinted>
  <dcterms:created xsi:type="dcterms:W3CDTF">2021-02-04T14:33:51Z</dcterms:created>
  <dcterms:modified xsi:type="dcterms:W3CDTF">2022-01-04T08:19:01Z</dcterms:modified>
</cp:coreProperties>
</file>