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Documents\Marc\CDD WEBER INDUSTRIES\"/>
    </mc:Choice>
  </mc:AlternateContent>
  <xr:revisionPtr revIDLastSave="0" documentId="13_ncr:1_{C358EB8D-927A-4387-89C1-8A08AA462A86}" xr6:coauthVersionLast="44" xr6:coauthVersionMax="44" xr10:uidLastSave="{00000000-0000-0000-0000-000000000000}"/>
  <bookViews>
    <workbookView xWindow="5436" yWindow="384" windowWidth="16092" windowHeight="11796" tabRatio="500" xr2:uid="{00000000-000D-0000-FFFF-FFFF00000000}"/>
  </bookViews>
  <sheets>
    <sheet name="Saisie" sheetId="95" r:id="rId1"/>
    <sheet name="Fiche colis" sheetId="1" r:id="rId2"/>
    <sheet name="Liste" sheetId="2" r:id="rId3"/>
    <sheet name="Finitions" sheetId="3" r:id="rId4"/>
    <sheet name="PrincipeEAN13" sheetId="93" r:id="rId5"/>
  </sheets>
  <externalReferences>
    <externalReference r:id="rId6"/>
  </externalReferences>
  <definedNames>
    <definedName name="_xlnm._FilterDatabase" localSheetId="2">Liste!$E$1:$K$24</definedName>
    <definedName name="ANNEE">[1]JAN!$P$1</definedName>
    <definedName name="Cmd">Liste!$C$2:$C$24</definedName>
    <definedName name="DEBUT">#REF!</definedName>
    <definedName name="Mouvement">[0]!Mouvement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W3" i="2" l="1"/>
  <c r="W4" i="2"/>
  <c r="W5" i="2"/>
  <c r="W6" i="2"/>
  <c r="W7" i="2"/>
  <c r="W8" i="2"/>
  <c r="W9" i="2"/>
  <c r="W10" i="2"/>
  <c r="W11" i="2"/>
  <c r="W12" i="2"/>
  <c r="W13" i="2"/>
  <c r="W19" i="2"/>
  <c r="W20" i="2"/>
  <c r="W21" i="2"/>
  <c r="W22" i="2"/>
  <c r="W23" i="2"/>
  <c r="W24" i="2"/>
  <c r="W2" i="2"/>
  <c r="V3" i="2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" i="2"/>
  <c r="U18" i="2"/>
  <c r="U19" i="2"/>
  <c r="U20" i="2"/>
  <c r="U21" i="2"/>
  <c r="U22" i="2"/>
  <c r="U3" i="2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2" i="2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" i="2"/>
  <c r="A1" i="1" l="1"/>
  <c r="P18" i="2" l="1"/>
  <c r="P19" i="2"/>
  <c r="P20" i="2"/>
  <c r="P21" i="2"/>
  <c r="P22" i="2"/>
  <c r="P23" i="2"/>
  <c r="P24" i="2"/>
  <c r="P17" i="2"/>
  <c r="F17" i="2" l="1"/>
  <c r="F18" i="2"/>
  <c r="F19" i="2"/>
  <c r="Y19" i="2" s="1"/>
  <c r="F20" i="2"/>
  <c r="Y20" i="2" s="1"/>
  <c r="F21" i="2"/>
  <c r="Y21" i="2" s="1"/>
  <c r="F22" i="2"/>
  <c r="Y22" i="2" s="1"/>
  <c r="F23" i="2"/>
  <c r="F24" i="2"/>
  <c r="C17" i="2"/>
  <c r="X17" i="2" s="1"/>
  <c r="C18" i="2"/>
  <c r="X18" i="2" s="1"/>
  <c r="C19" i="2"/>
  <c r="X19" i="2" s="1"/>
  <c r="C20" i="2"/>
  <c r="X20" i="2" s="1"/>
  <c r="C21" i="2"/>
  <c r="X21" i="2" s="1"/>
  <c r="C22" i="2"/>
  <c r="X22" i="2" s="1"/>
  <c r="C23" i="2"/>
  <c r="X23" i="2" s="1"/>
  <c r="C24" i="2"/>
  <c r="X24" i="2" s="1"/>
  <c r="F3" i="2"/>
  <c r="Y3" i="2" s="1"/>
  <c r="F4" i="2"/>
  <c r="Y4" i="2" s="1"/>
  <c r="F5" i="2"/>
  <c r="Y5" i="2" s="1"/>
  <c r="F6" i="2"/>
  <c r="Y6" i="2" s="1"/>
  <c r="F7" i="2"/>
  <c r="Y7" i="2" s="1"/>
  <c r="F8" i="2"/>
  <c r="Y8" i="2" s="1"/>
  <c r="F9" i="2"/>
  <c r="Y9" i="2" s="1"/>
  <c r="F10" i="2"/>
  <c r="Y10" i="2" s="1"/>
  <c r="F11" i="2"/>
  <c r="Y11" i="2" s="1"/>
  <c r="F12" i="2"/>
  <c r="Y12" i="2" s="1"/>
  <c r="F13" i="2"/>
  <c r="Y13" i="2" s="1"/>
  <c r="F14" i="2"/>
  <c r="F15" i="2"/>
  <c r="F16" i="2"/>
  <c r="F2" i="2"/>
  <c r="Y2" i="2" s="1"/>
  <c r="Y15" i="2" l="1"/>
  <c r="W15" i="2"/>
  <c r="Y14" i="2"/>
  <c r="W14" i="2"/>
  <c r="Y24" i="2"/>
  <c r="A18" i="95" s="1"/>
  <c r="U24" i="2"/>
  <c r="Y23" i="2"/>
  <c r="U23" i="2"/>
  <c r="Y16" i="2"/>
  <c r="W16" i="2"/>
  <c r="W18" i="2"/>
  <c r="Y18" i="2"/>
  <c r="Y17" i="2"/>
  <c r="W17" i="2"/>
  <c r="J4" i="1"/>
  <c r="C1" i="1"/>
  <c r="G16" i="93"/>
  <c r="N3" i="93"/>
  <c r="N4" i="93" s="1"/>
  <c r="N9" i="93" s="1"/>
  <c r="M3" i="93"/>
  <c r="M4" i="93" s="1"/>
  <c r="M9" i="93" s="1"/>
  <c r="L3" i="93"/>
  <c r="L4" i="93" s="1"/>
  <c r="L9" i="93" s="1"/>
  <c r="K3" i="93"/>
  <c r="K4" i="93" s="1"/>
  <c r="K9" i="93" s="1"/>
  <c r="J3" i="93"/>
  <c r="J4" i="93" s="1"/>
  <c r="J9" i="93" s="1"/>
  <c r="I3" i="93"/>
  <c r="I4" i="93" s="1"/>
  <c r="I9" i="93" s="1"/>
  <c r="G3" i="93"/>
  <c r="G4" i="93" s="1"/>
  <c r="G9" i="93" s="1"/>
  <c r="F3" i="93"/>
  <c r="F4" i="93" s="1"/>
  <c r="F9" i="93" s="1"/>
  <c r="E3" i="93"/>
  <c r="E4" i="93" s="1"/>
  <c r="E9" i="93" s="1"/>
  <c r="D3" i="93"/>
  <c r="D4" i="93" s="1"/>
  <c r="D9" i="93" s="1"/>
  <c r="C3" i="93"/>
  <c r="C4" i="93" s="1"/>
  <c r="C9" i="93" s="1"/>
  <c r="B3" i="93"/>
  <c r="B4" i="93" s="1"/>
  <c r="B9" i="93" s="1"/>
  <c r="B1" i="93"/>
  <c r="P16" i="2"/>
  <c r="C16" i="2"/>
  <c r="X16" i="2" s="1"/>
  <c r="P15" i="2"/>
  <c r="C15" i="2"/>
  <c r="X15" i="2" s="1"/>
  <c r="P14" i="2"/>
  <c r="C14" i="2"/>
  <c r="X14" i="2" s="1"/>
  <c r="P13" i="2"/>
  <c r="C13" i="2"/>
  <c r="X13" i="2" s="1"/>
  <c r="P12" i="2"/>
  <c r="C12" i="2"/>
  <c r="X12" i="2" s="1"/>
  <c r="P11" i="2"/>
  <c r="C11" i="2"/>
  <c r="X11" i="2" s="1"/>
  <c r="P10" i="2"/>
  <c r="C10" i="2"/>
  <c r="X10" i="2" s="1"/>
  <c r="P9" i="2"/>
  <c r="C9" i="2"/>
  <c r="X9" i="2" s="1"/>
  <c r="P8" i="2"/>
  <c r="C8" i="2"/>
  <c r="X8" i="2" s="1"/>
  <c r="P7" i="2"/>
  <c r="C7" i="2"/>
  <c r="X7" i="2" s="1"/>
  <c r="P6" i="2"/>
  <c r="C6" i="2"/>
  <c r="X6" i="2" s="1"/>
  <c r="P5" i="2"/>
  <c r="C5" i="2"/>
  <c r="X5" i="2" s="1"/>
  <c r="P4" i="2"/>
  <c r="C4" i="2"/>
  <c r="X4" i="2" s="1"/>
  <c r="P3" i="2"/>
  <c r="C3" i="2"/>
  <c r="X3" i="2" s="1"/>
  <c r="C2" i="2"/>
  <c r="D4" i="1" s="1"/>
  <c r="A6" i="1" l="1"/>
  <c r="G7" i="1"/>
  <c r="C15" i="95"/>
  <c r="I1" i="1"/>
  <c r="J6" i="1"/>
  <c r="A4" i="1"/>
  <c r="J7" i="1"/>
  <c r="A7" i="1"/>
  <c r="D7" i="1"/>
  <c r="L1" i="1"/>
  <c r="X2" i="2"/>
  <c r="C17" i="95"/>
  <c r="F1" i="1"/>
  <c r="G6" i="1"/>
  <c r="G4" i="1"/>
  <c r="D6" i="1"/>
  <c r="H3" i="1"/>
  <c r="G1" i="1"/>
  <c r="E3" i="1"/>
  <c r="B3" i="1"/>
  <c r="J2" i="1"/>
  <c r="K5" i="1"/>
  <c r="J1" i="1"/>
  <c r="H5" i="1"/>
  <c r="G2" i="1"/>
  <c r="D2" i="1"/>
  <c r="E5" i="1"/>
  <c r="D1" i="1"/>
  <c r="B5" i="1"/>
  <c r="K3" i="1"/>
  <c r="A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 HATTERER</author>
  </authors>
  <commentList>
    <comment ref="A2" authorId="0" shapeId="0" xr:uid="{4A1EE959-6A53-4AD2-8AC9-808A50CA62D8}">
      <text>
        <r>
          <rPr>
            <b/>
            <sz val="9"/>
            <color indexed="81"/>
            <rFont val="Tahoma"/>
            <family val="2"/>
          </rPr>
          <t>Entrez le ou les premiers caractères du code article</t>
        </r>
      </text>
    </comment>
    <comment ref="A3" authorId="0" shapeId="0" xr:uid="{017E3889-C0FA-4747-A679-4F41701C33FC}">
      <text>
        <r>
          <rPr>
            <b/>
            <sz val="9"/>
            <color indexed="81"/>
            <rFont val="Tahoma"/>
            <family val="2"/>
          </rPr>
          <t>Sélectionnez l'article</t>
        </r>
      </text>
    </comment>
    <comment ref="A4" authorId="0" shapeId="0" xr:uid="{1FD94C60-53D7-4143-898A-76A56EE0702D}">
      <text>
        <r>
          <rPr>
            <b/>
            <sz val="9"/>
            <color indexed="81"/>
            <rFont val="Tahoma"/>
            <family val="2"/>
          </rPr>
          <t>Sélectionnez la finition</t>
        </r>
      </text>
    </comment>
    <comment ref="A9" authorId="0" shapeId="0" xr:uid="{764B5F36-5B6E-42A0-B91A-E0B47C9DB5EA}">
      <text>
        <r>
          <rPr>
            <b/>
            <sz val="9"/>
            <color indexed="81"/>
            <rFont val="Tahoma"/>
            <family val="2"/>
          </rPr>
          <t>Entrez le ou les premiers caractères du nom article</t>
        </r>
      </text>
    </comment>
    <comment ref="A10" authorId="0" shapeId="0" xr:uid="{6179F7CC-EDA9-4166-ABAF-8E44C8C7BD6A}">
      <text>
        <r>
          <rPr>
            <b/>
            <sz val="9"/>
            <color indexed="81"/>
            <rFont val="Tahoma"/>
            <family val="2"/>
          </rPr>
          <t>Sélectionnez l'article</t>
        </r>
      </text>
    </comment>
    <comment ref="A11" authorId="0" shapeId="0" xr:uid="{F5DE860C-8BEB-4FB8-9C1B-16BD42BB154E}">
      <text>
        <r>
          <rPr>
            <b/>
            <sz val="9"/>
            <color indexed="81"/>
            <rFont val="Tahoma"/>
            <family val="2"/>
          </rPr>
          <t>Sélectionnez la finition</t>
        </r>
      </text>
    </comment>
    <comment ref="A17" authorId="0" shapeId="0" xr:uid="{655D72E4-90BA-4170-8DC1-91113E86AE3A}">
      <text>
        <r>
          <rPr>
            <b/>
            <sz val="9"/>
            <color indexed="81"/>
            <rFont val="Tahoma"/>
            <family val="2"/>
          </rPr>
          <t>Scannez le code-barres</t>
        </r>
      </text>
    </comment>
  </commentList>
</comments>
</file>

<file path=xl/sharedStrings.xml><?xml version="1.0" encoding="utf-8"?>
<sst xmlns="http://schemas.openxmlformats.org/spreadsheetml/2006/main" count="715" uniqueCount="447">
  <si>
    <t>Colis</t>
  </si>
  <si>
    <t>Qté / pal</t>
  </si>
  <si>
    <t>Code</t>
  </si>
  <si>
    <t>EAN 13 :</t>
  </si>
  <si>
    <t>Nom</t>
  </si>
  <si>
    <t>Finition</t>
  </si>
  <si>
    <t>Famille</t>
  </si>
  <si>
    <t>Désignation complète</t>
  </si>
  <si>
    <t>WMU1</t>
  </si>
  <si>
    <t>09906</t>
  </si>
  <si>
    <t>Acqua</t>
  </si>
  <si>
    <t>Salle de bain</t>
  </si>
  <si>
    <t>Robinet mitigeur</t>
  </si>
  <si>
    <t>8102</t>
  </si>
  <si>
    <t>9C</t>
  </si>
  <si>
    <t>Alaska</t>
  </si>
  <si>
    <t>Meuble de toilettes</t>
  </si>
  <si>
    <t>1 tiroir - 2 niches</t>
  </si>
  <si>
    <t>0370</t>
  </si>
  <si>
    <t>50TZ</t>
  </si>
  <si>
    <t>Albion</t>
  </si>
  <si>
    <t>Lits deux personnes</t>
  </si>
  <si>
    <t>Lit Boxspring 160x200 cm</t>
  </si>
  <si>
    <t>Tissus</t>
  </si>
  <si>
    <t>51TZ</t>
  </si>
  <si>
    <t>9907</t>
  </si>
  <si>
    <t>74</t>
  </si>
  <si>
    <t>Alix</t>
  </si>
  <si>
    <t>Tables et chaises / Bancs</t>
  </si>
  <si>
    <t>Table 1 allonge</t>
  </si>
  <si>
    <t>0258</t>
  </si>
  <si>
    <t>NY</t>
  </si>
  <si>
    <t>Aloa</t>
  </si>
  <si>
    <t>Tables basses</t>
  </si>
  <si>
    <t>Lot de 3 tables basses gigognes</t>
  </si>
  <si>
    <t>60 x 60, 48 x 48, 40 x 40 cm</t>
  </si>
  <si>
    <t>2286</t>
  </si>
  <si>
    <t>9</t>
  </si>
  <si>
    <t>Alpha</t>
  </si>
  <si>
    <t>Lit double 140x190 cm</t>
  </si>
  <si>
    <t>2 tiroirs + tiroir lit avec sommier + chevet</t>
  </si>
  <si>
    <t>0125</t>
  </si>
  <si>
    <t>16L2</t>
  </si>
  <si>
    <t>Ana</t>
  </si>
  <si>
    <t>Lot de 2 chaises</t>
  </si>
  <si>
    <t>.</t>
  </si>
  <si>
    <t>6767</t>
  </si>
  <si>
    <t>942</t>
  </si>
  <si>
    <t>Antala</t>
  </si>
  <si>
    <t>Canapés et fauteuils</t>
  </si>
  <si>
    <t>Canapé d'angle convertible et réversible</t>
  </si>
  <si>
    <t>DY107</t>
  </si>
  <si>
    <t xml:space="preserve">    </t>
  </si>
  <si>
    <t>Aria</t>
  </si>
  <si>
    <t>Etendoir à linge</t>
  </si>
  <si>
    <t>6769</t>
  </si>
  <si>
    <t>42D</t>
  </si>
  <si>
    <t>Asgard</t>
  </si>
  <si>
    <t>Canapé d'angle convertible droit</t>
  </si>
  <si>
    <t>42G</t>
  </si>
  <si>
    <t>Canapé d'angle convertible gauche</t>
  </si>
  <si>
    <t>3253</t>
  </si>
  <si>
    <t>13</t>
  </si>
  <si>
    <t>Aspen</t>
  </si>
  <si>
    <t>Lits Mezzanines / Lits en hauteur</t>
  </si>
  <si>
    <t>Lit mezzanine 90x190 cm</t>
  </si>
  <si>
    <t>1 sommier + bureau</t>
  </si>
  <si>
    <t>2</t>
  </si>
  <si>
    <t>13Z</t>
  </si>
  <si>
    <t>pas sur web</t>
  </si>
  <si>
    <t>Lit mezzanine 90x200 cm</t>
  </si>
  <si>
    <t>1</t>
  </si>
  <si>
    <t>Naturel</t>
  </si>
  <si>
    <t>1Z</t>
  </si>
  <si>
    <t>Vernis naturel</t>
  </si>
  <si>
    <t>2V</t>
  </si>
  <si>
    <t>Teinte Chêne rustique</t>
  </si>
  <si>
    <t>2Z</t>
  </si>
  <si>
    <t>3</t>
  </si>
  <si>
    <t>Miel</t>
  </si>
  <si>
    <t>5</t>
  </si>
  <si>
    <t>Noyer</t>
  </si>
  <si>
    <t>7</t>
  </si>
  <si>
    <t>Bleu</t>
  </si>
  <si>
    <t>Blanc</t>
  </si>
  <si>
    <t xml:space="preserve">9 </t>
  </si>
  <si>
    <t>Chêne blanc</t>
  </si>
  <si>
    <t>9*</t>
  </si>
  <si>
    <t>9B</t>
  </si>
  <si>
    <t>Blanc et Béton</t>
  </si>
  <si>
    <t>9M</t>
  </si>
  <si>
    <t>9mat</t>
  </si>
  <si>
    <t>9P</t>
  </si>
  <si>
    <t>9T</t>
  </si>
  <si>
    <t>9TM</t>
  </si>
  <si>
    <t>9Z</t>
  </si>
  <si>
    <t>9Z*</t>
  </si>
  <si>
    <t>9Zmat</t>
  </si>
  <si>
    <t>9ZL2</t>
  </si>
  <si>
    <t>9ZM</t>
  </si>
  <si>
    <t>9ZP</t>
  </si>
  <si>
    <t>9ZT</t>
  </si>
  <si>
    <t>91183</t>
  </si>
  <si>
    <t>9Z1184</t>
  </si>
  <si>
    <t>9Z1183Z</t>
  </si>
  <si>
    <t>9ZL2-1181ZL2</t>
  </si>
  <si>
    <t>10</t>
  </si>
  <si>
    <t>Ciré</t>
  </si>
  <si>
    <t>11</t>
  </si>
  <si>
    <t>Wengé</t>
  </si>
  <si>
    <t>Finition blanchie</t>
  </si>
  <si>
    <t>14</t>
  </si>
  <si>
    <t>Teinte exotique</t>
  </si>
  <si>
    <t>16</t>
  </si>
  <si>
    <t>Noir</t>
  </si>
  <si>
    <t xml:space="preserve">16 </t>
  </si>
  <si>
    <t>Noir mat</t>
  </si>
  <si>
    <t xml:space="preserve">16  </t>
  </si>
  <si>
    <t>Chêne noir</t>
  </si>
  <si>
    <t>16*</t>
  </si>
  <si>
    <t>16B</t>
  </si>
  <si>
    <t>Noir et Béton</t>
  </si>
  <si>
    <t xml:space="preserve">16B </t>
  </si>
  <si>
    <t xml:space="preserve">16B  </t>
  </si>
  <si>
    <t>Noir brillant</t>
  </si>
  <si>
    <t>16BZ</t>
  </si>
  <si>
    <t>16D</t>
  </si>
  <si>
    <t>16G</t>
  </si>
  <si>
    <t>16mat</t>
  </si>
  <si>
    <t>16P</t>
  </si>
  <si>
    <t>16T</t>
  </si>
  <si>
    <t>Tissu vieilli noir</t>
  </si>
  <si>
    <t xml:space="preserve">16T </t>
  </si>
  <si>
    <t>16Z</t>
  </si>
  <si>
    <t>16Zmat</t>
  </si>
  <si>
    <t>16Z*</t>
  </si>
  <si>
    <t>16ZP</t>
  </si>
  <si>
    <t>16Z1184</t>
  </si>
  <si>
    <t>16ZL2</t>
  </si>
  <si>
    <t>16ZL2-1181ZL2</t>
  </si>
  <si>
    <t>17</t>
  </si>
  <si>
    <t>Rouge transparent</t>
  </si>
  <si>
    <t>17T</t>
  </si>
  <si>
    <t>Rouge</t>
  </si>
  <si>
    <t>19</t>
  </si>
  <si>
    <t>Gris</t>
  </si>
  <si>
    <t xml:space="preserve">19 </t>
  </si>
  <si>
    <t xml:space="preserve"> </t>
  </si>
  <si>
    <t>19Z</t>
  </si>
  <si>
    <t>Ivoire / tissu gris</t>
  </si>
  <si>
    <t>19ZT</t>
  </si>
  <si>
    <t>21</t>
  </si>
  <si>
    <t>Beige</t>
  </si>
  <si>
    <t xml:space="preserve">21 </t>
  </si>
  <si>
    <t>Ivoire</t>
  </si>
  <si>
    <t>21Z</t>
  </si>
  <si>
    <t>23</t>
  </si>
  <si>
    <t>Marron</t>
  </si>
  <si>
    <t>23T</t>
  </si>
  <si>
    <t>Tissu vieilli marron</t>
  </si>
  <si>
    <t xml:space="preserve">23T </t>
  </si>
  <si>
    <t>24</t>
  </si>
  <si>
    <t>25</t>
  </si>
  <si>
    <t>Teinté Chêne</t>
  </si>
  <si>
    <t>26</t>
  </si>
  <si>
    <t>Noyer antique</t>
  </si>
  <si>
    <t>35</t>
  </si>
  <si>
    <t>Rose</t>
  </si>
  <si>
    <t xml:space="preserve">35 </t>
  </si>
  <si>
    <t>Framboise</t>
  </si>
  <si>
    <t>35Z</t>
  </si>
  <si>
    <t xml:space="preserve">35Z </t>
  </si>
  <si>
    <t>Ivoire / tissu framboise</t>
  </si>
  <si>
    <t>35ZT</t>
  </si>
  <si>
    <t>37</t>
  </si>
  <si>
    <t>Teinte Dakar</t>
  </si>
  <si>
    <t>38</t>
  </si>
  <si>
    <t>Chocolat</t>
  </si>
  <si>
    <t>38G</t>
  </si>
  <si>
    <t>38P</t>
  </si>
  <si>
    <t>38T</t>
  </si>
  <si>
    <t xml:space="preserve">38T </t>
  </si>
  <si>
    <t>40</t>
  </si>
  <si>
    <t>Laqué taupe</t>
  </si>
  <si>
    <t>40E</t>
  </si>
  <si>
    <t>Taupe</t>
  </si>
  <si>
    <t>42</t>
  </si>
  <si>
    <t xml:space="preserve">42 </t>
  </si>
  <si>
    <t>Gris transparent</t>
  </si>
  <si>
    <t>42Z</t>
  </si>
  <si>
    <t>43</t>
  </si>
  <si>
    <t xml:space="preserve">43 </t>
  </si>
  <si>
    <t>44</t>
  </si>
  <si>
    <t xml:space="preserve">44 </t>
  </si>
  <si>
    <t>Gris taupe</t>
  </si>
  <si>
    <t>44Z</t>
  </si>
  <si>
    <t>44_memory</t>
  </si>
  <si>
    <t>46</t>
  </si>
  <si>
    <t>46Z</t>
  </si>
  <si>
    <t>50</t>
  </si>
  <si>
    <t>Gris foncé</t>
  </si>
  <si>
    <t xml:space="preserve">50 </t>
  </si>
  <si>
    <t>Chêne blanchi</t>
  </si>
  <si>
    <t>50T</t>
  </si>
  <si>
    <t>Gris anthracite</t>
  </si>
  <si>
    <t>50Z</t>
  </si>
  <si>
    <t>51</t>
  </si>
  <si>
    <t>Gris clair</t>
  </si>
  <si>
    <t>51T</t>
  </si>
  <si>
    <t>51Z</t>
  </si>
  <si>
    <t>55</t>
  </si>
  <si>
    <t>Vert</t>
  </si>
  <si>
    <t>60</t>
  </si>
  <si>
    <t>60M</t>
  </si>
  <si>
    <t>60Z</t>
  </si>
  <si>
    <t>601183</t>
  </si>
  <si>
    <t>60Z1183Z</t>
  </si>
  <si>
    <t>60Z1184</t>
  </si>
  <si>
    <t>61</t>
  </si>
  <si>
    <t>Chêne sablé</t>
  </si>
  <si>
    <t>63</t>
  </si>
  <si>
    <t>63Z</t>
  </si>
  <si>
    <t>63ZM</t>
  </si>
  <si>
    <t>70</t>
  </si>
  <si>
    <t>Kaki</t>
  </si>
  <si>
    <t>91</t>
  </si>
  <si>
    <t>Blanc et Naturel</t>
  </si>
  <si>
    <t>92</t>
  </si>
  <si>
    <t>Blanc et vernis naturel</t>
  </si>
  <si>
    <t>198</t>
  </si>
  <si>
    <t>Gris clair - Gris foncé</t>
  </si>
  <si>
    <t>199</t>
  </si>
  <si>
    <t>279ZM</t>
  </si>
  <si>
    <t>601</t>
  </si>
  <si>
    <t>Chêne blanchi et Naturel</t>
  </si>
  <si>
    <t>642</t>
  </si>
  <si>
    <t>643</t>
  </si>
  <si>
    <t>916</t>
  </si>
  <si>
    <t>Blanc et Noir</t>
  </si>
  <si>
    <t>Blanc et Gris</t>
  </si>
  <si>
    <t>946</t>
  </si>
  <si>
    <t>960</t>
  </si>
  <si>
    <t>Blanc et Chêne blanchi</t>
  </si>
  <si>
    <t>960Z</t>
  </si>
  <si>
    <t>Blanc - chêne blanchi</t>
  </si>
  <si>
    <t>963</t>
  </si>
  <si>
    <t>Blanc - gris</t>
  </si>
  <si>
    <t>963Z</t>
  </si>
  <si>
    <t>1660</t>
  </si>
  <si>
    <t>Noir et Chêne blanchi</t>
  </si>
  <si>
    <t>2763ZM</t>
  </si>
  <si>
    <t>6016</t>
  </si>
  <si>
    <t>Chêne blanchi et Noir</t>
  </si>
  <si>
    <t>601182</t>
  </si>
  <si>
    <t>91182</t>
  </si>
  <si>
    <t>CH</t>
  </si>
  <si>
    <t>Chêne</t>
  </si>
  <si>
    <t>CH*</t>
  </si>
  <si>
    <t>CHZ</t>
  </si>
  <si>
    <t>CHZ*</t>
  </si>
  <si>
    <t>HE</t>
  </si>
  <si>
    <t xml:space="preserve">HE </t>
  </si>
  <si>
    <t>Hêtre</t>
  </si>
  <si>
    <t>MEZ</t>
  </si>
  <si>
    <t>Merisier</t>
  </si>
  <si>
    <t>MEZL2</t>
  </si>
  <si>
    <t>MEZL2-1181ZL2</t>
  </si>
  <si>
    <t>1MN</t>
  </si>
  <si>
    <t xml:space="preserve">  </t>
  </si>
  <si>
    <t xml:space="preserve">   </t>
  </si>
  <si>
    <t xml:space="preserve">     </t>
  </si>
  <si>
    <t>NYL2</t>
  </si>
  <si>
    <t>Anthracite</t>
  </si>
  <si>
    <t>BL2</t>
  </si>
  <si>
    <t>JL2</t>
  </si>
  <si>
    <t>MKL2</t>
  </si>
  <si>
    <t>Brun</t>
  </si>
  <si>
    <t>16S6217yL6</t>
  </si>
  <si>
    <t>Noir - Anthracite</t>
  </si>
  <si>
    <t>Z</t>
  </si>
  <si>
    <t xml:space="preserve">Z </t>
  </si>
  <si>
    <t>90190</t>
  </si>
  <si>
    <t>140190</t>
  </si>
  <si>
    <t>01676</t>
  </si>
  <si>
    <t>1642</t>
  </si>
  <si>
    <t>Noir-Gris</t>
  </si>
  <si>
    <t>B</t>
  </si>
  <si>
    <t>Y</t>
  </si>
  <si>
    <t>YL2</t>
  </si>
  <si>
    <t>R</t>
  </si>
  <si>
    <t>RL2</t>
  </si>
  <si>
    <t>TR</t>
  </si>
  <si>
    <t>Transparent</t>
  </si>
  <si>
    <t>TRL2</t>
  </si>
  <si>
    <t>TRYL</t>
  </si>
  <si>
    <t>TRYLL2</t>
  </si>
  <si>
    <t>TRYL2</t>
  </si>
  <si>
    <t>PCB</t>
  </si>
  <si>
    <t>Chromé</t>
  </si>
  <si>
    <t>09904</t>
  </si>
  <si>
    <t>09903</t>
  </si>
  <si>
    <t>17314</t>
  </si>
  <si>
    <t>Zebrano</t>
  </si>
  <si>
    <t>14302</t>
  </si>
  <si>
    <t>25017</t>
  </si>
  <si>
    <t>01720</t>
  </si>
  <si>
    <t>Aubergine</t>
  </si>
  <si>
    <t>01725</t>
  </si>
  <si>
    <t>25140</t>
  </si>
  <si>
    <t>25240</t>
  </si>
  <si>
    <t>25340</t>
  </si>
  <si>
    <t>25440</t>
  </si>
  <si>
    <t>90935</t>
  </si>
  <si>
    <t>86728</t>
  </si>
  <si>
    <t>Blanc-Gris</t>
  </si>
  <si>
    <t>21365</t>
  </si>
  <si>
    <t>01465</t>
  </si>
  <si>
    <t>50520</t>
  </si>
  <si>
    <t>50515</t>
  </si>
  <si>
    <t>02015</t>
  </si>
  <si>
    <t>34400</t>
  </si>
  <si>
    <t>0AF030</t>
  </si>
  <si>
    <t>Chêne clair grisé</t>
  </si>
  <si>
    <t>0BG030</t>
  </si>
  <si>
    <t>Chêne naturel</t>
  </si>
  <si>
    <t>0CH030</t>
  </si>
  <si>
    <t>Chêne fumé</t>
  </si>
  <si>
    <t>0AF000</t>
  </si>
  <si>
    <t>0BG000</t>
  </si>
  <si>
    <t>0CH000</t>
  </si>
  <si>
    <t>0AF010</t>
  </si>
  <si>
    <t>0BG010</t>
  </si>
  <si>
    <t>0CH010</t>
  </si>
  <si>
    <t>L12</t>
  </si>
  <si>
    <t>0351/9</t>
  </si>
  <si>
    <t>A</t>
  </si>
  <si>
    <t>C</t>
  </si>
  <si>
    <t>D</t>
  </si>
  <si>
    <t>E</t>
  </si>
  <si>
    <t>F</t>
  </si>
  <si>
    <t>G</t>
  </si>
  <si>
    <t>H</t>
  </si>
  <si>
    <t>I</t>
  </si>
  <si>
    <t>J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</si>
  <si>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</si>
  <si>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</si>
  <si>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</si>
  <si>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</si>
  <si>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</si>
  <si>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</si>
  <si>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</si>
  <si>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</si>
  <si>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</si>
  <si>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</si>
  <si>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caractères</t>
  </si>
  <si>
    <t>00110</t>
  </si>
  <si>
    <t>10010</t>
  </si>
  <si>
    <r>
      <rPr>
        <sz val="10"/>
        <color rgb="FFFF0000"/>
        <rFont val="Arial"/>
        <family val="2"/>
      </rPr>
      <t>1010</t>
    </r>
    <r>
      <rPr>
        <sz val="10"/>
        <rFont val="Arial"/>
        <family val="2"/>
      </rPr>
      <t>01100</t>
    </r>
    <r>
      <rPr>
        <sz val="10"/>
        <color rgb="FFFF0000"/>
        <rFont val="Arial"/>
        <family val="2"/>
      </rPr>
      <t>10</t>
    </r>
    <r>
      <rPr>
        <sz val="10"/>
        <rFont val="Arial"/>
        <family val="2"/>
      </rPr>
      <t>10111</t>
    </r>
    <r>
      <rPr>
        <sz val="10"/>
        <color rgb="FFFF0000"/>
        <rFont val="Arial"/>
        <family val="2"/>
      </rPr>
      <t>10</t>
    </r>
    <r>
      <rPr>
        <sz val="10"/>
        <rFont val="Arial"/>
        <family val="2"/>
      </rPr>
      <t>11100</t>
    </r>
    <r>
      <rPr>
        <sz val="10"/>
        <color rgb="FFFF0000"/>
        <rFont val="Arial"/>
        <family val="2"/>
      </rPr>
      <t>10</t>
    </r>
    <r>
      <rPr>
        <sz val="10"/>
        <rFont val="Arial"/>
        <family val="2"/>
      </rPr>
      <t>01110</t>
    </r>
    <r>
      <rPr>
        <sz val="10"/>
        <color rgb="FFFF0000"/>
        <rFont val="Arial"/>
        <family val="2"/>
      </rPr>
      <t>10</t>
    </r>
    <r>
      <rPr>
        <sz val="10"/>
        <rFont val="Arial"/>
        <family val="2"/>
      </rPr>
      <t>10000</t>
    </r>
    <r>
      <rPr>
        <sz val="10"/>
        <color rgb="FFFF0000"/>
        <rFont val="Arial"/>
        <family val="2"/>
      </rPr>
      <t>10</t>
    </r>
    <r>
      <rPr>
        <sz val="10"/>
        <rFont val="Arial"/>
        <family val="2"/>
      </rPr>
      <t>00110</t>
    </r>
    <r>
      <rPr>
        <sz val="10"/>
        <color rgb="FFFF0000"/>
        <rFont val="Arial"/>
        <family val="2"/>
      </rPr>
      <t>10101010</t>
    </r>
    <r>
      <rPr>
        <sz val="10"/>
        <rFont val="Arial"/>
        <family val="2"/>
      </rPr>
      <t>10000</t>
    </r>
    <r>
      <rPr>
        <sz val="10"/>
        <color rgb="FFFF0000"/>
        <rFont val="Arial"/>
        <family val="2"/>
      </rPr>
      <t>10</t>
    </r>
    <r>
      <rPr>
        <sz val="10"/>
        <rFont val="Arial"/>
        <family val="2"/>
      </rPr>
      <t>00010</t>
    </r>
    <r>
      <rPr>
        <sz val="10"/>
        <color rgb="FFFF0000"/>
        <rFont val="Arial"/>
        <family val="2"/>
      </rPr>
      <t>11</t>
    </r>
    <r>
      <rPr>
        <sz val="10"/>
        <rFont val="Arial"/>
        <family val="2"/>
      </rPr>
      <t>10010</t>
    </r>
    <r>
      <rPr>
        <sz val="10"/>
        <color rgb="FFFF0000"/>
        <rFont val="Arial"/>
        <family val="2"/>
      </rPr>
      <t>11</t>
    </r>
    <r>
      <rPr>
        <sz val="10"/>
        <rFont val="Arial"/>
        <family val="2"/>
      </rPr>
      <t>10010</t>
    </r>
    <r>
      <rPr>
        <sz val="10"/>
        <color rgb="FFFF0000"/>
        <rFont val="Arial"/>
        <family val="2"/>
      </rPr>
      <t>11</t>
    </r>
    <r>
      <rPr>
        <sz val="10"/>
        <rFont val="Arial"/>
        <family val="2"/>
      </rPr>
      <t>10010</t>
    </r>
    <r>
      <rPr>
        <sz val="10"/>
        <color rgb="FFFF0000"/>
        <rFont val="Arial"/>
        <family val="2"/>
      </rPr>
      <t>11</t>
    </r>
    <r>
      <rPr>
        <sz val="10"/>
        <rFont val="Arial"/>
        <family val="2"/>
      </rPr>
      <t>10100</t>
    </r>
    <r>
      <rPr>
        <sz val="10"/>
        <color rgb="FFFF0000"/>
        <rFont val="Arial"/>
        <family val="2"/>
      </rPr>
      <t>101</t>
    </r>
  </si>
  <si>
    <t>01100</t>
  </si>
  <si>
    <t>01001</t>
  </si>
  <si>
    <t>*</t>
  </si>
  <si>
    <t>+</t>
  </si>
  <si>
    <t>11110</t>
  </si>
  <si>
    <t>00010</t>
  </si>
  <si>
    <t>10001</t>
  </si>
  <si>
    <t>11100</t>
  </si>
  <si>
    <t>Séparateur</t>
  </si>
  <si>
    <t>11000</t>
  </si>
  <si>
    <t>01110</t>
  </si>
  <si>
    <t>d'entrée</t>
  </si>
  <si>
    <t>du milieu</t>
  </si>
  <si>
    <t>final</t>
  </si>
  <si>
    <t>10111</t>
  </si>
  <si>
    <t>10000</t>
  </si>
  <si>
    <t>11101</t>
  </si>
  <si>
    <t>00100</t>
  </si>
  <si>
    <t>11011</t>
  </si>
  <si>
    <t>01000</t>
  </si>
  <si>
    <t>Les 6 membres côté gauche séparés par le code 10</t>
  </si>
  <si>
    <t>Les 6 membres côté droit séparés par le code 10 ou 11 pour les 4 derniers</t>
  </si>
  <si>
    <t>00101</t>
  </si>
  <si>
    <t>10100</t>
  </si>
  <si>
    <t>et leur correspondance numérique (colonne U)</t>
  </si>
  <si>
    <t>10011</t>
  </si>
  <si>
    <t>K</t>
  </si>
  <si>
    <t>11001</t>
  </si>
  <si>
    <t>L</t>
  </si>
  <si>
    <t>01101</t>
  </si>
  <si>
    <t>M</t>
  </si>
  <si>
    <t>Caractères alphanumériques</t>
  </si>
  <si>
    <t>3BGPONA*gdaaaj+</t>
  </si>
  <si>
    <t>N</t>
  </si>
  <si>
    <t>O</t>
  </si>
  <si>
    <t>Police EAN13</t>
  </si>
  <si>
    <t>P</t>
  </si>
  <si>
    <t>Q</t>
  </si>
  <si>
    <t>Image de</t>
  </si>
  <si>
    <t>S</t>
  </si>
  <si>
    <t>vérification</t>
  </si>
  <si>
    <t>01011</t>
  </si>
  <si>
    <t>T</t>
  </si>
  <si>
    <t>Ligne 2: Sortie binaire EAN13</t>
  </si>
  <si>
    <t>Ligne 3: Dégroupage binaire EAN13</t>
  </si>
  <si>
    <t>Ligne 4: Dégroupage alphanumérique</t>
  </si>
  <si>
    <t>Ligne 9: Correspondance alphanumérique</t>
  </si>
  <si>
    <t>3FBOMNA*abfdda+</t>
  </si>
  <si>
    <t>3FBLMTA*agjjcb+</t>
  </si>
  <si>
    <t>3FBOMNA*abicgd+</t>
  </si>
  <si>
    <t>3FBOMNA*acbcab+</t>
  </si>
  <si>
    <t>3FBOMNA*acbcbi+</t>
  </si>
  <si>
    <t>4CPBBSM*haajaf+</t>
  </si>
  <si>
    <t>3FBOMNA*accheb+</t>
  </si>
  <si>
    <t>Code EAN AlphaNum</t>
  </si>
  <si>
    <t>3FBOMNA*abjeee+</t>
  </si>
  <si>
    <t>3FBOMNA*acaeii+</t>
  </si>
  <si>
    <t>3FBOMNA*acdihi+</t>
  </si>
  <si>
    <t>3FBOMNA*abigah+</t>
  </si>
  <si>
    <t>3FBOMNA*acebeb+</t>
  </si>
  <si>
    <t>3FBOMNA*acebfi+</t>
  </si>
  <si>
    <t>3FBOMNA*abfdcd+</t>
  </si>
  <si>
    <t>Type</t>
  </si>
  <si>
    <t>Signe</t>
  </si>
  <si>
    <t>Atlanta</t>
  </si>
  <si>
    <t>0351</t>
  </si>
  <si>
    <t>0352</t>
  </si>
  <si>
    <t>Lit double 140x200 cm</t>
  </si>
  <si>
    <t>Lit double 160x200 cm</t>
  </si>
  <si>
    <t>1 sommier</t>
  </si>
  <si>
    <t>Nbre Colis</t>
  </si>
  <si>
    <t>3FBOMNA*abhjcb+</t>
  </si>
  <si>
    <t>3FBOMNA*abiach+</t>
  </si>
  <si>
    <t>3FBOMNA*abegfe+</t>
  </si>
  <si>
    <t>3FBOMNA*abeggb+</t>
  </si>
  <si>
    <t>3FBOMNA*abfdhi+</t>
  </si>
  <si>
    <t>3FBOMNA*abfdif+</t>
  </si>
  <si>
    <t>3FBOMNA*abfdjc+</t>
  </si>
  <si>
    <t>3FBOMNA*abfeai+</t>
  </si>
  <si>
    <t>(Pour information)</t>
  </si>
  <si>
    <t>Recherche référence par code</t>
  </si>
  <si>
    <t>Recherche référence par désignation</t>
  </si>
  <si>
    <t>Recherche référence
avec douchette (code barre EAN13)</t>
  </si>
  <si>
    <t>Sélectionnez</t>
  </si>
  <si>
    <t>Imprimable</t>
  </si>
  <si>
    <t>Oui</t>
  </si>
  <si>
    <t>ci-dessous pour impression étiquette</t>
  </si>
  <si>
    <t xml:space="preserve">Entrez manuellement le code référence </t>
  </si>
  <si>
    <t>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</si>
</sst>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\-??_-;_-@_-"/>
    <numFmt numFmtId="165" formatCode="_-* #,##0_-;\-* #,##0_-;_-* \-??_-;_-@_-"/>
  </numFmts>
  <fonts count="32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0"/>
      <color rgb="FF000000"/>
      <name val="Calibri"/>
      <family val="2"/>
      <charset val="1"/>
    </font>
    <font>
      <b/>
      <sz val="120"/>
      <color rgb="FF000000"/>
      <name val="Calibri"/>
      <family val="2"/>
      <charset val="1"/>
    </font>
    <font>
      <sz val="30"/>
      <color rgb="FF000000"/>
      <name val="Calibri"/>
      <family val="2"/>
      <charset val="1"/>
    </font>
    <font>
      <b/>
      <sz val="80"/>
      <color rgb="FF000000"/>
      <name val="Calibri"/>
      <family val="2"/>
      <charset val="1"/>
    </font>
    <font>
      <sz val="36"/>
      <color rgb="FF000000"/>
      <name val="Calibri"/>
      <family val="2"/>
      <charset val="1"/>
    </font>
    <font>
      <sz val="45"/>
      <color rgb="FF000000"/>
      <name val="Calibri"/>
      <family val="2"/>
      <charset val="1"/>
    </font>
    <font>
      <b/>
      <sz val="75"/>
      <color rgb="FF000000"/>
      <name val="Calibri"/>
      <family val="2"/>
      <charset val="1"/>
    </font>
    <font>
      <sz val="32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rgb="FF000000"/>
      <name val="Code EAN13"/>
      <charset val="2"/>
    </font>
    <font>
      <sz val="48"/>
      <color rgb="FF000000"/>
      <name val="Code EAN13"/>
      <charset val="2"/>
    </font>
    <font>
      <sz val="72"/>
      <color rgb="FF000000"/>
      <name val="Code EAN13"/>
      <charset val="2"/>
    </font>
    <font>
      <sz val="10"/>
      <color rgb="FFFF0000"/>
      <name val="Arial"/>
      <family val="2"/>
    </font>
    <font>
      <sz val="12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8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48"/>
      <name val="Code EAN13"/>
      <charset val="2"/>
    </font>
    <font>
      <b/>
      <sz val="8"/>
      <color rgb="FFFF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charset val="1"/>
    </font>
    <font>
      <sz val="11"/>
      <name val="Calibri"/>
      <family val="2"/>
    </font>
    <font>
      <i/>
      <sz val="10"/>
      <name val="Calibri"/>
      <family val="2"/>
    </font>
    <font>
      <i/>
      <sz val="11"/>
      <name val="Calibri"/>
      <family val="2"/>
    </font>
    <font>
      <sz val="20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1" fillId="0" borderId="0" applyBorder="0" applyProtection="0"/>
    <xf numFmtId="0" fontId="1" fillId="0" borderId="0"/>
    <xf numFmtId="0" fontId="2" fillId="0" borderId="0"/>
  </cellStyleXfs>
  <cellXfs count="79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2" fontId="0" fillId="0" borderId="0" xfId="0" applyNumberFormat="1" applyBorder="1"/>
    <xf numFmtId="49" fontId="0" fillId="0" borderId="0" xfId="0" applyNumberFormat="1"/>
    <xf numFmtId="49" fontId="0" fillId="0" borderId="0" xfId="0" applyNumberFormat="1" applyFont="1" applyAlignment="1">
      <alignment horizontal="right"/>
    </xf>
    <xf numFmtId="3" fontId="15" fillId="0" borderId="2" xfId="1" applyNumberFormat="1" applyFont="1" applyBorder="1" applyAlignment="1" applyProtection="1">
      <alignment vertical="center" textRotation="90"/>
    </xf>
    <xf numFmtId="0" fontId="16" fillId="0" borderId="0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" fillId="2" borderId="0" xfId="2" applyFill="1"/>
    <xf numFmtId="0" fontId="1" fillId="3" borderId="0" xfId="2" applyFill="1"/>
    <xf numFmtId="0" fontId="1" fillId="0" borderId="0" xfId="2"/>
    <xf numFmtId="0" fontId="2" fillId="4" borderId="9" xfId="3" quotePrefix="1" applyFont="1" applyFill="1" applyBorder="1" applyAlignment="1">
      <alignment horizontal="right"/>
    </xf>
    <xf numFmtId="0" fontId="2" fillId="4" borderId="10" xfId="3" applyFont="1" applyFill="1" applyBorder="1"/>
    <xf numFmtId="0" fontId="2" fillId="5" borderId="10" xfId="3" quotePrefix="1" applyFont="1" applyFill="1" applyBorder="1" applyAlignment="1">
      <alignment horizontal="right"/>
    </xf>
    <xf numFmtId="0" fontId="2" fillId="5" borderId="10" xfId="3" applyFont="1" applyFill="1" applyBorder="1"/>
    <xf numFmtId="0" fontId="2" fillId="0" borderId="11" xfId="3" applyBorder="1"/>
    <xf numFmtId="49" fontId="2" fillId="2" borderId="0" xfId="3" applyNumberFormat="1" applyFill="1"/>
    <xf numFmtId="0" fontId="2" fillId="4" borderId="8" xfId="3" quotePrefix="1" applyFont="1" applyFill="1" applyBorder="1" applyAlignment="1">
      <alignment horizontal="right"/>
    </xf>
    <xf numFmtId="0" fontId="2" fillId="4" borderId="0" xfId="3" applyFont="1" applyFill="1" applyBorder="1"/>
    <xf numFmtId="0" fontId="2" fillId="5" borderId="0" xfId="3" quotePrefix="1" applyFont="1" applyFill="1" applyBorder="1" applyAlignment="1">
      <alignment horizontal="right"/>
    </xf>
    <xf numFmtId="0" fontId="2" fillId="5" borderId="0" xfId="3" applyFont="1" applyFill="1" applyBorder="1"/>
    <xf numFmtId="0" fontId="2" fillId="0" borderId="12" xfId="3" applyBorder="1"/>
    <xf numFmtId="0" fontId="13" fillId="2" borderId="0" xfId="2" applyFont="1" applyFill="1"/>
    <xf numFmtId="0" fontId="18" fillId="4" borderId="0" xfId="2" applyFont="1" applyFill="1" applyAlignment="1">
      <alignment horizontal="center"/>
    </xf>
    <xf numFmtId="0" fontId="13" fillId="2" borderId="0" xfId="2" applyFont="1" applyFill="1" applyAlignment="1">
      <alignment horizontal="center"/>
    </xf>
    <xf numFmtId="0" fontId="18" fillId="5" borderId="0" xfId="2" applyFont="1" applyFill="1" applyAlignment="1">
      <alignment horizontal="center"/>
    </xf>
    <xf numFmtId="0" fontId="2" fillId="0" borderId="12" xfId="3" applyFont="1" applyBorder="1"/>
    <xf numFmtId="0" fontId="19" fillId="0" borderId="0" xfId="2" applyFont="1"/>
    <xf numFmtId="0" fontId="20" fillId="0" borderId="0" xfId="2" applyFont="1"/>
    <xf numFmtId="0" fontId="21" fillId="0" borderId="0" xfId="2" applyFont="1"/>
    <xf numFmtId="0" fontId="2" fillId="0" borderId="0" xfId="3" applyBorder="1"/>
    <xf numFmtId="0" fontId="2" fillId="0" borderId="0" xfId="3" applyFont="1" applyBorder="1"/>
    <xf numFmtId="0" fontId="2" fillId="3" borderId="12" xfId="3" applyFill="1" applyBorder="1"/>
    <xf numFmtId="0" fontId="2" fillId="0" borderId="0" xfId="3"/>
    <xf numFmtId="0" fontId="2" fillId="0" borderId="0" xfId="3" quotePrefix="1" applyFont="1" applyBorder="1" applyAlignment="1">
      <alignment horizontal="right"/>
    </xf>
    <xf numFmtId="0" fontId="2" fillId="3" borderId="12" xfId="3" applyFont="1" applyFill="1" applyBorder="1"/>
    <xf numFmtId="0" fontId="2" fillId="4" borderId="13" xfId="3" quotePrefix="1" applyFont="1" applyFill="1" applyBorder="1" applyAlignment="1">
      <alignment horizontal="right"/>
    </xf>
    <xf numFmtId="0" fontId="2" fillId="4" borderId="14" xfId="3" applyFont="1" applyFill="1" applyBorder="1"/>
    <xf numFmtId="0" fontId="2" fillId="0" borderId="14" xfId="3" applyBorder="1"/>
    <xf numFmtId="0" fontId="2" fillId="3" borderId="15" xfId="3" applyFill="1" applyBorder="1"/>
    <xf numFmtId="0" fontId="12" fillId="0" borderId="0" xfId="2" applyFont="1"/>
    <xf numFmtId="0" fontId="1" fillId="0" borderId="16" xfId="2" applyBorder="1"/>
    <xf numFmtId="0" fontId="1" fillId="0" borderId="17" xfId="2" applyBorder="1"/>
    <xf numFmtId="0" fontId="1" fillId="0" borderId="18" xfId="2" applyBorder="1"/>
    <xf numFmtId="0" fontId="23" fillId="2" borderId="0" xfId="2" applyFont="1" applyFill="1"/>
    <xf numFmtId="0" fontId="0" fillId="0" borderId="0" xfId="0" applyAlignment="1">
      <alignment horizontal="center"/>
    </xf>
    <xf numFmtId="49" fontId="0" fillId="0" borderId="0" xfId="0" applyNumberFormat="1" applyAlignment="1">
      <alignment horizontal="right"/>
    </xf>
    <xf numFmtId="165" fontId="11" fillId="0" borderId="0" xfId="1" applyNumberFormat="1"/>
    <xf numFmtId="0" fontId="26" fillId="0" borderId="0" xfId="0" applyFont="1"/>
    <xf numFmtId="1" fontId="26" fillId="0" borderId="0" xfId="0" applyNumberFormat="1" applyFont="1"/>
    <xf numFmtId="1" fontId="27" fillId="0" borderId="0" xfId="0" applyNumberFormat="1" applyFont="1"/>
    <xf numFmtId="0" fontId="28" fillId="0" borderId="0" xfId="0" applyFont="1"/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2" borderId="19" xfId="0" applyFill="1" applyBorder="1" applyAlignment="1">
      <alignment horizontal="center"/>
    </xf>
    <xf numFmtId="1" fontId="11" fillId="2" borderId="19" xfId="1" applyNumberForma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30" fillId="0" borderId="21" xfId="0" applyFont="1" applyBorder="1" applyAlignment="1">
      <alignment horizontal="center" vertical="center"/>
    </xf>
    <xf numFmtId="0" fontId="7" fillId="2" borderId="21" xfId="0" applyFont="1" applyFill="1" applyBorder="1" applyAlignment="1">
      <alignment horizontal="center"/>
    </xf>
    <xf numFmtId="0" fontId="7" fillId="2" borderId="19" xfId="0" applyFont="1" applyFill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22" fillId="0" borderId="0" xfId="3" applyFont="1" applyAlignment="1">
      <alignment horizontal="center"/>
    </xf>
  </cellXfs>
  <cellStyles count="4">
    <cellStyle name="Milliers" xfId="1" builtinId="3"/>
    <cellStyle name="Normal" xfId="0" builtinId="0"/>
    <cellStyle name="Normal 2" xfId="2" xr:uid="{00000000-0005-0000-0000-000002000000}"/>
    <cellStyle name="Normal 2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83820</xdr:colOff>
          <xdr:row>1</xdr:row>
          <xdr:rowOff>7620</xdr:rowOff>
        </xdr:from>
        <xdr:to>
          <xdr:col>18</xdr:col>
          <xdr:colOff>243840</xdr:colOff>
          <xdr:row>4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EanAlphaNum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106681</xdr:colOff>
      <xdr:row>4</xdr:row>
      <xdr:rowOff>19050</xdr:rowOff>
    </xdr:from>
    <xdr:to>
      <xdr:col>0</xdr:col>
      <xdr:colOff>247650</xdr:colOff>
      <xdr:row>5</xdr:row>
      <xdr:rowOff>9525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06681" y="790575"/>
          <a:ext cx="140969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106681</xdr:colOff>
      <xdr:row>4</xdr:row>
      <xdr:rowOff>19050</xdr:rowOff>
    </xdr:from>
    <xdr:to>
      <xdr:col>7</xdr:col>
      <xdr:colOff>247650</xdr:colOff>
      <xdr:row>5</xdr:row>
      <xdr:rowOff>9525</xdr:rowOff>
    </xdr:to>
    <xdr:sp macro="" textlink="">
      <xdr:nvSpPr>
        <xdr:cNvPr id="3" name="Flèche vers le ba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3068956" y="790575"/>
          <a:ext cx="140969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14</xdr:col>
      <xdr:colOff>78106</xdr:colOff>
      <xdr:row>4</xdr:row>
      <xdr:rowOff>19050</xdr:rowOff>
    </xdr:from>
    <xdr:to>
      <xdr:col>14</xdr:col>
      <xdr:colOff>190500</xdr:colOff>
      <xdr:row>5</xdr:row>
      <xdr:rowOff>9525</xdr:rowOff>
    </xdr:to>
    <xdr:sp macro="" textlink="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240781" y="790575"/>
          <a:ext cx="112394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228602</xdr:colOff>
      <xdr:row>3</xdr:row>
      <xdr:rowOff>161925</xdr:rowOff>
    </xdr:from>
    <xdr:to>
      <xdr:col>6</xdr:col>
      <xdr:colOff>219076</xdr:colOff>
      <xdr:row>9</xdr:row>
      <xdr:rowOff>114300</xdr:rowOff>
    </xdr:to>
    <xdr:sp macro="" textlink="">
      <xdr:nvSpPr>
        <xdr:cNvPr id="5" name="Accolade ouvrant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 rot="16200000">
          <a:off x="1076327" y="190500"/>
          <a:ext cx="1104900" cy="2190749"/>
        </a:xfrm>
        <a:prstGeom prst="leftBrace">
          <a:avLst>
            <a:gd name="adj1" fmla="val 8333"/>
            <a:gd name="adj2" fmla="val 4869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 editAs="oneCell">
    <xdr:from>
      <xdr:col>6</xdr:col>
      <xdr:colOff>66675</xdr:colOff>
      <xdr:row>17</xdr:row>
      <xdr:rowOff>0</xdr:rowOff>
    </xdr:from>
    <xdr:to>
      <xdr:col>10</xdr:col>
      <xdr:colOff>1</xdr:colOff>
      <xdr:row>21</xdr:row>
      <xdr:rowOff>85725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71750" y="3829050"/>
          <a:ext cx="1714501" cy="857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8</xdr:col>
      <xdr:colOff>304802</xdr:colOff>
      <xdr:row>4</xdr:row>
      <xdr:rowOff>0</xdr:rowOff>
    </xdr:from>
    <xdr:to>
      <xdr:col>13</xdr:col>
      <xdr:colOff>200026</xdr:colOff>
      <xdr:row>9</xdr:row>
      <xdr:rowOff>152400</xdr:rowOff>
    </xdr:to>
    <xdr:sp macro="" textlink="">
      <xdr:nvSpPr>
        <xdr:cNvPr id="7" name="Accolade ouvrant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 rot="16200000">
          <a:off x="4238627" y="228600"/>
          <a:ext cx="1104900" cy="2190749"/>
        </a:xfrm>
        <a:prstGeom prst="leftBrace">
          <a:avLst>
            <a:gd name="adj1" fmla="val 8333"/>
            <a:gd name="adj2" fmla="val 4869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180974</xdr:colOff>
      <xdr:row>6</xdr:row>
      <xdr:rowOff>161926</xdr:rowOff>
    </xdr:from>
    <xdr:to>
      <xdr:col>0</xdr:col>
      <xdr:colOff>247649</xdr:colOff>
      <xdr:row>12</xdr:row>
      <xdr:rowOff>28576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pSpPr/>
      </xdr:nvGrpSpPr>
      <xdr:grpSpPr>
        <a:xfrm>
          <a:off x="180974" y="1274446"/>
          <a:ext cx="66675" cy="979170"/>
          <a:chOff x="152400" y="1343025"/>
          <a:chExt cx="52388" cy="1190625"/>
        </a:xfrm>
      </xdr:grpSpPr>
      <xdr:cxnSp macro="">
        <xdr:nvCxnSpPr>
          <xdr:cNvPr id="9" name="Connecteur droit 8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CxnSpPr/>
        </xdr:nvCxnSpPr>
        <xdr:spPr>
          <a:xfrm>
            <a:off x="152400" y="1343025"/>
            <a:ext cx="1" cy="119062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0" name="Connecteur droit 9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CxnSpPr/>
        </xdr:nvCxnSpPr>
        <xdr:spPr>
          <a:xfrm>
            <a:off x="190500" y="1347788"/>
            <a:ext cx="14288" cy="11858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180975</xdr:colOff>
      <xdr:row>7</xdr:row>
      <xdr:rowOff>4763</xdr:rowOff>
    </xdr:from>
    <xdr:to>
      <xdr:col>7</xdr:col>
      <xdr:colOff>238125</xdr:colOff>
      <xdr:row>12</xdr:row>
      <xdr:rowOff>57151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/>
      </xdr:nvGrpSpPr>
      <xdr:grpSpPr>
        <a:xfrm>
          <a:off x="3221355" y="1300163"/>
          <a:ext cx="57150" cy="982028"/>
          <a:chOff x="152400" y="1343025"/>
          <a:chExt cx="52388" cy="1190625"/>
        </a:xfrm>
      </xdr:grpSpPr>
      <xdr:cxnSp macro="">
        <xdr:nvCxnSpPr>
          <xdr:cNvPr id="12" name="Connecteur droit 1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CxnSpPr/>
        </xdr:nvCxnSpPr>
        <xdr:spPr>
          <a:xfrm>
            <a:off x="152400" y="1343025"/>
            <a:ext cx="1" cy="119062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3" name="Connecteur droit 12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CxnSpPr/>
        </xdr:nvCxnSpPr>
        <xdr:spPr>
          <a:xfrm>
            <a:off x="190500" y="1347788"/>
            <a:ext cx="14288" cy="11858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14</xdr:col>
      <xdr:colOff>114300</xdr:colOff>
      <xdr:row>6</xdr:row>
      <xdr:rowOff>166688</xdr:rowOff>
    </xdr:from>
    <xdr:to>
      <xdr:col>14</xdr:col>
      <xdr:colOff>166688</xdr:colOff>
      <xdr:row>13</xdr:row>
      <xdr:rowOff>23813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/>
      </xdr:nvGrpSpPr>
      <xdr:grpSpPr>
        <a:xfrm>
          <a:off x="6438900" y="1279208"/>
          <a:ext cx="52388" cy="1152525"/>
          <a:chOff x="152400" y="1343025"/>
          <a:chExt cx="52388" cy="1190625"/>
        </a:xfrm>
      </xdr:grpSpPr>
      <xdr:cxnSp macro="">
        <xdr:nvCxnSpPr>
          <xdr:cNvPr id="15" name="Connecteur droit 14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CxnSpPr/>
        </xdr:nvCxnSpPr>
        <xdr:spPr>
          <a:xfrm>
            <a:off x="152400" y="1343025"/>
            <a:ext cx="1" cy="119062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" name="Connecteur droit 15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CxnSpPr/>
        </xdr:nvCxnSpPr>
        <xdr:spPr>
          <a:xfrm>
            <a:off x="190500" y="1347788"/>
            <a:ext cx="14288" cy="11858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trice\Hermione\FACT87\Fact20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EE"/>
      <sheetName val="JAN"/>
      <sheetName val="FEV"/>
      <sheetName val="MAR"/>
      <sheetName val="AVR"/>
      <sheetName val="MAI"/>
      <sheetName val="JUN"/>
      <sheetName val="JUL"/>
      <sheetName val="AOU"/>
      <sheetName val="SEP"/>
      <sheetName val="OCT"/>
      <sheetName val="NOV"/>
      <sheetName val="DEC"/>
      <sheetName val="Ecritures"/>
      <sheetName val="TransMois"/>
      <sheetName val="Transfert"/>
      <sheetName val="Feuil1"/>
      <sheetName val="Feuil2"/>
      <sheetName val="ETUDE"/>
      <sheetName val="CarnetRet"/>
    </sheetNames>
    <sheetDataSet>
      <sheetData sheetId="0"/>
      <sheetData sheetId="1">
        <row r="1">
          <cell r="P1" t="str">
            <v>2011</v>
          </cell>
        </row>
      </sheetData>
      <sheetData sheetId="2"/>
      <sheetData sheetId="3"/>
      <sheetData sheetId="4"/>
      <sheetData sheetId="5"/>
      <sheetData sheetId="6">
        <row r="51">
          <cell r="M51">
            <v>1425</v>
          </cell>
        </row>
      </sheetData>
      <sheetData sheetId="7"/>
      <sheetData sheetId="8"/>
      <sheetData sheetId="9">
        <row r="51">
          <cell r="M51">
            <v>2668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18A89-B5BA-4400-9A53-B6A7C2720CE6}">
  <sheetPr codeName="Feuil94"/>
  <dimension ref="A1:C18"/>
  <sheetViews>
    <sheetView tabSelected="1" zoomScaleNormal="100" workbookViewId="0">
      <selection activeCell="A2" sqref="A2"/>
    </sheetView>
  </sheetViews>
  <sheetFormatPr baseColWidth="10" defaultColWidth="57.109375" defaultRowHeight="14.4" x14ac:dyDescent="0.3"/>
  <cols>
    <col min="1" max="1" width="31.109375" style="50" bestFit="1" customWidth="1"/>
    <col min="2" max="2" width="33.33203125" customWidth="1"/>
    <col min="3" max="3" width="47.5546875" bestFit="1" customWidth="1"/>
  </cols>
  <sheetData>
    <row r="1" spans="1:3" x14ac:dyDescent="0.3">
      <c r="A1" s="58" t="s">
        <v>438</v>
      </c>
    </row>
    <row r="2" spans="1:3" x14ac:dyDescent="0.3">
      <c r="A2" s="59">
        <v>35</v>
      </c>
    </row>
    <row r="3" spans="1:3" x14ac:dyDescent="0.3">
      <c r="A3" s="58" t="s">
        <v>441</v>
      </c>
    </row>
    <row r="4" spans="1:3" x14ac:dyDescent="0.3">
      <c r="A4" s="58" t="s">
        <v>441</v>
      </c>
    </row>
    <row r="8" spans="1:3" x14ac:dyDescent="0.3">
      <c r="A8" s="58" t="s">
        <v>439</v>
      </c>
      <c r="C8" s="61" t="s">
        <v>445</v>
      </c>
    </row>
    <row r="9" spans="1:3" x14ac:dyDescent="0.3">
      <c r="A9" s="59" t="s">
        <v>446</v>
      </c>
      <c r="C9" s="62" t="s">
        <v>444</v>
      </c>
    </row>
    <row r="10" spans="1:3" ht="14.4" customHeight="1" x14ac:dyDescent="0.3">
      <c r="A10" s="58" t="s">
        <v>441</v>
      </c>
      <c r="C10" s="63" t="s">
        <v>334</v>
      </c>
    </row>
    <row r="11" spans="1:3" ht="14.4" customHeight="1" x14ac:dyDescent="0.3">
      <c r="A11" s="58" t="s">
        <v>441</v>
      </c>
      <c r="C11" s="64"/>
    </row>
    <row r="12" spans="1:3" x14ac:dyDescent="0.3">
      <c r="C12" s="64"/>
    </row>
    <row r="14" spans="1:3" x14ac:dyDescent="0.3">
      <c r="C14" s="57" t="s">
        <v>437</v>
      </c>
    </row>
    <row r="15" spans="1:3" x14ac:dyDescent="0.3">
      <c r="A15" s="66" t="s">
        <v>440</v>
      </c>
      <c r="C15" s="65" t="str">
        <f>CONCATENATE(VLOOKUP(C10,Liste!C2:J24,3,0)," / ",VLOOKUP(C10,Liste!C2:J24,4,0))</f>
        <v>Atlanta / Blanc</v>
      </c>
    </row>
    <row r="16" spans="1:3" x14ac:dyDescent="0.3">
      <c r="A16" s="67"/>
      <c r="C16" s="65"/>
    </row>
    <row r="17" spans="1:3" x14ac:dyDescent="0.3">
      <c r="A17" s="60">
        <v>3514230015408</v>
      </c>
      <c r="C17" s="57" t="str">
        <f>CONCATENATE(VLOOKUP(C10,Liste!C2:J24,5,0)," /_\ ",VLOOKUP(C10,Liste!C2:J24,6,0))</f>
        <v>Lits deux personnes /_\ Lit double 140x190 cm</v>
      </c>
    </row>
    <row r="18" spans="1:3" x14ac:dyDescent="0.3">
      <c r="A18" s="58" t="str">
        <f>CONCATENATE(VLOOKUP(A17,Liste!D2:Y24,21,FALSE)," -- ou -- ",VLOOKUP(A17,Liste!D2:Y24,22,FALSE))</f>
        <v>0352/16Z -- ou -- Atlanta / Noir</v>
      </c>
    </row>
  </sheetData>
  <mergeCells count="3">
    <mergeCell ref="C10:C12"/>
    <mergeCell ref="C15:C16"/>
    <mergeCell ref="A15:A16"/>
  </mergeCells>
  <printOptions horizontalCentered="1" verticalCentered="1"/>
  <pageMargins left="3.937007874015748E-2" right="3.937007874015748E-2" top="0.74803149606299213" bottom="0.74803149606299213" header="0.51181102362204722" footer="0.51181102362204722"/>
  <pageSetup paperSize="9" firstPageNumber="0" orientation="landscape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6AA596E-4B41-42C3-8A2C-41E2BB21DFC4}">
          <x14:formula1>
            <xm:f>Liste!$T$1:$T$24</xm:f>
          </x14:formula1>
          <xm:sqref>A3</xm:sqref>
        </x14:dataValidation>
        <x14:dataValidation type="list" allowBlank="1" showInputMessage="1" showErrorMessage="1" xr:uid="{B2BC5F29-D6E2-441F-8967-9AB18D266B1C}">
          <x14:formula1>
            <xm:f>Liste!$U$1:$U$24</xm:f>
          </x14:formula1>
          <xm:sqref>A4</xm:sqref>
        </x14:dataValidation>
        <x14:dataValidation type="list" allowBlank="1" showInputMessage="1" showErrorMessage="1" xr:uid="{95464785-E3ED-4B13-92AA-633D1A0CD3E0}">
          <x14:formula1>
            <xm:f>Liste!$V$1:$V$24</xm:f>
          </x14:formula1>
          <xm:sqref>A10</xm:sqref>
        </x14:dataValidation>
        <x14:dataValidation type="list" allowBlank="1" showInputMessage="1" showErrorMessage="1" xr:uid="{2B097DF8-5E4F-4F7F-9F76-AC3C794E56BA}">
          <x14:formula1>
            <xm:f>Liste!$W$1:$W$24</xm:f>
          </x14:formula1>
          <xm:sqref>A11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80"/>
  <sheetViews>
    <sheetView zoomScale="35" zoomScaleNormal="35" workbookViewId="0">
      <selection activeCell="A13" sqref="A13:B13"/>
    </sheetView>
  </sheetViews>
  <sheetFormatPr baseColWidth="10" defaultColWidth="57.109375" defaultRowHeight="14.4" x14ac:dyDescent="0.3"/>
  <cols>
    <col min="1" max="1" width="102" customWidth="1"/>
    <col min="2" max="2" width="21.88671875" customWidth="1"/>
    <col min="3" max="3" width="10.6640625" customWidth="1"/>
    <col min="4" max="4" width="101.88671875" customWidth="1"/>
    <col min="5" max="5" width="21.88671875" customWidth="1"/>
    <col min="6" max="6" width="10.6640625" customWidth="1"/>
    <col min="7" max="7" width="101.88671875" customWidth="1"/>
    <col min="8" max="8" width="21.6640625" customWidth="1"/>
    <col min="9" max="9" width="10.6640625" customWidth="1"/>
    <col min="10" max="10" width="101.88671875" customWidth="1"/>
    <col min="11" max="11" width="21.5546875" customWidth="1"/>
    <col min="12" max="12" width="10.6640625" customWidth="1"/>
    <col min="13" max="13" width="101.88671875" customWidth="1"/>
    <col min="14" max="14" width="29.33203125" customWidth="1"/>
    <col min="15" max="15" width="7.109375" customWidth="1"/>
    <col min="16" max="16" width="101.88671875" customWidth="1"/>
    <col min="17" max="17" width="29.5546875" customWidth="1"/>
  </cols>
  <sheetData>
    <row r="1" spans="1:18" ht="158.25" customHeight="1" x14ac:dyDescent="0.3">
      <c r="A1" s="68" t="str">
        <f>Saisie!C10</f>
        <v>0351/9</v>
      </c>
      <c r="B1" s="68"/>
      <c r="C1" s="10" t="str">
        <f>VLOOKUP($A$1,Liste!$C$2:$Q$24,15,0)</f>
        <v>3FBOMNA*abegfe+</v>
      </c>
      <c r="D1" s="68" t="str">
        <f>IF(2&lt;=VLOOKUP($A$1,Liste!$C$2:$O$24,9,0),A1,"")</f>
        <v>0351/9</v>
      </c>
      <c r="E1" s="68"/>
      <c r="F1" s="10" t="str">
        <f>IF(2&lt;=VLOOKUP($A$1,Liste!$C$2:$O$24,9,0),VLOOKUP($A$1,Liste!$C$2:$Q$24,15,0),"")</f>
        <v>3FBOMNA*abegfe+</v>
      </c>
      <c r="G1" s="68" t="str">
        <f>IF(3&lt;=VLOOKUP($A$1,Liste!$C$2:$O$24,9,0),A1,"")</f>
        <v/>
      </c>
      <c r="H1" s="68"/>
      <c r="I1" s="10" t="str">
        <f>IF(3&lt;=VLOOKUP($A$1,Liste!$C$2:$O$24,9,0),VLOOKUP($A$1,Liste!$C$2:$Q$24,15,0),"")</f>
        <v/>
      </c>
      <c r="J1" s="68" t="str">
        <f>IF(4&lt;=VLOOKUP($A$1,Liste!$C$2:$O$24,9,0),A1,"")</f>
        <v/>
      </c>
      <c r="K1" s="68"/>
      <c r="L1" s="10" t="str">
        <f>IF(4&lt;=VLOOKUP($A$1,Liste!$C$2:$O$24,9,0),VLOOKUP($A$1,Liste!$C$2:$Q$24,15,0),"")</f>
        <v/>
      </c>
      <c r="M1" s="12"/>
      <c r="N1" s="11"/>
      <c r="O1" s="1"/>
      <c r="P1" s="69"/>
      <c r="Q1" s="69"/>
      <c r="R1" s="1"/>
    </row>
    <row r="2" spans="1:18" ht="30" customHeight="1" x14ac:dyDescent="0.3">
      <c r="A2" s="70" t="str">
        <f>VLOOKUP($A$1,Liste!$C$2:$O$24,3,0)</f>
        <v>Atlanta</v>
      </c>
      <c r="B2" s="71" t="s">
        <v>0</v>
      </c>
      <c r="C2" s="71"/>
      <c r="D2" s="70" t="str">
        <f>IF(2&lt;=VLOOKUP($A$1,Liste!$C$2:$O$24,9,0),VLOOKUP($A$1,Liste!$C$2:$O$24,3,0),"")</f>
        <v>Atlanta</v>
      </c>
      <c r="E2" s="71" t="s">
        <v>0</v>
      </c>
      <c r="F2" s="71"/>
      <c r="G2" s="70" t="str">
        <f>IF(3&lt;=VLOOKUP($A$1,Liste!$C$2:$O$24,9,0),VLOOKUP($A$1,Liste!$C$2:$O$24,3,0),"")</f>
        <v/>
      </c>
      <c r="H2" s="71" t="s">
        <v>0</v>
      </c>
      <c r="I2" s="71"/>
      <c r="J2" s="70" t="str">
        <f>IF(4&lt;=VLOOKUP($A$1,Liste!$C$2:$O$24,9,0),VLOOKUP($A$1,Liste!$C$2:$O$24,3,0),"")</f>
        <v/>
      </c>
      <c r="K2" s="71" t="s">
        <v>0</v>
      </c>
      <c r="L2" s="71"/>
      <c r="M2" s="72"/>
      <c r="N2" s="2"/>
      <c r="O2" s="1"/>
      <c r="P2" s="72"/>
      <c r="Q2" s="2"/>
      <c r="R2" s="1"/>
    </row>
    <row r="3" spans="1:18" ht="144" customHeight="1" x14ac:dyDescent="0.3">
      <c r="A3" s="70"/>
      <c r="B3" s="73" t="str">
        <f>IF(1&lt;=VLOOKUP($A$1,Liste!$C$2:$O$24,9,0),"1/"&amp;VLOOKUP($A$1,Liste!$C$2:$O$24,9,0),"")</f>
        <v>1/2</v>
      </c>
      <c r="C3" s="73"/>
      <c r="D3" s="70"/>
      <c r="E3" s="73" t="str">
        <f>IF(2&lt;=VLOOKUP($A$1,Liste!$C$2:$O$24,9,0),"2/"&amp;VLOOKUP($A$1,Liste!$C$2:$O$24,9,0),"")</f>
        <v>2/2</v>
      </c>
      <c r="F3" s="73"/>
      <c r="G3" s="70"/>
      <c r="H3" s="73" t="str">
        <f>IF(3&lt;=VLOOKUP($A$1,Liste!$C$2:$O$24,9,0),"3/"&amp;VLOOKUP($A$1,Liste!$C$2:$O$24,9,0),"")</f>
        <v/>
      </c>
      <c r="I3" s="73"/>
      <c r="J3" s="70"/>
      <c r="K3" s="73" t="str">
        <f>IF(4&lt;=VLOOKUP($A$1,Liste!$C$2:$O$24,9,0),"4/"&amp;VLOOKUP($A$1,Liste!$C$2:$O$24,9,0),"")</f>
        <v/>
      </c>
      <c r="L3" s="73"/>
      <c r="M3" s="72"/>
      <c r="N3" s="3"/>
      <c r="O3" s="1"/>
      <c r="P3" s="72"/>
      <c r="Q3" s="3"/>
      <c r="R3" s="1"/>
    </row>
    <row r="4" spans="1:18" ht="30" customHeight="1" x14ac:dyDescent="0.3">
      <c r="A4" s="76" t="str">
        <f>VLOOKUP($A$1,Liste!$C$2:$O$24,6,0)</f>
        <v>Lit double 140x190 cm</v>
      </c>
      <c r="B4" s="71" t="s">
        <v>1</v>
      </c>
      <c r="C4" s="71"/>
      <c r="D4" s="76" t="str">
        <f>IF(2&lt;=VLOOKUP($A$1,Liste!$C$2:$O$24,9,0),VLOOKUP($A$1,Liste!$C$2:$O$24,6,0),"")</f>
        <v>Lit double 140x190 cm</v>
      </c>
      <c r="E4" s="71" t="s">
        <v>1</v>
      </c>
      <c r="F4" s="71"/>
      <c r="G4" s="76" t="str">
        <f>IF(3&lt;=VLOOKUP($A$1,Liste!$C$2:$O$24,9,0),VLOOKUP($A$1,Liste!$C$2:$O$24,6,0),"")</f>
        <v/>
      </c>
      <c r="H4" s="71" t="s">
        <v>1</v>
      </c>
      <c r="I4" s="71"/>
      <c r="J4" s="76" t="str">
        <f>IF(4&lt;=VLOOKUP($A$1,Liste!$C$2:$O$24,9,0),VLOOKUP($A$1,Liste!$C$2:$O$24,6,0),"")</f>
        <v/>
      </c>
      <c r="K4" s="71" t="s">
        <v>1</v>
      </c>
      <c r="L4" s="71"/>
      <c r="M4" s="74"/>
      <c r="N4" s="2"/>
      <c r="O4" s="1"/>
      <c r="P4" s="74"/>
      <c r="Q4" s="2"/>
      <c r="R4" s="1"/>
    </row>
    <row r="5" spans="1:18" ht="22.2" customHeight="1" x14ac:dyDescent="0.3">
      <c r="A5" s="76"/>
      <c r="B5" s="75">
        <f>VLOOKUP($A$1,Liste!$C$2:$O$24,10,0)</f>
        <v>20</v>
      </c>
      <c r="C5" s="75"/>
      <c r="D5" s="76"/>
      <c r="E5" s="75">
        <f>IF(2&lt;=VLOOKUP($A$1,Liste!$C$2:$O$24,9,0),VLOOKUP($A$1,Liste!$C$2:$O$24,11,0),"")</f>
        <v>80</v>
      </c>
      <c r="F5" s="75"/>
      <c r="G5" s="76"/>
      <c r="H5" s="75" t="str">
        <f>IF(3&lt;=VLOOKUP($A$1,Liste!$C$2:$O$24,9,0),VLOOKUP($A$1,Liste!$C$2:$O$24,12,0),"")</f>
        <v/>
      </c>
      <c r="I5" s="75"/>
      <c r="J5" s="76"/>
      <c r="K5" s="75" t="str">
        <f>IF(4&lt;=VLOOKUP($A$1,Liste!$C$2:$O$24,9,0),VLOOKUP($A$1,Liste!$C$2:$O$24,13,0),"")</f>
        <v/>
      </c>
      <c r="L5" s="75"/>
      <c r="M5" s="74"/>
      <c r="N5" s="4"/>
      <c r="O5" s="1"/>
      <c r="P5" s="74"/>
      <c r="Q5" s="4"/>
      <c r="R5" s="1"/>
    </row>
    <row r="6" spans="1:18" ht="52.2" customHeight="1" x14ac:dyDescent="0.3">
      <c r="A6" s="5" t="str">
        <f>VLOOKUP($A$1,Liste!$C$2:$O$24,7,0)</f>
        <v>1 sommier</v>
      </c>
      <c r="B6" s="75"/>
      <c r="C6" s="75"/>
      <c r="D6" s="5" t="str">
        <f>IF(2&lt;=VLOOKUP($A$1,Liste!$C$2:$O$24,9,0),VLOOKUP($A$1,Liste!$C$2:$O$24,7,0),"")</f>
        <v>1 sommier</v>
      </c>
      <c r="E6" s="75"/>
      <c r="F6" s="75"/>
      <c r="G6" s="5" t="str">
        <f>IF(3&lt;=VLOOKUP($A$1,Liste!$C$2:$O$24,9,0),VLOOKUP($A$1,Liste!$C$2:$O$24,7,0),"")</f>
        <v/>
      </c>
      <c r="H6" s="75"/>
      <c r="I6" s="75"/>
      <c r="J6" s="5" t="str">
        <f>IF(4&lt;=VLOOKUP($A$1,Liste!$C$2:$O$24,9,0),VLOOKUP($A$1,Liste!$C$2:$O$24,7,0),"")</f>
        <v/>
      </c>
      <c r="K6" s="75"/>
      <c r="L6" s="75"/>
      <c r="M6" s="1"/>
      <c r="N6" s="1"/>
      <c r="O6" s="1"/>
      <c r="P6" s="1"/>
      <c r="Q6" s="1"/>
      <c r="R6" s="1"/>
    </row>
    <row r="7" spans="1:18" ht="52.2" customHeight="1" x14ac:dyDescent="0.3">
      <c r="A7" s="6" t="str">
        <f>VLOOKUP($A$1,Liste!$C$2:$O$24,4,0)</f>
        <v>Blanc</v>
      </c>
      <c r="B7" s="75"/>
      <c r="C7" s="75"/>
      <c r="D7" s="6" t="str">
        <f>IF(2&lt;=VLOOKUP($A$1,Liste!$C$2:$O$24,9,0),VLOOKUP($A$1,Liste!$C$2:$O$24,4,0),"")</f>
        <v>Blanc</v>
      </c>
      <c r="E7" s="75"/>
      <c r="F7" s="75"/>
      <c r="G7" s="6" t="str">
        <f>IF(3&lt;=VLOOKUP($A$1,Liste!$C$2:$O$24,9,0),VLOOKUP($A$1,Liste!$C$2:$O$24,4,0),"")</f>
        <v/>
      </c>
      <c r="H7" s="75"/>
      <c r="I7" s="75"/>
      <c r="J7" s="6" t="str">
        <f>IF(4&lt;=VLOOKUP($A$1,Liste!$C$2:$O$24,9,0),VLOOKUP($A$1,Liste!$C$2:$O$24,4,0),"")</f>
        <v/>
      </c>
      <c r="K7" s="75"/>
      <c r="L7" s="75"/>
      <c r="M7" s="69"/>
      <c r="N7" s="69"/>
      <c r="O7" s="1"/>
      <c r="P7" s="69"/>
      <c r="Q7" s="69"/>
      <c r="R7" s="1"/>
    </row>
    <row r="8" spans="1:18" ht="30" customHeight="1" x14ac:dyDescent="0.3">
      <c r="A8" s="72"/>
      <c r="B8" s="2"/>
      <c r="C8" s="1"/>
      <c r="D8" s="1"/>
      <c r="E8" s="1"/>
      <c r="F8" s="1"/>
      <c r="G8" s="72"/>
      <c r="H8" s="2"/>
      <c r="I8" s="1"/>
      <c r="J8" s="72"/>
      <c r="K8" s="2"/>
      <c r="L8" s="1"/>
      <c r="M8" s="72"/>
      <c r="N8" s="2"/>
      <c r="O8" s="1"/>
      <c r="P8" s="72"/>
      <c r="Q8" s="2"/>
      <c r="R8" s="1"/>
    </row>
    <row r="9" spans="1:18" ht="147" customHeight="1" x14ac:dyDescent="0.3">
      <c r="A9" s="72"/>
      <c r="B9" s="3"/>
      <c r="C9" s="1"/>
      <c r="D9" s="7"/>
      <c r="E9" s="1"/>
      <c r="F9" s="1"/>
      <c r="G9" s="72"/>
      <c r="H9" s="3"/>
      <c r="I9" s="1"/>
      <c r="J9" s="72"/>
      <c r="K9" s="3"/>
      <c r="L9" s="1"/>
      <c r="M9" s="72"/>
      <c r="N9" s="3"/>
      <c r="O9" s="1"/>
      <c r="P9" s="72"/>
      <c r="Q9" s="3"/>
      <c r="R9" s="1"/>
    </row>
    <row r="10" spans="1:18" ht="30" customHeight="1" x14ac:dyDescent="0.3">
      <c r="A10" s="74"/>
      <c r="B10" s="2"/>
      <c r="C10" s="1"/>
      <c r="D10" s="1"/>
      <c r="E10" s="1"/>
      <c r="F10" s="1"/>
      <c r="G10" s="74"/>
      <c r="H10" s="2"/>
      <c r="I10" s="1"/>
      <c r="J10" s="74"/>
      <c r="K10" s="2"/>
      <c r="L10" s="1"/>
      <c r="M10" s="74"/>
      <c r="N10" s="2"/>
      <c r="O10" s="1"/>
      <c r="P10" s="74"/>
      <c r="Q10" s="2"/>
      <c r="R10" s="1"/>
    </row>
    <row r="11" spans="1:18" ht="147" customHeight="1" x14ac:dyDescent="0.3">
      <c r="A11" s="74"/>
      <c r="B11" s="4"/>
      <c r="C11" s="1"/>
      <c r="D11" s="1"/>
      <c r="E11" s="1"/>
      <c r="F11" s="1"/>
      <c r="G11" s="74"/>
      <c r="H11" s="4"/>
      <c r="I11" s="1"/>
      <c r="J11" s="74"/>
      <c r="K11" s="4"/>
      <c r="L11" s="1"/>
      <c r="M11" s="74"/>
      <c r="N11" s="4"/>
      <c r="O11" s="1"/>
      <c r="P11" s="74"/>
      <c r="Q11" s="4"/>
      <c r="R11" s="1"/>
    </row>
    <row r="12" spans="1:18" ht="45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ht="147.75" customHeight="1" x14ac:dyDescent="0.3">
      <c r="A13" s="69"/>
      <c r="B13" s="69"/>
      <c r="C13" s="1"/>
      <c r="D13" s="1"/>
      <c r="E13" s="1"/>
      <c r="F13" s="1"/>
      <c r="G13" s="69"/>
      <c r="H13" s="69"/>
      <c r="I13" s="1"/>
      <c r="J13" s="69"/>
      <c r="K13" s="69"/>
      <c r="L13" s="1"/>
      <c r="M13" s="69"/>
      <c r="N13" s="69"/>
      <c r="O13" s="1"/>
      <c r="P13" s="1"/>
      <c r="Q13" s="1"/>
      <c r="R13" s="1"/>
    </row>
    <row r="14" spans="1:18" ht="30" customHeight="1" x14ac:dyDescent="0.3">
      <c r="A14" s="72"/>
      <c r="B14" s="2"/>
      <c r="C14" s="1"/>
      <c r="D14" s="1"/>
      <c r="E14" s="1"/>
      <c r="F14" s="1"/>
      <c r="G14" s="72"/>
      <c r="H14" s="2"/>
      <c r="I14" s="1"/>
      <c r="J14" s="72"/>
      <c r="K14" s="2"/>
      <c r="L14" s="1"/>
      <c r="M14" s="72"/>
      <c r="N14" s="2"/>
      <c r="O14" s="1"/>
      <c r="P14" s="1"/>
      <c r="Q14" s="1"/>
      <c r="R14" s="1"/>
    </row>
    <row r="15" spans="1:18" ht="144.75" customHeight="1" x14ac:dyDescent="0.3">
      <c r="A15" s="72"/>
      <c r="B15" s="3"/>
      <c r="C15" s="1"/>
      <c r="D15" s="1"/>
      <c r="E15" s="1"/>
      <c r="F15" s="1"/>
      <c r="G15" s="72"/>
      <c r="H15" s="3"/>
      <c r="I15" s="1"/>
      <c r="J15" s="72"/>
      <c r="K15" s="3"/>
      <c r="L15" s="1"/>
      <c r="M15" s="72"/>
      <c r="N15" s="3"/>
      <c r="O15" s="1"/>
      <c r="P15" s="1"/>
      <c r="Q15" s="1"/>
      <c r="R15" s="1"/>
    </row>
    <row r="16" spans="1:18" ht="30" customHeight="1" x14ac:dyDescent="0.3">
      <c r="A16" s="74"/>
      <c r="B16" s="2"/>
      <c r="C16" s="1"/>
      <c r="D16" s="1"/>
      <c r="E16" s="1"/>
      <c r="F16" s="1"/>
      <c r="G16" s="74"/>
      <c r="H16" s="2"/>
      <c r="I16" s="1"/>
      <c r="J16" s="74"/>
      <c r="K16" s="2"/>
      <c r="L16" s="1"/>
      <c r="M16" s="74"/>
      <c r="N16" s="2"/>
      <c r="O16" s="1"/>
      <c r="P16" s="1"/>
      <c r="Q16" s="1"/>
      <c r="R16" s="1"/>
    </row>
    <row r="17" spans="1:18" ht="147.75" customHeight="1" x14ac:dyDescent="0.3">
      <c r="A17" s="74"/>
      <c r="B17" s="4"/>
      <c r="C17" s="1"/>
      <c r="D17" s="1"/>
      <c r="E17" s="1"/>
      <c r="F17" s="1"/>
      <c r="G17" s="74"/>
      <c r="H17" s="4"/>
      <c r="I17" s="1"/>
      <c r="J17" s="74"/>
      <c r="K17" s="4"/>
      <c r="L17" s="1"/>
      <c r="M17" s="74"/>
      <c r="N17" s="4"/>
      <c r="O17" s="1"/>
      <c r="P17" s="1"/>
      <c r="Q17" s="1"/>
      <c r="R17" s="1"/>
    </row>
    <row r="18" spans="1:18" ht="45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44" customHeight="1" x14ac:dyDescent="0.3">
      <c r="A19" s="69"/>
      <c r="B19" s="69"/>
      <c r="C19" s="1"/>
      <c r="D19" s="69"/>
      <c r="E19" s="69"/>
      <c r="F19" s="1"/>
      <c r="G19" s="69"/>
      <c r="H19" s="69"/>
      <c r="I19" s="1"/>
      <c r="J19" s="1"/>
      <c r="K19" s="1"/>
      <c r="L19" s="1"/>
      <c r="M19" s="69"/>
      <c r="N19" s="69"/>
      <c r="O19" s="1"/>
      <c r="P19" s="1"/>
      <c r="Q19" s="1"/>
      <c r="R19" s="1"/>
    </row>
    <row r="20" spans="1:18" ht="30" customHeight="1" x14ac:dyDescent="0.3">
      <c r="A20" s="72"/>
      <c r="B20" s="2"/>
      <c r="C20" s="1"/>
      <c r="D20" s="72"/>
      <c r="E20" s="2"/>
      <c r="F20" s="1"/>
      <c r="G20" s="72"/>
      <c r="H20" s="2"/>
      <c r="I20" s="1"/>
      <c r="J20" s="1"/>
      <c r="K20" s="1"/>
      <c r="L20" s="1"/>
      <c r="M20" s="72"/>
      <c r="N20" s="2"/>
      <c r="O20" s="1"/>
      <c r="P20" s="1"/>
      <c r="Q20" s="1"/>
      <c r="R20" s="1"/>
    </row>
    <row r="21" spans="1:18" ht="144.75" customHeight="1" x14ac:dyDescent="0.3">
      <c r="A21" s="72"/>
      <c r="B21" s="3"/>
      <c r="C21" s="1"/>
      <c r="D21" s="72"/>
      <c r="E21" s="3"/>
      <c r="F21" s="1"/>
      <c r="G21" s="72"/>
      <c r="H21" s="3"/>
      <c r="I21" s="1"/>
      <c r="J21" s="1"/>
      <c r="K21" s="1"/>
      <c r="L21" s="1"/>
      <c r="M21" s="72"/>
      <c r="N21" s="3"/>
      <c r="O21" s="1"/>
      <c r="P21" s="1"/>
      <c r="Q21" s="1"/>
      <c r="R21" s="1"/>
    </row>
    <row r="22" spans="1:18" ht="30" customHeight="1" x14ac:dyDescent="0.3">
      <c r="A22" s="74"/>
      <c r="B22" s="2"/>
      <c r="C22" s="1"/>
      <c r="D22" s="74"/>
      <c r="E22" s="2"/>
      <c r="F22" s="1"/>
      <c r="G22" s="74"/>
      <c r="H22" s="2"/>
      <c r="I22" s="1"/>
      <c r="J22" s="1"/>
      <c r="K22" s="1"/>
      <c r="L22" s="1"/>
      <c r="M22" s="74"/>
      <c r="N22" s="2"/>
      <c r="O22" s="1"/>
      <c r="P22" s="1"/>
      <c r="Q22" s="1"/>
      <c r="R22" s="1"/>
    </row>
    <row r="23" spans="1:18" ht="147.75" customHeight="1" x14ac:dyDescent="0.3">
      <c r="A23" s="74"/>
      <c r="B23" s="4"/>
      <c r="C23" s="1"/>
      <c r="D23" s="74"/>
      <c r="E23" s="4"/>
      <c r="F23" s="1"/>
      <c r="G23" s="74"/>
      <c r="H23" s="4"/>
      <c r="I23" s="1"/>
      <c r="J23" s="1"/>
      <c r="K23" s="1"/>
      <c r="L23" s="1"/>
      <c r="M23" s="74"/>
      <c r="N23" s="4"/>
      <c r="O23" s="1"/>
      <c r="P23" s="1"/>
      <c r="Q23" s="1"/>
      <c r="R23" s="1"/>
    </row>
    <row r="24" spans="1:18" ht="45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ht="144" customHeight="1" x14ac:dyDescent="0.3">
      <c r="A25" s="69"/>
      <c r="B25" s="69"/>
      <c r="C25" s="1"/>
      <c r="D25" s="69"/>
      <c r="E25" s="69"/>
      <c r="F25" s="1"/>
      <c r="G25" s="1"/>
      <c r="H25" s="1"/>
      <c r="I25" s="1"/>
      <c r="J25" s="69"/>
      <c r="K25" s="69"/>
      <c r="L25" s="1"/>
      <c r="M25" s="1"/>
      <c r="N25" s="1"/>
      <c r="O25" s="1"/>
      <c r="P25" s="1"/>
      <c r="Q25" s="1"/>
      <c r="R25" s="1"/>
    </row>
    <row r="26" spans="1:18" ht="30" customHeight="1" x14ac:dyDescent="0.3">
      <c r="A26" s="72"/>
      <c r="B26" s="2"/>
      <c r="C26" s="1"/>
      <c r="D26" s="72"/>
      <c r="E26" s="2"/>
      <c r="F26" s="1"/>
      <c r="G26" s="1"/>
      <c r="H26" s="1"/>
      <c r="I26" s="1"/>
      <c r="J26" s="72"/>
      <c r="K26" s="2"/>
      <c r="L26" s="1"/>
      <c r="M26" s="1"/>
      <c r="N26" s="1"/>
      <c r="O26" s="1"/>
      <c r="P26" s="1"/>
      <c r="Q26" s="1"/>
      <c r="R26" s="1"/>
    </row>
    <row r="27" spans="1:18" ht="147.75" customHeight="1" x14ac:dyDescent="0.3">
      <c r="A27" s="72"/>
      <c r="B27" s="3"/>
      <c r="C27" s="1"/>
      <c r="D27" s="72"/>
      <c r="E27" s="3"/>
      <c r="F27" s="1"/>
      <c r="G27" s="1"/>
      <c r="H27" s="1"/>
      <c r="I27" s="1"/>
      <c r="J27" s="72"/>
      <c r="K27" s="3"/>
      <c r="L27" s="1"/>
      <c r="M27" s="1"/>
      <c r="N27" s="1"/>
      <c r="O27" s="1"/>
      <c r="P27" s="1"/>
      <c r="Q27" s="1"/>
      <c r="R27" s="1"/>
    </row>
    <row r="28" spans="1:18" ht="30" customHeight="1" x14ac:dyDescent="0.3">
      <c r="A28" s="74"/>
      <c r="B28" s="2"/>
      <c r="C28" s="1"/>
      <c r="D28" s="74"/>
      <c r="E28" s="2"/>
      <c r="F28" s="1"/>
      <c r="G28" s="1"/>
      <c r="H28" s="1"/>
      <c r="I28" s="1"/>
      <c r="J28" s="74"/>
      <c r="K28" s="2"/>
      <c r="L28" s="1"/>
      <c r="M28" s="1"/>
      <c r="N28" s="1"/>
      <c r="O28" s="1"/>
      <c r="P28" s="1"/>
      <c r="Q28" s="1"/>
      <c r="R28" s="1"/>
    </row>
    <row r="29" spans="1:18" ht="147.75" customHeight="1" x14ac:dyDescent="0.3">
      <c r="A29" s="74"/>
      <c r="B29" s="4"/>
      <c r="C29" s="1"/>
      <c r="D29" s="74"/>
      <c r="E29" s="4"/>
      <c r="F29" s="1"/>
      <c r="G29" s="1"/>
      <c r="H29" s="1"/>
      <c r="I29" s="1"/>
      <c r="J29" s="74"/>
      <c r="K29" s="4"/>
      <c r="L29" s="1"/>
      <c r="M29" s="1"/>
      <c r="N29" s="1"/>
      <c r="O29" s="1"/>
      <c r="P29" s="1"/>
      <c r="Q29" s="1"/>
      <c r="R29" s="1"/>
    </row>
    <row r="30" spans="1:18" ht="4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ht="142.5" customHeight="1" x14ac:dyDescent="0.3">
      <c r="A31" s="69"/>
      <c r="B31" s="69"/>
      <c r="C31" s="1"/>
      <c r="D31" s="69"/>
      <c r="E31" s="69"/>
      <c r="F31" s="1"/>
      <c r="G31" s="1"/>
      <c r="H31" s="1"/>
      <c r="I31" s="1"/>
      <c r="J31" s="69"/>
      <c r="K31" s="69"/>
      <c r="L31" s="1"/>
      <c r="M31" s="1"/>
      <c r="N31" s="1"/>
      <c r="O31" s="1"/>
      <c r="P31" s="1"/>
      <c r="Q31" s="1"/>
      <c r="R31" s="1"/>
    </row>
    <row r="32" spans="1:18" ht="30" customHeight="1" x14ac:dyDescent="0.3">
      <c r="A32" s="72"/>
      <c r="B32" s="2"/>
      <c r="C32" s="1"/>
      <c r="D32" s="72"/>
      <c r="E32" s="2"/>
      <c r="F32" s="1"/>
      <c r="G32" s="1"/>
      <c r="H32" s="1"/>
      <c r="I32" s="1"/>
      <c r="J32" s="72"/>
      <c r="K32" s="2"/>
      <c r="L32" s="1"/>
      <c r="M32" s="1"/>
      <c r="N32" s="1"/>
      <c r="O32" s="1"/>
      <c r="P32" s="1"/>
      <c r="Q32" s="1"/>
      <c r="R32" s="1"/>
    </row>
    <row r="33" spans="1:18" ht="148.5" customHeight="1" x14ac:dyDescent="0.3">
      <c r="A33" s="72"/>
      <c r="B33" s="3"/>
      <c r="C33" s="1"/>
      <c r="D33" s="72"/>
      <c r="E33" s="3"/>
      <c r="F33" s="1"/>
      <c r="G33" s="1"/>
      <c r="H33" s="1"/>
      <c r="I33" s="1"/>
      <c r="J33" s="72"/>
      <c r="K33" s="3"/>
      <c r="L33" s="1"/>
      <c r="M33" s="1"/>
      <c r="N33" s="1"/>
      <c r="O33" s="1"/>
      <c r="P33" s="1"/>
      <c r="Q33" s="1"/>
      <c r="R33" s="1"/>
    </row>
    <row r="34" spans="1:18" ht="30" customHeight="1" x14ac:dyDescent="0.3">
      <c r="A34" s="74"/>
      <c r="B34" s="2"/>
      <c r="C34" s="1"/>
      <c r="D34" s="74"/>
      <c r="E34" s="2"/>
      <c r="F34" s="1"/>
      <c r="G34" s="1"/>
      <c r="H34" s="1"/>
      <c r="I34" s="1"/>
      <c r="J34" s="74"/>
      <c r="K34" s="2"/>
      <c r="L34" s="1"/>
      <c r="M34" s="1"/>
      <c r="N34" s="1"/>
      <c r="O34" s="1"/>
      <c r="P34" s="1"/>
      <c r="Q34" s="1"/>
      <c r="R34" s="1"/>
    </row>
    <row r="35" spans="1:18" ht="148.5" customHeight="1" x14ac:dyDescent="0.3">
      <c r="A35" s="74"/>
      <c r="B35" s="4"/>
      <c r="C35" s="1"/>
      <c r="D35" s="74"/>
      <c r="E35" s="4"/>
      <c r="F35" s="1"/>
      <c r="G35" s="1"/>
      <c r="H35" s="1"/>
      <c r="I35" s="1"/>
      <c r="J35" s="74"/>
      <c r="K35" s="4"/>
      <c r="L35" s="1"/>
      <c r="M35" s="1"/>
      <c r="N35" s="1"/>
      <c r="O35" s="1"/>
      <c r="P35" s="1"/>
      <c r="Q35" s="1"/>
      <c r="R35" s="1"/>
    </row>
    <row r="36" spans="1:18" ht="30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142.5" customHeight="1" x14ac:dyDescent="0.3">
      <c r="A37" s="69"/>
      <c r="B37" s="69"/>
      <c r="C37" s="1"/>
      <c r="D37" s="1"/>
      <c r="E37" s="1"/>
      <c r="F37" s="1"/>
      <c r="G37" s="69"/>
      <c r="H37" s="69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ht="30" customHeight="1" x14ac:dyDescent="0.3">
      <c r="A38" s="72"/>
      <c r="B38" s="2"/>
      <c r="C38" s="1"/>
      <c r="D38" s="1"/>
      <c r="E38" s="1"/>
      <c r="F38" s="1"/>
      <c r="G38" s="72"/>
      <c r="H38" s="2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ht="148.5" customHeight="1" x14ac:dyDescent="0.3">
      <c r="A39" s="72"/>
      <c r="B39" s="3"/>
      <c r="C39" s="1"/>
      <c r="D39" s="1"/>
      <c r="E39" s="1"/>
      <c r="F39" s="1"/>
      <c r="G39" s="72"/>
      <c r="H39" s="3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ht="30" customHeight="1" x14ac:dyDescent="0.3">
      <c r="A40" s="74"/>
      <c r="B40" s="2"/>
      <c r="C40" s="1"/>
      <c r="D40" s="1"/>
      <c r="E40" s="1"/>
      <c r="F40" s="1"/>
      <c r="G40" s="74"/>
      <c r="H40" s="2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ht="148.5" customHeight="1" x14ac:dyDescent="0.3">
      <c r="A41" s="74"/>
      <c r="B41" s="4"/>
      <c r="C41" s="1"/>
      <c r="D41" s="1"/>
      <c r="E41" s="1"/>
      <c r="F41" s="1"/>
      <c r="G41" s="74"/>
      <c r="H41" s="4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ht="4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ht="142.5" customHeight="1" x14ac:dyDescent="0.3">
      <c r="A43" s="69"/>
      <c r="B43" s="69"/>
      <c r="C43" s="1"/>
      <c r="D43" s="1"/>
      <c r="E43" s="1"/>
      <c r="F43" s="1"/>
      <c r="G43" s="69"/>
      <c r="H43" s="69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ht="30" customHeight="1" x14ac:dyDescent="0.3">
      <c r="A44" s="72"/>
      <c r="B44" s="2"/>
      <c r="C44" s="1"/>
      <c r="D44" s="1"/>
      <c r="E44" s="1"/>
      <c r="F44" s="1"/>
      <c r="G44" s="72"/>
      <c r="H44" s="2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ht="148.5" customHeight="1" x14ac:dyDescent="0.3">
      <c r="A45" s="72"/>
      <c r="B45" s="3"/>
      <c r="C45" s="1"/>
      <c r="D45" s="1"/>
      <c r="E45" s="1"/>
      <c r="F45" s="1"/>
      <c r="G45" s="72"/>
      <c r="H45" s="3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ht="30" customHeight="1" x14ac:dyDescent="0.3">
      <c r="A46" s="74"/>
      <c r="B46" s="2"/>
      <c r="C46" s="1"/>
      <c r="D46" s="1"/>
      <c r="E46" s="1"/>
      <c r="F46" s="1"/>
      <c r="G46" s="74"/>
      <c r="H46" s="2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ht="148.5" customHeight="1" x14ac:dyDescent="0.3">
      <c r="A47" s="74"/>
      <c r="B47" s="4"/>
      <c r="C47" s="1"/>
      <c r="D47" s="1"/>
      <c r="E47" s="1"/>
      <c r="F47" s="1"/>
      <c r="G47" s="74"/>
      <c r="H47" s="4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ht="4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ht="142.5" customHeight="1" x14ac:dyDescent="0.3">
      <c r="A49" s="69"/>
      <c r="B49" s="69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ht="30" customHeight="1" x14ac:dyDescent="0.3">
      <c r="A50" s="72"/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ht="148.5" customHeight="1" x14ac:dyDescent="0.3">
      <c r="A51" s="72"/>
      <c r="B51" s="3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ht="30" customHeight="1" x14ac:dyDescent="0.3">
      <c r="A52" s="74"/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ht="148.5" customHeight="1" x14ac:dyDescent="0.3">
      <c r="A53" s="74"/>
      <c r="B53" s="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ht="45" customHeight="1" x14ac:dyDescent="0.3">
      <c r="A54" s="1"/>
      <c r="B54" s="1"/>
      <c r="C54" s="1"/>
      <c r="D54" s="1"/>
      <c r="E54" s="1"/>
      <c r="F54" s="1"/>
      <c r="G54" s="1"/>
      <c r="H54" s="1"/>
    </row>
    <row r="55" spans="1:18" ht="142.5" customHeight="1" x14ac:dyDescent="0.3">
      <c r="A55" s="69"/>
      <c r="B55" s="69"/>
      <c r="C55" s="1"/>
      <c r="D55" s="1"/>
      <c r="E55" s="1"/>
      <c r="F55" s="1"/>
      <c r="G55" s="1"/>
      <c r="H55" s="1"/>
    </row>
    <row r="56" spans="1:18" ht="30" customHeight="1" x14ac:dyDescent="0.3">
      <c r="A56" s="72"/>
      <c r="B56" s="2"/>
      <c r="C56" s="1"/>
      <c r="D56" s="1"/>
      <c r="E56" s="1"/>
      <c r="F56" s="1"/>
      <c r="G56" s="1"/>
      <c r="H56" s="1"/>
    </row>
    <row r="57" spans="1:18" ht="148.5" customHeight="1" x14ac:dyDescent="0.3">
      <c r="A57" s="72"/>
      <c r="B57" s="3"/>
      <c r="C57" s="1"/>
      <c r="D57" s="1"/>
      <c r="E57" s="1"/>
      <c r="F57" s="1"/>
      <c r="G57" s="1"/>
      <c r="H57" s="1"/>
    </row>
    <row r="58" spans="1:18" ht="30" customHeight="1" x14ac:dyDescent="0.3">
      <c r="A58" s="74"/>
      <c r="B58" s="2"/>
      <c r="C58" s="1"/>
      <c r="D58" s="1"/>
      <c r="E58" s="1"/>
      <c r="F58" s="1"/>
      <c r="G58" s="1"/>
      <c r="H58" s="1"/>
    </row>
    <row r="59" spans="1:18" ht="148.5" customHeight="1" x14ac:dyDescent="0.3">
      <c r="A59" s="74"/>
      <c r="B59" s="4"/>
      <c r="C59" s="1"/>
      <c r="D59" s="1"/>
      <c r="E59" s="1"/>
      <c r="F59" s="1"/>
      <c r="G59" s="1"/>
      <c r="H59" s="1"/>
    </row>
    <row r="60" spans="1:18" ht="45" customHeight="1" x14ac:dyDescent="0.3">
      <c r="A60" s="1"/>
      <c r="B60" s="1"/>
      <c r="C60" s="1"/>
      <c r="D60" s="1"/>
      <c r="E60" s="1"/>
      <c r="F60" s="1"/>
      <c r="G60" s="1"/>
      <c r="H60" s="1"/>
    </row>
    <row r="61" spans="1:18" ht="142.5" customHeight="1" x14ac:dyDescent="0.3">
      <c r="A61" s="69"/>
      <c r="B61" s="69"/>
      <c r="C61" s="1"/>
      <c r="D61" s="1"/>
      <c r="E61" s="1"/>
      <c r="F61" s="1"/>
      <c r="G61" s="1"/>
      <c r="H61" s="1"/>
    </row>
    <row r="62" spans="1:18" ht="30" customHeight="1" x14ac:dyDescent="0.3">
      <c r="A62" s="72"/>
      <c r="B62" s="2"/>
      <c r="C62" s="1"/>
      <c r="D62" s="1"/>
      <c r="E62" s="1"/>
      <c r="F62" s="1"/>
      <c r="G62" s="1"/>
      <c r="H62" s="1"/>
    </row>
    <row r="63" spans="1:18" ht="148.5" customHeight="1" x14ac:dyDescent="0.3">
      <c r="A63" s="72"/>
      <c r="B63" s="3"/>
      <c r="C63" s="1"/>
      <c r="D63" s="1"/>
      <c r="E63" s="1"/>
      <c r="F63" s="1"/>
      <c r="G63" s="1"/>
      <c r="H63" s="1"/>
    </row>
    <row r="64" spans="1:18" ht="30" customHeight="1" x14ac:dyDescent="0.3">
      <c r="A64" s="74"/>
      <c r="B64" s="2"/>
      <c r="C64" s="1"/>
      <c r="D64" s="1"/>
      <c r="E64" s="1"/>
      <c r="F64" s="1"/>
      <c r="G64" s="1"/>
      <c r="H64" s="1"/>
    </row>
    <row r="65" spans="1:8" ht="148.5" customHeight="1" x14ac:dyDescent="0.3">
      <c r="A65" s="74"/>
      <c r="B65" s="4"/>
      <c r="C65" s="1"/>
      <c r="D65" s="1"/>
      <c r="E65" s="1"/>
      <c r="F65" s="1"/>
      <c r="G65" s="1"/>
      <c r="H65" s="1"/>
    </row>
    <row r="66" spans="1:8" ht="45" customHeight="1" x14ac:dyDescent="0.3">
      <c r="A66" s="1"/>
      <c r="B66" s="1"/>
      <c r="C66" s="1"/>
      <c r="D66" s="1"/>
      <c r="E66" s="1"/>
      <c r="F66" s="1"/>
      <c r="G66" s="1"/>
      <c r="H66" s="1"/>
    </row>
    <row r="67" spans="1:8" ht="142.5" customHeight="1" x14ac:dyDescent="0.3">
      <c r="A67" s="69"/>
      <c r="B67" s="69"/>
      <c r="C67" s="1"/>
      <c r="D67" s="1"/>
      <c r="E67" s="1"/>
      <c r="F67" s="1"/>
      <c r="G67" s="1"/>
      <c r="H67" s="1"/>
    </row>
    <row r="68" spans="1:8" ht="30" customHeight="1" x14ac:dyDescent="0.3">
      <c r="A68" s="72"/>
      <c r="B68" s="2"/>
      <c r="C68" s="1"/>
      <c r="D68" s="1"/>
      <c r="E68" s="1"/>
      <c r="F68" s="1"/>
      <c r="G68" s="1"/>
      <c r="H68" s="1"/>
    </row>
    <row r="69" spans="1:8" ht="148.5" customHeight="1" x14ac:dyDescent="0.3">
      <c r="A69" s="72"/>
      <c r="B69" s="3"/>
      <c r="C69" s="1"/>
      <c r="D69" s="1"/>
      <c r="E69" s="1"/>
      <c r="F69" s="1"/>
      <c r="G69" s="1"/>
      <c r="H69" s="1"/>
    </row>
    <row r="70" spans="1:8" ht="30" customHeight="1" x14ac:dyDescent="0.3">
      <c r="A70" s="74"/>
      <c r="B70" s="2"/>
      <c r="C70" s="1"/>
      <c r="D70" s="1"/>
      <c r="E70" s="1"/>
      <c r="F70" s="1"/>
      <c r="G70" s="1"/>
      <c r="H70" s="1"/>
    </row>
    <row r="71" spans="1:8" ht="148.5" customHeight="1" x14ac:dyDescent="0.3">
      <c r="A71" s="74"/>
      <c r="B71" s="4"/>
      <c r="C71" s="1"/>
      <c r="D71" s="1"/>
      <c r="E71" s="1"/>
      <c r="F71" s="1"/>
      <c r="G71" s="1"/>
      <c r="H71" s="1"/>
    </row>
    <row r="72" spans="1:8" ht="45" customHeight="1" x14ac:dyDescent="0.3">
      <c r="A72" s="1"/>
      <c r="B72" s="1"/>
      <c r="C72" s="1"/>
      <c r="D72" s="1"/>
      <c r="E72" s="1"/>
      <c r="F72" s="1"/>
      <c r="G72" s="1"/>
      <c r="H72" s="1"/>
    </row>
    <row r="73" spans="1:8" ht="45" customHeight="1" x14ac:dyDescent="0.3">
      <c r="A73" s="1"/>
      <c r="B73" s="1"/>
      <c r="C73" s="1"/>
      <c r="D73" s="1"/>
      <c r="E73" s="1"/>
      <c r="F73" s="1"/>
      <c r="G73" s="1"/>
      <c r="H73" s="1"/>
    </row>
    <row r="74" spans="1:8" ht="45" customHeight="1" x14ac:dyDescent="0.3">
      <c r="A74" s="1"/>
      <c r="B74" s="1"/>
      <c r="C74" s="1"/>
      <c r="D74" s="1"/>
      <c r="E74" s="1"/>
      <c r="F74" s="1"/>
      <c r="G74" s="1"/>
      <c r="H74" s="1"/>
    </row>
    <row r="75" spans="1:8" ht="45" customHeight="1" x14ac:dyDescent="0.3">
      <c r="A75" s="1"/>
      <c r="B75" s="1"/>
      <c r="C75" s="1"/>
      <c r="D75" s="1"/>
      <c r="E75" s="1"/>
      <c r="F75" s="1"/>
      <c r="G75" s="1"/>
      <c r="H75" s="1"/>
    </row>
    <row r="76" spans="1:8" ht="45" customHeight="1" x14ac:dyDescent="0.3">
      <c r="A76" s="1"/>
      <c r="B76" s="1"/>
      <c r="C76" s="1"/>
      <c r="D76" s="1"/>
      <c r="E76" s="1"/>
      <c r="F76" s="1"/>
      <c r="G76" s="1"/>
      <c r="H76" s="1"/>
    </row>
    <row r="77" spans="1:8" ht="45" customHeight="1" x14ac:dyDescent="0.3">
      <c r="A77" s="1"/>
      <c r="B77" s="1"/>
      <c r="C77" s="1"/>
      <c r="D77" s="1"/>
      <c r="E77" s="1"/>
      <c r="F77" s="1"/>
      <c r="G77" s="1"/>
      <c r="H77" s="1"/>
    </row>
    <row r="78" spans="1:8" ht="45" customHeight="1" x14ac:dyDescent="0.3">
      <c r="A78" s="1"/>
      <c r="B78" s="1"/>
      <c r="C78" s="1"/>
      <c r="D78" s="1"/>
      <c r="E78" s="1"/>
      <c r="F78" s="1"/>
      <c r="G78" s="1"/>
      <c r="H78" s="1"/>
    </row>
    <row r="79" spans="1:8" ht="45" customHeight="1" x14ac:dyDescent="0.3">
      <c r="A79" s="1"/>
      <c r="B79" s="1"/>
      <c r="C79" s="1"/>
      <c r="D79" s="1"/>
      <c r="E79" s="1"/>
      <c r="F79" s="1"/>
      <c r="G79" s="1"/>
      <c r="H79" s="1"/>
    </row>
    <row r="80" spans="1:8" ht="45" customHeight="1" x14ac:dyDescent="0.3">
      <c r="A80" s="1"/>
      <c r="B80" s="1"/>
      <c r="C80" s="1"/>
      <c r="D80" s="1"/>
      <c r="E80" s="1"/>
      <c r="F80" s="1"/>
      <c r="G80" s="1"/>
      <c r="H80" s="1"/>
    </row>
  </sheetData>
  <mergeCells count="111">
    <mergeCell ref="A68:A69"/>
    <mergeCell ref="A70:A71"/>
    <mergeCell ref="A50:A51"/>
    <mergeCell ref="A52:A53"/>
    <mergeCell ref="A55:B55"/>
    <mergeCell ref="A56:A57"/>
    <mergeCell ref="A58:A59"/>
    <mergeCell ref="A61:B61"/>
    <mergeCell ref="A62:A63"/>
    <mergeCell ref="A64:A65"/>
    <mergeCell ref="A67:B67"/>
    <mergeCell ref="A40:A41"/>
    <mergeCell ref="G40:G41"/>
    <mergeCell ref="A43:B43"/>
    <mergeCell ref="G43:H43"/>
    <mergeCell ref="A44:A45"/>
    <mergeCell ref="G44:G45"/>
    <mergeCell ref="A46:A47"/>
    <mergeCell ref="G46:G47"/>
    <mergeCell ref="A49:B49"/>
    <mergeCell ref="A32:A33"/>
    <mergeCell ref="D32:D33"/>
    <mergeCell ref="J32:J33"/>
    <mergeCell ref="A34:A35"/>
    <mergeCell ref="D34:D35"/>
    <mergeCell ref="J34:J35"/>
    <mergeCell ref="A37:B37"/>
    <mergeCell ref="G37:H37"/>
    <mergeCell ref="A38:A39"/>
    <mergeCell ref="G38:G39"/>
    <mergeCell ref="A26:A27"/>
    <mergeCell ref="D26:D27"/>
    <mergeCell ref="J26:J27"/>
    <mergeCell ref="A28:A29"/>
    <mergeCell ref="D28:D29"/>
    <mergeCell ref="J28:J29"/>
    <mergeCell ref="A31:B31"/>
    <mergeCell ref="D31:E31"/>
    <mergeCell ref="J31:K31"/>
    <mergeCell ref="A20:A21"/>
    <mergeCell ref="D20:D21"/>
    <mergeCell ref="G20:G21"/>
    <mergeCell ref="M20:M21"/>
    <mergeCell ref="A22:A23"/>
    <mergeCell ref="D22:D23"/>
    <mergeCell ref="G22:G23"/>
    <mergeCell ref="M22:M23"/>
    <mergeCell ref="A25:B25"/>
    <mergeCell ref="D25:E25"/>
    <mergeCell ref="J25:K25"/>
    <mergeCell ref="A14:A15"/>
    <mergeCell ref="G14:G15"/>
    <mergeCell ref="J14:J15"/>
    <mergeCell ref="M14:M15"/>
    <mergeCell ref="A16:A17"/>
    <mergeCell ref="G16:G17"/>
    <mergeCell ref="J16:J17"/>
    <mergeCell ref="M16:M17"/>
    <mergeCell ref="A19:B19"/>
    <mergeCell ref="D19:E19"/>
    <mergeCell ref="G19:H19"/>
    <mergeCell ref="M19:N19"/>
    <mergeCell ref="A10:A11"/>
    <mergeCell ref="G10:G11"/>
    <mergeCell ref="J10:J11"/>
    <mergeCell ref="M10:M11"/>
    <mergeCell ref="P10:P11"/>
    <mergeCell ref="A13:B13"/>
    <mergeCell ref="G13:H13"/>
    <mergeCell ref="J13:K13"/>
    <mergeCell ref="M13:N13"/>
    <mergeCell ref="P4:P5"/>
    <mergeCell ref="B5:C7"/>
    <mergeCell ref="E5:F7"/>
    <mergeCell ref="H5:I7"/>
    <mergeCell ref="K5:L7"/>
    <mergeCell ref="M7:N7"/>
    <mergeCell ref="P7:Q7"/>
    <mergeCell ref="A8:A9"/>
    <mergeCell ref="G8:G9"/>
    <mergeCell ref="J8:J9"/>
    <mergeCell ref="M8:M9"/>
    <mergeCell ref="P8:P9"/>
    <mergeCell ref="A4:A5"/>
    <mergeCell ref="B4:C4"/>
    <mergeCell ref="D4:D5"/>
    <mergeCell ref="E4:F4"/>
    <mergeCell ref="G4:G5"/>
    <mergeCell ref="H4:I4"/>
    <mergeCell ref="J4:J5"/>
    <mergeCell ref="K4:L4"/>
    <mergeCell ref="M4:M5"/>
    <mergeCell ref="A1:B1"/>
    <mergeCell ref="D1:E1"/>
    <mergeCell ref="G1:H1"/>
    <mergeCell ref="J1:K1"/>
    <mergeCell ref="P1:Q1"/>
    <mergeCell ref="A2:A3"/>
    <mergeCell ref="B2:C2"/>
    <mergeCell ref="D2:D3"/>
    <mergeCell ref="E2:F2"/>
    <mergeCell ref="G2:G3"/>
    <mergeCell ref="H2:I2"/>
    <mergeCell ref="J2:J3"/>
    <mergeCell ref="K2:L2"/>
    <mergeCell ref="M2:M3"/>
    <mergeCell ref="P2:P3"/>
    <mergeCell ref="B3:C3"/>
    <mergeCell ref="E3:F3"/>
    <mergeCell ref="H3:I3"/>
    <mergeCell ref="K3:L3"/>
  </mergeCells>
  <printOptions horizontalCentered="1" verticalCentered="1"/>
  <pageMargins left="3.937007874015748E-2" right="3.937007874015748E-2" top="0.74803149606299213" bottom="0.74803149606299213" header="0.51181102362204722" footer="0.51181102362204722"/>
  <pageSetup paperSize="9" firstPageNumber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Z24"/>
  <sheetViews>
    <sheetView zoomScale="75" zoomScaleNormal="75" workbookViewId="0">
      <selection activeCell="A13" sqref="A13"/>
    </sheetView>
  </sheetViews>
  <sheetFormatPr baseColWidth="10" defaultColWidth="11.5546875" defaultRowHeight="14.4" x14ac:dyDescent="0.3"/>
  <cols>
    <col min="1" max="1" width="7.21875" style="51" bestFit="1" customWidth="1"/>
    <col min="2" max="2" width="14.33203125" style="8" bestFit="1" customWidth="1"/>
    <col min="3" max="3" width="15.6640625" customWidth="1"/>
    <col min="4" max="4" width="21.5546875" style="52" bestFit="1" customWidth="1"/>
    <col min="5" max="5" width="11.88671875" bestFit="1" customWidth="1"/>
    <col min="6" max="6" width="15" customWidth="1"/>
    <col min="7" max="7" width="30.109375" bestFit="1" customWidth="1"/>
    <col min="8" max="8" width="63.5546875" bestFit="1" customWidth="1"/>
    <col min="9" max="9" width="60.21875" bestFit="1" customWidth="1"/>
    <col min="10" max="10" width="6.21875" bestFit="1" customWidth="1"/>
    <col min="11" max="11" width="10.109375" bestFit="1" customWidth="1"/>
    <col min="12" max="13" width="4.44140625" bestFit="1" customWidth="1"/>
    <col min="14" max="15" width="3.33203125" bestFit="1" customWidth="1"/>
    <col min="16" max="16" width="5.109375" customWidth="1"/>
    <col min="17" max="17" width="22" style="53" customWidth="1"/>
    <col min="20" max="20" width="14.44140625" bestFit="1" customWidth="1"/>
    <col min="21" max="21" width="18.33203125" bestFit="1" customWidth="1"/>
    <col min="22" max="22" width="11.77734375" bestFit="1" customWidth="1"/>
    <col min="23" max="23" width="18.33203125" bestFit="1" customWidth="1"/>
    <col min="25" max="25" width="31.5546875" bestFit="1" customWidth="1"/>
  </cols>
  <sheetData>
    <row r="1" spans="1:26" x14ac:dyDescent="0.3">
      <c r="A1" s="77" t="s">
        <v>2</v>
      </c>
      <c r="B1" s="77"/>
      <c r="D1" s="52" t="s">
        <v>3</v>
      </c>
      <c r="E1" s="50" t="s">
        <v>4</v>
      </c>
      <c r="F1" t="s">
        <v>5</v>
      </c>
      <c r="G1" s="50" t="s">
        <v>6</v>
      </c>
      <c r="H1" s="50" t="s">
        <v>7</v>
      </c>
      <c r="K1" t="s">
        <v>428</v>
      </c>
      <c r="L1">
        <v>1</v>
      </c>
      <c r="M1">
        <v>2</v>
      </c>
      <c r="N1">
        <v>3</v>
      </c>
      <c r="O1">
        <v>4</v>
      </c>
      <c r="Q1" s="53" t="s">
        <v>412</v>
      </c>
      <c r="T1" t="s">
        <v>441</v>
      </c>
      <c r="U1" t="s">
        <v>441</v>
      </c>
      <c r="V1" t="s">
        <v>441</v>
      </c>
      <c r="W1" t="s">
        <v>441</v>
      </c>
      <c r="Z1" t="s">
        <v>442</v>
      </c>
    </row>
    <row r="2" spans="1:26" x14ac:dyDescent="0.3">
      <c r="A2" s="51" t="s">
        <v>8</v>
      </c>
      <c r="B2" s="8" t="s">
        <v>9</v>
      </c>
      <c r="C2" t="str">
        <f t="shared" ref="C2:C24" si="0">CONCATENATE(A2,"/",B2)</f>
        <v>WMU1/09906</v>
      </c>
      <c r="D2" s="52">
        <v>3511290069921</v>
      </c>
      <c r="E2" t="s">
        <v>10</v>
      </c>
      <c r="F2" t="str">
        <f>VLOOKUP(B2,Finitions!$A$3:$B$252,2,0)</f>
        <v>Chromé</v>
      </c>
      <c r="G2" t="s">
        <v>11</v>
      </c>
      <c r="H2" t="s">
        <v>12</v>
      </c>
      <c r="Q2" s="54" t="s">
        <v>406</v>
      </c>
      <c r="T2" t="str">
        <f>IF(AND(Z2&lt;&gt;"",ISNUMBER(SEARCH(Saisie!$A$2,A2))),CONCATENATE(A2," (",E2,")"),"")</f>
        <v/>
      </c>
      <c r="U2" t="str">
        <f>IF(AND(Z2&lt;&gt;"",ISNUMBER(SEARCH(Saisie!$A$2,A2))),CONCATENATE(B2," (",F2,")"),"")</f>
        <v/>
      </c>
      <c r="V2" t="str">
        <f>IF(AND(Z2&lt;&gt;"",ISNUMBER(SEARCH(Saisie!$A$9,E2))),CONCATENATE(E2," (",A2,")"),"")</f>
        <v/>
      </c>
      <c r="W2" t="str">
        <f>IF(AND(Z2&lt;&gt;"",ISNUMBER(SEARCH(Saisie!$A$9,E2))),CONCATENATE(F2," (",B2,")"),"")</f>
        <v/>
      </c>
      <c r="X2" t="str">
        <f>C2</f>
        <v>WMU1/09906</v>
      </c>
      <c r="Y2" t="str">
        <f>CONCATENATE(E2," / ",F2)</f>
        <v>Acqua / Chromé</v>
      </c>
      <c r="Z2" t="s">
        <v>443</v>
      </c>
    </row>
    <row r="3" spans="1:26" x14ac:dyDescent="0.3">
      <c r="A3" s="51" t="s">
        <v>13</v>
      </c>
      <c r="B3" s="8" t="s">
        <v>14</v>
      </c>
      <c r="C3" t="str">
        <f t="shared" si="0"/>
        <v>8102/9C</v>
      </c>
      <c r="D3" s="52">
        <v>3514230018263</v>
      </c>
      <c r="E3" t="s">
        <v>15</v>
      </c>
      <c r="F3" t="str">
        <f>VLOOKUP(B3,Finitions!$A$3:$B$252,2,0)</f>
        <v>Blanc</v>
      </c>
      <c r="G3" t="s">
        <v>11</v>
      </c>
      <c r="H3" t="s">
        <v>16</v>
      </c>
      <c r="I3" t="s">
        <v>17</v>
      </c>
      <c r="P3" t="str">
        <f t="shared" ref="P3:P24" si="1">IF(K3&lt;1,"",ROW())</f>
        <v/>
      </c>
      <c r="Q3" s="54" t="s">
        <v>407</v>
      </c>
      <c r="T3" t="str">
        <f>IF(AND(Z3&lt;&gt;"",ISNUMBER(SEARCH(Saisie!$A$2,A3))),CONCATENATE(A3," (",E3,")"),"")</f>
        <v/>
      </c>
      <c r="U3" t="str">
        <f>IF(AND(Z3&lt;&gt;"",ISNUMBER(SEARCH(Saisie!$A$2,A3))),CONCATENATE(B3," (",F3,")"),"")</f>
        <v/>
      </c>
      <c r="V3" t="str">
        <f>IF(AND(Z3&lt;&gt;"",ISNUMBER(SEARCH(Saisie!$A$9,E3))),CONCATENATE(E3," (",A3,")"),"")</f>
        <v/>
      </c>
      <c r="W3" t="str">
        <f>IF(AND(Z3&lt;&gt;"",ISNUMBER(SEARCH(Saisie!$A$9,E3))),CONCATENATE(F3," (",B3,")"),"")</f>
        <v/>
      </c>
      <c r="X3" t="str">
        <f t="shared" ref="X3:X24" si="2">C3</f>
        <v>8102/9C</v>
      </c>
      <c r="Y3" t="str">
        <f t="shared" ref="Y3:Y24" si="3">CONCATENATE(E3," / ",F3)</f>
        <v>Alaska / Blanc</v>
      </c>
      <c r="Z3" t="s">
        <v>443</v>
      </c>
    </row>
    <row r="4" spans="1:26" x14ac:dyDescent="0.3">
      <c r="A4" s="51" t="s">
        <v>18</v>
      </c>
      <c r="B4" s="8" t="s">
        <v>19</v>
      </c>
      <c r="C4" t="str">
        <f t="shared" si="0"/>
        <v>0370/50TZ</v>
      </c>
      <c r="D4" s="52">
        <v>3514230021201</v>
      </c>
      <c r="E4" t="s">
        <v>20</v>
      </c>
      <c r="F4" t="str">
        <f>VLOOKUP(B4,Finitions!$A$3:$B$252,2,0)</f>
        <v>Gris anthracite</v>
      </c>
      <c r="G4" t="s">
        <v>21</v>
      </c>
      <c r="H4" t="s">
        <v>22</v>
      </c>
      <c r="I4" t="s">
        <v>23</v>
      </c>
      <c r="P4" t="str">
        <f t="shared" si="1"/>
        <v/>
      </c>
      <c r="Q4" s="54" t="s">
        <v>408</v>
      </c>
      <c r="T4" t="str">
        <f>IF(AND(Z4&lt;&gt;"",ISNUMBER(SEARCH(Saisie!$A$2,A4))),CONCATENATE(A4," (",E4,")"),"")</f>
        <v/>
      </c>
      <c r="U4" t="str">
        <f>IF(AND(Z4&lt;&gt;"",ISNUMBER(SEARCH(Saisie!$A$2,A4))),CONCATENATE(B4," (",F4,")"),"")</f>
        <v/>
      </c>
      <c r="V4" t="str">
        <f>IF(AND(Z4&lt;&gt;"",ISNUMBER(SEARCH(Saisie!$A$9,E4))),CONCATENATE(E4," (",A4,")"),"")</f>
        <v/>
      </c>
      <c r="W4" t="str">
        <f>IF(AND(Z4&lt;&gt;"",ISNUMBER(SEARCH(Saisie!$A$9,E4))),CONCATENATE(F4," (",B4,")"),"")</f>
        <v/>
      </c>
      <c r="X4" t="str">
        <f t="shared" si="2"/>
        <v>0370/50TZ</v>
      </c>
      <c r="Y4" t="str">
        <f t="shared" si="3"/>
        <v>Albion / Gris anthracite</v>
      </c>
      <c r="Z4" t="s">
        <v>443</v>
      </c>
    </row>
    <row r="5" spans="1:26" x14ac:dyDescent="0.3">
      <c r="A5" s="51" t="s">
        <v>18</v>
      </c>
      <c r="B5" s="8" t="s">
        <v>24</v>
      </c>
      <c r="C5" t="str">
        <f t="shared" si="0"/>
        <v>0370/51TZ</v>
      </c>
      <c r="D5" s="52">
        <v>3514230021218</v>
      </c>
      <c r="E5" t="s">
        <v>20</v>
      </c>
      <c r="F5" t="str">
        <f>VLOOKUP(B5,Finitions!$A$3:$B$252,2,0)</f>
        <v>Gris clair</v>
      </c>
      <c r="G5" t="s">
        <v>21</v>
      </c>
      <c r="H5" t="s">
        <v>22</v>
      </c>
      <c r="I5" t="s">
        <v>23</v>
      </c>
      <c r="P5" t="str">
        <f t="shared" si="1"/>
        <v/>
      </c>
      <c r="Q5" s="54" t="s">
        <v>409</v>
      </c>
      <c r="T5" t="str">
        <f>IF(AND(Z5&lt;&gt;"",ISNUMBER(SEARCH(Saisie!$A$2,A5))),CONCATENATE(A5," (",E5,")"),"")</f>
        <v/>
      </c>
      <c r="U5" t="str">
        <f>IF(AND(Z5&lt;&gt;"",ISNUMBER(SEARCH(Saisie!$A$2,A5))),CONCATENATE(B5," (",F5,")"),"")</f>
        <v/>
      </c>
      <c r="V5" t="str">
        <f>IF(AND(Z5&lt;&gt;"",ISNUMBER(SEARCH(Saisie!$A$9,E5))),CONCATENATE(E5," (",A5,")"),"")</f>
        <v/>
      </c>
      <c r="W5" t="str">
        <f>IF(AND(Z5&lt;&gt;"",ISNUMBER(SEARCH(Saisie!$A$9,E5))),CONCATENATE(F5," (",B5,")"),"")</f>
        <v/>
      </c>
      <c r="X5" t="str">
        <f t="shared" si="2"/>
        <v>0370/51TZ</v>
      </c>
      <c r="Y5" t="str">
        <f t="shared" si="3"/>
        <v>Albion / Gris clair</v>
      </c>
      <c r="Z5" t="s">
        <v>443</v>
      </c>
    </row>
    <row r="6" spans="1:26" x14ac:dyDescent="0.3">
      <c r="A6" s="51" t="s">
        <v>25</v>
      </c>
      <c r="B6" s="8" t="s">
        <v>26</v>
      </c>
      <c r="C6" t="str">
        <f t="shared" si="0"/>
        <v>9907/74</v>
      </c>
      <c r="D6" s="52">
        <v>4251182700905</v>
      </c>
      <c r="E6" t="s">
        <v>27</v>
      </c>
      <c r="F6" t="str">
        <f>VLOOKUP(B6,Finitions!$A$3:$B$252,2,0)</f>
        <v>Chêne blanchi</v>
      </c>
      <c r="G6" t="s">
        <v>28</v>
      </c>
      <c r="H6" t="s">
        <v>29</v>
      </c>
      <c r="P6" t="str">
        <f t="shared" si="1"/>
        <v/>
      </c>
      <c r="Q6" s="54" t="s">
        <v>410</v>
      </c>
      <c r="T6" t="str">
        <f>IF(AND(Z6&lt;&gt;"",ISNUMBER(SEARCH(Saisie!$A$2,A6))),CONCATENATE(A6," (",E6,")"),"")</f>
        <v/>
      </c>
      <c r="U6" t="str">
        <f>IF(AND(Z6&lt;&gt;"",ISNUMBER(SEARCH(Saisie!$A$2,A6))),CONCATENATE(B6," (",F6,")"),"")</f>
        <v/>
      </c>
      <c r="V6" t="str">
        <f>IF(AND(Z6&lt;&gt;"",ISNUMBER(SEARCH(Saisie!$A$9,E6))),CONCATENATE(E6," (",A6,")"),"")</f>
        <v/>
      </c>
      <c r="W6" t="str">
        <f>IF(AND(Z6&lt;&gt;"",ISNUMBER(SEARCH(Saisie!$A$9,E6))),CONCATENATE(F6," (",B6,")"),"")</f>
        <v/>
      </c>
      <c r="X6" t="str">
        <f t="shared" si="2"/>
        <v>9907/74</v>
      </c>
      <c r="Y6" t="str">
        <f t="shared" si="3"/>
        <v>Alix / Chêne blanchi</v>
      </c>
      <c r="Z6" t="s">
        <v>443</v>
      </c>
    </row>
    <row r="7" spans="1:26" x14ac:dyDescent="0.3">
      <c r="A7" s="51" t="s">
        <v>30</v>
      </c>
      <c r="B7" s="8" t="s">
        <v>31</v>
      </c>
      <c r="C7" t="str">
        <f t="shared" si="0"/>
        <v>0258/NY</v>
      </c>
      <c r="D7" s="52">
        <v>3514230022741</v>
      </c>
      <c r="E7" t="s">
        <v>32</v>
      </c>
      <c r="F7" t="str">
        <f>VLOOKUP(B7,Finitions!$A$3:$B$252,2,0)</f>
        <v>Noyer</v>
      </c>
      <c r="G7" t="s">
        <v>33</v>
      </c>
      <c r="H7" t="s">
        <v>34</v>
      </c>
      <c r="I7" t="s">
        <v>35</v>
      </c>
      <c r="K7">
        <v>1</v>
      </c>
      <c r="L7">
        <v>25</v>
      </c>
      <c r="P7">
        <f t="shared" si="1"/>
        <v>7</v>
      </c>
      <c r="Q7" s="54" t="s">
        <v>411</v>
      </c>
      <c r="T7" t="str">
        <f>IF(AND(Z7&lt;&gt;"",ISNUMBER(SEARCH(Saisie!$A$2,A7))),CONCATENATE(A7," (",E7,")"),"")</f>
        <v/>
      </c>
      <c r="U7" t="str">
        <f>IF(AND(Z7&lt;&gt;"",ISNUMBER(SEARCH(Saisie!$A$2,A7))),CONCATENATE(B7," (",F7,")"),"")</f>
        <v/>
      </c>
      <c r="V7" t="str">
        <f>IF(AND(Z7&lt;&gt;"",ISNUMBER(SEARCH(Saisie!$A$9,E7))),CONCATENATE(E7," (",A7,")"),"")</f>
        <v/>
      </c>
      <c r="W7" t="str">
        <f>IF(AND(Z7&lt;&gt;"",ISNUMBER(SEARCH(Saisie!$A$9,E7))),CONCATENATE(F7," (",B7,")"),"")</f>
        <v/>
      </c>
      <c r="X7" t="str">
        <f t="shared" si="2"/>
        <v>0258/NY</v>
      </c>
      <c r="Y7" t="str">
        <f t="shared" si="3"/>
        <v>Aloa / Noyer</v>
      </c>
      <c r="Z7" t="s">
        <v>443</v>
      </c>
    </row>
    <row r="8" spans="1:26" x14ac:dyDescent="0.3">
      <c r="A8" s="51" t="s">
        <v>36</v>
      </c>
      <c r="B8" s="8" t="s">
        <v>37</v>
      </c>
      <c r="C8" t="str">
        <f t="shared" si="0"/>
        <v>2286/9</v>
      </c>
      <c r="D8" s="52">
        <v>3514230019444</v>
      </c>
      <c r="E8" t="s">
        <v>38</v>
      </c>
      <c r="F8" t="str">
        <f>VLOOKUP(B8,Finitions!$A$3:$B$252,2,0)</f>
        <v>Blanc</v>
      </c>
      <c r="G8" t="s">
        <v>21</v>
      </c>
      <c r="H8" t="s">
        <v>39</v>
      </c>
      <c r="I8" t="s">
        <v>40</v>
      </c>
      <c r="K8">
        <v>3</v>
      </c>
      <c r="N8">
        <v>25</v>
      </c>
      <c r="P8">
        <f t="shared" si="1"/>
        <v>8</v>
      </c>
      <c r="Q8" s="54" t="s">
        <v>413</v>
      </c>
      <c r="T8" t="str">
        <f>IF(AND(Z8&lt;&gt;"",ISNUMBER(SEARCH(Saisie!$A$2,A8))),CONCATENATE(A8," (",E8,")"),"")</f>
        <v/>
      </c>
      <c r="U8" t="str">
        <f>IF(AND(Z8&lt;&gt;"",ISNUMBER(SEARCH(Saisie!$A$2,A8))),CONCATENATE(B8," (",F8,")"),"")</f>
        <v/>
      </c>
      <c r="V8" t="str">
        <f>IF(AND(Z8&lt;&gt;"",ISNUMBER(SEARCH(Saisie!$A$9,E8))),CONCATENATE(E8," (",A8,")"),"")</f>
        <v/>
      </c>
      <c r="W8" t="str">
        <f>IF(AND(Z8&lt;&gt;"",ISNUMBER(SEARCH(Saisie!$A$9,E8))),CONCATENATE(F8," (",B8,")"),"")</f>
        <v/>
      </c>
      <c r="X8" t="str">
        <f t="shared" si="2"/>
        <v>2286/9</v>
      </c>
      <c r="Y8" t="str">
        <f t="shared" si="3"/>
        <v>Alpha / Blanc</v>
      </c>
      <c r="Z8" t="s">
        <v>443</v>
      </c>
    </row>
    <row r="9" spans="1:26" x14ac:dyDescent="0.3">
      <c r="A9" s="51" t="s">
        <v>41</v>
      </c>
      <c r="B9" s="8" t="s">
        <v>42</v>
      </c>
      <c r="C9" t="str">
        <f t="shared" si="0"/>
        <v>0125/16L2</v>
      </c>
      <c r="D9" s="52">
        <v>3514230020488</v>
      </c>
      <c r="E9" t="s">
        <v>43</v>
      </c>
      <c r="F9" t="str">
        <f>VLOOKUP(B9,Finitions!$A$3:$B$252,2,0)</f>
        <v>Noir</v>
      </c>
      <c r="G9" t="s">
        <v>28</v>
      </c>
      <c r="H9" t="s">
        <v>44</v>
      </c>
      <c r="K9">
        <v>1</v>
      </c>
      <c r="L9" t="s">
        <v>45</v>
      </c>
      <c r="P9">
        <f t="shared" si="1"/>
        <v>9</v>
      </c>
      <c r="Q9" s="54" t="s">
        <v>414</v>
      </c>
      <c r="T9" t="str">
        <f>IF(AND(Z9&lt;&gt;"",ISNUMBER(SEARCH(Saisie!$A$2,A9))),CONCATENATE(A9," (",E9,")"),"")</f>
        <v/>
      </c>
      <c r="U9" t="str">
        <f>IF(AND(Z9&lt;&gt;"",ISNUMBER(SEARCH(Saisie!$A$2,A9))),CONCATENATE(B9," (",F9,")"),"")</f>
        <v/>
      </c>
      <c r="V9" t="str">
        <f>IF(AND(Z9&lt;&gt;"",ISNUMBER(SEARCH(Saisie!$A$9,E9))),CONCATENATE(E9," (",A9,")"),"")</f>
        <v/>
      </c>
      <c r="W9" t="str">
        <f>IF(AND(Z9&lt;&gt;"",ISNUMBER(SEARCH(Saisie!$A$9,E9))),CONCATENATE(F9," (",B9,")"),"")</f>
        <v/>
      </c>
      <c r="X9" t="str">
        <f t="shared" si="2"/>
        <v>0125/16L2</v>
      </c>
      <c r="Y9" t="str">
        <f t="shared" si="3"/>
        <v>Ana / Noir</v>
      </c>
      <c r="Z9" t="s">
        <v>443</v>
      </c>
    </row>
    <row r="10" spans="1:26" x14ac:dyDescent="0.3">
      <c r="A10" s="51" t="s">
        <v>46</v>
      </c>
      <c r="B10" s="8" t="s">
        <v>47</v>
      </c>
      <c r="C10" t="str">
        <f t="shared" si="0"/>
        <v>6767/942</v>
      </c>
      <c r="D10" s="52">
        <v>3514230023878</v>
      </c>
      <c r="E10" t="s">
        <v>48</v>
      </c>
      <c r="F10" t="str">
        <f>VLOOKUP(B10,Finitions!$A$3:$B$252,2,0)</f>
        <v>Blanc et Gris</v>
      </c>
      <c r="G10" t="s">
        <v>49</v>
      </c>
      <c r="H10" t="s">
        <v>50</v>
      </c>
      <c r="K10">
        <v>2</v>
      </c>
      <c r="L10" t="s">
        <v>45</v>
      </c>
      <c r="M10" t="s">
        <v>45</v>
      </c>
      <c r="P10">
        <f t="shared" si="1"/>
        <v>10</v>
      </c>
      <c r="Q10" s="54" t="s">
        <v>415</v>
      </c>
      <c r="T10" t="str">
        <f>IF(AND(Z10&lt;&gt;"",ISNUMBER(SEARCH(Saisie!$A$2,A10))),CONCATENATE(A10," (",E10,")"),"")</f>
        <v/>
      </c>
      <c r="U10" t="str">
        <f>IF(AND(Z10&lt;&gt;"",ISNUMBER(SEARCH(Saisie!$A$2,A10))),CONCATENATE(B10," (",F10,")"),"")</f>
        <v/>
      </c>
      <c r="V10" t="str">
        <f>IF(AND(Z10&lt;&gt;"",ISNUMBER(SEARCH(Saisie!$A$9,E10))),CONCATENATE(E10," (",A10,")"),"")</f>
        <v/>
      </c>
      <c r="W10" t="str">
        <f>IF(AND(Z10&lt;&gt;"",ISNUMBER(SEARCH(Saisie!$A$9,E10))),CONCATENATE(F10," (",B10,")"),"")</f>
        <v/>
      </c>
      <c r="X10" t="str">
        <f t="shared" si="2"/>
        <v>6767/942</v>
      </c>
      <c r="Y10" t="str">
        <f t="shared" si="3"/>
        <v>Antala / Blanc et Gris</v>
      </c>
      <c r="Z10" t="s">
        <v>443</v>
      </c>
    </row>
    <row r="11" spans="1:26" x14ac:dyDescent="0.3">
      <c r="A11" s="51" t="s">
        <v>51</v>
      </c>
      <c r="B11" s="8" t="s">
        <v>52</v>
      </c>
      <c r="C11" t="str">
        <f t="shared" si="0"/>
        <v xml:space="preserve">DY107/    </v>
      </c>
      <c r="D11" s="52">
        <v>3514230018607</v>
      </c>
      <c r="E11" t="s">
        <v>53</v>
      </c>
      <c r="F11" t="str">
        <f>VLOOKUP(B11,Finitions!$A$3:$B$252,2,0)</f>
        <v xml:space="preserve"> </v>
      </c>
      <c r="G11" t="s">
        <v>11</v>
      </c>
      <c r="H11" t="s">
        <v>54</v>
      </c>
      <c r="P11" t="str">
        <f t="shared" si="1"/>
        <v/>
      </c>
      <c r="Q11" s="54" t="s">
        <v>416</v>
      </c>
      <c r="T11" t="str">
        <f>IF(AND(Z11&lt;&gt;"",ISNUMBER(SEARCH(Saisie!$A$2,A11))),CONCATENATE(A11," (",E11,")"),"")</f>
        <v/>
      </c>
      <c r="U11" t="str">
        <f>IF(AND(Z11&lt;&gt;"",ISNUMBER(SEARCH(Saisie!$A$2,A11))),CONCATENATE(B11," (",F11,")"),"")</f>
        <v/>
      </c>
      <c r="V11" t="str">
        <f>IF(AND(Z11&lt;&gt;"",ISNUMBER(SEARCH(Saisie!$A$9,E11))),CONCATENATE(E11," (",A11,")"),"")</f>
        <v/>
      </c>
      <c r="W11" t="str">
        <f>IF(AND(Z11&lt;&gt;"",ISNUMBER(SEARCH(Saisie!$A$9,E11))),CONCATENATE(F11," (",B11,")"),"")</f>
        <v/>
      </c>
      <c r="X11" t="str">
        <f t="shared" si="2"/>
        <v xml:space="preserve">DY107/    </v>
      </c>
      <c r="Y11" t="str">
        <f t="shared" si="3"/>
        <v xml:space="preserve">Aria /  </v>
      </c>
      <c r="Z11" t="s">
        <v>443</v>
      </c>
    </row>
    <row r="12" spans="1:26" x14ac:dyDescent="0.3">
      <c r="A12" s="51" t="s">
        <v>55</v>
      </c>
      <c r="B12" s="8" t="s">
        <v>56</v>
      </c>
      <c r="C12" t="str">
        <f t="shared" si="0"/>
        <v>6769/42D</v>
      </c>
      <c r="D12" s="52">
        <v>3514230024141</v>
      </c>
      <c r="E12" t="s">
        <v>57</v>
      </c>
      <c r="F12" t="str">
        <f>VLOOKUP(B12,Finitions!$A$3:$B$252,2,0)</f>
        <v>Gris</v>
      </c>
      <c r="G12" t="s">
        <v>49</v>
      </c>
      <c r="H12" t="s">
        <v>58</v>
      </c>
      <c r="K12">
        <v>3</v>
      </c>
      <c r="L12">
        <v>5</v>
      </c>
      <c r="M12">
        <v>9</v>
      </c>
      <c r="N12">
        <v>10</v>
      </c>
      <c r="P12">
        <f t="shared" si="1"/>
        <v>12</v>
      </c>
      <c r="Q12" s="54" t="s">
        <v>417</v>
      </c>
      <c r="T12" t="str">
        <f>IF(AND(Z12&lt;&gt;"",ISNUMBER(SEARCH(Saisie!$A$2,A12))),CONCATENATE(A12," (",E12,")"),"")</f>
        <v/>
      </c>
      <c r="U12" t="str">
        <f>IF(AND(Z12&lt;&gt;"",ISNUMBER(SEARCH(Saisie!$A$2,A12))),CONCATENATE(B12," (",F12,")"),"")</f>
        <v/>
      </c>
      <c r="V12" t="str">
        <f>IF(AND(Z12&lt;&gt;"",ISNUMBER(SEARCH(Saisie!$A$9,E12))),CONCATENATE(E12," (",A12,")"),"")</f>
        <v/>
      </c>
      <c r="W12" t="str">
        <f>IF(AND(Z12&lt;&gt;"",ISNUMBER(SEARCH(Saisie!$A$9,E12))),CONCATENATE(F12," (",B12,")"),"")</f>
        <v/>
      </c>
      <c r="X12" t="str">
        <f t="shared" si="2"/>
        <v>6769/42D</v>
      </c>
      <c r="Y12" t="str">
        <f t="shared" si="3"/>
        <v>Asgard / Gris</v>
      </c>
      <c r="Z12" t="s">
        <v>443</v>
      </c>
    </row>
    <row r="13" spans="1:26" x14ac:dyDescent="0.3">
      <c r="A13" s="51" t="s">
        <v>55</v>
      </c>
      <c r="B13" s="8" t="s">
        <v>59</v>
      </c>
      <c r="C13" t="str">
        <f t="shared" si="0"/>
        <v>6769/42G</v>
      </c>
      <c r="D13" s="52">
        <v>3514230024158</v>
      </c>
      <c r="E13" t="s">
        <v>57</v>
      </c>
      <c r="F13" t="str">
        <f>VLOOKUP(B13,Finitions!$A$3:$B$252,2,0)</f>
        <v>Gris</v>
      </c>
      <c r="G13" t="s">
        <v>49</v>
      </c>
      <c r="H13" t="s">
        <v>60</v>
      </c>
      <c r="K13">
        <v>3</v>
      </c>
      <c r="L13">
        <v>5</v>
      </c>
      <c r="M13">
        <v>9</v>
      </c>
      <c r="N13">
        <v>10</v>
      </c>
      <c r="P13">
        <f t="shared" si="1"/>
        <v>13</v>
      </c>
      <c r="Q13" s="54" t="s">
        <v>418</v>
      </c>
      <c r="T13" t="str">
        <f>IF(AND(Z13&lt;&gt;"",ISNUMBER(SEARCH(Saisie!$A$2,A13))),CONCATENATE(A13," (",E13,")"),"")</f>
        <v/>
      </c>
      <c r="U13" t="str">
        <f>IF(AND(Z13&lt;&gt;"",ISNUMBER(SEARCH(Saisie!$A$2,A13))),CONCATENATE(B13," (",F13,")"),"")</f>
        <v/>
      </c>
      <c r="V13" t="str">
        <f>IF(AND(Z13&lt;&gt;"",ISNUMBER(SEARCH(Saisie!$A$9,E13))),CONCATENATE(E13," (",A13,")"),"")</f>
        <v/>
      </c>
      <c r="W13" t="str">
        <f>IF(AND(Z13&lt;&gt;"",ISNUMBER(SEARCH(Saisie!$A$9,E13))),CONCATENATE(F13," (",B13,")"),"")</f>
        <v/>
      </c>
      <c r="X13" t="str">
        <f t="shared" si="2"/>
        <v>6769/42G</v>
      </c>
      <c r="Y13" t="str">
        <f t="shared" si="3"/>
        <v>Asgard / Gris</v>
      </c>
      <c r="Z13" t="s">
        <v>443</v>
      </c>
    </row>
    <row r="14" spans="1:26" x14ac:dyDescent="0.3">
      <c r="A14" s="51" t="s">
        <v>61</v>
      </c>
      <c r="B14" s="8" t="s">
        <v>67</v>
      </c>
      <c r="C14" t="str">
        <f t="shared" si="0"/>
        <v>3253/2</v>
      </c>
      <c r="D14" s="52">
        <v>3514230015330</v>
      </c>
      <c r="E14" t="s">
        <v>63</v>
      </c>
      <c r="F14" t="str">
        <f>VLOOKUP(B14,Finitions!$A$3:$B$252,2,0)</f>
        <v>Vernis naturel</v>
      </c>
      <c r="G14" t="s">
        <v>64</v>
      </c>
      <c r="H14" t="s">
        <v>65</v>
      </c>
      <c r="I14" t="s">
        <v>66</v>
      </c>
      <c r="K14">
        <v>3</v>
      </c>
      <c r="L14">
        <v>30</v>
      </c>
      <c r="M14">
        <v>40</v>
      </c>
      <c r="N14">
        <v>40</v>
      </c>
      <c r="P14">
        <f t="shared" si="1"/>
        <v>14</v>
      </c>
      <c r="Q14" s="54" t="s">
        <v>405</v>
      </c>
      <c r="T14" t="str">
        <f>IF(AND(Z14&lt;&gt;"",ISNUMBER(SEARCH(Saisie!$A$2,A14))),CONCATENATE(A14," (",E14,")"),"")</f>
        <v/>
      </c>
      <c r="U14" t="str">
        <f>IF(AND(Z14&lt;&gt;"",ISNUMBER(SEARCH(Saisie!$A$2,A14))),CONCATENATE(B14," (",F14,")"),"")</f>
        <v/>
      </c>
      <c r="V14" t="str">
        <f>IF(AND(Z14&lt;&gt;"",ISNUMBER(SEARCH(Saisie!$A$9,E14))),CONCATENATE(E14," (",A14,")"),"")</f>
        <v>Aspen (3253)</v>
      </c>
      <c r="W14" t="str">
        <f>IF(AND(Z14&lt;&gt;"",ISNUMBER(SEARCH(Saisie!$A$9,E14))),CONCATENATE(F14," (",B14,")"),"")</f>
        <v>Vernis naturel (2)</v>
      </c>
      <c r="X14" t="str">
        <f t="shared" si="2"/>
        <v>3253/2</v>
      </c>
      <c r="Y14" t="str">
        <f t="shared" si="3"/>
        <v>Aspen / Vernis naturel</v>
      </c>
      <c r="Z14" t="s">
        <v>443</v>
      </c>
    </row>
    <row r="15" spans="1:26" x14ac:dyDescent="0.3">
      <c r="A15" s="51" t="s">
        <v>61</v>
      </c>
      <c r="B15" s="8" t="s">
        <v>62</v>
      </c>
      <c r="C15" t="str">
        <f t="shared" si="0"/>
        <v>3253/13</v>
      </c>
      <c r="D15" s="52">
        <v>3514230015323</v>
      </c>
      <c r="E15" t="s">
        <v>63</v>
      </c>
      <c r="F15" t="str">
        <f>VLOOKUP(B15,Finitions!$A$3:$B$252,2,0)</f>
        <v>Finition blanchie</v>
      </c>
      <c r="G15" t="s">
        <v>64</v>
      </c>
      <c r="H15" t="s">
        <v>65</v>
      </c>
      <c r="I15" t="s">
        <v>66</v>
      </c>
      <c r="K15">
        <v>3</v>
      </c>
      <c r="L15">
        <v>30</v>
      </c>
      <c r="M15">
        <v>40</v>
      </c>
      <c r="N15">
        <v>40</v>
      </c>
      <c r="P15">
        <f t="shared" si="1"/>
        <v>15</v>
      </c>
      <c r="Q15" s="55" t="s">
        <v>419</v>
      </c>
      <c r="T15" t="str">
        <f>IF(AND(Z15&lt;&gt;"",ISNUMBER(SEARCH(Saisie!$A$2,A15))),CONCATENATE(A15," (",E15,")"),"")</f>
        <v/>
      </c>
      <c r="U15" t="str">
        <f>IF(AND(Z15&lt;&gt;"",ISNUMBER(SEARCH(Saisie!$A$2,A15))),CONCATENATE(B15," (",F15,")"),"")</f>
        <v/>
      </c>
      <c r="V15" t="str">
        <f>IF(AND(Z15&lt;&gt;"",ISNUMBER(SEARCH(Saisie!$A$9,E15))),CONCATENATE(E15," (",A15,")"),"")</f>
        <v>Aspen (3253)</v>
      </c>
      <c r="W15" t="str">
        <f>IF(AND(Z15&lt;&gt;"",ISNUMBER(SEARCH(Saisie!$A$9,E15))),CONCATENATE(F15," (",B15,")"),"")</f>
        <v>Finition blanchie (13)</v>
      </c>
      <c r="X15" t="str">
        <f t="shared" si="2"/>
        <v>3253/13</v>
      </c>
      <c r="Y15" t="str">
        <f t="shared" si="3"/>
        <v>Aspen / Finition blanchie</v>
      </c>
      <c r="Z15" t="s">
        <v>443</v>
      </c>
    </row>
    <row r="16" spans="1:26" x14ac:dyDescent="0.3">
      <c r="A16" s="51" t="s">
        <v>61</v>
      </c>
      <c r="B16" s="8" t="s">
        <v>68</v>
      </c>
      <c r="C16" t="str">
        <f t="shared" si="0"/>
        <v>3253/13Z</v>
      </c>
      <c r="D16" s="52" t="s">
        <v>69</v>
      </c>
      <c r="E16" t="s">
        <v>63</v>
      </c>
      <c r="F16" t="str">
        <f>VLOOKUP(B16,Finitions!$A$3:$B$252,2,0)</f>
        <v>Finition blanchie</v>
      </c>
      <c r="G16" t="s">
        <v>64</v>
      </c>
      <c r="H16" t="s">
        <v>70</v>
      </c>
      <c r="I16" t="s">
        <v>66</v>
      </c>
      <c r="K16">
        <v>3</v>
      </c>
      <c r="L16">
        <v>30</v>
      </c>
      <c r="M16">
        <v>40</v>
      </c>
      <c r="N16">
        <v>40</v>
      </c>
      <c r="P16">
        <f t="shared" si="1"/>
        <v>16</v>
      </c>
      <c r="Q16" s="54"/>
      <c r="T16" t="str">
        <f>IF(AND(Z16&lt;&gt;"",ISNUMBER(SEARCH(Saisie!$A$2,A16))),CONCATENATE(A16," (",E16,")"),"")</f>
        <v/>
      </c>
      <c r="U16" t="str">
        <f>IF(AND(Z16&lt;&gt;"",ISNUMBER(SEARCH(Saisie!$A$2,A16))),CONCATENATE(B16," (",F16,")"),"")</f>
        <v/>
      </c>
      <c r="V16" t="str">
        <f>IF(AND(Z16&lt;&gt;"",ISNUMBER(SEARCH(Saisie!$A$9,E16))),CONCATENATE(E16," (",A16,")"),"")</f>
        <v>Aspen (3253)</v>
      </c>
      <c r="W16" t="str">
        <f>IF(AND(Z16&lt;&gt;"",ISNUMBER(SEARCH(Saisie!$A$9,E16))),CONCATENATE(F16," (",B16,")"),"")</f>
        <v>Finition blanchie (13Z)</v>
      </c>
      <c r="X16" t="str">
        <f t="shared" si="2"/>
        <v>3253/13Z</v>
      </c>
      <c r="Y16" t="str">
        <f t="shared" si="3"/>
        <v>Aspen / Finition blanchie</v>
      </c>
      <c r="Z16" t="s">
        <v>443</v>
      </c>
    </row>
    <row r="17" spans="1:26" x14ac:dyDescent="0.3">
      <c r="A17" s="51" t="s">
        <v>61</v>
      </c>
      <c r="B17" s="8" t="s">
        <v>113</v>
      </c>
      <c r="C17" t="str">
        <f t="shared" si="0"/>
        <v>3253/16</v>
      </c>
      <c r="D17" s="52">
        <v>3514230017921</v>
      </c>
      <c r="E17" t="s">
        <v>63</v>
      </c>
      <c r="F17" t="str">
        <f>VLOOKUP(B17,Finitions!$A$3:$B$252,2,0)</f>
        <v>Noir</v>
      </c>
      <c r="G17" t="s">
        <v>64</v>
      </c>
      <c r="H17" t="s">
        <v>65</v>
      </c>
      <c r="I17" t="s">
        <v>66</v>
      </c>
      <c r="K17">
        <v>3</v>
      </c>
      <c r="L17">
        <v>30</v>
      </c>
      <c r="M17">
        <v>40</v>
      </c>
      <c r="N17">
        <v>40</v>
      </c>
      <c r="P17">
        <f t="shared" si="1"/>
        <v>17</v>
      </c>
      <c r="Q17" s="54" t="s">
        <v>429</v>
      </c>
      <c r="T17" t="str">
        <f>IF(AND(Z17&lt;&gt;"",ISNUMBER(SEARCH(Saisie!$A$2,A17))),CONCATENATE(A17," (",E17,")"),"")</f>
        <v/>
      </c>
      <c r="U17" t="str">
        <f>IF(AND(Z17&lt;&gt;"",ISNUMBER(SEARCH(Saisie!$A$2,A17))),CONCATENATE(B17," (",F17,")"),"")</f>
        <v/>
      </c>
      <c r="V17" t="str">
        <f>IF(AND(Z17&lt;&gt;"",ISNUMBER(SEARCH(Saisie!$A$9,E17))),CONCATENATE(E17," (",A17,")"),"")</f>
        <v>Aspen (3253)</v>
      </c>
      <c r="W17" t="str">
        <f>IF(AND(Z17&lt;&gt;"",ISNUMBER(SEARCH(Saisie!$A$9,E17))),CONCATENATE(F17," (",B17,")"),"")</f>
        <v>Noir (16)</v>
      </c>
      <c r="X17" t="str">
        <f t="shared" si="2"/>
        <v>3253/16</v>
      </c>
      <c r="Y17" t="str">
        <f t="shared" si="3"/>
        <v>Aspen / Noir</v>
      </c>
      <c r="Z17" t="s">
        <v>443</v>
      </c>
    </row>
    <row r="18" spans="1:26" x14ac:dyDescent="0.3">
      <c r="A18" s="51" t="s">
        <v>61</v>
      </c>
      <c r="B18" s="8" t="s">
        <v>192</v>
      </c>
      <c r="C18" t="str">
        <f t="shared" si="0"/>
        <v>3253/44</v>
      </c>
      <c r="D18" s="52">
        <v>3514230018027</v>
      </c>
      <c r="E18" t="s">
        <v>63</v>
      </c>
      <c r="F18" t="str">
        <f>VLOOKUP(B18,Finitions!$A$3:$B$252,2,0)</f>
        <v>Gris</v>
      </c>
      <c r="G18" t="s">
        <v>64</v>
      </c>
      <c r="H18" t="s">
        <v>65</v>
      </c>
      <c r="I18" t="s">
        <v>66</v>
      </c>
      <c r="K18">
        <v>3</v>
      </c>
      <c r="L18">
        <v>30</v>
      </c>
      <c r="M18">
        <v>40</v>
      </c>
      <c r="N18">
        <v>40</v>
      </c>
      <c r="P18">
        <f t="shared" si="1"/>
        <v>18</v>
      </c>
      <c r="Q18" s="56" t="s">
        <v>430</v>
      </c>
      <c r="T18" t="str">
        <f>IF(AND(Z18&lt;&gt;"",ISNUMBER(SEARCH(Saisie!$A$2,A18))),CONCATENATE(A18," (",E18,")"),"")</f>
        <v/>
      </c>
      <c r="U18" t="str">
        <f>IF(AND(Z18&lt;&gt;"",ISNUMBER(SEARCH(Saisie!$A$2,A18))),CONCATENATE(B18," (",F18,")"),"")</f>
        <v/>
      </c>
      <c r="V18" t="str">
        <f>IF(AND(Z18&lt;&gt;"",ISNUMBER(SEARCH(Saisie!$A$9,E18))),CONCATENATE(E18," (",A18,")"),"")</f>
        <v>Aspen (3253)</v>
      </c>
      <c r="W18" t="str">
        <f>IF(AND(Z18&lt;&gt;"",ISNUMBER(SEARCH(Saisie!$A$9,E18))),CONCATENATE(F18," (",B18,")"),"")</f>
        <v>Gris (44)</v>
      </c>
      <c r="X18" t="str">
        <f t="shared" si="2"/>
        <v>3253/44</v>
      </c>
      <c r="Y18" t="str">
        <f t="shared" si="3"/>
        <v>Aspen / Gris</v>
      </c>
      <c r="Z18" t="s">
        <v>443</v>
      </c>
    </row>
    <row r="19" spans="1:26" x14ac:dyDescent="0.3">
      <c r="A19" s="51" t="s">
        <v>423</v>
      </c>
      <c r="B19" s="8" t="s">
        <v>37</v>
      </c>
      <c r="C19" t="str">
        <f t="shared" si="0"/>
        <v>0351/9</v>
      </c>
      <c r="D19" s="52">
        <v>3514230014654</v>
      </c>
      <c r="E19" t="s">
        <v>422</v>
      </c>
      <c r="F19" t="str">
        <f>VLOOKUP(B19,Finitions!$A$3:$B$252,2,0)</f>
        <v>Blanc</v>
      </c>
      <c r="G19" t="s">
        <v>21</v>
      </c>
      <c r="H19" t="s">
        <v>39</v>
      </c>
      <c r="I19" t="s">
        <v>427</v>
      </c>
      <c r="K19">
        <v>2</v>
      </c>
      <c r="L19">
        <v>20</v>
      </c>
      <c r="M19">
        <v>80</v>
      </c>
      <c r="P19">
        <f t="shared" si="1"/>
        <v>19</v>
      </c>
      <c r="Q19" s="56" t="s">
        <v>431</v>
      </c>
      <c r="T19" t="str">
        <f>IF(AND(Z19&lt;&gt;"",ISNUMBER(SEARCH(Saisie!$A$2,A19))),CONCATENATE(A19," (",E19,")"),"")</f>
        <v>0351 (Atlanta)</v>
      </c>
      <c r="U19" t="str">
        <f>IF(AND(Z19&lt;&gt;"",ISNUMBER(SEARCH(Saisie!$A$2,A19))),CONCATENATE(B19," (",F19,")"),"")</f>
        <v>9 (Blanc)</v>
      </c>
      <c r="V19" t="str">
        <f>IF(AND(Z19&lt;&gt;"",ISNUMBER(SEARCH(Saisie!$A$9,E19))),CONCATENATE(E19," (",A19,")"),"")</f>
        <v/>
      </c>
      <c r="W19" t="str">
        <f>IF(AND(Z19&lt;&gt;"",ISNUMBER(SEARCH(Saisie!$A$9,E19))),CONCATENATE(F19," (",B19,")"),"")</f>
        <v/>
      </c>
      <c r="X19" t="str">
        <f t="shared" si="2"/>
        <v>0351/9</v>
      </c>
      <c r="Y19" t="str">
        <f t="shared" si="3"/>
        <v>Atlanta / Blanc</v>
      </c>
      <c r="Z19" t="s">
        <v>443</v>
      </c>
    </row>
    <row r="20" spans="1:26" x14ac:dyDescent="0.3">
      <c r="A20" s="51" t="s">
        <v>423</v>
      </c>
      <c r="B20" s="8" t="s">
        <v>113</v>
      </c>
      <c r="C20" t="str">
        <f t="shared" si="0"/>
        <v>0351/16</v>
      </c>
      <c r="D20" s="52">
        <v>3514230014661</v>
      </c>
      <c r="E20" t="s">
        <v>422</v>
      </c>
      <c r="F20" t="str">
        <f>VLOOKUP(B20,Finitions!$A$3:$B$252,2,0)</f>
        <v>Noir</v>
      </c>
      <c r="G20" t="s">
        <v>21</v>
      </c>
      <c r="H20" t="s">
        <v>39</v>
      </c>
      <c r="I20" t="s">
        <v>427</v>
      </c>
      <c r="K20">
        <v>2</v>
      </c>
      <c r="L20">
        <v>20</v>
      </c>
      <c r="M20">
        <v>80</v>
      </c>
      <c r="P20">
        <f t="shared" si="1"/>
        <v>20</v>
      </c>
      <c r="Q20" s="56" t="s">
        <v>432</v>
      </c>
      <c r="T20" t="str">
        <f>IF(AND(Z20&lt;&gt;"",ISNUMBER(SEARCH(Saisie!$A$2,A20))),CONCATENATE(A20," (",E20,")"),"")</f>
        <v>0351 (Atlanta)</v>
      </c>
      <c r="U20" t="str">
        <f>IF(AND(Z20&lt;&gt;"",ISNUMBER(SEARCH(Saisie!$A$2,A20))),CONCATENATE(B20," (",F20,")"),"")</f>
        <v>16 (Noir)</v>
      </c>
      <c r="V20" t="str">
        <f>IF(AND(Z20&lt;&gt;"",ISNUMBER(SEARCH(Saisie!$A$9,E20))),CONCATENATE(E20," (",A20,")"),"")</f>
        <v/>
      </c>
      <c r="W20" t="str">
        <f>IF(AND(Z20&lt;&gt;"",ISNUMBER(SEARCH(Saisie!$A$9,E20))),CONCATENATE(F20," (",B20,")"),"")</f>
        <v/>
      </c>
      <c r="X20" t="str">
        <f t="shared" si="2"/>
        <v>0351/16</v>
      </c>
      <c r="Y20" t="str">
        <f t="shared" si="3"/>
        <v>Atlanta / Noir</v>
      </c>
      <c r="Z20" t="s">
        <v>443</v>
      </c>
    </row>
    <row r="21" spans="1:26" x14ac:dyDescent="0.3">
      <c r="A21" s="51" t="s">
        <v>423</v>
      </c>
      <c r="B21" s="8" t="s">
        <v>95</v>
      </c>
      <c r="C21" t="str">
        <f t="shared" si="0"/>
        <v>0351/9Z</v>
      </c>
      <c r="D21" s="52">
        <v>3514230015378</v>
      </c>
      <c r="E21" t="s">
        <v>422</v>
      </c>
      <c r="F21" t="str">
        <f>VLOOKUP(B21,Finitions!$A$3:$B$252,2,0)</f>
        <v>Blanc</v>
      </c>
      <c r="G21" t="s">
        <v>21</v>
      </c>
      <c r="H21" t="s">
        <v>425</v>
      </c>
      <c r="I21" t="s">
        <v>427</v>
      </c>
      <c r="K21">
        <v>2</v>
      </c>
      <c r="L21">
        <v>20</v>
      </c>
      <c r="M21">
        <v>80</v>
      </c>
      <c r="P21">
        <f t="shared" si="1"/>
        <v>21</v>
      </c>
      <c r="Q21" s="53" t="s">
        <v>433</v>
      </c>
      <c r="T21" t="str">
        <f>IF(AND(Z21&lt;&gt;"",ISNUMBER(SEARCH(Saisie!$A$2,A21))),CONCATENATE(A21," (",E21,")"),"")</f>
        <v>0351 (Atlanta)</v>
      </c>
      <c r="U21" t="str">
        <f>IF(AND(Z21&lt;&gt;"",ISNUMBER(SEARCH(Saisie!$A$2,A21))),CONCATENATE(B21," (",F21,")"),"")</f>
        <v>9Z (Blanc)</v>
      </c>
      <c r="V21" t="str">
        <f>IF(AND(Z21&lt;&gt;"",ISNUMBER(SEARCH(Saisie!$A$9,E21))),CONCATENATE(E21," (",A21,")"),"")</f>
        <v/>
      </c>
      <c r="W21" t="str">
        <f>IF(AND(Z21&lt;&gt;"",ISNUMBER(SEARCH(Saisie!$A$9,E21))),CONCATENATE(F21," (",B21,")"),"")</f>
        <v/>
      </c>
      <c r="X21" t="str">
        <f t="shared" si="2"/>
        <v>0351/9Z</v>
      </c>
      <c r="Y21" t="str">
        <f t="shared" si="3"/>
        <v>Atlanta / Blanc</v>
      </c>
      <c r="Z21" t="s">
        <v>443</v>
      </c>
    </row>
    <row r="22" spans="1:26" x14ac:dyDescent="0.3">
      <c r="A22" s="51" t="s">
        <v>423</v>
      </c>
      <c r="B22" s="8" t="s">
        <v>133</v>
      </c>
      <c r="C22" t="str">
        <f t="shared" si="0"/>
        <v>0351/16Z</v>
      </c>
      <c r="D22" s="52">
        <v>3514230015385</v>
      </c>
      <c r="E22" t="s">
        <v>422</v>
      </c>
      <c r="F22" t="str">
        <f>VLOOKUP(B22,Finitions!$A$3:$B$252,2,0)</f>
        <v>Noir</v>
      </c>
      <c r="G22" t="s">
        <v>21</v>
      </c>
      <c r="H22" t="s">
        <v>425</v>
      </c>
      <c r="I22" t="s">
        <v>427</v>
      </c>
      <c r="K22">
        <v>2</v>
      </c>
      <c r="L22">
        <v>20</v>
      </c>
      <c r="M22">
        <v>80</v>
      </c>
      <c r="P22">
        <f t="shared" si="1"/>
        <v>22</v>
      </c>
      <c r="Q22" s="53" t="s">
        <v>434</v>
      </c>
      <c r="T22" t="str">
        <f>IF(AND(Z22&lt;&gt;"",ISNUMBER(SEARCH(Saisie!$A$2,A22))),CONCATENATE(A22," (",E22,")"),"")</f>
        <v>0351 (Atlanta)</v>
      </c>
      <c r="U22" t="str">
        <f>IF(AND(Z22&lt;&gt;"",ISNUMBER(SEARCH(Saisie!$A$2,A22))),CONCATENATE(B22," (",F22,")"),"")</f>
        <v>16Z (Noir)</v>
      </c>
      <c r="V22" t="str">
        <f>IF(AND(Z22&lt;&gt;"",ISNUMBER(SEARCH(Saisie!$A$9,E22))),CONCATENATE(E22," (",A22,")"),"")</f>
        <v/>
      </c>
      <c r="W22" t="str">
        <f>IF(AND(Z22&lt;&gt;"",ISNUMBER(SEARCH(Saisie!$A$9,E22))),CONCATENATE(F22," (",B22,")"),"")</f>
        <v/>
      </c>
      <c r="X22" t="str">
        <f t="shared" si="2"/>
        <v>0351/16Z</v>
      </c>
      <c r="Y22" t="str">
        <f t="shared" si="3"/>
        <v>Atlanta / Noir</v>
      </c>
      <c r="Z22" t="s">
        <v>443</v>
      </c>
    </row>
    <row r="23" spans="1:26" x14ac:dyDescent="0.3">
      <c r="A23" s="51" t="s">
        <v>424</v>
      </c>
      <c r="B23" s="8" t="s">
        <v>95</v>
      </c>
      <c r="C23" t="str">
        <f t="shared" si="0"/>
        <v>0352/9Z</v>
      </c>
      <c r="D23" s="52">
        <v>3514230015392</v>
      </c>
      <c r="E23" t="s">
        <v>422</v>
      </c>
      <c r="F23" t="str">
        <f>VLOOKUP(B23,Finitions!$A$3:$B$252,2,0)</f>
        <v>Blanc</v>
      </c>
      <c r="G23" t="s">
        <v>21</v>
      </c>
      <c r="H23" t="s">
        <v>426</v>
      </c>
      <c r="I23" t="s">
        <v>427</v>
      </c>
      <c r="K23">
        <v>2</v>
      </c>
      <c r="L23">
        <v>20</v>
      </c>
      <c r="M23">
        <v>60</v>
      </c>
      <c r="P23">
        <f t="shared" si="1"/>
        <v>23</v>
      </c>
      <c r="Q23" s="53" t="s">
        <v>435</v>
      </c>
      <c r="T23" t="str">
        <f>IF(AND(Z23&lt;&gt;"",ISNUMBER(SEARCH(Saisie!$A$2,A23))),CONCATENATE(A23," (",E23,")"),"")</f>
        <v>0352 (Atlanta)</v>
      </c>
      <c r="U23" t="str">
        <f>IF(AND(Z23&lt;&gt;"",ISNUMBER(SEARCH(Saisie!$A$2,A23))),CONCATENATE(B23," (",F23,")"),"")</f>
        <v>9Z (Blanc)</v>
      </c>
      <c r="V23" t="str">
        <f>IF(AND(Z23&lt;&gt;"",ISNUMBER(SEARCH(Saisie!$A$9,E23))),CONCATENATE(E23," (",A23,")"),"")</f>
        <v/>
      </c>
      <c r="W23" t="str">
        <f>IF(AND(Z23&lt;&gt;"",ISNUMBER(SEARCH(Saisie!$A$9,E23))),CONCATENATE(F23," (",B23,")"),"")</f>
        <v/>
      </c>
      <c r="X23" t="str">
        <f t="shared" si="2"/>
        <v>0352/9Z</v>
      </c>
      <c r="Y23" t="str">
        <f t="shared" si="3"/>
        <v>Atlanta / Blanc</v>
      </c>
      <c r="Z23" t="s">
        <v>443</v>
      </c>
    </row>
    <row r="24" spans="1:26" x14ac:dyDescent="0.3">
      <c r="A24" s="51" t="s">
        <v>424</v>
      </c>
      <c r="B24" s="8" t="s">
        <v>133</v>
      </c>
      <c r="C24" t="str">
        <f t="shared" si="0"/>
        <v>0352/16Z</v>
      </c>
      <c r="D24" s="52">
        <v>3514230015408</v>
      </c>
      <c r="E24" t="s">
        <v>422</v>
      </c>
      <c r="F24" t="str">
        <f>VLOOKUP(B24,Finitions!$A$3:$B$252,2,0)</f>
        <v>Noir</v>
      </c>
      <c r="G24" t="s">
        <v>21</v>
      </c>
      <c r="H24" t="s">
        <v>426</v>
      </c>
      <c r="I24" t="s">
        <v>427</v>
      </c>
      <c r="K24">
        <v>2</v>
      </c>
      <c r="L24">
        <v>20</v>
      </c>
      <c r="M24">
        <v>60</v>
      </c>
      <c r="P24">
        <f t="shared" si="1"/>
        <v>24</v>
      </c>
      <c r="Q24" s="53" t="s">
        <v>436</v>
      </c>
      <c r="T24" t="str">
        <f>IF(AND(Z24&lt;&gt;"",ISNUMBER(SEARCH(Saisie!$A$2,A24))),CONCATENATE(A24," (",E24,")"),"")</f>
        <v>0352 (Atlanta)</v>
      </c>
      <c r="U24" t="str">
        <f>IF(AND(Z24&lt;&gt;"",ISNUMBER(SEARCH(Saisie!$A$2,A24))),CONCATENATE(B24," (",F24,")"),"")</f>
        <v>16Z (Noir)</v>
      </c>
      <c r="V24" t="str">
        <f>IF(AND(Z24&lt;&gt;"",ISNUMBER(SEARCH(Saisie!$A$9,E24))),CONCATENATE(E24," (",A24,")"),"")</f>
        <v/>
      </c>
      <c r="W24" t="str">
        <f>IF(AND(Z24&lt;&gt;"",ISNUMBER(SEARCH(Saisie!$A$9,E24))),CONCATENATE(F24," (",B24,")"),"")</f>
        <v/>
      </c>
      <c r="X24" t="str">
        <f t="shared" si="2"/>
        <v>0352/16Z</v>
      </c>
      <c r="Y24" t="str">
        <f t="shared" si="3"/>
        <v>Atlanta / Noir</v>
      </c>
      <c r="Z24" t="s">
        <v>443</v>
      </c>
    </row>
  </sheetData>
  <mergeCells count="1">
    <mergeCell ref="A1:B1"/>
  </mergeCells>
  <phoneticPr fontId="25" type="noConversion"/>
  <pageMargins left="0.7" right="0.7" top="0.75" bottom="0.75" header="0.51180555555555496" footer="0.51180555555555496"/>
  <pageSetup paperSize="9" firstPageNumber="0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dean13">
                <anchor moveWithCells="1" sizeWithCells="1">
                  <from>
                    <xdr:col>17</xdr:col>
                    <xdr:colOff>83820</xdr:colOff>
                    <xdr:row>1</xdr:row>
                    <xdr:rowOff>7620</xdr:rowOff>
                  </from>
                  <to>
                    <xdr:col>18</xdr:col>
                    <xdr:colOff>243840</xdr:colOff>
                    <xdr:row>4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B209"/>
  <sheetViews>
    <sheetView zoomScaleNormal="100" workbookViewId="0">
      <selection activeCell="E18" sqref="E18"/>
    </sheetView>
  </sheetViews>
  <sheetFormatPr baseColWidth="10" defaultColWidth="10.6640625" defaultRowHeight="14.4" x14ac:dyDescent="0.3"/>
  <cols>
    <col min="1" max="1" width="11.5546875" style="8" customWidth="1"/>
    <col min="2" max="2" width="21.33203125" customWidth="1"/>
  </cols>
  <sheetData>
    <row r="2" spans="1:2" x14ac:dyDescent="0.3">
      <c r="A2" s="8" t="s">
        <v>2</v>
      </c>
      <c r="B2" t="s">
        <v>5</v>
      </c>
    </row>
    <row r="3" spans="1:2" x14ac:dyDescent="0.3">
      <c r="A3" s="8" t="s">
        <v>71</v>
      </c>
      <c r="B3" t="s">
        <v>72</v>
      </c>
    </row>
    <row r="4" spans="1:2" x14ac:dyDescent="0.3">
      <c r="A4" s="9" t="s">
        <v>73</v>
      </c>
      <c r="B4" t="s">
        <v>72</v>
      </c>
    </row>
    <row r="5" spans="1:2" x14ac:dyDescent="0.3">
      <c r="A5" s="8" t="s">
        <v>67</v>
      </c>
      <c r="B5" t="s">
        <v>74</v>
      </c>
    </row>
    <row r="6" spans="1:2" x14ac:dyDescent="0.3">
      <c r="A6" s="8" t="s">
        <v>75</v>
      </c>
      <c r="B6" t="s">
        <v>76</v>
      </c>
    </row>
    <row r="7" spans="1:2" x14ac:dyDescent="0.3">
      <c r="A7" s="8" t="s">
        <v>77</v>
      </c>
      <c r="B7" t="s">
        <v>74</v>
      </c>
    </row>
    <row r="8" spans="1:2" x14ac:dyDescent="0.3">
      <c r="A8" s="8" t="s">
        <v>78</v>
      </c>
      <c r="B8" t="s">
        <v>79</v>
      </c>
    </row>
    <row r="9" spans="1:2" x14ac:dyDescent="0.3">
      <c r="A9" s="8" t="s">
        <v>80</v>
      </c>
      <c r="B9" t="s">
        <v>81</v>
      </c>
    </row>
    <row r="10" spans="1:2" x14ac:dyDescent="0.3">
      <c r="A10" s="8" t="s">
        <v>82</v>
      </c>
      <c r="B10" t="s">
        <v>83</v>
      </c>
    </row>
    <row r="11" spans="1:2" x14ac:dyDescent="0.3">
      <c r="A11" s="8" t="s">
        <v>37</v>
      </c>
      <c r="B11" t="s">
        <v>84</v>
      </c>
    </row>
    <row r="12" spans="1:2" x14ac:dyDescent="0.3">
      <c r="A12" s="8" t="s">
        <v>85</v>
      </c>
      <c r="B12" t="s">
        <v>86</v>
      </c>
    </row>
    <row r="13" spans="1:2" x14ac:dyDescent="0.3">
      <c r="A13" s="9" t="s">
        <v>87</v>
      </c>
      <c r="B13" t="s">
        <v>84</v>
      </c>
    </row>
    <row r="14" spans="1:2" x14ac:dyDescent="0.3">
      <c r="A14" s="9" t="s">
        <v>88</v>
      </c>
      <c r="B14" t="s">
        <v>89</v>
      </c>
    </row>
    <row r="15" spans="1:2" x14ac:dyDescent="0.3">
      <c r="A15" s="9" t="s">
        <v>14</v>
      </c>
      <c r="B15" t="s">
        <v>84</v>
      </c>
    </row>
    <row r="16" spans="1:2" x14ac:dyDescent="0.3">
      <c r="A16" s="9" t="s">
        <v>90</v>
      </c>
      <c r="B16" t="s">
        <v>84</v>
      </c>
    </row>
    <row r="17" spans="1:2" x14ac:dyDescent="0.3">
      <c r="A17" s="9" t="s">
        <v>91</v>
      </c>
      <c r="B17" t="s">
        <v>84</v>
      </c>
    </row>
    <row r="18" spans="1:2" x14ac:dyDescent="0.3">
      <c r="A18" s="9" t="s">
        <v>92</v>
      </c>
      <c r="B18" t="s">
        <v>84</v>
      </c>
    </row>
    <row r="19" spans="1:2" x14ac:dyDescent="0.3">
      <c r="A19" s="9" t="s">
        <v>93</v>
      </c>
      <c r="B19" t="s">
        <v>84</v>
      </c>
    </row>
    <row r="20" spans="1:2" x14ac:dyDescent="0.3">
      <c r="A20" s="9" t="s">
        <v>94</v>
      </c>
      <c r="B20" t="s">
        <v>84</v>
      </c>
    </row>
    <row r="21" spans="1:2" x14ac:dyDescent="0.3">
      <c r="A21" s="9" t="s">
        <v>95</v>
      </c>
      <c r="B21" t="s">
        <v>84</v>
      </c>
    </row>
    <row r="22" spans="1:2" x14ac:dyDescent="0.3">
      <c r="A22" s="9" t="s">
        <v>96</v>
      </c>
      <c r="B22" t="s">
        <v>84</v>
      </c>
    </row>
    <row r="23" spans="1:2" x14ac:dyDescent="0.3">
      <c r="A23" s="9" t="s">
        <v>97</v>
      </c>
      <c r="B23" t="s">
        <v>84</v>
      </c>
    </row>
    <row r="24" spans="1:2" x14ac:dyDescent="0.3">
      <c r="A24" s="9" t="s">
        <v>98</v>
      </c>
      <c r="B24" t="s">
        <v>84</v>
      </c>
    </row>
    <row r="25" spans="1:2" x14ac:dyDescent="0.3">
      <c r="A25" s="9" t="s">
        <v>99</v>
      </c>
      <c r="B25" t="s">
        <v>84</v>
      </c>
    </row>
    <row r="26" spans="1:2" x14ac:dyDescent="0.3">
      <c r="A26" s="9" t="s">
        <v>100</v>
      </c>
      <c r="B26" t="s">
        <v>84</v>
      </c>
    </row>
    <row r="27" spans="1:2" x14ac:dyDescent="0.3">
      <c r="A27" s="9" t="s">
        <v>101</v>
      </c>
      <c r="B27" t="s">
        <v>84</v>
      </c>
    </row>
    <row r="28" spans="1:2" x14ac:dyDescent="0.3">
      <c r="A28" s="9" t="s">
        <v>102</v>
      </c>
      <c r="B28" t="s">
        <v>84</v>
      </c>
    </row>
    <row r="29" spans="1:2" x14ac:dyDescent="0.3">
      <c r="A29" s="8" t="s">
        <v>103</v>
      </c>
      <c r="B29" t="s">
        <v>84</v>
      </c>
    </row>
    <row r="30" spans="1:2" x14ac:dyDescent="0.3">
      <c r="A30" s="8" t="s">
        <v>104</v>
      </c>
      <c r="B30" t="s">
        <v>84</v>
      </c>
    </row>
    <row r="31" spans="1:2" x14ac:dyDescent="0.3">
      <c r="A31" s="8" t="s">
        <v>105</v>
      </c>
      <c r="B31" t="s">
        <v>84</v>
      </c>
    </row>
    <row r="32" spans="1:2" x14ac:dyDescent="0.3">
      <c r="A32" s="8" t="s">
        <v>106</v>
      </c>
      <c r="B32" t="s">
        <v>107</v>
      </c>
    </row>
    <row r="33" spans="1:2" x14ac:dyDescent="0.3">
      <c r="A33" s="9" t="s">
        <v>108</v>
      </c>
      <c r="B33" t="s">
        <v>109</v>
      </c>
    </row>
    <row r="34" spans="1:2" x14ac:dyDescent="0.3">
      <c r="A34" s="8" t="s">
        <v>62</v>
      </c>
      <c r="B34" t="s">
        <v>110</v>
      </c>
    </row>
    <row r="35" spans="1:2" x14ac:dyDescent="0.3">
      <c r="A35" s="9" t="s">
        <v>68</v>
      </c>
      <c r="B35" t="s">
        <v>110</v>
      </c>
    </row>
    <row r="36" spans="1:2" x14ac:dyDescent="0.3">
      <c r="A36" s="9" t="s">
        <v>111</v>
      </c>
      <c r="B36" t="s">
        <v>112</v>
      </c>
    </row>
    <row r="37" spans="1:2" x14ac:dyDescent="0.3">
      <c r="A37" s="8" t="s">
        <v>113</v>
      </c>
      <c r="B37" t="s">
        <v>114</v>
      </c>
    </row>
    <row r="38" spans="1:2" x14ac:dyDescent="0.3">
      <c r="A38" s="8" t="s">
        <v>115</v>
      </c>
      <c r="B38" t="s">
        <v>116</v>
      </c>
    </row>
    <row r="39" spans="1:2" x14ac:dyDescent="0.3">
      <c r="A39" s="8" t="s">
        <v>117</v>
      </c>
      <c r="B39" t="s">
        <v>118</v>
      </c>
    </row>
    <row r="40" spans="1:2" x14ac:dyDescent="0.3">
      <c r="A40" s="9" t="s">
        <v>119</v>
      </c>
      <c r="B40" t="s">
        <v>114</v>
      </c>
    </row>
    <row r="41" spans="1:2" x14ac:dyDescent="0.3">
      <c r="A41" s="9" t="s">
        <v>120</v>
      </c>
      <c r="B41" t="s">
        <v>121</v>
      </c>
    </row>
    <row r="42" spans="1:2" x14ac:dyDescent="0.3">
      <c r="A42" s="9" t="s">
        <v>122</v>
      </c>
      <c r="B42" t="s">
        <v>114</v>
      </c>
    </row>
    <row r="43" spans="1:2" x14ac:dyDescent="0.3">
      <c r="A43" s="9" t="s">
        <v>123</v>
      </c>
      <c r="B43" t="s">
        <v>124</v>
      </c>
    </row>
    <row r="44" spans="1:2" x14ac:dyDescent="0.3">
      <c r="A44" s="9" t="s">
        <v>125</v>
      </c>
      <c r="B44" t="s">
        <v>124</v>
      </c>
    </row>
    <row r="45" spans="1:2" x14ac:dyDescent="0.3">
      <c r="A45" s="9" t="s">
        <v>126</v>
      </c>
      <c r="B45" t="s">
        <v>114</v>
      </c>
    </row>
    <row r="46" spans="1:2" x14ac:dyDescent="0.3">
      <c r="A46" s="9" t="s">
        <v>127</v>
      </c>
      <c r="B46" t="s">
        <v>114</v>
      </c>
    </row>
    <row r="47" spans="1:2" x14ac:dyDescent="0.3">
      <c r="A47" s="9" t="s">
        <v>128</v>
      </c>
      <c r="B47" t="s">
        <v>114</v>
      </c>
    </row>
    <row r="48" spans="1:2" x14ac:dyDescent="0.3">
      <c r="A48" s="9" t="s">
        <v>129</v>
      </c>
      <c r="B48" t="s">
        <v>114</v>
      </c>
    </row>
    <row r="49" spans="1:2" x14ac:dyDescent="0.3">
      <c r="A49" s="9" t="s">
        <v>130</v>
      </c>
      <c r="B49" t="s">
        <v>131</v>
      </c>
    </row>
    <row r="50" spans="1:2" x14ac:dyDescent="0.3">
      <c r="A50" s="9" t="s">
        <v>132</v>
      </c>
      <c r="B50" t="s">
        <v>114</v>
      </c>
    </row>
    <row r="51" spans="1:2" x14ac:dyDescent="0.3">
      <c r="A51" s="9" t="s">
        <v>133</v>
      </c>
      <c r="B51" t="s">
        <v>114</v>
      </c>
    </row>
    <row r="52" spans="1:2" x14ac:dyDescent="0.3">
      <c r="A52" s="9" t="s">
        <v>134</v>
      </c>
      <c r="B52" t="s">
        <v>114</v>
      </c>
    </row>
    <row r="53" spans="1:2" x14ac:dyDescent="0.3">
      <c r="A53" s="9" t="s">
        <v>135</v>
      </c>
      <c r="B53" t="s">
        <v>114</v>
      </c>
    </row>
    <row r="54" spans="1:2" x14ac:dyDescent="0.3">
      <c r="A54" s="9" t="s">
        <v>136</v>
      </c>
      <c r="B54" t="s">
        <v>114</v>
      </c>
    </row>
    <row r="55" spans="1:2" x14ac:dyDescent="0.3">
      <c r="A55" s="9" t="s">
        <v>137</v>
      </c>
      <c r="B55" t="s">
        <v>114</v>
      </c>
    </row>
    <row r="56" spans="1:2" x14ac:dyDescent="0.3">
      <c r="A56" s="9" t="s">
        <v>138</v>
      </c>
      <c r="B56" t="s">
        <v>114</v>
      </c>
    </row>
    <row r="57" spans="1:2" x14ac:dyDescent="0.3">
      <c r="A57" s="9" t="s">
        <v>139</v>
      </c>
      <c r="B57" t="s">
        <v>114</v>
      </c>
    </row>
    <row r="58" spans="1:2" x14ac:dyDescent="0.3">
      <c r="A58" s="9" t="s">
        <v>140</v>
      </c>
      <c r="B58" t="s">
        <v>141</v>
      </c>
    </row>
    <row r="59" spans="1:2" x14ac:dyDescent="0.3">
      <c r="A59" s="9" t="s">
        <v>142</v>
      </c>
      <c r="B59" t="s">
        <v>143</v>
      </c>
    </row>
    <row r="60" spans="1:2" x14ac:dyDescent="0.3">
      <c r="A60" s="8" t="s">
        <v>144</v>
      </c>
      <c r="B60" t="s">
        <v>145</v>
      </c>
    </row>
    <row r="61" spans="1:2" x14ac:dyDescent="0.3">
      <c r="A61" s="8" t="s">
        <v>146</v>
      </c>
      <c r="B61" t="s">
        <v>147</v>
      </c>
    </row>
    <row r="62" spans="1:2" x14ac:dyDescent="0.3">
      <c r="A62" s="9" t="s">
        <v>148</v>
      </c>
      <c r="B62" t="s">
        <v>149</v>
      </c>
    </row>
    <row r="63" spans="1:2" x14ac:dyDescent="0.3">
      <c r="A63" s="9" t="s">
        <v>150</v>
      </c>
      <c r="B63" t="s">
        <v>149</v>
      </c>
    </row>
    <row r="64" spans="1:2" x14ac:dyDescent="0.3">
      <c r="A64" s="8" t="s">
        <v>151</v>
      </c>
      <c r="B64" t="s">
        <v>152</v>
      </c>
    </row>
    <row r="65" spans="1:2" x14ac:dyDescent="0.3">
      <c r="A65" s="8" t="s">
        <v>153</v>
      </c>
      <c r="B65" t="s">
        <v>154</v>
      </c>
    </row>
    <row r="66" spans="1:2" x14ac:dyDescent="0.3">
      <c r="A66" s="8" t="s">
        <v>155</v>
      </c>
      <c r="B66" t="s">
        <v>152</v>
      </c>
    </row>
    <row r="67" spans="1:2" x14ac:dyDescent="0.3">
      <c r="A67" s="8" t="s">
        <v>156</v>
      </c>
      <c r="B67" t="s">
        <v>157</v>
      </c>
    </row>
    <row r="68" spans="1:2" x14ac:dyDescent="0.3">
      <c r="A68" s="9" t="s">
        <v>158</v>
      </c>
      <c r="B68" t="s">
        <v>159</v>
      </c>
    </row>
    <row r="69" spans="1:2" x14ac:dyDescent="0.3">
      <c r="A69" s="9" t="s">
        <v>160</v>
      </c>
      <c r="B69" t="s">
        <v>157</v>
      </c>
    </row>
    <row r="70" spans="1:2" x14ac:dyDescent="0.3">
      <c r="A70" s="8" t="s">
        <v>161</v>
      </c>
      <c r="B70" t="s">
        <v>154</v>
      </c>
    </row>
    <row r="71" spans="1:2" x14ac:dyDescent="0.3">
      <c r="A71" s="8" t="s">
        <v>162</v>
      </c>
      <c r="B71" t="s">
        <v>163</v>
      </c>
    </row>
    <row r="72" spans="1:2" x14ac:dyDescent="0.3">
      <c r="A72" s="8" t="s">
        <v>164</v>
      </c>
      <c r="B72" t="s">
        <v>165</v>
      </c>
    </row>
    <row r="73" spans="1:2" x14ac:dyDescent="0.3">
      <c r="A73" s="8" t="s">
        <v>166</v>
      </c>
      <c r="B73" t="s">
        <v>167</v>
      </c>
    </row>
    <row r="74" spans="1:2" x14ac:dyDescent="0.3">
      <c r="A74" s="8" t="s">
        <v>168</v>
      </c>
      <c r="B74" t="s">
        <v>169</v>
      </c>
    </row>
    <row r="75" spans="1:2" x14ac:dyDescent="0.3">
      <c r="A75" s="9" t="s">
        <v>170</v>
      </c>
      <c r="B75" t="s">
        <v>167</v>
      </c>
    </row>
    <row r="76" spans="1:2" x14ac:dyDescent="0.3">
      <c r="A76" s="9" t="s">
        <v>171</v>
      </c>
      <c r="B76" t="s">
        <v>172</v>
      </c>
    </row>
    <row r="77" spans="1:2" x14ac:dyDescent="0.3">
      <c r="A77" s="9" t="s">
        <v>173</v>
      </c>
      <c r="B77" t="s">
        <v>172</v>
      </c>
    </row>
    <row r="78" spans="1:2" x14ac:dyDescent="0.3">
      <c r="A78" s="9" t="s">
        <v>174</v>
      </c>
      <c r="B78" t="s">
        <v>175</v>
      </c>
    </row>
    <row r="79" spans="1:2" x14ac:dyDescent="0.3">
      <c r="A79" s="9" t="s">
        <v>176</v>
      </c>
      <c r="B79" t="s">
        <v>177</v>
      </c>
    </row>
    <row r="80" spans="1:2" x14ac:dyDescent="0.3">
      <c r="A80" s="9" t="s">
        <v>178</v>
      </c>
      <c r="B80" t="s">
        <v>177</v>
      </c>
    </row>
    <row r="81" spans="1:2" x14ac:dyDescent="0.3">
      <c r="A81" s="9" t="s">
        <v>179</v>
      </c>
      <c r="B81" t="s">
        <v>177</v>
      </c>
    </row>
    <row r="82" spans="1:2" x14ac:dyDescent="0.3">
      <c r="A82" s="9" t="s">
        <v>180</v>
      </c>
      <c r="B82" t="s">
        <v>157</v>
      </c>
    </row>
    <row r="83" spans="1:2" x14ac:dyDescent="0.3">
      <c r="A83" s="9" t="s">
        <v>181</v>
      </c>
      <c r="B83" t="s">
        <v>177</v>
      </c>
    </row>
    <row r="84" spans="1:2" x14ac:dyDescent="0.3">
      <c r="A84" s="9" t="s">
        <v>182</v>
      </c>
      <c r="B84" t="s">
        <v>183</v>
      </c>
    </row>
    <row r="85" spans="1:2" x14ac:dyDescent="0.3">
      <c r="A85" s="9" t="s">
        <v>184</v>
      </c>
      <c r="B85" t="s">
        <v>185</v>
      </c>
    </row>
    <row r="86" spans="1:2" x14ac:dyDescent="0.3">
      <c r="A86" s="9" t="s">
        <v>186</v>
      </c>
      <c r="B86" t="s">
        <v>145</v>
      </c>
    </row>
    <row r="87" spans="1:2" x14ac:dyDescent="0.3">
      <c r="A87" s="9" t="s">
        <v>187</v>
      </c>
      <c r="B87" t="s">
        <v>188</v>
      </c>
    </row>
    <row r="88" spans="1:2" x14ac:dyDescent="0.3">
      <c r="A88" s="9" t="s">
        <v>56</v>
      </c>
      <c r="B88" t="s">
        <v>145</v>
      </c>
    </row>
    <row r="89" spans="1:2" x14ac:dyDescent="0.3">
      <c r="A89" s="9" t="s">
        <v>59</v>
      </c>
      <c r="B89" t="s">
        <v>145</v>
      </c>
    </row>
    <row r="90" spans="1:2" x14ac:dyDescent="0.3">
      <c r="A90" s="9" t="s">
        <v>189</v>
      </c>
      <c r="B90" t="s">
        <v>145</v>
      </c>
    </row>
    <row r="91" spans="1:2" x14ac:dyDescent="0.3">
      <c r="A91" s="9" t="s">
        <v>190</v>
      </c>
      <c r="B91" t="s">
        <v>185</v>
      </c>
    </row>
    <row r="92" spans="1:2" x14ac:dyDescent="0.3">
      <c r="A92" s="9" t="s">
        <v>191</v>
      </c>
      <c r="B92" t="s">
        <v>145</v>
      </c>
    </row>
    <row r="93" spans="1:2" x14ac:dyDescent="0.3">
      <c r="A93" s="8" t="s">
        <v>192</v>
      </c>
      <c r="B93" t="s">
        <v>145</v>
      </c>
    </row>
    <row r="94" spans="1:2" x14ac:dyDescent="0.3">
      <c r="A94" s="8" t="s">
        <v>193</v>
      </c>
      <c r="B94" t="s">
        <v>194</v>
      </c>
    </row>
    <row r="95" spans="1:2" x14ac:dyDescent="0.3">
      <c r="A95" s="9" t="s">
        <v>195</v>
      </c>
      <c r="B95" t="s">
        <v>145</v>
      </c>
    </row>
    <row r="96" spans="1:2" x14ac:dyDescent="0.3">
      <c r="A96" s="9" t="s">
        <v>196</v>
      </c>
      <c r="B96" t="s">
        <v>145</v>
      </c>
    </row>
    <row r="97" spans="1:2" x14ac:dyDescent="0.3">
      <c r="A97" s="8" t="s">
        <v>197</v>
      </c>
      <c r="B97" t="s">
        <v>145</v>
      </c>
    </row>
    <row r="98" spans="1:2" x14ac:dyDescent="0.3">
      <c r="A98" s="8" t="s">
        <v>198</v>
      </c>
      <c r="B98" t="s">
        <v>145</v>
      </c>
    </row>
    <row r="99" spans="1:2" x14ac:dyDescent="0.3">
      <c r="A99" s="8" t="s">
        <v>199</v>
      </c>
      <c r="B99" t="s">
        <v>200</v>
      </c>
    </row>
    <row r="100" spans="1:2" x14ac:dyDescent="0.3">
      <c r="A100" s="8" t="s">
        <v>201</v>
      </c>
      <c r="B100" t="s">
        <v>202</v>
      </c>
    </row>
    <row r="101" spans="1:2" x14ac:dyDescent="0.3">
      <c r="A101" s="8" t="s">
        <v>203</v>
      </c>
      <c r="B101" t="s">
        <v>200</v>
      </c>
    </row>
    <row r="102" spans="1:2" x14ac:dyDescent="0.3">
      <c r="A102" s="8" t="s">
        <v>19</v>
      </c>
      <c r="B102" t="s">
        <v>204</v>
      </c>
    </row>
    <row r="103" spans="1:2" x14ac:dyDescent="0.3">
      <c r="A103" s="8" t="s">
        <v>205</v>
      </c>
      <c r="B103" t="s">
        <v>200</v>
      </c>
    </row>
    <row r="104" spans="1:2" x14ac:dyDescent="0.3">
      <c r="A104" s="8" t="s">
        <v>206</v>
      </c>
      <c r="B104" t="s">
        <v>207</v>
      </c>
    </row>
    <row r="105" spans="1:2" x14ac:dyDescent="0.3">
      <c r="A105" s="8" t="s">
        <v>208</v>
      </c>
      <c r="B105" t="s">
        <v>207</v>
      </c>
    </row>
    <row r="106" spans="1:2" x14ac:dyDescent="0.3">
      <c r="A106" s="8" t="s">
        <v>24</v>
      </c>
      <c r="B106" t="s">
        <v>207</v>
      </c>
    </row>
    <row r="107" spans="1:2" x14ac:dyDescent="0.3">
      <c r="A107" s="8" t="s">
        <v>209</v>
      </c>
      <c r="B107" t="s">
        <v>207</v>
      </c>
    </row>
    <row r="108" spans="1:2" x14ac:dyDescent="0.3">
      <c r="A108" s="8" t="s">
        <v>210</v>
      </c>
      <c r="B108" t="s">
        <v>211</v>
      </c>
    </row>
    <row r="109" spans="1:2" x14ac:dyDescent="0.3">
      <c r="A109" s="8" t="s">
        <v>212</v>
      </c>
      <c r="B109" t="s">
        <v>202</v>
      </c>
    </row>
    <row r="110" spans="1:2" x14ac:dyDescent="0.3">
      <c r="A110" s="8" t="s">
        <v>213</v>
      </c>
      <c r="B110" t="s">
        <v>202</v>
      </c>
    </row>
    <row r="111" spans="1:2" x14ac:dyDescent="0.3">
      <c r="A111" s="9" t="s">
        <v>214</v>
      </c>
      <c r="B111" t="s">
        <v>202</v>
      </c>
    </row>
    <row r="112" spans="1:2" x14ac:dyDescent="0.3">
      <c r="A112" s="9" t="s">
        <v>215</v>
      </c>
      <c r="B112" t="s">
        <v>202</v>
      </c>
    </row>
    <row r="113" spans="1:2" x14ac:dyDescent="0.3">
      <c r="A113" s="9" t="s">
        <v>216</v>
      </c>
      <c r="B113" t="s">
        <v>202</v>
      </c>
    </row>
    <row r="114" spans="1:2" x14ac:dyDescent="0.3">
      <c r="A114" s="9" t="s">
        <v>217</v>
      </c>
      <c r="B114" t="s">
        <v>202</v>
      </c>
    </row>
    <row r="115" spans="1:2" x14ac:dyDescent="0.3">
      <c r="A115" s="9" t="s">
        <v>218</v>
      </c>
      <c r="B115" t="s">
        <v>219</v>
      </c>
    </row>
    <row r="116" spans="1:2" x14ac:dyDescent="0.3">
      <c r="A116" s="8" t="s">
        <v>220</v>
      </c>
      <c r="B116" t="s">
        <v>145</v>
      </c>
    </row>
    <row r="117" spans="1:2" x14ac:dyDescent="0.3">
      <c r="A117" s="9" t="s">
        <v>221</v>
      </c>
      <c r="B117" t="s">
        <v>145</v>
      </c>
    </row>
    <row r="118" spans="1:2" x14ac:dyDescent="0.3">
      <c r="A118" s="9" t="s">
        <v>222</v>
      </c>
      <c r="B118" t="s">
        <v>145</v>
      </c>
    </row>
    <row r="119" spans="1:2" x14ac:dyDescent="0.3">
      <c r="A119" s="9" t="s">
        <v>223</v>
      </c>
      <c r="B119" t="s">
        <v>224</v>
      </c>
    </row>
    <row r="120" spans="1:2" x14ac:dyDescent="0.3">
      <c r="A120" s="9" t="s">
        <v>26</v>
      </c>
      <c r="B120" t="s">
        <v>202</v>
      </c>
    </row>
    <row r="121" spans="1:2" x14ac:dyDescent="0.3">
      <c r="A121" s="8" t="s">
        <v>225</v>
      </c>
      <c r="B121" t="s">
        <v>226</v>
      </c>
    </row>
    <row r="122" spans="1:2" x14ac:dyDescent="0.3">
      <c r="A122" s="8" t="s">
        <v>227</v>
      </c>
      <c r="B122" t="s">
        <v>228</v>
      </c>
    </row>
    <row r="123" spans="1:2" x14ac:dyDescent="0.3">
      <c r="A123" s="8" t="s">
        <v>229</v>
      </c>
      <c r="B123" t="s">
        <v>230</v>
      </c>
    </row>
    <row r="124" spans="1:2" x14ac:dyDescent="0.3">
      <c r="A124" s="8" t="s">
        <v>231</v>
      </c>
      <c r="B124" t="s">
        <v>230</v>
      </c>
    </row>
    <row r="125" spans="1:2" x14ac:dyDescent="0.3">
      <c r="A125" s="9" t="s">
        <v>232</v>
      </c>
      <c r="B125" t="s">
        <v>84</v>
      </c>
    </row>
    <row r="126" spans="1:2" x14ac:dyDescent="0.3">
      <c r="A126" s="8" t="s">
        <v>233</v>
      </c>
      <c r="B126" t="s">
        <v>234</v>
      </c>
    </row>
    <row r="127" spans="1:2" x14ac:dyDescent="0.3">
      <c r="A127" s="8" t="s">
        <v>235</v>
      </c>
      <c r="B127" t="s">
        <v>157</v>
      </c>
    </row>
    <row r="128" spans="1:2" x14ac:dyDescent="0.3">
      <c r="A128" s="8" t="s">
        <v>236</v>
      </c>
      <c r="B128" t="s">
        <v>157</v>
      </c>
    </row>
    <row r="129" spans="1:2" x14ac:dyDescent="0.3">
      <c r="A129" s="8" t="s">
        <v>237</v>
      </c>
      <c r="B129" t="s">
        <v>238</v>
      </c>
    </row>
    <row r="130" spans="1:2" x14ac:dyDescent="0.3">
      <c r="A130" s="8" t="s">
        <v>47</v>
      </c>
      <c r="B130" t="s">
        <v>239</v>
      </c>
    </row>
    <row r="131" spans="1:2" x14ac:dyDescent="0.3">
      <c r="A131" s="8" t="s">
        <v>240</v>
      </c>
      <c r="B131" t="s">
        <v>239</v>
      </c>
    </row>
    <row r="132" spans="1:2" x14ac:dyDescent="0.3">
      <c r="A132" s="9" t="s">
        <v>241</v>
      </c>
      <c r="B132" t="s">
        <v>242</v>
      </c>
    </row>
    <row r="133" spans="1:2" x14ac:dyDescent="0.3">
      <c r="A133" s="9" t="s">
        <v>243</v>
      </c>
      <c r="B133" t="s">
        <v>244</v>
      </c>
    </row>
    <row r="134" spans="1:2" x14ac:dyDescent="0.3">
      <c r="A134" s="9" t="s">
        <v>245</v>
      </c>
      <c r="B134" t="s">
        <v>246</v>
      </c>
    </row>
    <row r="135" spans="1:2" x14ac:dyDescent="0.3">
      <c r="A135" s="9" t="s">
        <v>247</v>
      </c>
      <c r="B135" t="s">
        <v>246</v>
      </c>
    </row>
    <row r="136" spans="1:2" x14ac:dyDescent="0.3">
      <c r="A136" s="9" t="s">
        <v>248</v>
      </c>
      <c r="B136" t="s">
        <v>249</v>
      </c>
    </row>
    <row r="137" spans="1:2" x14ac:dyDescent="0.3">
      <c r="A137" s="9" t="s">
        <v>250</v>
      </c>
      <c r="B137" t="s">
        <v>145</v>
      </c>
    </row>
    <row r="138" spans="1:2" x14ac:dyDescent="0.3">
      <c r="A138" s="8" t="s">
        <v>251</v>
      </c>
      <c r="B138" t="s">
        <v>252</v>
      </c>
    </row>
    <row r="139" spans="1:2" x14ac:dyDescent="0.3">
      <c r="A139" s="8" t="s">
        <v>253</v>
      </c>
      <c r="B139" t="s">
        <v>202</v>
      </c>
    </row>
    <row r="140" spans="1:2" x14ac:dyDescent="0.3">
      <c r="A140" s="8" t="s">
        <v>254</v>
      </c>
      <c r="B140" t="s">
        <v>84</v>
      </c>
    </row>
    <row r="141" spans="1:2" x14ac:dyDescent="0.3">
      <c r="A141" s="9" t="s">
        <v>255</v>
      </c>
      <c r="B141" t="s">
        <v>256</v>
      </c>
    </row>
    <row r="142" spans="1:2" x14ac:dyDescent="0.3">
      <c r="A142" s="9" t="s">
        <v>257</v>
      </c>
      <c r="B142" t="s">
        <v>256</v>
      </c>
    </row>
    <row r="143" spans="1:2" x14ac:dyDescent="0.3">
      <c r="A143" s="9" t="s">
        <v>258</v>
      </c>
      <c r="B143" t="s">
        <v>256</v>
      </c>
    </row>
    <row r="144" spans="1:2" x14ac:dyDescent="0.3">
      <c r="A144" s="9" t="s">
        <v>259</v>
      </c>
      <c r="B144" t="s">
        <v>256</v>
      </c>
    </row>
    <row r="145" spans="1:2" x14ac:dyDescent="0.3">
      <c r="A145" s="9" t="s">
        <v>260</v>
      </c>
      <c r="B145" t="s">
        <v>72</v>
      </c>
    </row>
    <row r="146" spans="1:2" x14ac:dyDescent="0.3">
      <c r="A146" s="9" t="s">
        <v>261</v>
      </c>
      <c r="B146" t="s">
        <v>262</v>
      </c>
    </row>
    <row r="147" spans="1:2" x14ac:dyDescent="0.3">
      <c r="A147" s="9" t="s">
        <v>31</v>
      </c>
      <c r="B147" t="s">
        <v>81</v>
      </c>
    </row>
    <row r="148" spans="1:2" x14ac:dyDescent="0.3">
      <c r="A148" s="9" t="s">
        <v>263</v>
      </c>
      <c r="B148" t="s">
        <v>264</v>
      </c>
    </row>
    <row r="149" spans="1:2" x14ac:dyDescent="0.3">
      <c r="A149" s="9" t="s">
        <v>265</v>
      </c>
      <c r="B149" t="s">
        <v>264</v>
      </c>
    </row>
    <row r="150" spans="1:2" x14ac:dyDescent="0.3">
      <c r="A150" s="9" t="s">
        <v>266</v>
      </c>
      <c r="B150" t="s">
        <v>264</v>
      </c>
    </row>
    <row r="151" spans="1:2" x14ac:dyDescent="0.3">
      <c r="A151" s="9" t="s">
        <v>267</v>
      </c>
      <c r="B151" t="s">
        <v>72</v>
      </c>
    </row>
    <row r="152" spans="1:2" x14ac:dyDescent="0.3">
      <c r="A152" s="9" t="s">
        <v>147</v>
      </c>
      <c r="B152" t="s">
        <v>256</v>
      </c>
    </row>
    <row r="153" spans="1:2" x14ac:dyDescent="0.3">
      <c r="A153" s="9" t="s">
        <v>268</v>
      </c>
      <c r="B153" t="s">
        <v>145</v>
      </c>
    </row>
    <row r="154" spans="1:2" x14ac:dyDescent="0.3">
      <c r="A154" s="9" t="s">
        <v>269</v>
      </c>
      <c r="B154" t="s">
        <v>262</v>
      </c>
    </row>
    <row r="155" spans="1:2" x14ac:dyDescent="0.3">
      <c r="A155" s="9" t="s">
        <v>52</v>
      </c>
      <c r="B155" t="s">
        <v>147</v>
      </c>
    </row>
    <row r="156" spans="1:2" x14ac:dyDescent="0.3">
      <c r="A156" s="9" t="s">
        <v>270</v>
      </c>
      <c r="B156" t="s">
        <v>72</v>
      </c>
    </row>
    <row r="157" spans="1:2" x14ac:dyDescent="0.3">
      <c r="A157" s="9" t="s">
        <v>271</v>
      </c>
      <c r="B157" t="s">
        <v>272</v>
      </c>
    </row>
    <row r="158" spans="1:2" x14ac:dyDescent="0.3">
      <c r="A158" s="9" t="s">
        <v>273</v>
      </c>
      <c r="B158" t="s">
        <v>84</v>
      </c>
    </row>
    <row r="159" spans="1:2" x14ac:dyDescent="0.3">
      <c r="A159" s="9" t="s">
        <v>274</v>
      </c>
      <c r="B159" t="s">
        <v>145</v>
      </c>
    </row>
    <row r="160" spans="1:2" x14ac:dyDescent="0.3">
      <c r="A160" s="9" t="s">
        <v>275</v>
      </c>
      <c r="B160" t="s">
        <v>276</v>
      </c>
    </row>
    <row r="161" spans="1:2" x14ac:dyDescent="0.3">
      <c r="A161" s="8" t="s">
        <v>277</v>
      </c>
      <c r="B161" t="s">
        <v>278</v>
      </c>
    </row>
    <row r="162" spans="1:2" x14ac:dyDescent="0.3">
      <c r="A162" s="8" t="s">
        <v>279</v>
      </c>
      <c r="B162" t="s">
        <v>147</v>
      </c>
    </row>
    <row r="163" spans="1:2" x14ac:dyDescent="0.3">
      <c r="A163" s="8" t="s">
        <v>280</v>
      </c>
      <c r="B163" t="s">
        <v>72</v>
      </c>
    </row>
    <row r="164" spans="1:2" x14ac:dyDescent="0.3">
      <c r="A164" s="8" t="s">
        <v>281</v>
      </c>
      <c r="B164" t="s">
        <v>147</v>
      </c>
    </row>
    <row r="165" spans="1:2" x14ac:dyDescent="0.3">
      <c r="A165" s="8" t="s">
        <v>282</v>
      </c>
      <c r="B165" t="s">
        <v>147</v>
      </c>
    </row>
    <row r="166" spans="1:2" x14ac:dyDescent="0.3">
      <c r="A166" s="8" t="s">
        <v>283</v>
      </c>
      <c r="B166" t="s">
        <v>109</v>
      </c>
    </row>
    <row r="167" spans="1:2" x14ac:dyDescent="0.3">
      <c r="A167" s="8" t="s">
        <v>42</v>
      </c>
      <c r="B167" t="s">
        <v>114</v>
      </c>
    </row>
    <row r="168" spans="1:2" x14ac:dyDescent="0.3">
      <c r="A168" s="8" t="s">
        <v>284</v>
      </c>
      <c r="B168" t="s">
        <v>285</v>
      </c>
    </row>
    <row r="169" spans="1:2" x14ac:dyDescent="0.3">
      <c r="A169" s="8" t="s">
        <v>286</v>
      </c>
      <c r="B169" t="s">
        <v>84</v>
      </c>
    </row>
    <row r="170" spans="1:2" x14ac:dyDescent="0.3">
      <c r="A170" s="8" t="s">
        <v>287</v>
      </c>
      <c r="B170" t="s">
        <v>272</v>
      </c>
    </row>
    <row r="171" spans="1:2" x14ac:dyDescent="0.3">
      <c r="A171" s="8" t="s">
        <v>288</v>
      </c>
      <c r="B171" t="s">
        <v>272</v>
      </c>
    </row>
    <row r="172" spans="1:2" x14ac:dyDescent="0.3">
      <c r="A172" s="8" t="s">
        <v>289</v>
      </c>
      <c r="B172" t="s">
        <v>143</v>
      </c>
    </row>
    <row r="173" spans="1:2" x14ac:dyDescent="0.3">
      <c r="A173" s="8" t="s">
        <v>290</v>
      </c>
      <c r="B173" t="s">
        <v>143</v>
      </c>
    </row>
    <row r="174" spans="1:2" x14ac:dyDescent="0.3">
      <c r="A174" s="8" t="s">
        <v>291</v>
      </c>
      <c r="B174" t="s">
        <v>292</v>
      </c>
    </row>
    <row r="175" spans="1:2" x14ac:dyDescent="0.3">
      <c r="A175" s="8" t="s">
        <v>293</v>
      </c>
      <c r="B175" t="s">
        <v>292</v>
      </c>
    </row>
    <row r="176" spans="1:2" x14ac:dyDescent="0.3">
      <c r="A176" s="8" t="s">
        <v>294</v>
      </c>
      <c r="B176" t="s">
        <v>188</v>
      </c>
    </row>
    <row r="177" spans="1:2" x14ac:dyDescent="0.3">
      <c r="A177" s="8" t="s">
        <v>295</v>
      </c>
      <c r="B177" t="s">
        <v>188</v>
      </c>
    </row>
    <row r="178" spans="1:2" x14ac:dyDescent="0.3">
      <c r="A178" s="8" t="s">
        <v>296</v>
      </c>
      <c r="B178" t="s">
        <v>188</v>
      </c>
    </row>
    <row r="179" spans="1:2" x14ac:dyDescent="0.3">
      <c r="A179" s="8" t="s">
        <v>297</v>
      </c>
      <c r="B179" t="s">
        <v>84</v>
      </c>
    </row>
    <row r="180" spans="1:2" x14ac:dyDescent="0.3">
      <c r="A180" s="8" t="s">
        <v>9</v>
      </c>
      <c r="B180" t="s">
        <v>298</v>
      </c>
    </row>
    <row r="181" spans="1:2" x14ac:dyDescent="0.3">
      <c r="A181" s="8" t="s">
        <v>299</v>
      </c>
      <c r="B181" t="s">
        <v>298</v>
      </c>
    </row>
    <row r="182" spans="1:2" x14ac:dyDescent="0.3">
      <c r="A182" s="8" t="s">
        <v>300</v>
      </c>
      <c r="B182" t="s">
        <v>298</v>
      </c>
    </row>
    <row r="183" spans="1:2" x14ac:dyDescent="0.3">
      <c r="A183" s="8" t="s">
        <v>301</v>
      </c>
      <c r="B183" t="s">
        <v>302</v>
      </c>
    </row>
    <row r="184" spans="1:2" x14ac:dyDescent="0.3">
      <c r="A184" s="8" t="s">
        <v>303</v>
      </c>
      <c r="B184" t="s">
        <v>302</v>
      </c>
    </row>
    <row r="185" spans="1:2" x14ac:dyDescent="0.3">
      <c r="A185" s="8" t="s">
        <v>304</v>
      </c>
      <c r="B185" t="s">
        <v>84</v>
      </c>
    </row>
    <row r="186" spans="1:2" x14ac:dyDescent="0.3">
      <c r="A186" s="8" t="s">
        <v>305</v>
      </c>
      <c r="B186" t="s">
        <v>306</v>
      </c>
    </row>
    <row r="187" spans="1:2" x14ac:dyDescent="0.3">
      <c r="A187" s="8" t="s">
        <v>307</v>
      </c>
      <c r="B187" t="s">
        <v>306</v>
      </c>
    </row>
    <row r="188" spans="1:2" x14ac:dyDescent="0.3">
      <c r="A188" s="8" t="s">
        <v>308</v>
      </c>
      <c r="B188" t="s">
        <v>84</v>
      </c>
    </row>
    <row r="189" spans="1:2" x14ac:dyDescent="0.3">
      <c r="A189" s="8" t="s">
        <v>309</v>
      </c>
      <c r="B189" t="s">
        <v>185</v>
      </c>
    </row>
    <row r="190" spans="1:2" x14ac:dyDescent="0.3">
      <c r="A190" s="8" t="s">
        <v>310</v>
      </c>
      <c r="B190" t="s">
        <v>306</v>
      </c>
    </row>
    <row r="191" spans="1:2" x14ac:dyDescent="0.3">
      <c r="A191" s="8" t="s">
        <v>311</v>
      </c>
      <c r="B191" t="s">
        <v>145</v>
      </c>
    </row>
    <row r="192" spans="1:2" x14ac:dyDescent="0.3">
      <c r="A192" s="8" t="s">
        <v>312</v>
      </c>
      <c r="B192" t="s">
        <v>84</v>
      </c>
    </row>
    <row r="193" spans="1:2" x14ac:dyDescent="0.3">
      <c r="A193" s="8" t="s">
        <v>313</v>
      </c>
      <c r="B193" t="s">
        <v>314</v>
      </c>
    </row>
    <row r="194" spans="1:2" x14ac:dyDescent="0.3">
      <c r="A194" s="8" t="s">
        <v>315</v>
      </c>
      <c r="B194" t="s">
        <v>185</v>
      </c>
    </row>
    <row r="195" spans="1:2" x14ac:dyDescent="0.3">
      <c r="A195" s="8" t="s">
        <v>316</v>
      </c>
      <c r="B195" t="s">
        <v>256</v>
      </c>
    </row>
    <row r="196" spans="1:2" x14ac:dyDescent="0.3">
      <c r="A196" s="8" t="s">
        <v>317</v>
      </c>
      <c r="B196" t="s">
        <v>185</v>
      </c>
    </row>
    <row r="197" spans="1:2" x14ac:dyDescent="0.3">
      <c r="A197" s="8" t="s">
        <v>318</v>
      </c>
      <c r="B197" t="s">
        <v>202</v>
      </c>
    </row>
    <row r="198" spans="1:2" x14ac:dyDescent="0.3">
      <c r="A198" s="8" t="s">
        <v>319</v>
      </c>
      <c r="B198" t="s">
        <v>145</v>
      </c>
    </row>
    <row r="199" spans="1:2" x14ac:dyDescent="0.3">
      <c r="A199" s="8" t="s">
        <v>320</v>
      </c>
      <c r="B199" t="s">
        <v>84</v>
      </c>
    </row>
    <row r="200" spans="1:2" x14ac:dyDescent="0.3">
      <c r="A200" s="8" t="s">
        <v>321</v>
      </c>
      <c r="B200" t="s">
        <v>322</v>
      </c>
    </row>
    <row r="201" spans="1:2" x14ac:dyDescent="0.3">
      <c r="A201" s="8" t="s">
        <v>323</v>
      </c>
      <c r="B201" t="s">
        <v>324</v>
      </c>
    </row>
    <row r="202" spans="1:2" x14ac:dyDescent="0.3">
      <c r="A202" s="8" t="s">
        <v>325</v>
      </c>
      <c r="B202" t="s">
        <v>326</v>
      </c>
    </row>
    <row r="203" spans="1:2" x14ac:dyDescent="0.3">
      <c r="A203" s="8" t="s">
        <v>327</v>
      </c>
      <c r="B203" t="s">
        <v>322</v>
      </c>
    </row>
    <row r="204" spans="1:2" x14ac:dyDescent="0.3">
      <c r="A204" s="8" t="s">
        <v>328</v>
      </c>
      <c r="B204" t="s">
        <v>324</v>
      </c>
    </row>
    <row r="205" spans="1:2" x14ac:dyDescent="0.3">
      <c r="A205" s="8" t="s">
        <v>329</v>
      </c>
      <c r="B205" t="s">
        <v>326</v>
      </c>
    </row>
    <row r="206" spans="1:2" x14ac:dyDescent="0.3">
      <c r="A206" s="8" t="s">
        <v>330</v>
      </c>
      <c r="B206" t="s">
        <v>322</v>
      </c>
    </row>
    <row r="207" spans="1:2" x14ac:dyDescent="0.3">
      <c r="A207" s="8" t="s">
        <v>331</v>
      </c>
      <c r="B207" t="s">
        <v>324</v>
      </c>
    </row>
    <row r="208" spans="1:2" x14ac:dyDescent="0.3">
      <c r="A208" s="8" t="s">
        <v>332</v>
      </c>
      <c r="B208" t="s">
        <v>326</v>
      </c>
    </row>
    <row r="209" spans="1:2" x14ac:dyDescent="0.3">
      <c r="A209" s="8" t="s">
        <v>333</v>
      </c>
      <c r="B209" t="s">
        <v>147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Z23"/>
  <sheetViews>
    <sheetView zoomScaleNormal="100" workbookViewId="0">
      <selection activeCell="M13" sqref="M13"/>
    </sheetView>
  </sheetViews>
  <sheetFormatPr baseColWidth="10" defaultColWidth="11.44140625" defaultRowHeight="14.4" x14ac:dyDescent="0.3"/>
  <cols>
    <col min="1" max="1" width="4.5546875" style="15" customWidth="1"/>
    <col min="2" max="2" width="5.44140625" style="15" customWidth="1"/>
    <col min="3" max="4" width="6.6640625" style="15" customWidth="1"/>
    <col min="5" max="5" width="7.109375" style="15" customWidth="1"/>
    <col min="6" max="6" width="7" style="15" customWidth="1"/>
    <col min="7" max="7" width="6.88671875" style="15" customWidth="1"/>
    <col min="8" max="8" width="6.44140625" style="15" customWidth="1"/>
    <col min="9" max="10" width="6.6640625" style="15" customWidth="1"/>
    <col min="11" max="13" width="7" style="15" customWidth="1"/>
    <col min="14" max="14" width="7.109375" style="15" customWidth="1"/>
    <col min="15" max="15" width="4" style="15" customWidth="1"/>
    <col min="16" max="16" width="5.6640625" style="15" customWidth="1"/>
    <col min="17" max="17" width="8.88671875" style="15" customWidth="1"/>
    <col min="18" max="18" width="3.88671875" style="15" customWidth="1"/>
    <col min="19" max="19" width="7.6640625" style="15" customWidth="1"/>
    <col min="20" max="20" width="4.5546875" style="15" customWidth="1"/>
    <col min="21" max="21" width="5" style="15" customWidth="1"/>
    <col min="22" max="16384" width="11.44140625" style="15"/>
  </cols>
  <sheetData>
    <row r="1" spans="1:26" x14ac:dyDescent="0.3">
      <c r="A1" s="49" t="s">
        <v>420</v>
      </c>
      <c r="B1" s="14">
        <f>LEN(A2)</f>
        <v>95</v>
      </c>
      <c r="C1" s="14" t="s">
        <v>354</v>
      </c>
      <c r="D1" s="14"/>
      <c r="H1" s="49" t="s">
        <v>421</v>
      </c>
      <c r="O1" s="49" t="s">
        <v>421</v>
      </c>
      <c r="Q1" s="16" t="s">
        <v>355</v>
      </c>
      <c r="R1" s="17" t="s">
        <v>335</v>
      </c>
      <c r="S1" s="18" t="s">
        <v>356</v>
      </c>
      <c r="T1" s="19" t="s">
        <v>344</v>
      </c>
      <c r="U1" s="20">
        <v>0</v>
      </c>
      <c r="Z1" s="15">
        <v>0</v>
      </c>
    </row>
    <row r="2" spans="1:26" x14ac:dyDescent="0.3">
      <c r="A2" s="21" t="s">
        <v>357</v>
      </c>
      <c r="H2" s="13"/>
      <c r="O2" s="13"/>
      <c r="Q2" s="22" t="s">
        <v>358</v>
      </c>
      <c r="R2" s="23" t="s">
        <v>286</v>
      </c>
      <c r="S2" s="24" t="s">
        <v>355</v>
      </c>
      <c r="T2" s="25" t="s">
        <v>345</v>
      </c>
      <c r="U2" s="26">
        <v>1</v>
      </c>
      <c r="Z2" s="15">
        <v>0</v>
      </c>
    </row>
    <row r="3" spans="1:26" x14ac:dyDescent="0.3">
      <c r="A3" s="13"/>
      <c r="B3" s="15" t="str">
        <f>MID($A$2,5,5)</f>
        <v>01100</v>
      </c>
      <c r="C3" s="15" t="str">
        <f>MID($A$2,12,5)</f>
        <v>10111</v>
      </c>
      <c r="D3" s="15" t="str">
        <f>MID($A$2,19,5)</f>
        <v>11100</v>
      </c>
      <c r="E3" s="15" t="str">
        <f>MID($A$2,26,5)</f>
        <v>01110</v>
      </c>
      <c r="F3" s="15" t="str">
        <f>MID($A$2,33,5)</f>
        <v>10000</v>
      </c>
      <c r="G3" s="15" t="str">
        <f>MID($A$2,40,5)</f>
        <v>00110</v>
      </c>
      <c r="H3" s="13"/>
      <c r="I3" s="15" t="str">
        <f>MID($A$2,53,5)</f>
        <v>10000</v>
      </c>
      <c r="J3" s="15" t="str">
        <f>MID($A$2,60,5)</f>
        <v>00010</v>
      </c>
      <c r="K3" s="15" t="str">
        <f>MID($A$2,67,5)</f>
        <v>10010</v>
      </c>
      <c r="L3" s="15" t="str">
        <f>MID($A$2,74,5)</f>
        <v>10010</v>
      </c>
      <c r="M3" s="15" t="str">
        <f>MID($A$2,81,5)</f>
        <v>10010</v>
      </c>
      <c r="N3" s="15" t="str">
        <f>MID($A$2,88,5)</f>
        <v>10100</v>
      </c>
      <c r="O3" s="13"/>
      <c r="Q3" s="22" t="s">
        <v>359</v>
      </c>
      <c r="R3" s="23" t="s">
        <v>336</v>
      </c>
      <c r="S3" s="24" t="s">
        <v>358</v>
      </c>
      <c r="T3" s="25" t="s">
        <v>346</v>
      </c>
      <c r="U3" s="26">
        <v>2</v>
      </c>
      <c r="Z3" s="15">
        <v>1</v>
      </c>
    </row>
    <row r="4" spans="1:26" ht="15.6" x14ac:dyDescent="0.3">
      <c r="A4" s="27">
        <v>3</v>
      </c>
      <c r="B4" s="28" t="str">
        <f t="shared" ref="B4:G4" si="0">VLOOKUP(B3,$Q$1:$R$20,2,FALSE)</f>
        <v>B</v>
      </c>
      <c r="C4" s="28" t="str">
        <f t="shared" si="0"/>
        <v>G</v>
      </c>
      <c r="D4" s="28" t="str">
        <f t="shared" si="0"/>
        <v>P</v>
      </c>
      <c r="E4" s="28" t="str">
        <f t="shared" si="0"/>
        <v>O</v>
      </c>
      <c r="F4" s="28" t="str">
        <f t="shared" si="0"/>
        <v>N</v>
      </c>
      <c r="G4" s="28" t="str">
        <f t="shared" si="0"/>
        <v>A</v>
      </c>
      <c r="H4" s="29" t="s">
        <v>360</v>
      </c>
      <c r="I4" s="30" t="str">
        <f t="shared" ref="I4:N4" si="1">VLOOKUP(I3,$S$1:$T$20,2,FALSE)</f>
        <v>g</v>
      </c>
      <c r="J4" s="30" t="str">
        <f t="shared" si="1"/>
        <v>d</v>
      </c>
      <c r="K4" s="30" t="str">
        <f t="shared" si="1"/>
        <v>a</v>
      </c>
      <c r="L4" s="30" t="str">
        <f t="shared" si="1"/>
        <v>a</v>
      </c>
      <c r="M4" s="30" t="str">
        <f t="shared" si="1"/>
        <v>a</v>
      </c>
      <c r="N4" s="30" t="str">
        <f t="shared" si="1"/>
        <v>j</v>
      </c>
      <c r="O4" s="27" t="s">
        <v>361</v>
      </c>
      <c r="Q4" s="22" t="s">
        <v>362</v>
      </c>
      <c r="R4" s="23" t="s">
        <v>337</v>
      </c>
      <c r="S4" s="24" t="s">
        <v>363</v>
      </c>
      <c r="T4" s="25" t="s">
        <v>347</v>
      </c>
      <c r="U4" s="31">
        <v>3</v>
      </c>
      <c r="Z4" s="15">
        <v>0</v>
      </c>
    </row>
    <row r="5" spans="1:26" x14ac:dyDescent="0.3">
      <c r="Q5" s="22" t="s">
        <v>364</v>
      </c>
      <c r="R5" s="23" t="s">
        <v>338</v>
      </c>
      <c r="S5" s="24" t="s">
        <v>365</v>
      </c>
      <c r="T5" s="25" t="s">
        <v>348</v>
      </c>
      <c r="U5" s="31">
        <v>4</v>
      </c>
      <c r="Z5" s="15">
        <v>1</v>
      </c>
    </row>
    <row r="6" spans="1:26" x14ac:dyDescent="0.3">
      <c r="A6" s="32" t="s">
        <v>366</v>
      </c>
      <c r="H6" s="32" t="s">
        <v>366</v>
      </c>
      <c r="O6" s="32" t="s">
        <v>366</v>
      </c>
      <c r="Q6" s="22" t="s">
        <v>367</v>
      </c>
      <c r="R6" s="23" t="s">
        <v>339</v>
      </c>
      <c r="S6" s="24" t="s">
        <v>368</v>
      </c>
      <c r="T6" s="25" t="s">
        <v>349</v>
      </c>
      <c r="U6" s="31">
        <v>5</v>
      </c>
      <c r="Z6" s="15">
        <v>0</v>
      </c>
    </row>
    <row r="7" spans="1:26" x14ac:dyDescent="0.3">
      <c r="A7" s="32" t="s">
        <v>369</v>
      </c>
      <c r="H7" s="32" t="s">
        <v>370</v>
      </c>
      <c r="O7" s="32" t="s">
        <v>371</v>
      </c>
      <c r="Q7" s="22" t="s">
        <v>372</v>
      </c>
      <c r="R7" s="23" t="s">
        <v>340</v>
      </c>
      <c r="S7" s="24" t="s">
        <v>373</v>
      </c>
      <c r="T7" s="25" t="s">
        <v>350</v>
      </c>
      <c r="U7" s="31">
        <v>6</v>
      </c>
      <c r="Z7" s="15">
        <v>1</v>
      </c>
    </row>
    <row r="8" spans="1:26" ht="15" thickBot="1" x14ac:dyDescent="0.35">
      <c r="Q8" s="22" t="s">
        <v>374</v>
      </c>
      <c r="R8" s="23" t="s">
        <v>341</v>
      </c>
      <c r="S8" s="24" t="s">
        <v>375</v>
      </c>
      <c r="T8" s="25" t="s">
        <v>351</v>
      </c>
      <c r="U8" s="31">
        <v>7</v>
      </c>
      <c r="Z8" s="15">
        <v>1</v>
      </c>
    </row>
    <row r="9" spans="1:26" ht="15" thickBot="1" x14ac:dyDescent="0.35">
      <c r="B9" s="46">
        <f>IF(B4&lt;"K",CODE(B4)-65,CODE(B4)-75)</f>
        <v>1</v>
      </c>
      <c r="C9" s="47">
        <f>IF(C4&lt;"K",CODE(C4)-65,CODE(C4)-75)</f>
        <v>6</v>
      </c>
      <c r="D9" s="47">
        <f>IF(D4&lt;"K",CODE(D4)-65,CODE(D4)-75)</f>
        <v>5</v>
      </c>
      <c r="E9" s="47">
        <f>IF(E4&lt;"K",CODE(E4)-65,CODE(E4)-75)</f>
        <v>4</v>
      </c>
      <c r="F9" s="47">
        <f t="shared" ref="F9:G9" si="2">IF(F4&lt;"K",CODE(F4)-65,CODE(F4)-75)</f>
        <v>3</v>
      </c>
      <c r="G9" s="47">
        <f t="shared" si="2"/>
        <v>0</v>
      </c>
      <c r="H9" s="47"/>
      <c r="I9" s="47">
        <f>CODE(I4)-97</f>
        <v>6</v>
      </c>
      <c r="J9" s="47">
        <f t="shared" ref="J9:N9" si="3">CODE(J4)-97</f>
        <v>3</v>
      </c>
      <c r="K9" s="47">
        <f t="shared" si="3"/>
        <v>0</v>
      </c>
      <c r="L9" s="47">
        <f t="shared" si="3"/>
        <v>0</v>
      </c>
      <c r="M9" s="47">
        <f t="shared" si="3"/>
        <v>0</v>
      </c>
      <c r="N9" s="48">
        <f t="shared" si="3"/>
        <v>9</v>
      </c>
      <c r="Q9" s="22" t="s">
        <v>376</v>
      </c>
      <c r="R9" s="23" t="s">
        <v>342</v>
      </c>
      <c r="S9" s="24" t="s">
        <v>377</v>
      </c>
      <c r="T9" s="25" t="s">
        <v>352</v>
      </c>
      <c r="U9" s="31">
        <v>8</v>
      </c>
      <c r="Z9" s="15">
        <v>1</v>
      </c>
    </row>
    <row r="10" spans="1:26" x14ac:dyDescent="0.3">
      <c r="B10" s="33" t="s">
        <v>378</v>
      </c>
      <c r="I10" s="33" t="s">
        <v>379</v>
      </c>
      <c r="Q10" s="22" t="s">
        <v>380</v>
      </c>
      <c r="R10" s="23" t="s">
        <v>343</v>
      </c>
      <c r="S10" s="24" t="s">
        <v>381</v>
      </c>
      <c r="T10" s="25" t="s">
        <v>353</v>
      </c>
      <c r="U10" s="31">
        <v>9</v>
      </c>
      <c r="Z10" s="15">
        <v>1</v>
      </c>
    </row>
    <row r="11" spans="1:26" x14ac:dyDescent="0.3">
      <c r="B11" s="33" t="s">
        <v>382</v>
      </c>
      <c r="F11" s="34"/>
      <c r="I11" s="33" t="s">
        <v>382</v>
      </c>
      <c r="Q11" s="22" t="s">
        <v>383</v>
      </c>
      <c r="R11" s="23" t="s">
        <v>384</v>
      </c>
      <c r="S11" s="35"/>
      <c r="T11" s="36"/>
      <c r="U11" s="37">
        <v>0</v>
      </c>
      <c r="V11" s="38"/>
    </row>
    <row r="12" spans="1:26" x14ac:dyDescent="0.3">
      <c r="F12" s="34"/>
      <c r="Q12" s="22" t="s">
        <v>385</v>
      </c>
      <c r="R12" s="23" t="s">
        <v>386</v>
      </c>
      <c r="S12" s="39"/>
      <c r="T12" s="36"/>
      <c r="U12" s="40">
        <v>1</v>
      </c>
      <c r="V12" s="38"/>
    </row>
    <row r="13" spans="1:26" x14ac:dyDescent="0.3">
      <c r="Q13" s="22" t="s">
        <v>387</v>
      </c>
      <c r="R13" s="23" t="s">
        <v>388</v>
      </c>
      <c r="S13" s="35"/>
      <c r="T13" s="35"/>
      <c r="U13" s="37">
        <v>2</v>
      </c>
      <c r="V13" s="38"/>
    </row>
    <row r="14" spans="1:26" x14ac:dyDescent="0.3">
      <c r="E14" s="33" t="s">
        <v>389</v>
      </c>
      <c r="H14" s="15" t="s">
        <v>390</v>
      </c>
      <c r="Q14" s="22" t="s">
        <v>373</v>
      </c>
      <c r="R14" s="23" t="s">
        <v>391</v>
      </c>
      <c r="S14" s="35"/>
      <c r="T14" s="35"/>
      <c r="U14" s="37">
        <v>3</v>
      </c>
      <c r="V14" s="38"/>
    </row>
    <row r="15" spans="1:26" x14ac:dyDescent="0.3">
      <c r="Q15" s="22" t="s">
        <v>368</v>
      </c>
      <c r="R15" s="23" t="s">
        <v>392</v>
      </c>
      <c r="S15" s="35"/>
      <c r="T15" s="35"/>
      <c r="U15" s="37">
        <v>4</v>
      </c>
      <c r="V15" s="38"/>
    </row>
    <row r="16" spans="1:26" ht="60.6" x14ac:dyDescent="1.05">
      <c r="E16" s="34" t="s">
        <v>393</v>
      </c>
      <c r="G16" s="78" t="str">
        <f>H14</f>
        <v>3BGPONA*gdaaaj+</v>
      </c>
      <c r="H16" s="78"/>
      <c r="I16" s="78"/>
      <c r="J16" s="78"/>
      <c r="Q16" s="22" t="s">
        <v>365</v>
      </c>
      <c r="R16" s="23" t="s">
        <v>394</v>
      </c>
      <c r="S16" s="35"/>
      <c r="T16" s="35"/>
      <c r="U16" s="37">
        <v>5</v>
      </c>
      <c r="V16" s="38"/>
    </row>
    <row r="17" spans="1:22" x14ac:dyDescent="0.3">
      <c r="Q17" s="22" t="s">
        <v>363</v>
      </c>
      <c r="R17" s="23" t="s">
        <v>395</v>
      </c>
      <c r="S17" s="35"/>
      <c r="T17" s="35"/>
      <c r="U17" s="37">
        <v>6</v>
      </c>
      <c r="V17" s="38"/>
    </row>
    <row r="18" spans="1:22" x14ac:dyDescent="0.3">
      <c r="Q18" s="22" t="s">
        <v>377</v>
      </c>
      <c r="R18" s="23" t="s">
        <v>289</v>
      </c>
      <c r="S18" s="35"/>
      <c r="T18" s="35"/>
      <c r="U18" s="37">
        <v>7</v>
      </c>
      <c r="V18" s="38"/>
    </row>
    <row r="19" spans="1:22" x14ac:dyDescent="0.3">
      <c r="E19" s="34" t="s">
        <v>396</v>
      </c>
      <c r="Q19" s="22" t="s">
        <v>375</v>
      </c>
      <c r="R19" s="23" t="s">
        <v>397</v>
      </c>
      <c r="S19" s="35"/>
      <c r="T19" s="35"/>
      <c r="U19" s="37">
        <v>8</v>
      </c>
      <c r="V19" s="38"/>
    </row>
    <row r="20" spans="1:22" ht="15" thickBot="1" x14ac:dyDescent="0.35">
      <c r="E20" s="34" t="s">
        <v>398</v>
      </c>
      <c r="Q20" s="41" t="s">
        <v>399</v>
      </c>
      <c r="R20" s="42" t="s">
        <v>400</v>
      </c>
      <c r="S20" s="43"/>
      <c r="T20" s="43"/>
      <c r="U20" s="44">
        <v>9</v>
      </c>
      <c r="V20" s="38"/>
    </row>
    <row r="23" spans="1:22" x14ac:dyDescent="0.3">
      <c r="A23" s="45" t="s">
        <v>401</v>
      </c>
      <c r="F23" s="45" t="s">
        <v>402</v>
      </c>
      <c r="K23" s="45" t="s">
        <v>403</v>
      </c>
      <c r="Q23" s="45" t="s">
        <v>404</v>
      </c>
    </row>
  </sheetData>
  <mergeCells count="1">
    <mergeCell ref="G16:J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Saisie</vt:lpstr>
      <vt:lpstr>Fiche colis</vt:lpstr>
      <vt:lpstr>Liste</vt:lpstr>
      <vt:lpstr>Finitions</vt:lpstr>
      <vt:lpstr>PrincipeEAN13</vt:lpstr>
      <vt:lpstr>Liste!_FilterDatabase</vt:lpstr>
      <vt:lpstr>Cmd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PCINFO</dc:creator>
  <cp:lastModifiedBy>Marc HATTERER</cp:lastModifiedBy>
  <cp:revision>6</cp:revision>
  <cp:lastPrinted>2020-06-01T08:24:57Z</cp:lastPrinted>
  <dcterms:created xsi:type="dcterms:W3CDTF">2020-02-24T07:18:19Z</dcterms:created>
  <dcterms:modified xsi:type="dcterms:W3CDTF">2020-06-10T20:36:49Z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