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OneDrive\Documents\"/>
    </mc:Choice>
  </mc:AlternateContent>
  <xr:revisionPtr revIDLastSave="0" documentId="13_ncr:1_{0EC06DD5-2E50-4A12-A7BA-97DEB7D0EA9D}" xr6:coauthVersionLast="45" xr6:coauthVersionMax="45" xr10:uidLastSave="{00000000-0000-0000-0000-000000000000}"/>
  <bookViews>
    <workbookView xWindow="-120" yWindow="-120" windowWidth="29040" windowHeight="16440" xr2:uid="{D177B843-3918-49B2-B5B2-6EC96DD605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7" i="1" l="1"/>
  <c r="B56" i="1"/>
  <c r="B55" i="1"/>
  <c r="B54" i="1"/>
  <c r="B53" i="1"/>
  <c r="B52" i="1"/>
  <c r="D51" i="1"/>
  <c r="B51" i="1"/>
  <c r="D50" i="1"/>
  <c r="B50" i="1"/>
  <c r="D49" i="1"/>
  <c r="B49" i="1"/>
  <c r="D48" i="1"/>
  <c r="B48" i="1"/>
  <c r="D46" i="1"/>
  <c r="E46" i="1" s="1"/>
  <c r="D46" i="1" a="1"/>
  <c r="C46" i="1" a="1"/>
  <c r="C46" i="1" s="1"/>
  <c r="B46" i="1"/>
  <c r="S45" i="1"/>
  <c r="R45" i="1"/>
  <c r="D45" i="1" a="1"/>
  <c r="D45" i="1" s="1"/>
  <c r="E45" i="1" s="1"/>
  <c r="C45" i="1" a="1"/>
  <c r="C45" i="1" s="1"/>
  <c r="B45" i="1"/>
  <c r="D44" i="1"/>
  <c r="E44" i="1" s="1"/>
  <c r="D44" i="1" a="1"/>
  <c r="C44" i="1"/>
  <c r="G44" i="1" s="1"/>
  <c r="C44" i="1" a="1"/>
  <c r="B44" i="1"/>
  <c r="X43" i="1"/>
  <c r="Y43" i="1" s="1"/>
  <c r="D43" i="1" a="1"/>
  <c r="D43" i="1" s="1"/>
  <c r="E43" i="1" s="1"/>
  <c r="C43" i="1" a="1"/>
  <c r="C43" i="1" s="1"/>
  <c r="B43" i="1"/>
  <c r="Z42" i="1"/>
  <c r="AA42" i="1" s="1"/>
  <c r="Y42" i="1"/>
  <c r="D42" i="1"/>
  <c r="E42" i="1" s="1"/>
  <c r="D42" i="1" a="1"/>
  <c r="C42" i="1" a="1"/>
  <c r="C42" i="1" s="1"/>
  <c r="B42" i="1"/>
  <c r="AA41" i="1"/>
  <c r="Z41" i="1"/>
  <c r="Y41" i="1"/>
  <c r="X41" i="1"/>
  <c r="X44" i="1" s="1"/>
  <c r="D41" i="1"/>
  <c r="E41" i="1" s="1"/>
  <c r="D41" i="1" a="1"/>
  <c r="C41" i="1"/>
  <c r="G41" i="1" s="1"/>
  <c r="C41" i="1" a="1"/>
  <c r="B41" i="1"/>
  <c r="S40" i="1"/>
  <c r="R47" i="1" s="1"/>
  <c r="S47" i="1" s="1"/>
  <c r="T47" i="1" s="1"/>
  <c r="U47" i="1" s="1"/>
  <c r="V47" i="1" s="1"/>
  <c r="W47" i="1" s="1"/>
  <c r="R40" i="1"/>
  <c r="Q41" i="1" s="1"/>
  <c r="R41" i="1" s="1"/>
  <c r="S41" i="1" s="1"/>
  <c r="T41" i="1" s="1"/>
  <c r="U41" i="1" s="1"/>
  <c r="V41" i="1" s="1"/>
  <c r="W41" i="1" s="1"/>
  <c r="D40" i="1"/>
  <c r="E40" i="1" s="1"/>
  <c r="D40" i="1" a="1"/>
  <c r="C40" i="1" a="1"/>
  <c r="C40" i="1" s="1"/>
  <c r="B40" i="1"/>
  <c r="X39" i="1"/>
  <c r="G39" i="1"/>
  <c r="E39" i="1"/>
  <c r="D39" i="1"/>
  <c r="D39" i="1" a="1"/>
  <c r="C39" i="1"/>
  <c r="F39" i="1" s="1"/>
  <c r="C39" i="1" a="1"/>
  <c r="B39" i="1"/>
  <c r="Z38" i="1"/>
  <c r="X38" i="1"/>
  <c r="D38" i="1" a="1"/>
  <c r="D38" i="1" s="1"/>
  <c r="E38" i="1" s="1"/>
  <c r="C38" i="1" a="1"/>
  <c r="C38" i="1" s="1"/>
  <c r="B38" i="1"/>
  <c r="X37" i="1"/>
  <c r="D37" i="1" a="1"/>
  <c r="D37" i="1" s="1"/>
  <c r="E37" i="1" s="1"/>
  <c r="C37" i="1"/>
  <c r="F37" i="1" s="1"/>
  <c r="C37" i="1" a="1"/>
  <c r="B37" i="1"/>
  <c r="U36" i="1"/>
  <c r="V36" i="1" s="1"/>
  <c r="W36" i="1" s="1"/>
  <c r="S36" i="1"/>
  <c r="T36" i="1" s="1"/>
  <c r="AA33" i="1"/>
  <c r="Z33" i="1"/>
  <c r="V33" i="1"/>
  <c r="U33" i="1"/>
  <c r="D33" i="1"/>
  <c r="C33" i="1"/>
  <c r="AX32" i="1"/>
  <c r="AS32" i="1"/>
  <c r="Y32" i="1"/>
  <c r="X32" i="1"/>
  <c r="W32" i="1"/>
  <c r="M32" i="1"/>
  <c r="O32" i="1" s="1"/>
  <c r="AY31" i="1"/>
  <c r="AX31" i="1"/>
  <c r="AW31" i="1"/>
  <c r="AS31" i="1"/>
  <c r="Y31" i="1"/>
  <c r="X31" i="1"/>
  <c r="W31" i="1"/>
  <c r="L31" i="1"/>
  <c r="M31" i="1" s="1"/>
  <c r="O31" i="1" s="1"/>
  <c r="AY30" i="1"/>
  <c r="AX30" i="1"/>
  <c r="AW30" i="1"/>
  <c r="AS30" i="1"/>
  <c r="Y30" i="1"/>
  <c r="X30" i="1"/>
  <c r="W30" i="1"/>
  <c r="M30" i="1"/>
  <c r="O30" i="1" s="1"/>
  <c r="L30" i="1"/>
  <c r="AY29" i="1"/>
  <c r="X29" i="1" s="1"/>
  <c r="AX29" i="1"/>
  <c r="AW29" i="1"/>
  <c r="AS29" i="1"/>
  <c r="Y29" i="1"/>
  <c r="W29" i="1"/>
  <c r="M29" i="1"/>
  <c r="O29" i="1" s="1"/>
  <c r="AY28" i="1"/>
  <c r="AX28" i="1"/>
  <c r="AW28" i="1"/>
  <c r="AS28" i="1"/>
  <c r="Y28" i="1"/>
  <c r="X28" i="1"/>
  <c r="W28" i="1"/>
  <c r="O28" i="1"/>
  <c r="M28" i="1"/>
  <c r="AY27" i="1"/>
  <c r="AX27" i="1"/>
  <c r="AW27" i="1"/>
  <c r="AS27" i="1"/>
  <c r="Y27" i="1"/>
  <c r="X27" i="1"/>
  <c r="W27" i="1"/>
  <c r="L27" i="1"/>
  <c r="M27" i="1" s="1"/>
  <c r="O27" i="1" s="1"/>
  <c r="AY26" i="1"/>
  <c r="AX26" i="1"/>
  <c r="AW26" i="1"/>
  <c r="AS26" i="1"/>
  <c r="Y26" i="1"/>
  <c r="X26" i="1"/>
  <c r="W26" i="1"/>
  <c r="L26" i="1"/>
  <c r="M26" i="1" s="1"/>
  <c r="O26" i="1" s="1"/>
  <c r="AX25" i="1"/>
  <c r="AS25" i="1"/>
  <c r="Y25" i="1"/>
  <c r="X25" i="1"/>
  <c r="W25" i="1"/>
  <c r="L25" i="1"/>
  <c r="M25" i="1" s="1"/>
  <c r="O25" i="1" s="1"/>
  <c r="AY24" i="1"/>
  <c r="X24" i="1" s="1"/>
  <c r="AX24" i="1"/>
  <c r="AW24" i="1"/>
  <c r="AS24" i="1"/>
  <c r="Y24" i="1"/>
  <c r="W24" i="1"/>
  <c r="M24" i="1"/>
  <c r="O24" i="1" s="1"/>
  <c r="L24" i="1"/>
  <c r="AY23" i="1"/>
  <c r="X23" i="1" s="1"/>
  <c r="AX23" i="1"/>
  <c r="AW23" i="1"/>
  <c r="AS23" i="1"/>
  <c r="Y23" i="1"/>
  <c r="W23" i="1"/>
  <c r="L23" i="1"/>
  <c r="M23" i="1" s="1"/>
  <c r="O23" i="1" s="1"/>
  <c r="AY22" i="1"/>
  <c r="AX22" i="1"/>
  <c r="AW22" i="1"/>
  <c r="AS22" i="1"/>
  <c r="Y22" i="1"/>
  <c r="X22" i="1"/>
  <c r="W22" i="1"/>
  <c r="L22" i="1"/>
  <c r="M22" i="1" s="1"/>
  <c r="O22" i="1" s="1"/>
  <c r="AY21" i="1"/>
  <c r="AX21" i="1"/>
  <c r="AW21" i="1"/>
  <c r="AS21" i="1"/>
  <c r="Y21" i="1"/>
  <c r="X21" i="1"/>
  <c r="W21" i="1"/>
  <c r="L21" i="1"/>
  <c r="M21" i="1" s="1"/>
  <c r="O21" i="1" s="1"/>
  <c r="AY20" i="1"/>
  <c r="X20" i="1" s="1"/>
  <c r="AX20" i="1"/>
  <c r="AW20" i="1"/>
  <c r="AS20" i="1"/>
  <c r="Y20" i="1"/>
  <c r="W20" i="1"/>
  <c r="M20" i="1"/>
  <c r="O20" i="1" s="1"/>
  <c r="L20" i="1"/>
  <c r="AY19" i="1"/>
  <c r="X19" i="1" s="1"/>
  <c r="AX19" i="1"/>
  <c r="AW19" i="1"/>
  <c r="AS19" i="1"/>
  <c r="Y19" i="1"/>
  <c r="W19" i="1"/>
  <c r="L19" i="1"/>
  <c r="M19" i="1" s="1"/>
  <c r="O19" i="1" s="1"/>
  <c r="AY18" i="1"/>
  <c r="AX18" i="1"/>
  <c r="AW18" i="1"/>
  <c r="AS18" i="1"/>
  <c r="Y18" i="1"/>
  <c r="X18" i="1"/>
  <c r="W18" i="1"/>
  <c r="L18" i="1"/>
  <c r="M18" i="1" s="1"/>
  <c r="O18" i="1" s="1"/>
  <c r="AY17" i="1"/>
  <c r="AX17" i="1"/>
  <c r="AW17" i="1"/>
  <c r="AS17" i="1"/>
  <c r="Y17" i="1"/>
  <c r="W17" i="1"/>
  <c r="L17" i="1"/>
  <c r="M17" i="1" s="1"/>
  <c r="O17" i="1" s="1"/>
  <c r="AY16" i="1"/>
  <c r="X17" i="1" s="1"/>
  <c r="AX16" i="1"/>
  <c r="AW16" i="1"/>
  <c r="AS16" i="1"/>
  <c r="Y16" i="1"/>
  <c r="W16" i="1"/>
  <c r="M16" i="1"/>
  <c r="O16" i="1" s="1"/>
  <c r="L16" i="1"/>
  <c r="AY15" i="1"/>
  <c r="X16" i="1" s="1"/>
  <c r="AX15" i="1"/>
  <c r="AW15" i="1"/>
  <c r="AS15" i="1"/>
  <c r="Y15" i="1"/>
  <c r="X15" i="1"/>
  <c r="W15" i="1"/>
  <c r="L15" i="1"/>
  <c r="M15" i="1" s="1"/>
  <c r="O15" i="1" s="1"/>
  <c r="AY14" i="1"/>
  <c r="AX14" i="1"/>
  <c r="AW14" i="1"/>
  <c r="AS14" i="1"/>
  <c r="Y14" i="1"/>
  <c r="X14" i="1"/>
  <c r="W14" i="1"/>
  <c r="L14" i="1"/>
  <c r="M14" i="1" s="1"/>
  <c r="O14" i="1" s="1"/>
  <c r="AY13" i="1"/>
  <c r="AX13" i="1"/>
  <c r="AW13" i="1"/>
  <c r="AS13" i="1"/>
  <c r="Y13" i="1"/>
  <c r="X13" i="1"/>
  <c r="W13" i="1"/>
  <c r="L13" i="1"/>
  <c r="M13" i="1" s="1"/>
  <c r="O13" i="1" s="1"/>
  <c r="AY12" i="1"/>
  <c r="X12" i="1" s="1"/>
  <c r="AX12" i="1"/>
  <c r="AW12" i="1"/>
  <c r="AS12" i="1"/>
  <c r="Y12" i="1"/>
  <c r="W12" i="1"/>
  <c r="M12" i="1"/>
  <c r="O12" i="1" s="1"/>
  <c r="L12" i="1"/>
  <c r="AY11" i="1"/>
  <c r="X11" i="1" s="1"/>
  <c r="AX11" i="1"/>
  <c r="AW11" i="1"/>
  <c r="AS11" i="1"/>
  <c r="Y11" i="1"/>
  <c r="W11" i="1"/>
  <c r="L11" i="1"/>
  <c r="M11" i="1" s="1"/>
  <c r="O11" i="1" s="1"/>
  <c r="AY10" i="1"/>
  <c r="AX10" i="1"/>
  <c r="AW10" i="1"/>
  <c r="AS10" i="1"/>
  <c r="Y10" i="1"/>
  <c r="X10" i="1"/>
  <c r="W10" i="1"/>
  <c r="L10" i="1"/>
  <c r="M10" i="1" s="1"/>
  <c r="O10" i="1" s="1"/>
  <c r="AY9" i="1"/>
  <c r="AX9" i="1"/>
  <c r="AW9" i="1"/>
  <c r="AS9" i="1"/>
  <c r="Y9" i="1"/>
  <c r="X9" i="1"/>
  <c r="W9" i="1"/>
  <c r="L9" i="1"/>
  <c r="M9" i="1" s="1"/>
  <c r="O9" i="1" s="1"/>
  <c r="AY8" i="1"/>
  <c r="X8" i="1" s="1"/>
  <c r="AX8" i="1"/>
  <c r="AW8" i="1"/>
  <c r="AS8" i="1"/>
  <c r="Y8" i="1"/>
  <c r="W8" i="1"/>
  <c r="M8" i="1"/>
  <c r="O8" i="1" s="1"/>
  <c r="L8" i="1"/>
  <c r="AY7" i="1"/>
  <c r="X7" i="1" s="1"/>
  <c r="AX7" i="1"/>
  <c r="AW7" i="1"/>
  <c r="AS7" i="1"/>
  <c r="Y7" i="1"/>
  <c r="W7" i="1"/>
  <c r="L7" i="1"/>
  <c r="M7" i="1" s="1"/>
  <c r="O7" i="1" s="1"/>
  <c r="AY6" i="1"/>
  <c r="AX6" i="1"/>
  <c r="AW6" i="1"/>
  <c r="AS6" i="1"/>
  <c r="Y6" i="1"/>
  <c r="X6" i="1"/>
  <c r="W6" i="1"/>
  <c r="L6" i="1"/>
  <c r="M6" i="1" s="1"/>
  <c r="O6" i="1" s="1"/>
  <c r="AX5" i="1"/>
  <c r="AS5" i="1"/>
  <c r="Y5" i="1"/>
  <c r="X5" i="1"/>
  <c r="W5" i="1"/>
  <c r="L5" i="1"/>
  <c r="M5" i="1" s="1"/>
  <c r="O5" i="1" s="1"/>
  <c r="AY4" i="1"/>
  <c r="AX4" i="1"/>
  <c r="AW4" i="1"/>
  <c r="AS4" i="1"/>
  <c r="Y4" i="1"/>
  <c r="X4" i="1"/>
  <c r="W4" i="1"/>
  <c r="L4" i="1"/>
  <c r="M4" i="1" s="1"/>
  <c r="O4" i="1" s="1"/>
  <c r="AY3" i="1"/>
  <c r="X3" i="1" s="1"/>
  <c r="AX3" i="1"/>
  <c r="AW3" i="1"/>
  <c r="AS3" i="1"/>
  <c r="Y3" i="1"/>
  <c r="W3" i="1"/>
  <c r="M3" i="1"/>
  <c r="O3" i="1" s="1"/>
  <c r="L3" i="1"/>
  <c r="AY2" i="1"/>
  <c r="X2" i="1" s="1"/>
  <c r="AX2" i="1"/>
  <c r="AW2" i="1"/>
  <c r="AS2" i="1"/>
  <c r="Y2" i="1"/>
  <c r="W2" i="1"/>
  <c r="L2" i="1"/>
  <c r="M2" i="1" s="1"/>
  <c r="G46" i="1" l="1"/>
  <c r="F46" i="1"/>
  <c r="G43" i="1"/>
  <c r="F43" i="1"/>
  <c r="G38" i="1"/>
  <c r="F38" i="1"/>
  <c r="G45" i="1"/>
  <c r="F45" i="1"/>
  <c r="G42" i="1"/>
  <c r="F42" i="1"/>
  <c r="Z43" i="1"/>
  <c r="Y44" i="1"/>
  <c r="M33" i="1"/>
  <c r="O2" i="1"/>
  <c r="F40" i="1"/>
  <c r="G40" i="1"/>
  <c r="G37" i="1"/>
  <c r="R42" i="1"/>
  <c r="S42" i="1" s="1"/>
  <c r="T42" i="1" s="1"/>
  <c r="U42" i="1" s="1"/>
  <c r="V42" i="1" s="1"/>
  <c r="W42" i="1" s="1"/>
  <c r="F41" i="1"/>
  <c r="F44" i="1"/>
  <c r="Q46" i="1"/>
  <c r="R46" i="1" s="1"/>
  <c r="S46" i="1" s="1"/>
  <c r="T46" i="1" s="1"/>
  <c r="U46" i="1" s="1"/>
  <c r="V46" i="1" s="1"/>
  <c r="W46" i="1" s="1"/>
  <c r="AA43" i="1" l="1"/>
  <c r="AA44" i="1" s="1"/>
  <c r="Z4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<sst xmlns="http://schemas.openxmlformats.org/spreadsheetml/2006/main" count="267" uniqueCount="91">
  <si>
    <t>Classement</t>
  </si>
  <si>
    <t>Joueurs</t>
  </si>
  <si>
    <t>Age</t>
  </si>
  <si>
    <t>Contrat Restant</t>
  </si>
  <si>
    <t>Négociations</t>
  </si>
  <si>
    <t>L.McGee</t>
  </si>
  <si>
    <t>E.Harrison</t>
  </si>
  <si>
    <t>C.MacGillivray</t>
  </si>
  <si>
    <t>J.Marquis</t>
  </si>
  <si>
    <t>J.Henry</t>
  </si>
  <si>
    <t>J.Worrall</t>
  </si>
  <si>
    <t>P.Downing</t>
  </si>
  <si>
    <t>M.Romeo</t>
  </si>
  <si>
    <t xml:space="preserve"> </t>
  </si>
  <si>
    <t>D.Bejarano</t>
  </si>
  <si>
    <t>M.Kieftenbeld</t>
  </si>
  <si>
    <t>C.Davies</t>
  </si>
  <si>
    <t>R.Williams</t>
  </si>
  <si>
    <t>C.Watson</t>
  </si>
  <si>
    <t>B.Morris</t>
  </si>
  <si>
    <t>A.Cannon</t>
  </si>
  <si>
    <t>T.Naylor</t>
  </si>
  <si>
    <t>S.Kingsley</t>
  </si>
  <si>
    <t>M.Watson</t>
  </si>
  <si>
    <t>M.Morgan</t>
  </si>
  <si>
    <t>I.King</t>
  </si>
  <si>
    <t>B.Close</t>
  </si>
  <si>
    <t>J.Whatmough</t>
  </si>
  <si>
    <t>M.Harness</t>
  </si>
  <si>
    <t>J.Martin</t>
  </si>
  <si>
    <t>B.Williams</t>
  </si>
  <si>
    <t>G.Bell</t>
  </si>
  <si>
    <t>R.Curtis</t>
  </si>
  <si>
    <t>A.May</t>
  </si>
  <si>
    <t>Joueur</t>
  </si>
  <si>
    <t>Poste</t>
  </si>
  <si>
    <t>Note Globale</t>
  </si>
  <si>
    <t>Titulaire</t>
  </si>
  <si>
    <t>Remplaçant</t>
  </si>
  <si>
    <t>Formation</t>
  </si>
  <si>
    <t>Recrutement Jeune</t>
  </si>
  <si>
    <t>Recrutement Vieux</t>
  </si>
  <si>
    <t>G</t>
  </si>
  <si>
    <t>DG</t>
  </si>
  <si>
    <t>DC</t>
  </si>
  <si>
    <t>DD</t>
  </si>
  <si>
    <t>MDC</t>
  </si>
  <si>
    <t>MG</t>
  </si>
  <si>
    <t>MC</t>
  </si>
  <si>
    <t>MOC</t>
  </si>
  <si>
    <t>MD</t>
  </si>
  <si>
    <t>BU</t>
  </si>
  <si>
    <t>Gardien</t>
  </si>
  <si>
    <t>Défense</t>
  </si>
  <si>
    <t>Milieu</t>
  </si>
  <si>
    <t>Attaque</t>
  </si>
  <si>
    <t>Année du contrat</t>
  </si>
  <si>
    <t>1</t>
  </si>
  <si>
    <t>2</t>
  </si>
  <si>
    <t>3</t>
  </si>
  <si>
    <t>4</t>
  </si>
  <si>
    <t>5</t>
  </si>
  <si>
    <t>6</t>
  </si>
  <si>
    <t>Coefficient</t>
  </si>
  <si>
    <t>Augmentation</t>
  </si>
  <si>
    <t>Augmentation après négociation</t>
  </si>
  <si>
    <t>Secteur</t>
  </si>
  <si>
    <t>Années au club</t>
  </si>
  <si>
    <t>Mauvais matchs</t>
  </si>
  <si>
    <t>Note Moyenne</t>
  </si>
  <si>
    <t>Matchs Joués</t>
  </si>
  <si>
    <t>Valeur</t>
  </si>
  <si>
    <t>Salaire</t>
  </si>
  <si>
    <t>7</t>
  </si>
  <si>
    <t>8</t>
  </si>
  <si>
    <t>9</t>
  </si>
  <si>
    <t>10</t>
  </si>
  <si>
    <t>11</t>
  </si>
  <si>
    <t>12</t>
  </si>
  <si>
    <t>122</t>
  </si>
  <si>
    <t>13</t>
  </si>
  <si>
    <t>Mauvais match</t>
  </si>
  <si>
    <t>Buts</t>
  </si>
  <si>
    <t>Passes décisives</t>
  </si>
  <si>
    <t>Invincibilité</t>
  </si>
  <si>
    <t>Joueur2</t>
  </si>
  <si>
    <t>Note moyenne</t>
  </si>
  <si>
    <t>S.van den Berg</t>
  </si>
  <si>
    <t>B.Baningime</t>
  </si>
  <si>
    <t>M.Yattara</t>
  </si>
  <si>
    <t>Nombre de joueurs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</si>
</sst>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</cellXfs>
  <cellStyles count="1">
    <cellStyle name="Normal" xfId="0" builtinId="0"/>
  </cellStyles>
  <dxfs count="8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family val="2"/>
      </font>
    </dxf>
    <dxf>
      <font>
        <b val="0"/>
        <family val="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family val="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4B819F9-C4F3-40CA-A88E-C01D16E0ACDA}" name="Contrat" displayName="Contrat" ref="A1:O33" totalsRowCount="1" headerRowDxfId="82" dataDxfId="81" totalsRowDxfId="80">
  <autoFilter ref="A1:O32" xr:uid="{583EE9A6-A357-44E7-A613-36C86E2E19A0}"/>
  <sortState xmlns:xlrd2="http://schemas.microsoft.com/office/spreadsheetml/2017/richdata2" ref="A2:O32">
    <sortCondition ref="D1:D30"/>
  </sortState>
  <tableColumns count="15">
    <tableColumn id="15" xr3:uid="{0BE1CB92-14FC-4DC2-B0EA-3B3DAD1788F4}" name="Classement" dataDxfId="78" totalsRowDxfId="79"/>
    <tableColumn id="1" xr3:uid="{4C580AA7-3CE9-4263-BC96-F86013B5E250}" name="Joueurs" dataDxfId="76" totalsRowDxfId="77"/>
    <tableColumn id="2" xr3:uid="{B9E6C130-2DC5-40C7-AFC0-7A15FAC6BA43}" name="Age" totalsRowFunction="average" dataDxfId="74" totalsRowDxfId="75"/>
    <tableColumn id="3" xr3:uid="{60C46DA6-B810-4B4C-A869-F30CBBAB9DFC}" name="Contrat Restant" totalsRowFunction="average" dataDxfId="72" totalsRowDxfId="73"/>
    <tableColumn id="16" xr3:uid="{BA004394-5E74-4015-B1F8-6FD7606B0BE7}" name="Année du contrat" dataDxfId="70" totalsRowDxfId="71"/>
    <tableColumn id="4" xr3:uid="{84B45D1E-AA83-41E0-956A-CF5119F10D0C}" name="1" dataDxfId="68" totalsRowDxfId="69"/>
    <tableColumn id="5" xr3:uid="{B50DE226-F0D1-4BD8-B9F6-7DBB78977A84}" name="2" dataDxfId="66" totalsRowDxfId="67"/>
    <tableColumn id="6" xr3:uid="{61F48469-BA32-44ED-9FEC-DCC7653783D4}" name="3" dataDxfId="64" totalsRowDxfId="65"/>
    <tableColumn id="7" xr3:uid="{E65C04BE-5B70-47D3-A381-6A52FC26F97B}" name="4" dataDxfId="62" totalsRowDxfId="63"/>
    <tableColumn id="8" xr3:uid="{58ADD8D7-950A-4B74-A0E1-B9C314216813}" name="5" dataDxfId="60" totalsRowDxfId="61"/>
    <tableColumn id="9" xr3:uid="{768ACB5E-D83E-4BD8-8A94-F42FA9FE01FD}" name="6" dataDxfId="58" totalsRowDxfId="59"/>
    <tableColumn id="17" xr3:uid="{A57C7D92-8562-47EF-BA7B-884C197F9252}" name="Coefficient" dataDxfId="56" totalsRowDxfId="57">
      <calculatedColumnFormula>1/2</calculatedColumnFormula>
    </tableColumn>
    <tableColumn id="10" xr3:uid="{F7A66409-27E3-4922-B83D-F04594437D4F}" name="Augmentation" totalsRowFunction="average" dataDxfId="54" totalsRowDxfId="55">
      <calculatedColumnFormula>((SUM(F2:K2)/Contrat[[#This Row],[Coefficient]])*Contrat[[#This Row],[Année du contrat]])+0.1</calculatedColumnFormula>
    </tableColumn>
    <tableColumn id="11" xr3:uid="{DCDECD41-5A49-4206-A736-EDD26A6C6EB4}" name="Négociations" dataDxfId="52" totalsRowDxfId="53"/>
    <tableColumn id="12" xr3:uid="{DFD566A4-7816-4D87-B3BF-026F1814F020}" name="Augmentation après négociation" dataDxfId="50" totalsRowDxfId="51">
      <calculatedColumnFormula>M2+N2/10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30557F5-5D35-4CAC-8DBD-95490553804D}" name="Informations" displayName="Informations" ref="Q1:AA33" totalsRowCount="1" headerRowDxfId="49" dataDxfId="48" totalsRowDxfId="47">
  <autoFilter ref="Q1:AA32" xr:uid="{A94ABFBD-26BE-4400-BB3F-D1475DD8BF3B}"/>
  <sortState xmlns:xlrd2="http://schemas.microsoft.com/office/spreadsheetml/2017/richdata2" ref="Q2:AA32">
    <sortCondition ref="S2:S32" customList="G,DG,DC,DD,MDC,MG,MC,MOC,MD,AT,BU"/>
    <sortCondition descending="1" ref="X2:X32"/>
  </sortState>
  <tableColumns count="11">
    <tableColumn id="1" xr3:uid="{6FD479A3-360B-4114-8030-8E808D08C4D5}" name="Joueur" dataDxfId="45" totalsRowDxfId="46"/>
    <tableColumn id="8" xr3:uid="{FBE8C5DA-4496-4233-977D-CBF391D7BAE0}" name="Secteur" dataDxfId="43" totalsRowDxfId="44"/>
    <tableColumn id="2" xr3:uid="{68CA78C4-83E6-444D-A1D7-0F1369EAFCAA}" name="Poste" dataDxfId="41" totalsRowDxfId="42"/>
    <tableColumn id="11" xr3:uid="{4E3921B4-C3C3-4F5D-9083-C9C1C32D6CA9}" name="Années au club" dataDxfId="39" totalsRowDxfId="40"/>
    <tableColumn id="3" xr3:uid="{6F1FA5E3-22D9-49A6-BF69-8E8594EA224E}" name="Age" totalsRowFunction="average" dataDxfId="37" totalsRowDxfId="38"/>
    <tableColumn id="4" xr3:uid="{79C08EEE-C320-4FD5-B4F8-8337BE8B3D8E}" name="Note Globale" totalsRowFunction="average" dataDxfId="35" totalsRowDxfId="36"/>
    <tableColumn id="5" xr3:uid="{75BD583F-E190-4250-B32E-A6647E237FAB}" name="Mauvais matchs" dataDxfId="33" totalsRowDxfId="34">
      <calculatedColumnFormula>COUNTIFS(AJ2:AR2,"&lt;=6,5")</calculatedColumnFormula>
    </tableColumn>
    <tableColumn id="6" xr3:uid="{D6164D63-01E0-4E01-9B30-E3E77AA93007}" name="Note Moyenne" dataDxfId="31" totalsRowDxfId="32">
      <calculatedColumnFormula>VLOOKUP(Informations[[#This Row],[Joueur]],Matchs[],23,FALSE)</calculatedColumnFormula>
    </tableColumn>
    <tableColumn id="7" xr3:uid="{1D366836-12E7-4FE3-90BC-6947B2E172EB}" name="Matchs Joués" dataDxfId="29" totalsRowDxfId="30">
      <calculatedColumnFormula>COUNT(AE2:AR2)</calculatedColumnFormula>
    </tableColumn>
    <tableColumn id="9" xr3:uid="{5D54FFD5-79EF-4082-9DBA-706A5C73ECF0}" name="Valeur" totalsRowFunction="sum" dataDxfId="27" totalsRowDxfId="28"/>
    <tableColumn id="10" xr3:uid="{104B22B2-A805-4B70-A464-0585E1483215}" name="Salaire" totalsRowFunction="custom" dataDxfId="25" totalsRowDxfId="26">
      <totalsRowFormula>AVERAGE(Informations[Salaire])</totalsRowFormula>
    </tableColumn>
  </tableColumns>
  <tableStyleInfo name="TableStyleLight10" showFirstColumn="1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3974CC9-0570-4DF2-953D-39BD6BB6AFA1}" name="Matchs" displayName="Matchs" ref="AC1:AY32" totalsRowShown="0" headerRowDxfId="24" dataDxfId="23">
  <autoFilter ref="AC1:AY32" xr:uid="{98041802-B2AC-4FA8-A357-A131736C1F34}"/>
  <sortState xmlns:xlrd2="http://schemas.microsoft.com/office/spreadsheetml/2017/richdata2" ref="AC2:AY32">
    <sortCondition ref="AD2:AD32" customList="G,DG,DC,DD,MDC,MG,MC,MOC,MD,AT,BU"/>
    <sortCondition descending="1" ref="AY2:AY32"/>
  </sortState>
  <tableColumns count="23">
    <tableColumn id="1" xr3:uid="{79174716-B1D3-4E0B-95C5-8C7CD88007BA}" name="Joueur" dataDxfId="22"/>
    <tableColumn id="2" xr3:uid="{05CEDBA5-8E1C-4498-AA6E-7291B62F5AB9}" name="Poste" dataDxfId="21"/>
    <tableColumn id="3" xr3:uid="{8503ED56-3D14-4DDB-9213-AE3E1692103E}" name="1" dataDxfId="20"/>
    <tableColumn id="4" xr3:uid="{05AAD932-B857-4B6D-A5EA-17E7A094E6D5}" name="2" dataDxfId="19"/>
    <tableColumn id="5" xr3:uid="{35BF73E0-9D00-4131-93E1-23BD26B5B94B}" name="3" dataDxfId="18"/>
    <tableColumn id="6" xr3:uid="{C16548CF-C6BA-41B7-AC8A-B6901880C246}" name="4" dataDxfId="17"/>
    <tableColumn id="20" xr3:uid="{B430B42C-9A13-429C-B482-A43408BA8184}" name="5" dataDxfId="16"/>
    <tableColumn id="24" xr3:uid="{C850C729-869A-4D4B-BD29-0D850CECDDAF}" name="6" dataDxfId="15"/>
    <tableColumn id="25" xr3:uid="{D964C4B4-A23A-4640-BD76-3DC91BCE41B5}" name="7" dataDxfId="14"/>
    <tableColumn id="26" xr3:uid="{E9E3E762-7A54-4848-8D76-7EBA528E3BAC}" name="8" dataDxfId="13"/>
    <tableColumn id="27" xr3:uid="{375DCA12-EC1A-4268-8FD8-6B1542FC932B}" name="9" dataDxfId="12"/>
    <tableColumn id="22" xr3:uid="{A0A12817-A789-447A-B27B-98ADF8D08C4E}" name="10" dataDxfId="11"/>
    <tableColumn id="23" xr3:uid="{191FC46B-CE4E-4E81-AB46-D65229B854C9}" name="11" dataDxfId="10"/>
    <tableColumn id="21" xr3:uid="{3BB99763-2DB9-4C7E-9349-F064E6DFAD27}" name="12" dataDxfId="9"/>
    <tableColumn id="45" xr3:uid="{9ED57685-1267-4499-A8EB-43C27F63C822}" name="122" dataDxfId="8"/>
    <tableColumn id="7" xr3:uid="{56A59FD9-D07B-4681-8D9A-E6361271013A}" name="13" dataDxfId="7"/>
    <tableColumn id="14" xr3:uid="{EB5601E2-BD74-463E-A5FD-E13A6584ED6D}" name="Mauvais match" dataDxfId="6">
      <calculatedColumnFormula>COUNTIFS(Matchs[[#This Row],[6]:[13]],"&lt;=6,5")</calculatedColumnFormula>
    </tableColumn>
    <tableColumn id="17" xr3:uid="{97DB5380-2350-4710-A308-D47D9DEA261D}" name="Buts" dataDxfId="5"/>
    <tableColumn id="18" xr3:uid="{F18AE930-9471-4703-A57F-017D78A12492}" name="Passes décisives" dataDxfId="4"/>
    <tableColumn id="19" xr3:uid="{C84133E2-802C-4BB2-B6E5-2488C5AAD3B0}" name="Invincibilité" dataDxfId="3"/>
    <tableColumn id="16" xr3:uid="{3BA08984-3E49-4910-8FC0-5969376218E5}" name="Matchs Joués" dataDxfId="2">
      <calculatedColumnFormula>COUNT(Matchs[[#This Row],[1]:[13]])</calculatedColumnFormula>
    </tableColumn>
    <tableColumn id="8" xr3:uid="{E8352E62-8C3C-4BEA-83C4-139DE6825569}" name="Joueur2" dataDxfId="1">
      <calculatedColumnFormula>Matchs[[#This Row],[Joueur]]</calculatedColumnFormula>
    </tableColumn>
    <tableColumn id="15" xr3:uid="{60F5E9C4-3B2B-4773-9289-5BE7A9EA5317}" name="Note moyenne" dataDxfId="0">
      <calculatedColumnFormula>AVERAGE(Matchs[[#This Row],[1]:[13]])</calculatedColumnFormula>
    </tableColumn>
  </tableColumns>
  <tableStyleInfo name="TableStyleLight11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011110-D2A8-4B41-B11B-A166733C1F27}">
  <dimension ref="A1:AY70"/>
  <sheetViews>
    <sheetView tabSelected="1" topLeftCell="Q1" workbookViewId="0">
      <selection activeCell="X2" sqref="X2"/>
    </sheetView>
  </sheetViews>
  <sheetFormatPr baseColWidth="10" defaultRowHeight="15" x14ac:dyDescent="0.25"/>
  <cols>
    <col min="1" max="1" width="15.85546875" style="2" bestFit="1" customWidth="1"/>
    <col min="2" max="2" width="18.28515625" style="2" bestFit="1" customWidth="1"/>
    <col min="3" max="3" width="9" style="2" bestFit="1" customWidth="1"/>
    <col min="4" max="4" width="19.28515625" style="2" bestFit="1" customWidth="1"/>
    <col min="5" max="5" width="21" style="2" bestFit="1" customWidth="1"/>
    <col min="6" max="6" width="18.42578125" style="2" bestFit="1" customWidth="1"/>
    <col min="7" max="7" width="18.28515625" style="2" bestFit="1" customWidth="1"/>
    <col min="8" max="11" width="6.5703125" style="2" bestFit="1" customWidth="1"/>
    <col min="12" max="12" width="15.42578125" style="2" bestFit="1" customWidth="1"/>
    <col min="13" max="13" width="18.28515625" style="2" bestFit="1" customWidth="1"/>
    <col min="14" max="14" width="17.140625" style="2" bestFit="1" customWidth="1"/>
    <col min="15" max="15" width="34.85546875" style="2" bestFit="1" customWidth="1"/>
    <col min="16" max="16" width="11.42578125" style="2" bestFit="1" customWidth="1"/>
    <col min="17" max="17" width="14" style="2" bestFit="1" customWidth="1"/>
    <col min="18" max="18" width="12.28515625" style="2" bestFit="1" customWidth="1"/>
    <col min="19" max="19" width="10.5703125" style="2" bestFit="1" customWidth="1"/>
    <col min="20" max="20" width="19" style="2" bestFit="1" customWidth="1"/>
    <col min="21" max="21" width="10.28515625" style="2" bestFit="1" customWidth="1"/>
    <col min="22" max="22" width="17.42578125" style="2" bestFit="1" customWidth="1"/>
    <col min="23" max="23" width="19.7109375" style="2" bestFit="1" customWidth="1"/>
    <col min="24" max="24" width="19" style="2" bestFit="1" customWidth="1"/>
    <col min="25" max="25" width="17.42578125" style="2" bestFit="1" customWidth="1"/>
    <col min="26" max="26" width="11.42578125" style="2" bestFit="1" customWidth="1"/>
    <col min="27" max="27" width="11.5703125" style="2" bestFit="1" customWidth="1"/>
    <col min="28" max="28" width="8.85546875" style="2" bestFit="1" customWidth="1"/>
    <col min="29" max="29" width="14" style="2" bestFit="1" customWidth="1"/>
    <col min="30" max="30" width="10.5703125" style="2" bestFit="1" customWidth="1"/>
    <col min="31" max="39" width="6.5703125" style="2" bestFit="1" customWidth="1"/>
    <col min="40" max="43" width="7.5703125" style="2" bestFit="1" customWidth="1"/>
    <col min="44" max="44" width="18.85546875" style="2" bestFit="1" customWidth="1"/>
    <col min="45" max="45" width="9.42578125" style="2" bestFit="1" customWidth="1"/>
    <col min="46" max="46" width="20" style="2" bestFit="1" customWidth="1"/>
    <col min="47" max="47" width="16.140625" style="2" bestFit="1" customWidth="1"/>
    <col min="48" max="48" width="17.42578125" style="2" bestFit="1" customWidth="1"/>
    <col min="49" max="49" width="17.42578125" style="2" customWidth="1"/>
    <col min="50" max="50" width="18.85546875" style="2" bestFit="1" customWidth="1"/>
    <col min="51" max="16384" width="11.42578125" style="2"/>
  </cols>
  <sheetData>
    <row r="1" spans="1:5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56</v>
      </c>
      <c r="F1" s="2" t="s">
        <v>57</v>
      </c>
      <c r="G1" s="2" t="s">
        <v>58</v>
      </c>
      <c r="H1" s="2" t="s">
        <v>59</v>
      </c>
      <c r="I1" s="2" t="s">
        <v>60</v>
      </c>
      <c r="J1" s="2" t="s">
        <v>61</v>
      </c>
      <c r="K1" s="2" t="s">
        <v>62</v>
      </c>
      <c r="L1" s="2" t="s">
        <v>63</v>
      </c>
      <c r="M1" s="2" t="s">
        <v>64</v>
      </c>
      <c r="N1" s="2" t="s">
        <v>4</v>
      </c>
      <c r="O1" s="2" t="s">
        <v>65</v>
      </c>
      <c r="Q1" s="2" t="s">
        <v>34</v>
      </c>
      <c r="R1" s="2" t="s">
        <v>66</v>
      </c>
      <c r="S1" s="2" t="s">
        <v>35</v>
      </c>
      <c r="T1" s="2" t="s">
        <v>67</v>
      </c>
      <c r="U1" s="2" t="s">
        <v>2</v>
      </c>
      <c r="V1" s="2" t="s">
        <v>36</v>
      </c>
      <c r="W1" s="2" t="s">
        <v>68</v>
      </c>
      <c r="X1" s="2" t="s">
        <v>69</v>
      </c>
      <c r="Y1" s="2" t="s">
        <v>70</v>
      </c>
      <c r="Z1" s="2" t="s">
        <v>71</v>
      </c>
      <c r="AA1" s="2" t="s">
        <v>72</v>
      </c>
      <c r="AC1" s="2" t="s">
        <v>34</v>
      </c>
      <c r="AD1" s="2" t="s">
        <v>35</v>
      </c>
      <c r="AE1" s="2" t="s">
        <v>57</v>
      </c>
      <c r="AF1" s="2" t="s">
        <v>58</v>
      </c>
      <c r="AG1" s="2" t="s">
        <v>59</v>
      </c>
      <c r="AH1" s="2" t="s">
        <v>60</v>
      </c>
      <c r="AI1" s="2" t="s">
        <v>61</v>
      </c>
      <c r="AJ1" s="2" t="s">
        <v>62</v>
      </c>
      <c r="AK1" s="2" t="s">
        <v>73</v>
      </c>
      <c r="AL1" s="2" t="s">
        <v>74</v>
      </c>
      <c r="AM1" s="2" t="s">
        <v>75</v>
      </c>
      <c r="AN1" s="2" t="s">
        <v>76</v>
      </c>
      <c r="AO1" s="2" t="s">
        <v>77</v>
      </c>
      <c r="AP1" s="2" t="s">
        <v>78</v>
      </c>
      <c r="AQ1" s="2" t="s">
        <v>79</v>
      </c>
      <c r="AR1" s="2" t="s">
        <v>80</v>
      </c>
      <c r="AS1" s="3" t="s">
        <v>81</v>
      </c>
      <c r="AT1" s="3" t="s">
        <v>82</v>
      </c>
      <c r="AU1" s="3" t="s">
        <v>83</v>
      </c>
      <c r="AV1" s="3" t="s">
        <v>84</v>
      </c>
      <c r="AW1" s="3" t="s">
        <v>70</v>
      </c>
      <c r="AX1" s="3" t="s">
        <v>85</v>
      </c>
      <c r="AY1" s="3" t="s">
        <v>86</v>
      </c>
    </row>
    <row r="2" spans="1:51" x14ac:dyDescent="0.25">
      <c r="A2" s="2">
        <v>1</v>
      </c>
      <c r="B2" s="2" t="s">
        <v>5</v>
      </c>
      <c r="C2" s="2">
        <v>25</v>
      </c>
      <c r="D2" s="2">
        <v>1</v>
      </c>
      <c r="E2" s="2">
        <v>2</v>
      </c>
      <c r="F2" s="2">
        <v>0.03</v>
      </c>
      <c r="G2" s="2">
        <v>0</v>
      </c>
      <c r="L2" s="2">
        <f t="shared" ref="L2:L20" si="0">1+2</f>
        <v>3</v>
      </c>
      <c r="M2" s="4">
        <f>((SUM(F2:K2)/Contrat[[#This Row],[Coefficient]])*Contrat[[#This Row],[Année du contrat]])+0.1</f>
        <v>0.12000000000000001</v>
      </c>
      <c r="N2" s="2">
        <v>0</v>
      </c>
      <c r="O2" s="4">
        <f t="shared" ref="O2:O32" si="1">M2+N2/10</f>
        <v>0.12000000000000001</v>
      </c>
      <c r="Q2" s="2" t="s">
        <v>23</v>
      </c>
      <c r="R2" s="2" t="s">
        <v>52</v>
      </c>
      <c r="S2" s="2" t="s">
        <v>42</v>
      </c>
      <c r="T2" s="2">
        <v>2</v>
      </c>
      <c r="U2" s="2">
        <v>18</v>
      </c>
      <c r="V2" s="2">
        <v>70</v>
      </c>
      <c r="W2" s="2">
        <f t="shared" ref="W2:W32" si="2">COUNTIFS(AJ2:AR2,"&lt;=6,5")</f>
        <v>0</v>
      </c>
      <c r="X2" s="4">
        <f>VLOOKUP(Informations[[#This Row],[Joueur]],Matchs[],23,FALSE)</f>
        <v>7.8</v>
      </c>
      <c r="Y2" s="2">
        <f t="shared" ref="Y2:Y14" si="3">COUNT(AE2:AR2)</f>
        <v>3</v>
      </c>
      <c r="Z2" s="3">
        <v>2600000</v>
      </c>
      <c r="AA2" s="3">
        <v>500</v>
      </c>
      <c r="AC2" s="2" t="s">
        <v>23</v>
      </c>
      <c r="AD2" s="2" t="s">
        <v>42</v>
      </c>
      <c r="AE2" s="4"/>
      <c r="AF2" s="4">
        <v>7.9</v>
      </c>
      <c r="AG2" s="4"/>
      <c r="AH2" s="4">
        <v>8.1</v>
      </c>
      <c r="AI2" s="4">
        <v>7.4</v>
      </c>
      <c r="AJ2" s="4"/>
      <c r="AK2" s="4"/>
      <c r="AL2" s="4"/>
      <c r="AM2" s="4"/>
      <c r="AN2" s="4"/>
      <c r="AO2" s="4"/>
      <c r="AP2" s="4"/>
      <c r="AQ2" s="4"/>
      <c r="AR2" s="4"/>
      <c r="AS2" s="2">
        <f>COUNTIFS(Matchs[[#This Row],[6]:[13]],"&lt;=6,5")</f>
        <v>0</v>
      </c>
      <c r="AV2" s="2">
        <v>2</v>
      </c>
      <c r="AW2" s="2">
        <f>COUNT(Matchs[[#This Row],[1]:[13]])</f>
        <v>3</v>
      </c>
      <c r="AX2" s="2" t="str">
        <f>Matchs[[#This Row],[Joueur]]</f>
        <v>M.Watson</v>
      </c>
      <c r="AY2" s="4">
        <f>AVERAGE(Matchs[[#This Row],[1]:[13]])</f>
        <v>7.8</v>
      </c>
    </row>
    <row r="3" spans="1:51" x14ac:dyDescent="0.25">
      <c r="A3" s="2">
        <v>2</v>
      </c>
      <c r="B3" s="2" t="s">
        <v>6</v>
      </c>
      <c r="C3" s="2">
        <v>27</v>
      </c>
      <c r="D3" s="2">
        <v>1</v>
      </c>
      <c r="E3" s="2">
        <v>2</v>
      </c>
      <c r="F3" s="2">
        <v>0.17</v>
      </c>
      <c r="G3" s="2">
        <v>0</v>
      </c>
      <c r="L3" s="2">
        <f t="shared" si="0"/>
        <v>3</v>
      </c>
      <c r="M3" s="4">
        <f>((SUM(F3:K3)/Contrat[[#This Row],[Coefficient]])*Contrat[[#This Row],[Année du contrat]])+0.1</f>
        <v>0.21333333333333335</v>
      </c>
      <c r="N3" s="2">
        <v>0</v>
      </c>
      <c r="O3" s="4">
        <f t="shared" si="1"/>
        <v>0.21333333333333335</v>
      </c>
      <c r="Q3" s="2" t="s">
        <v>5</v>
      </c>
      <c r="R3" s="2" t="s">
        <v>52</v>
      </c>
      <c r="S3" s="2" t="s">
        <v>42</v>
      </c>
      <c r="T3" s="2">
        <v>2</v>
      </c>
      <c r="U3" s="2">
        <v>25</v>
      </c>
      <c r="V3" s="2">
        <v>67</v>
      </c>
      <c r="W3" s="2">
        <f t="shared" si="2"/>
        <v>0</v>
      </c>
      <c r="X3" s="4">
        <f>VLOOKUP(Informations[[#This Row],[Joueur]],Matchs[],23,FALSE)</f>
        <v>7.4</v>
      </c>
      <c r="Y3" s="2">
        <f t="shared" si="3"/>
        <v>1</v>
      </c>
      <c r="Z3" s="3">
        <v>675000</v>
      </c>
      <c r="AA3" s="3">
        <v>1800</v>
      </c>
      <c r="AC3" s="2" t="s">
        <v>5</v>
      </c>
      <c r="AD3" s="2" t="s">
        <v>42</v>
      </c>
      <c r="AE3" s="4"/>
      <c r="AF3" s="4"/>
      <c r="AG3" s="4">
        <v>7.4</v>
      </c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2">
        <f>COUNTIFS(Matchs[[#This Row],[6]:[13]],"&lt;=6,5")</f>
        <v>0</v>
      </c>
      <c r="AW3" s="2">
        <f>COUNT(Matchs[[#This Row],[1]:[13]])</f>
        <v>1</v>
      </c>
      <c r="AX3" s="2" t="str">
        <f>Matchs[[#This Row],[Joueur]]</f>
        <v>L.McGee</v>
      </c>
      <c r="AY3" s="4">
        <f>AVERAGE(Matchs[[#This Row],[1]:[13]])</f>
        <v>7.4</v>
      </c>
    </row>
    <row r="4" spans="1:51" x14ac:dyDescent="0.25">
      <c r="A4" s="2">
        <v>3</v>
      </c>
      <c r="B4" s="2" t="s">
        <v>7</v>
      </c>
      <c r="C4" s="2">
        <v>28</v>
      </c>
      <c r="D4" s="2">
        <v>1</v>
      </c>
      <c r="E4" s="2">
        <v>2</v>
      </c>
      <c r="F4" s="2">
        <v>0.5</v>
      </c>
      <c r="G4" s="2">
        <v>0</v>
      </c>
      <c r="L4" s="2">
        <f t="shared" si="0"/>
        <v>3</v>
      </c>
      <c r="M4" s="4">
        <f>((SUM(F4:K4)/Contrat[[#This Row],[Coefficient]])*Contrat[[#This Row],[Année du contrat]])+0.1</f>
        <v>0.43333333333333335</v>
      </c>
      <c r="N4" s="2">
        <v>0</v>
      </c>
      <c r="O4" s="4">
        <f t="shared" si="1"/>
        <v>0.43333333333333335</v>
      </c>
      <c r="Q4" s="2" t="s">
        <v>7</v>
      </c>
      <c r="R4" s="2" t="s">
        <v>52</v>
      </c>
      <c r="S4" s="2" t="s">
        <v>42</v>
      </c>
      <c r="T4" s="2">
        <v>2</v>
      </c>
      <c r="U4" s="2">
        <v>28</v>
      </c>
      <c r="V4" s="2">
        <v>71</v>
      </c>
      <c r="W4" s="2">
        <f t="shared" si="2"/>
        <v>0</v>
      </c>
      <c r="X4" s="4">
        <f>VLOOKUP(Informations[[#This Row],[Joueur]],Matchs[],23,FALSE)</f>
        <v>6.8</v>
      </c>
      <c r="Y4" s="2">
        <f t="shared" si="3"/>
        <v>1</v>
      </c>
      <c r="Z4" s="3">
        <v>2500000</v>
      </c>
      <c r="AA4" s="3">
        <v>6800</v>
      </c>
      <c r="AC4" s="2" t="s">
        <v>7</v>
      </c>
      <c r="AD4" s="2" t="s">
        <v>42</v>
      </c>
      <c r="AE4" s="4">
        <v>6.8</v>
      </c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2">
        <f>COUNTIFS(Matchs[[#This Row],[6]:[13]],"&lt;=6,5")</f>
        <v>0</v>
      </c>
      <c r="AW4" s="2">
        <f>COUNT(Matchs[[#This Row],[1]:[13]])</f>
        <v>1</v>
      </c>
      <c r="AX4" s="2" t="str">
        <f>Matchs[[#This Row],[Joueur]]</f>
        <v>C.MacGillivray</v>
      </c>
      <c r="AY4" s="4">
        <f>AVERAGE(Matchs[[#This Row],[1]:[13]])</f>
        <v>6.8</v>
      </c>
    </row>
    <row r="5" spans="1:51" x14ac:dyDescent="0.25">
      <c r="A5" s="2">
        <v>4</v>
      </c>
      <c r="B5" s="2" t="s">
        <v>8</v>
      </c>
      <c r="C5" s="2">
        <v>29</v>
      </c>
      <c r="D5" s="2">
        <v>1</v>
      </c>
      <c r="E5" s="2">
        <v>2</v>
      </c>
      <c r="F5" s="2">
        <v>0</v>
      </c>
      <c r="G5" s="2">
        <v>0</v>
      </c>
      <c r="L5" s="2">
        <f t="shared" si="0"/>
        <v>3</v>
      </c>
      <c r="M5" s="4">
        <f>((SUM(F5:K5)/Contrat[[#This Row],[Coefficient]])*Contrat[[#This Row],[Année du contrat]])+0.1</f>
        <v>0.1</v>
      </c>
      <c r="N5" s="2">
        <v>0</v>
      </c>
      <c r="O5" s="4">
        <f t="shared" si="1"/>
        <v>0.1</v>
      </c>
      <c r="Q5" s="2" t="s">
        <v>24</v>
      </c>
      <c r="R5" s="2" t="s">
        <v>52</v>
      </c>
      <c r="S5" s="2" t="s">
        <v>42</v>
      </c>
      <c r="T5" s="2">
        <v>2</v>
      </c>
      <c r="U5" s="2">
        <v>17</v>
      </c>
      <c r="V5" s="2">
        <v>65</v>
      </c>
      <c r="W5" s="2">
        <f t="shared" si="2"/>
        <v>0</v>
      </c>
      <c r="X5" s="4">
        <f>VLOOKUP(Informations[[#This Row],[Joueur]],Matchs[],23,FALSE)</f>
        <v>0</v>
      </c>
      <c r="Y5" s="2">
        <f t="shared" si="3"/>
        <v>0</v>
      </c>
      <c r="Z5" s="3">
        <v>875000</v>
      </c>
      <c r="AA5" s="3">
        <v>500</v>
      </c>
      <c r="AC5" s="2" t="s">
        <v>24</v>
      </c>
      <c r="AD5" s="2" t="s">
        <v>42</v>
      </c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2">
        <f>COUNTIFS(Matchs[[#This Row],[6]:[13]],"&lt;=6,5")</f>
        <v>0</v>
      </c>
      <c r="AW5" s="2">
        <v>0</v>
      </c>
      <c r="AX5" s="2" t="str">
        <f>Matchs[[#This Row],[Joueur]]</f>
        <v>M.Morgan</v>
      </c>
      <c r="AY5" s="4">
        <v>0</v>
      </c>
    </row>
    <row r="6" spans="1:51" x14ac:dyDescent="0.25">
      <c r="A6" s="2">
        <v>5</v>
      </c>
      <c r="B6" s="2" t="s">
        <v>9</v>
      </c>
      <c r="C6" s="2">
        <v>31</v>
      </c>
      <c r="D6" s="2">
        <v>1</v>
      </c>
      <c r="E6" s="2">
        <v>2</v>
      </c>
      <c r="F6" s="2">
        <v>-0.04</v>
      </c>
      <c r="G6" s="2">
        <v>0</v>
      </c>
      <c r="L6" s="2">
        <f t="shared" si="0"/>
        <v>3</v>
      </c>
      <c r="M6" s="4">
        <f>((SUM(F6:K6)/Contrat[[#This Row],[Coefficient]])*Contrat[[#This Row],[Année du contrat]])+0.1</f>
        <v>7.3333333333333334E-2</v>
      </c>
      <c r="N6" s="2">
        <v>0</v>
      </c>
      <c r="O6" s="4">
        <f t="shared" si="1"/>
        <v>7.3333333333333334E-2</v>
      </c>
      <c r="Q6" s="2" t="s">
        <v>29</v>
      </c>
      <c r="R6" s="2" t="s">
        <v>53</v>
      </c>
      <c r="S6" s="2" t="s">
        <v>43</v>
      </c>
      <c r="T6" s="2">
        <v>2</v>
      </c>
      <c r="U6" s="2">
        <v>17</v>
      </c>
      <c r="V6" s="2">
        <v>66</v>
      </c>
      <c r="W6" s="2">
        <f t="shared" si="2"/>
        <v>0</v>
      </c>
      <c r="X6" s="4">
        <f>VLOOKUP(Informations[[#This Row],[Joueur]],Matchs[],23,FALSE)</f>
        <v>8.1</v>
      </c>
      <c r="Y6" s="2">
        <f t="shared" si="3"/>
        <v>3</v>
      </c>
      <c r="Z6" s="3">
        <v>1200000</v>
      </c>
      <c r="AA6" s="3">
        <v>500</v>
      </c>
      <c r="AC6" s="2" t="s">
        <v>29</v>
      </c>
      <c r="AD6" s="2" t="s">
        <v>43</v>
      </c>
      <c r="AE6" s="4"/>
      <c r="AF6" s="4"/>
      <c r="AG6" s="4">
        <v>7.2</v>
      </c>
      <c r="AH6" s="4">
        <v>8.8000000000000007</v>
      </c>
      <c r="AI6" s="4">
        <v>8.3000000000000007</v>
      </c>
      <c r="AJ6" s="4"/>
      <c r="AK6" s="4"/>
      <c r="AL6" s="4"/>
      <c r="AM6" s="4"/>
      <c r="AN6" s="4"/>
      <c r="AO6" s="4"/>
      <c r="AP6" s="4"/>
      <c r="AQ6" s="4"/>
      <c r="AR6" s="4"/>
      <c r="AS6" s="2">
        <f>COUNTIFS(Matchs[[#This Row],[6]:[13]],"&lt;=6,5")</f>
        <v>0</v>
      </c>
      <c r="AW6" s="2">
        <f>COUNT(Matchs[[#This Row],[1]:[13]])</f>
        <v>3</v>
      </c>
      <c r="AX6" s="2" t="str">
        <f>Matchs[[#This Row],[Joueur]]</f>
        <v>J.Martin</v>
      </c>
      <c r="AY6" s="4">
        <f>AVERAGE(Matchs[[#This Row],[1]:[13]])</f>
        <v>8.1</v>
      </c>
    </row>
    <row r="7" spans="1:51" x14ac:dyDescent="0.25">
      <c r="A7" s="2">
        <v>6</v>
      </c>
      <c r="B7" s="2" t="s">
        <v>10</v>
      </c>
      <c r="C7" s="2">
        <v>24</v>
      </c>
      <c r="D7" s="2">
        <v>1</v>
      </c>
      <c r="E7" s="2">
        <v>2</v>
      </c>
      <c r="F7" s="2">
        <v>0.62</v>
      </c>
      <c r="G7" s="2">
        <v>0</v>
      </c>
      <c r="L7" s="2">
        <f t="shared" si="0"/>
        <v>3</v>
      </c>
      <c r="M7" s="4">
        <f>((SUM(F7:K7)/Contrat[[#This Row],[Coefficient]])*Contrat[[#This Row],[Année du contrat]])+0.1</f>
        <v>0.51333333333333331</v>
      </c>
      <c r="N7" s="2">
        <v>0</v>
      </c>
      <c r="O7" s="4">
        <f t="shared" si="1"/>
        <v>0.51333333333333331</v>
      </c>
      <c r="Q7" s="2" t="s">
        <v>22</v>
      </c>
      <c r="R7" s="2" t="s">
        <v>53</v>
      </c>
      <c r="S7" s="2" t="s">
        <v>43</v>
      </c>
      <c r="T7" s="2">
        <v>2</v>
      </c>
      <c r="U7" s="2">
        <v>26</v>
      </c>
      <c r="V7" s="2">
        <v>70</v>
      </c>
      <c r="W7" s="2">
        <f t="shared" si="2"/>
        <v>0</v>
      </c>
      <c r="X7" s="4">
        <f>VLOOKUP(Informations[[#This Row],[Joueur]],Matchs[],23,FALSE)</f>
        <v>6.9333333333333336</v>
      </c>
      <c r="Y7" s="2">
        <f t="shared" si="3"/>
        <v>3</v>
      </c>
      <c r="Z7" s="3">
        <v>1600000</v>
      </c>
      <c r="AA7" s="3">
        <v>6868</v>
      </c>
      <c r="AC7" s="2" t="s">
        <v>22</v>
      </c>
      <c r="AD7" s="2" t="s">
        <v>43</v>
      </c>
      <c r="AE7" s="4">
        <v>7.8</v>
      </c>
      <c r="AF7" s="4"/>
      <c r="AG7" s="4">
        <v>6.7</v>
      </c>
      <c r="AH7" s="4"/>
      <c r="AI7" s="4">
        <v>6.3</v>
      </c>
      <c r="AJ7" s="4"/>
      <c r="AK7" s="4"/>
      <c r="AL7" s="4"/>
      <c r="AM7" s="4"/>
      <c r="AN7" s="4"/>
      <c r="AO7" s="4"/>
      <c r="AP7" s="4"/>
      <c r="AQ7" s="4"/>
      <c r="AR7" s="4"/>
      <c r="AS7" s="2">
        <f>COUNTIFS(Matchs[[#This Row],[6]:[13]],"&lt;=6,5")</f>
        <v>0</v>
      </c>
      <c r="AW7" s="2">
        <f>COUNT(Matchs[[#This Row],[1]:[13]])</f>
        <v>3</v>
      </c>
      <c r="AX7" s="2" t="str">
        <f>Matchs[[#This Row],[Joueur]]</f>
        <v>S.Kingsley</v>
      </c>
      <c r="AY7" s="4">
        <f>AVERAGE(Matchs[[#This Row],[1]:[13]])</f>
        <v>6.9333333333333336</v>
      </c>
    </row>
    <row r="8" spans="1:51" x14ac:dyDescent="0.25">
      <c r="A8" s="2">
        <v>7</v>
      </c>
      <c r="B8" s="2" t="s">
        <v>11</v>
      </c>
      <c r="C8" s="2">
        <v>29</v>
      </c>
      <c r="D8" s="2">
        <v>1</v>
      </c>
      <c r="E8" s="2">
        <v>2</v>
      </c>
      <c r="F8" s="2">
        <v>0.28999999999999998</v>
      </c>
      <c r="G8" s="2">
        <v>0</v>
      </c>
      <c r="L8" s="2">
        <f t="shared" si="0"/>
        <v>3</v>
      </c>
      <c r="M8" s="4">
        <f>((SUM(F8:K8)/Contrat[[#This Row],[Coefficient]])*Contrat[[#This Row],[Année du contrat]])+0.1</f>
        <v>0.29333333333333333</v>
      </c>
      <c r="N8" s="2">
        <v>0</v>
      </c>
      <c r="O8" s="4">
        <f t="shared" si="1"/>
        <v>0.29333333333333333</v>
      </c>
      <c r="Q8" s="2" t="s">
        <v>30</v>
      </c>
      <c r="R8" s="2" t="s">
        <v>53</v>
      </c>
      <c r="S8" s="2" t="s">
        <v>43</v>
      </c>
      <c r="T8" s="2">
        <v>2</v>
      </c>
      <c r="U8" s="2">
        <v>22</v>
      </c>
      <c r="V8" s="2">
        <v>67</v>
      </c>
      <c r="W8" s="2">
        <f t="shared" si="2"/>
        <v>0</v>
      </c>
      <c r="X8" s="4">
        <f>VLOOKUP(Informations[[#This Row],[Joueur]],Matchs[],23,FALSE)</f>
        <v>6.8666666666666671</v>
      </c>
      <c r="Y8" s="2">
        <f t="shared" si="3"/>
        <v>3</v>
      </c>
      <c r="Z8" s="3">
        <v>950000</v>
      </c>
      <c r="AA8" s="3">
        <v>3198</v>
      </c>
      <c r="AC8" s="2" t="s">
        <v>30</v>
      </c>
      <c r="AD8" s="2" t="s">
        <v>43</v>
      </c>
      <c r="AE8" s="4">
        <v>6.2</v>
      </c>
      <c r="AF8" s="4">
        <v>8.1</v>
      </c>
      <c r="AG8" s="4"/>
      <c r="AH8" s="4">
        <v>6.3</v>
      </c>
      <c r="AI8" s="4"/>
      <c r="AJ8" s="4"/>
      <c r="AK8" s="4"/>
      <c r="AL8" s="4"/>
      <c r="AM8" s="4"/>
      <c r="AN8" s="4"/>
      <c r="AO8" s="4"/>
      <c r="AP8" s="4"/>
      <c r="AQ8" s="4"/>
      <c r="AR8" s="4"/>
      <c r="AS8" s="2">
        <f>COUNTIFS(Matchs[[#This Row],[6]:[13]],"&lt;=6,5")</f>
        <v>0</v>
      </c>
      <c r="AV8" s="2">
        <v>1</v>
      </c>
      <c r="AW8" s="2">
        <f>COUNT(Matchs[[#This Row],[1]:[13]])</f>
        <v>3</v>
      </c>
      <c r="AX8" s="2" t="str">
        <f>Matchs[[#This Row],[Joueur]]</f>
        <v>B.Williams</v>
      </c>
      <c r="AY8" s="4">
        <f>AVERAGE(Matchs[[#This Row],[1]:[13]])</f>
        <v>6.8666666666666671</v>
      </c>
    </row>
    <row r="9" spans="1:51" x14ac:dyDescent="0.25">
      <c r="A9" s="2">
        <v>8</v>
      </c>
      <c r="B9" s="2" t="s">
        <v>12</v>
      </c>
      <c r="C9" s="2">
        <v>25</v>
      </c>
      <c r="D9" s="2">
        <v>1</v>
      </c>
      <c r="E9" s="2">
        <v>2</v>
      </c>
      <c r="F9" s="2">
        <v>0.25</v>
      </c>
      <c r="G9" s="2">
        <v>0</v>
      </c>
      <c r="J9" s="2" t="s">
        <v>13</v>
      </c>
      <c r="L9" s="2">
        <f t="shared" si="0"/>
        <v>3</v>
      </c>
      <c r="M9" s="4">
        <f>((SUM(F9:K9)/Contrat[[#This Row],[Coefficient]])*Contrat[[#This Row],[Année du contrat]])+0.1</f>
        <v>0.26666666666666666</v>
      </c>
      <c r="N9" s="2">
        <v>0</v>
      </c>
      <c r="O9" s="4">
        <f t="shared" si="1"/>
        <v>0.26666666666666666</v>
      </c>
      <c r="Q9" s="2" t="s">
        <v>87</v>
      </c>
      <c r="R9" s="2" t="s">
        <v>53</v>
      </c>
      <c r="S9" s="2" t="s">
        <v>44</v>
      </c>
      <c r="T9" s="2">
        <v>1</v>
      </c>
      <c r="U9" s="2">
        <v>19</v>
      </c>
      <c r="V9" s="2">
        <v>70</v>
      </c>
      <c r="W9" s="2">
        <f t="shared" si="2"/>
        <v>0</v>
      </c>
      <c r="X9" s="4">
        <f>VLOOKUP(Informations[[#This Row],[Joueur]],Matchs[],23,FALSE)</f>
        <v>7.45</v>
      </c>
      <c r="Y9" s="2">
        <f t="shared" si="3"/>
        <v>2</v>
      </c>
      <c r="Z9" s="3">
        <v>3600000</v>
      </c>
      <c r="AA9" s="3">
        <v>14231</v>
      </c>
      <c r="AC9" s="2" t="s">
        <v>87</v>
      </c>
      <c r="AD9" s="2" t="s">
        <v>44</v>
      </c>
      <c r="AE9" s="4"/>
      <c r="AF9" s="4"/>
      <c r="AG9" s="4"/>
      <c r="AH9" s="4">
        <v>8</v>
      </c>
      <c r="AI9" s="4">
        <v>6.9</v>
      </c>
      <c r="AJ9" s="4"/>
      <c r="AK9" s="4"/>
      <c r="AL9" s="4"/>
      <c r="AM9" s="4"/>
      <c r="AN9" s="4"/>
      <c r="AO9" s="4"/>
      <c r="AP9" s="4"/>
      <c r="AQ9" s="4"/>
      <c r="AR9" s="4"/>
      <c r="AS9" s="2">
        <f>COUNTIFS(Matchs[[#This Row],[6]:[13]],"&lt;=6,5")</f>
        <v>0</v>
      </c>
      <c r="AV9" s="2">
        <v>1</v>
      </c>
      <c r="AW9" s="2">
        <f>COUNT(Matchs[[#This Row],[1]:[13]])</f>
        <v>2</v>
      </c>
      <c r="AX9" s="2" t="str">
        <f>Matchs[[#This Row],[Joueur]]</f>
        <v>S.van den Berg</v>
      </c>
      <c r="AY9" s="4">
        <f>AVERAGE(Matchs[[#This Row],[1]:[13]])</f>
        <v>7.45</v>
      </c>
    </row>
    <row r="10" spans="1:51" x14ac:dyDescent="0.25">
      <c r="A10" s="2">
        <v>9</v>
      </c>
      <c r="B10" s="2" t="s">
        <v>14</v>
      </c>
      <c r="C10" s="2">
        <v>29</v>
      </c>
      <c r="D10" s="2">
        <v>1</v>
      </c>
      <c r="E10" s="2">
        <v>2</v>
      </c>
      <c r="F10" s="2">
        <v>-0.04</v>
      </c>
      <c r="G10" s="2">
        <v>0</v>
      </c>
      <c r="L10" s="2">
        <f t="shared" si="0"/>
        <v>3</v>
      </c>
      <c r="M10" s="4">
        <f>((SUM(F10:K10)/Contrat[[#This Row],[Coefficient]])*Contrat[[#This Row],[Année du contrat]])+0.1</f>
        <v>7.3333333333333334E-2</v>
      </c>
      <c r="N10" s="2">
        <v>0</v>
      </c>
      <c r="O10" s="4">
        <f t="shared" si="1"/>
        <v>7.3333333333333334E-2</v>
      </c>
      <c r="Q10" s="2" t="s">
        <v>11</v>
      </c>
      <c r="R10" s="2" t="s">
        <v>53</v>
      </c>
      <c r="S10" s="2" t="s">
        <v>44</v>
      </c>
      <c r="T10" s="2">
        <v>2</v>
      </c>
      <c r="U10" s="2">
        <v>29</v>
      </c>
      <c r="V10" s="2">
        <v>69</v>
      </c>
      <c r="W10" s="2">
        <f t="shared" si="2"/>
        <v>0</v>
      </c>
      <c r="X10" s="4">
        <f>VLOOKUP(Informations[[#This Row],[Joueur]],Matchs[],23,FALSE)</f>
        <v>7.3249999999999993</v>
      </c>
      <c r="Y10" s="2">
        <f t="shared" si="3"/>
        <v>4</v>
      </c>
      <c r="Z10" s="3">
        <v>1000000</v>
      </c>
      <c r="AA10" s="3">
        <v>3800</v>
      </c>
      <c r="AC10" s="2" t="s">
        <v>11</v>
      </c>
      <c r="AD10" s="2" t="s">
        <v>44</v>
      </c>
      <c r="AE10" s="4">
        <v>6.8</v>
      </c>
      <c r="AF10" s="4">
        <v>7.6</v>
      </c>
      <c r="AG10" s="4">
        <v>7.3</v>
      </c>
      <c r="AH10" s="4"/>
      <c r="AI10" s="4">
        <v>7.6</v>
      </c>
      <c r="AJ10" s="4"/>
      <c r="AK10" s="4"/>
      <c r="AL10" s="4"/>
      <c r="AM10" s="4"/>
      <c r="AN10" s="4"/>
      <c r="AO10" s="4"/>
      <c r="AP10" s="4"/>
      <c r="AQ10" s="4"/>
      <c r="AR10" s="4"/>
      <c r="AS10" s="2">
        <f>COUNTIFS(Matchs[[#This Row],[6]:[13]],"&lt;=6,5")</f>
        <v>0</v>
      </c>
      <c r="AV10" s="2">
        <v>2</v>
      </c>
      <c r="AW10" s="2">
        <f>COUNT(Matchs[[#This Row],[1]:[13]])</f>
        <v>4</v>
      </c>
      <c r="AX10" s="2" t="str">
        <f>Matchs[[#This Row],[Joueur]]</f>
        <v>P.Downing</v>
      </c>
      <c r="AY10" s="4">
        <f>AVERAGE(Matchs[[#This Row],[1]:[13]])</f>
        <v>7.3249999999999993</v>
      </c>
    </row>
    <row r="11" spans="1:51" x14ac:dyDescent="0.25">
      <c r="A11" s="2">
        <v>10</v>
      </c>
      <c r="B11" s="2" t="s">
        <v>15</v>
      </c>
      <c r="C11" s="2">
        <v>30</v>
      </c>
      <c r="D11" s="2">
        <v>1</v>
      </c>
      <c r="E11" s="2">
        <v>2</v>
      </c>
      <c r="F11" s="2">
        <v>0</v>
      </c>
      <c r="G11" s="2">
        <v>0</v>
      </c>
      <c r="L11" s="2">
        <f t="shared" si="0"/>
        <v>3</v>
      </c>
      <c r="M11" s="4">
        <f>((SUM(F11:K11)/Contrat[[#This Row],[Coefficient]])*Contrat[[#This Row],[Année du contrat]])+0.1</f>
        <v>0.1</v>
      </c>
      <c r="N11" s="2">
        <v>0</v>
      </c>
      <c r="O11" s="4">
        <f t="shared" si="1"/>
        <v>0.1</v>
      </c>
      <c r="Q11" s="2" t="s">
        <v>10</v>
      </c>
      <c r="R11" s="2" t="s">
        <v>53</v>
      </c>
      <c r="S11" s="2" t="s">
        <v>44</v>
      </c>
      <c r="T11" s="2">
        <v>2</v>
      </c>
      <c r="U11" s="2">
        <v>24</v>
      </c>
      <c r="V11" s="2">
        <v>73</v>
      </c>
      <c r="W11" s="2">
        <f t="shared" si="2"/>
        <v>0</v>
      </c>
      <c r="X11" s="4">
        <f>VLOOKUP(Informations[[#This Row],[Joueur]],Matchs[],23,FALSE)</f>
        <v>6.9799999999999995</v>
      </c>
      <c r="Y11" s="2">
        <f t="shared" si="3"/>
        <v>5</v>
      </c>
      <c r="Z11" s="3">
        <v>4700000</v>
      </c>
      <c r="AA11" s="3">
        <v>11500</v>
      </c>
      <c r="AC11" s="2" t="s">
        <v>10</v>
      </c>
      <c r="AD11" s="2" t="s">
        <v>44</v>
      </c>
      <c r="AE11" s="4">
        <v>7.2</v>
      </c>
      <c r="AF11" s="4">
        <v>7</v>
      </c>
      <c r="AG11" s="4">
        <v>6.7</v>
      </c>
      <c r="AH11" s="4">
        <v>7.4</v>
      </c>
      <c r="AI11" s="4">
        <v>6.6</v>
      </c>
      <c r="AJ11" s="4"/>
      <c r="AK11" s="4"/>
      <c r="AL11" s="4"/>
      <c r="AM11" s="4"/>
      <c r="AN11" s="4"/>
      <c r="AO11" s="4"/>
      <c r="AP11" s="4"/>
      <c r="AQ11" s="4"/>
      <c r="AR11" s="4"/>
      <c r="AS11" s="2">
        <f>COUNTIFS(Matchs[[#This Row],[6]:[13]],"&lt;=6,5")</f>
        <v>0</v>
      </c>
      <c r="AW11" s="2">
        <f>COUNT(Matchs[[#This Row],[1]:[13]])</f>
        <v>5</v>
      </c>
      <c r="AX11" s="2" t="str">
        <f>Matchs[[#This Row],[Joueur]]</f>
        <v>J.Worrall</v>
      </c>
      <c r="AY11" s="4">
        <f>AVERAGE(Matchs[[#This Row],[1]:[13]])</f>
        <v>6.9799999999999995</v>
      </c>
    </row>
    <row r="12" spans="1:51" x14ac:dyDescent="0.25">
      <c r="A12" s="2">
        <v>11</v>
      </c>
      <c r="B12" s="2" t="s">
        <v>16</v>
      </c>
      <c r="C12" s="2">
        <v>18</v>
      </c>
      <c r="D12" s="2">
        <v>1</v>
      </c>
      <c r="E12" s="2">
        <v>2</v>
      </c>
      <c r="F12" s="2">
        <v>0.33</v>
      </c>
      <c r="G12" s="2">
        <v>0</v>
      </c>
      <c r="L12" s="2">
        <f t="shared" si="0"/>
        <v>3</v>
      </c>
      <c r="M12" s="4">
        <f>((SUM(F12:K12)/Contrat[[#This Row],[Coefficient]])*Contrat[[#This Row],[Année du contrat]])+0.1</f>
        <v>0.32</v>
      </c>
      <c r="N12" s="2">
        <v>0</v>
      </c>
      <c r="O12" s="4">
        <f t="shared" si="1"/>
        <v>0.32</v>
      </c>
      <c r="Q12" s="2" t="s">
        <v>27</v>
      </c>
      <c r="R12" s="2" t="s">
        <v>53</v>
      </c>
      <c r="S12" s="2" t="s">
        <v>44</v>
      </c>
      <c r="T12" s="2">
        <v>2</v>
      </c>
      <c r="U12" s="2">
        <v>24</v>
      </c>
      <c r="V12" s="2">
        <v>74</v>
      </c>
      <c r="W12" s="2">
        <f t="shared" si="2"/>
        <v>0</v>
      </c>
      <c r="X12" s="4">
        <f>VLOOKUP(Informations[[#This Row],[Joueur]],Matchs[],23,FALSE)</f>
        <v>6.8250000000000002</v>
      </c>
      <c r="Y12" s="2">
        <f t="shared" si="3"/>
        <v>4</v>
      </c>
      <c r="Z12" s="3">
        <v>7000000</v>
      </c>
      <c r="AA12" s="3">
        <v>7676</v>
      </c>
      <c r="AC12" s="2" t="s">
        <v>27</v>
      </c>
      <c r="AD12" s="2" t="s">
        <v>44</v>
      </c>
      <c r="AE12" s="4">
        <v>6.5</v>
      </c>
      <c r="AF12" s="4">
        <v>7.2</v>
      </c>
      <c r="AG12" s="4">
        <v>6.4</v>
      </c>
      <c r="AH12" s="4">
        <v>7.2</v>
      </c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2">
        <f>COUNTIFS(Matchs[[#This Row],[6]:[13]],"&lt;=6,5")</f>
        <v>0</v>
      </c>
      <c r="AW12" s="2">
        <f>COUNT(Matchs[[#This Row],[1]:[13]])</f>
        <v>4</v>
      </c>
      <c r="AX12" s="2" t="str">
        <f>Matchs[[#This Row],[Joueur]]</f>
        <v>J.Whatmough</v>
      </c>
      <c r="AY12" s="4">
        <f>AVERAGE(Matchs[[#This Row],[1]:[13]])</f>
        <v>6.8250000000000002</v>
      </c>
    </row>
    <row r="13" spans="1:51" x14ac:dyDescent="0.25">
      <c r="A13" s="2">
        <v>12</v>
      </c>
      <c r="B13" s="2" t="s">
        <v>17</v>
      </c>
      <c r="C13" s="2">
        <v>27</v>
      </c>
      <c r="D13" s="2">
        <v>2</v>
      </c>
      <c r="E13" s="2">
        <v>2</v>
      </c>
      <c r="F13" s="2">
        <v>0.18</v>
      </c>
      <c r="G13" s="2">
        <v>0</v>
      </c>
      <c r="L13" s="2">
        <f t="shared" si="0"/>
        <v>3</v>
      </c>
      <c r="M13" s="4">
        <f>((SUM(F13:K13)/Contrat[[#This Row],[Coefficient]])*Contrat[[#This Row],[Année du contrat]])+0.1</f>
        <v>0.22</v>
      </c>
      <c r="N13" s="2">
        <v>0</v>
      </c>
      <c r="O13" s="4">
        <f t="shared" si="1"/>
        <v>0.22</v>
      </c>
      <c r="Q13" s="2" t="s">
        <v>12</v>
      </c>
      <c r="R13" s="2" t="s">
        <v>53</v>
      </c>
      <c r="S13" s="2" t="s">
        <v>45</v>
      </c>
      <c r="T13" s="2">
        <v>2</v>
      </c>
      <c r="U13" s="2">
        <v>25</v>
      </c>
      <c r="V13" s="2">
        <v>73</v>
      </c>
      <c r="W13" s="2">
        <f t="shared" si="2"/>
        <v>0</v>
      </c>
      <c r="X13" s="4">
        <f>VLOOKUP(Informations[[#This Row],[Joueur]],Matchs[],23,FALSE)</f>
        <v>7.5333333333333341</v>
      </c>
      <c r="Y13" s="2">
        <f t="shared" si="3"/>
        <v>3</v>
      </c>
      <c r="Z13" s="3">
        <v>4300000</v>
      </c>
      <c r="AA13" s="3">
        <v>9000</v>
      </c>
      <c r="AC13" s="2" t="s">
        <v>12</v>
      </c>
      <c r="AD13" s="2" t="s">
        <v>45</v>
      </c>
      <c r="AE13" s="4">
        <v>7.6</v>
      </c>
      <c r="AF13" s="4">
        <v>6.7</v>
      </c>
      <c r="AG13" s="4">
        <v>8.3000000000000007</v>
      </c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2">
        <f>COUNTIFS(Matchs[[#This Row],[6]:[13]],"&lt;=6,5")</f>
        <v>0</v>
      </c>
      <c r="AW13" s="2">
        <f>COUNT(Matchs[[#This Row],[1]:[13]])</f>
        <v>3</v>
      </c>
      <c r="AX13" s="2" t="str">
        <f>Matchs[[#This Row],[Joueur]]</f>
        <v>M.Romeo</v>
      </c>
      <c r="AY13" s="4">
        <f>AVERAGE(Matchs[[#This Row],[1]:[13]])</f>
        <v>7.5333333333333341</v>
      </c>
    </row>
    <row r="14" spans="1:51" x14ac:dyDescent="0.25">
      <c r="A14" s="2">
        <v>13</v>
      </c>
      <c r="B14" s="2" t="s">
        <v>18</v>
      </c>
      <c r="C14" s="2">
        <v>18</v>
      </c>
      <c r="D14" s="2">
        <v>2</v>
      </c>
      <c r="E14" s="2">
        <v>2</v>
      </c>
      <c r="F14" s="2">
        <v>-0.16</v>
      </c>
      <c r="G14" s="2">
        <v>0</v>
      </c>
      <c r="L14" s="2">
        <f t="shared" si="0"/>
        <v>3</v>
      </c>
      <c r="M14" s="4">
        <f>((SUM(F14:K14)/Contrat[[#This Row],[Coefficient]])*Contrat[[#This Row],[Année du contrat]])+0.1</f>
        <v>-6.666666666666668E-3</v>
      </c>
      <c r="N14" s="2">
        <v>0</v>
      </c>
      <c r="O14" s="4">
        <f t="shared" si="1"/>
        <v>-6.666666666666668E-3</v>
      </c>
      <c r="Q14" s="2" t="s">
        <v>14</v>
      </c>
      <c r="R14" s="2" t="s">
        <v>53</v>
      </c>
      <c r="S14" s="2" t="s">
        <v>45</v>
      </c>
      <c r="T14" s="2">
        <v>2</v>
      </c>
      <c r="U14" s="2">
        <v>29</v>
      </c>
      <c r="V14" s="2">
        <v>67</v>
      </c>
      <c r="W14" s="2">
        <f t="shared" si="2"/>
        <v>0</v>
      </c>
      <c r="X14" s="4">
        <f>VLOOKUP(Informations[[#This Row],[Joueur]],Matchs[],23,FALSE)</f>
        <v>7.5333333333333341</v>
      </c>
      <c r="Y14" s="2">
        <f t="shared" si="3"/>
        <v>3</v>
      </c>
      <c r="Z14" s="3">
        <v>625000</v>
      </c>
      <c r="AA14" s="3">
        <v>7526</v>
      </c>
      <c r="AC14" s="2" t="s">
        <v>14</v>
      </c>
      <c r="AD14" s="2" t="s">
        <v>45</v>
      </c>
      <c r="AE14" s="4"/>
      <c r="AF14" s="4">
        <v>7.1</v>
      </c>
      <c r="AG14" s="4"/>
      <c r="AH14" s="4">
        <v>8.1</v>
      </c>
      <c r="AI14" s="4">
        <v>7.4</v>
      </c>
      <c r="AJ14" s="4"/>
      <c r="AK14" s="4"/>
      <c r="AL14" s="4"/>
      <c r="AM14" s="4"/>
      <c r="AN14" s="4"/>
      <c r="AO14" s="4"/>
      <c r="AP14" s="4"/>
      <c r="AQ14" s="4"/>
      <c r="AR14" s="4"/>
      <c r="AS14" s="2">
        <f>COUNTIFS(Matchs[[#This Row],[6]:[13]],"&lt;=6,5")</f>
        <v>0</v>
      </c>
      <c r="AV14" s="2">
        <v>2</v>
      </c>
      <c r="AW14" s="2">
        <f>COUNT(Matchs[[#This Row],[1]:[13]])</f>
        <v>3</v>
      </c>
      <c r="AX14" s="2" t="str">
        <f>Matchs[[#This Row],[Joueur]]</f>
        <v>D.Bejarano</v>
      </c>
      <c r="AY14" s="4">
        <f>AVERAGE(Matchs[[#This Row],[1]:[13]])</f>
        <v>7.5333333333333341</v>
      </c>
    </row>
    <row r="15" spans="1:51" x14ac:dyDescent="0.25">
      <c r="A15" s="2">
        <v>14</v>
      </c>
      <c r="B15" s="2" t="s">
        <v>19</v>
      </c>
      <c r="C15" s="2">
        <v>25</v>
      </c>
      <c r="D15" s="2">
        <v>2</v>
      </c>
      <c r="E15" s="2">
        <v>2</v>
      </c>
      <c r="F15" s="2">
        <v>0.44</v>
      </c>
      <c r="G15" s="2">
        <v>0</v>
      </c>
      <c r="L15" s="2">
        <f t="shared" si="0"/>
        <v>3</v>
      </c>
      <c r="M15" s="4">
        <f>((SUM(F15:K15)/Contrat[[#This Row],[Coefficient]])*Contrat[[#This Row],[Année du contrat]])+0.1</f>
        <v>0.39333333333333331</v>
      </c>
      <c r="N15" s="2">
        <v>0</v>
      </c>
      <c r="O15" s="4">
        <f t="shared" si="1"/>
        <v>0.39333333333333331</v>
      </c>
      <c r="Q15" s="2" t="s">
        <v>88</v>
      </c>
      <c r="R15" s="2" t="s">
        <v>54</v>
      </c>
      <c r="S15" s="2" t="s">
        <v>46</v>
      </c>
      <c r="T15" s="2">
        <v>1</v>
      </c>
      <c r="U15" s="2">
        <v>22</v>
      </c>
      <c r="V15" s="2">
        <v>71</v>
      </c>
      <c r="W15" s="2">
        <f t="shared" si="2"/>
        <v>0</v>
      </c>
      <c r="X15" s="4" t="e">
        <f>VLOOKUP(Informations[[#This Row],[Joueur]],Matchs[],23,FALSE)</f>
        <v>#DIV/0!</v>
      </c>
      <c r="Y15" s="2">
        <f>COUNT(AE16:AR16)</f>
        <v>3</v>
      </c>
      <c r="Z15" s="3">
        <v>3200000</v>
      </c>
      <c r="AA15" s="3">
        <v>18108</v>
      </c>
      <c r="AC15" s="2" t="s">
        <v>25</v>
      </c>
      <c r="AD15" s="2" t="s">
        <v>46</v>
      </c>
      <c r="AE15" s="4"/>
      <c r="AF15" s="4"/>
      <c r="AG15" s="4">
        <v>8</v>
      </c>
      <c r="AH15" s="4"/>
      <c r="AI15" s="4">
        <v>7.7</v>
      </c>
      <c r="AJ15" s="4"/>
      <c r="AK15" s="4"/>
      <c r="AL15" s="4"/>
      <c r="AM15" s="4"/>
      <c r="AN15" s="4"/>
      <c r="AO15" s="4"/>
      <c r="AP15" s="4"/>
      <c r="AQ15" s="4"/>
      <c r="AR15" s="4"/>
      <c r="AS15" s="2">
        <f>COUNTIFS(Matchs[[#This Row],[6]:[13]],"&lt;=6,5")</f>
        <v>0</v>
      </c>
      <c r="AV15" s="2">
        <v>1</v>
      </c>
      <c r="AW15" s="2">
        <f>COUNT(Matchs[[#This Row],[1]:[13]])</f>
        <v>2</v>
      </c>
      <c r="AX15" s="2" t="str">
        <f>Matchs[[#This Row],[Joueur]]</f>
        <v>I.King</v>
      </c>
      <c r="AY15" s="4">
        <f>AVERAGE(Matchs[[#This Row],[1]:[13]])</f>
        <v>7.85</v>
      </c>
    </row>
    <row r="16" spans="1:51" x14ac:dyDescent="0.25">
      <c r="A16" s="2">
        <v>15</v>
      </c>
      <c r="B16" s="2" t="s">
        <v>20</v>
      </c>
      <c r="C16" s="2">
        <v>25</v>
      </c>
      <c r="D16" s="2">
        <v>2</v>
      </c>
      <c r="E16" s="2">
        <v>2</v>
      </c>
      <c r="F16" s="2">
        <v>1.1599999999999999</v>
      </c>
      <c r="G16" s="2">
        <v>0</v>
      </c>
      <c r="L16" s="2">
        <f t="shared" si="0"/>
        <v>3</v>
      </c>
      <c r="M16" s="4">
        <f>((SUM(F16:K16)/Contrat[[#This Row],[Coefficient]])*Contrat[[#This Row],[Année du contrat]])+0.1</f>
        <v>0.87333333333333329</v>
      </c>
      <c r="N16" s="2">
        <v>0</v>
      </c>
      <c r="O16" s="4">
        <f t="shared" si="1"/>
        <v>0.87333333333333329</v>
      </c>
      <c r="Q16" s="2" t="s">
        <v>25</v>
      </c>
      <c r="R16" s="2" t="s">
        <v>54</v>
      </c>
      <c r="S16" s="2" t="s">
        <v>46</v>
      </c>
      <c r="T16" s="2">
        <v>2</v>
      </c>
      <c r="U16" s="2">
        <v>18</v>
      </c>
      <c r="V16" s="2">
        <v>65</v>
      </c>
      <c r="W16" s="2">
        <f t="shared" si="2"/>
        <v>0</v>
      </c>
      <c r="X16" s="4">
        <f>VLOOKUP(Informations[[#This Row],[Joueur]],Matchs[],23,FALSE)</f>
        <v>7.85</v>
      </c>
      <c r="Y16" s="2">
        <f t="shared" ref="Y16:Y32" si="4">COUNT(AE16:AR16)</f>
        <v>3</v>
      </c>
      <c r="Z16" s="3">
        <v>1000000</v>
      </c>
      <c r="AA16" s="3">
        <v>500</v>
      </c>
      <c r="AC16" s="2" t="s">
        <v>15</v>
      </c>
      <c r="AD16" s="2" t="s">
        <v>46</v>
      </c>
      <c r="AE16" s="4">
        <v>6.2</v>
      </c>
      <c r="AF16" s="4"/>
      <c r="AG16" s="4"/>
      <c r="AH16" s="4">
        <v>9.4</v>
      </c>
      <c r="AI16" s="4">
        <v>6.2</v>
      </c>
      <c r="AJ16" s="4"/>
      <c r="AK16" s="4"/>
      <c r="AL16" s="4"/>
      <c r="AM16" s="4"/>
      <c r="AN16" s="4"/>
      <c r="AO16" s="4"/>
      <c r="AP16" s="4"/>
      <c r="AQ16" s="4"/>
      <c r="AR16" s="4"/>
      <c r="AS16" s="2">
        <f>COUNTIFS(Matchs[[#This Row],[6]:[13]],"&lt;=6,5")</f>
        <v>0</v>
      </c>
      <c r="AT16" s="2">
        <v>1</v>
      </c>
      <c r="AU16" s="2">
        <v>2</v>
      </c>
      <c r="AW16" s="2">
        <f>COUNT(Matchs[[#This Row],[1]:[13]])</f>
        <v>3</v>
      </c>
      <c r="AX16" s="2" t="str">
        <f>Matchs[[#This Row],[Joueur]]</f>
        <v>M.Kieftenbeld</v>
      </c>
      <c r="AY16" s="4">
        <f>AVERAGE(Matchs[[#This Row],[1]:[13]])</f>
        <v>7.2666666666666666</v>
      </c>
    </row>
    <row r="17" spans="1:51" x14ac:dyDescent="0.25">
      <c r="A17" s="2">
        <v>16</v>
      </c>
      <c r="B17" s="2" t="s">
        <v>21</v>
      </c>
      <c r="C17" s="2">
        <v>29</v>
      </c>
      <c r="D17" s="2">
        <v>2</v>
      </c>
      <c r="E17" s="2">
        <v>2</v>
      </c>
      <c r="F17" s="2">
        <v>0</v>
      </c>
      <c r="G17" s="2">
        <v>0</v>
      </c>
      <c r="L17" s="2">
        <f t="shared" si="0"/>
        <v>3</v>
      </c>
      <c r="M17" s="4">
        <f>((SUM(F17:K17)/Contrat[[#This Row],[Coefficient]])*Contrat[[#This Row],[Année du contrat]])+0.1</f>
        <v>0.1</v>
      </c>
      <c r="N17" s="2">
        <v>0</v>
      </c>
      <c r="O17" s="4">
        <f t="shared" si="1"/>
        <v>0.1</v>
      </c>
      <c r="Q17" s="2" t="s">
        <v>15</v>
      </c>
      <c r="R17" s="2" t="s">
        <v>54</v>
      </c>
      <c r="S17" s="2" t="s">
        <v>46</v>
      </c>
      <c r="T17" s="2">
        <v>2</v>
      </c>
      <c r="U17" s="2">
        <v>30</v>
      </c>
      <c r="V17" s="2">
        <v>69</v>
      </c>
      <c r="W17" s="2">
        <f t="shared" si="2"/>
        <v>0</v>
      </c>
      <c r="X17" s="4">
        <f>VLOOKUP(Informations[[#This Row],[Joueur]],Matchs[],23,FALSE)</f>
        <v>7.2666666666666666</v>
      </c>
      <c r="Y17" s="2">
        <f t="shared" si="4"/>
        <v>4</v>
      </c>
      <c r="Z17" s="3">
        <v>800000</v>
      </c>
      <c r="AA17" s="3">
        <v>8500</v>
      </c>
      <c r="AC17" s="2" t="s">
        <v>21</v>
      </c>
      <c r="AD17" s="2" t="s">
        <v>46</v>
      </c>
      <c r="AE17" s="4">
        <v>6.5</v>
      </c>
      <c r="AF17" s="4">
        <v>7.9</v>
      </c>
      <c r="AG17" s="4">
        <v>6.2</v>
      </c>
      <c r="AH17" s="4">
        <v>6.2</v>
      </c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2">
        <f>COUNTIFS(Matchs[[#This Row],[6]:[13]],"&lt;=6,5")</f>
        <v>0</v>
      </c>
      <c r="AU17" s="2">
        <v>1</v>
      </c>
      <c r="AV17" s="2">
        <v>1</v>
      </c>
      <c r="AW17" s="2">
        <f>COUNT(Matchs[[#This Row],[1]:[13]])</f>
        <v>4</v>
      </c>
      <c r="AX17" s="2" t="str">
        <f>Matchs[[#This Row],[Joueur]]</f>
        <v>T.Naylor</v>
      </c>
      <c r="AY17" s="4">
        <f>AVERAGE(Matchs[[#This Row],[1]:[13]])</f>
        <v>6.7</v>
      </c>
    </row>
    <row r="18" spans="1:51" x14ac:dyDescent="0.25">
      <c r="A18" s="2">
        <v>17</v>
      </c>
      <c r="B18" s="2" t="s">
        <v>22</v>
      </c>
      <c r="C18" s="2">
        <v>26</v>
      </c>
      <c r="D18" s="2">
        <v>2</v>
      </c>
      <c r="E18" s="2">
        <v>2</v>
      </c>
      <c r="F18" s="2">
        <v>0.45</v>
      </c>
      <c r="G18" s="2">
        <v>0</v>
      </c>
      <c r="L18" s="2">
        <f t="shared" si="0"/>
        <v>3</v>
      </c>
      <c r="M18" s="4">
        <f>((SUM(F18:K18)/Contrat[[#This Row],[Coefficient]])*Contrat[[#This Row],[Année du contrat]])+0.1</f>
        <v>0.4</v>
      </c>
      <c r="N18" s="2">
        <v>0</v>
      </c>
      <c r="O18" s="4">
        <f t="shared" si="1"/>
        <v>0.4</v>
      </c>
      <c r="Q18" s="2" t="s">
        <v>21</v>
      </c>
      <c r="R18" s="2" t="s">
        <v>54</v>
      </c>
      <c r="S18" s="2" t="s">
        <v>46</v>
      </c>
      <c r="T18" s="2">
        <v>2</v>
      </c>
      <c r="U18" s="2">
        <v>29</v>
      </c>
      <c r="V18" s="2">
        <v>67</v>
      </c>
      <c r="W18" s="2">
        <f t="shared" si="2"/>
        <v>0</v>
      </c>
      <c r="X18" s="4">
        <f>VLOOKUP(Informations[[#This Row],[Joueur]],Matchs[],23,FALSE)</f>
        <v>6.7</v>
      </c>
      <c r="Y18" s="2">
        <f t="shared" si="4"/>
        <v>0</v>
      </c>
      <c r="Z18" s="3">
        <v>700000</v>
      </c>
      <c r="AA18" s="3">
        <v>5200</v>
      </c>
      <c r="AC18" s="2" t="s">
        <v>88</v>
      </c>
      <c r="AD18" s="2" t="s">
        <v>46</v>
      </c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2">
        <f>COUNTIFS(Matchs[[#This Row],[6]:[13]],"&lt;=6,5")</f>
        <v>0</v>
      </c>
      <c r="AW18" s="2">
        <f>COUNT(Matchs[[#This Row],[1]:[13]])</f>
        <v>0</v>
      </c>
      <c r="AX18" s="2" t="str">
        <f>Matchs[[#This Row],[Joueur]]</f>
        <v>B.Baningime</v>
      </c>
      <c r="AY18" s="4" t="e">
        <f>AVERAGE(Matchs[[#This Row],[1]:[13]])</f>
        <v>#DIV/0!</v>
      </c>
    </row>
    <row r="19" spans="1:51" x14ac:dyDescent="0.25">
      <c r="A19" s="2">
        <v>18</v>
      </c>
      <c r="B19" s="2" t="s">
        <v>23</v>
      </c>
      <c r="C19" s="2">
        <v>18</v>
      </c>
      <c r="D19" s="2">
        <v>2</v>
      </c>
      <c r="E19" s="2">
        <v>2</v>
      </c>
      <c r="F19" s="2">
        <v>1.18</v>
      </c>
      <c r="G19" s="2">
        <v>0</v>
      </c>
      <c r="L19" s="2">
        <f t="shared" si="0"/>
        <v>3</v>
      </c>
      <c r="M19" s="4">
        <f>((SUM(F19:K19)/Contrat[[#This Row],[Coefficient]])*Contrat[[#This Row],[Année du contrat]])+0.1</f>
        <v>0.8866666666666666</v>
      </c>
      <c r="N19" s="2">
        <v>0</v>
      </c>
      <c r="O19" s="4">
        <f t="shared" si="1"/>
        <v>0.8866666666666666</v>
      </c>
      <c r="Q19" s="2" t="s">
        <v>16</v>
      </c>
      <c r="R19" s="2" t="s">
        <v>54</v>
      </c>
      <c r="S19" s="2" t="s">
        <v>47</v>
      </c>
      <c r="T19" s="2">
        <v>2</v>
      </c>
      <c r="U19" s="2">
        <v>18</v>
      </c>
      <c r="V19" s="2">
        <v>66</v>
      </c>
      <c r="W19" s="2">
        <f t="shared" si="2"/>
        <v>0</v>
      </c>
      <c r="X19" s="4">
        <f>VLOOKUP(Informations[[#This Row],[Joueur]],Matchs[],23,FALSE)</f>
        <v>8.2999999999999989</v>
      </c>
      <c r="Y19" s="2">
        <f t="shared" si="4"/>
        <v>3</v>
      </c>
      <c r="Z19" s="3">
        <v>775000</v>
      </c>
      <c r="AA19" s="3">
        <v>500</v>
      </c>
      <c r="AC19" s="2" t="s">
        <v>16</v>
      </c>
      <c r="AD19" s="2" t="s">
        <v>47</v>
      </c>
      <c r="AE19" s="4"/>
      <c r="AF19" s="4">
        <v>6.9</v>
      </c>
      <c r="AG19" s="4">
        <v>9</v>
      </c>
      <c r="AH19" s="4"/>
      <c r="AI19" s="4">
        <v>9</v>
      </c>
      <c r="AJ19" s="4"/>
      <c r="AK19" s="4"/>
      <c r="AL19" s="4"/>
      <c r="AM19" s="4"/>
      <c r="AN19" s="4"/>
      <c r="AO19" s="4"/>
      <c r="AP19" s="4"/>
      <c r="AQ19" s="4"/>
      <c r="AR19" s="4"/>
      <c r="AS19" s="2">
        <f>COUNTIFS(Matchs[[#This Row],[6]:[13]],"&lt;=6,5")</f>
        <v>0</v>
      </c>
      <c r="AU19" s="2">
        <v>2</v>
      </c>
      <c r="AV19" s="2">
        <v>2</v>
      </c>
      <c r="AW19" s="2">
        <f>COUNT(Matchs[[#This Row],[1]:[13]])</f>
        <v>3</v>
      </c>
      <c r="AX19" s="2" t="str">
        <f>Matchs[[#This Row],[Joueur]]</f>
        <v>C.Davies</v>
      </c>
      <c r="AY19" s="4">
        <f>AVERAGE(Matchs[[#This Row],[1]:[13]])</f>
        <v>8.2999999999999989</v>
      </c>
    </row>
    <row r="20" spans="1:51" x14ac:dyDescent="0.25">
      <c r="A20" s="2">
        <v>19</v>
      </c>
      <c r="B20" s="2" t="s">
        <v>24</v>
      </c>
      <c r="C20" s="2">
        <v>17</v>
      </c>
      <c r="D20" s="2">
        <v>2</v>
      </c>
      <c r="E20" s="2">
        <v>2</v>
      </c>
      <c r="F20" s="2">
        <v>0</v>
      </c>
      <c r="G20" s="2">
        <v>0</v>
      </c>
      <c r="L20" s="2">
        <f t="shared" si="0"/>
        <v>3</v>
      </c>
      <c r="M20" s="4">
        <f>((SUM(F20:K20)/Contrat[[#This Row],[Coefficient]])*Contrat[[#This Row],[Année du contrat]])+0.1</f>
        <v>0.1</v>
      </c>
      <c r="N20" s="2">
        <v>0</v>
      </c>
      <c r="O20" s="4">
        <f t="shared" si="1"/>
        <v>0.1</v>
      </c>
      <c r="Q20" s="2" t="s">
        <v>32</v>
      </c>
      <c r="R20" s="2" t="s">
        <v>54</v>
      </c>
      <c r="S20" s="2" t="s">
        <v>47</v>
      </c>
      <c r="T20" s="2">
        <v>2</v>
      </c>
      <c r="U20" s="2">
        <v>25</v>
      </c>
      <c r="V20" s="2">
        <v>73</v>
      </c>
      <c r="W20" s="2">
        <f t="shared" si="2"/>
        <v>0</v>
      </c>
      <c r="X20" s="4">
        <f>VLOOKUP(Informations[[#This Row],[Joueur]],Matchs[],23,FALSE)</f>
        <v>7.12</v>
      </c>
      <c r="Y20" s="2">
        <f t="shared" si="4"/>
        <v>5</v>
      </c>
      <c r="Z20" s="3">
        <v>6000000</v>
      </c>
      <c r="AA20" s="3">
        <v>3360</v>
      </c>
      <c r="AC20" s="2" t="s">
        <v>32</v>
      </c>
      <c r="AD20" s="2" t="s">
        <v>47</v>
      </c>
      <c r="AE20" s="4">
        <v>6.2</v>
      </c>
      <c r="AF20" s="4">
        <v>7.4</v>
      </c>
      <c r="AG20" s="4">
        <v>6.6</v>
      </c>
      <c r="AH20" s="4">
        <v>9.6</v>
      </c>
      <c r="AI20" s="4">
        <v>5.8</v>
      </c>
      <c r="AJ20" s="4"/>
      <c r="AK20" s="4"/>
      <c r="AL20" s="4"/>
      <c r="AM20" s="4"/>
      <c r="AN20" s="4"/>
      <c r="AO20" s="4"/>
      <c r="AP20" s="4"/>
      <c r="AQ20" s="4"/>
      <c r="AR20" s="4"/>
      <c r="AS20" s="2">
        <f>COUNTIFS(Matchs[[#This Row],[6]:[13]],"&lt;=6,5")</f>
        <v>0</v>
      </c>
      <c r="AT20" s="2">
        <v>2</v>
      </c>
      <c r="AU20" s="2">
        <v>1</v>
      </c>
      <c r="AW20" s="2">
        <f>COUNT(Matchs[[#This Row],[1]:[13]])</f>
        <v>5</v>
      </c>
      <c r="AX20" s="2" t="str">
        <f>Matchs[[#This Row],[Joueur]]</f>
        <v>R.Curtis</v>
      </c>
      <c r="AY20" s="4">
        <f>AVERAGE(Matchs[[#This Row],[1]:[13]])</f>
        <v>7.12</v>
      </c>
    </row>
    <row r="21" spans="1:51" x14ac:dyDescent="0.25">
      <c r="A21" s="2">
        <v>20</v>
      </c>
      <c r="B21" s="2" t="s">
        <v>89</v>
      </c>
      <c r="C21" s="2">
        <v>27</v>
      </c>
      <c r="D21" s="2">
        <v>2</v>
      </c>
      <c r="E21" s="2">
        <v>1</v>
      </c>
      <c r="F21" s="2">
        <v>0</v>
      </c>
      <c r="L21" s="2">
        <f>1</f>
        <v>1</v>
      </c>
      <c r="M21" s="4">
        <f>((SUM(F21:K21)/Contrat[[#This Row],[Coefficient]])*Contrat[[#This Row],[Année du contrat]])+0.1</f>
        <v>0.1</v>
      </c>
      <c r="N21" s="2">
        <v>0</v>
      </c>
      <c r="O21" s="4">
        <f t="shared" si="1"/>
        <v>0.1</v>
      </c>
      <c r="Q21" s="2" t="s">
        <v>33</v>
      </c>
      <c r="R21" s="2" t="s">
        <v>54</v>
      </c>
      <c r="S21" s="3" t="s">
        <v>48</v>
      </c>
      <c r="T21" s="2">
        <v>2</v>
      </c>
      <c r="U21" s="2">
        <v>23</v>
      </c>
      <c r="V21" s="2">
        <v>65</v>
      </c>
      <c r="W21" s="2">
        <f t="shared" si="2"/>
        <v>0</v>
      </c>
      <c r="X21" s="4">
        <f>VLOOKUP(Informations[[#This Row],[Joueur]],Matchs[],23,FALSE)</f>
        <v>8.1333333333333329</v>
      </c>
      <c r="Y21" s="2">
        <f t="shared" si="4"/>
        <v>3</v>
      </c>
      <c r="Z21" s="3">
        <v>700000</v>
      </c>
      <c r="AA21" s="3">
        <v>3060</v>
      </c>
      <c r="AC21" s="2" t="s">
        <v>33</v>
      </c>
      <c r="AD21" s="3" t="s">
        <v>48</v>
      </c>
      <c r="AE21" s="4"/>
      <c r="AF21" s="4">
        <v>7.1</v>
      </c>
      <c r="AG21" s="4"/>
      <c r="AH21" s="4">
        <v>8.4</v>
      </c>
      <c r="AI21" s="4">
        <v>8.9</v>
      </c>
      <c r="AJ21" s="4"/>
      <c r="AK21" s="4"/>
      <c r="AL21" s="4"/>
      <c r="AM21" s="4"/>
      <c r="AN21" s="4"/>
      <c r="AO21" s="4"/>
      <c r="AP21" s="4"/>
      <c r="AQ21" s="4"/>
      <c r="AR21" s="4"/>
      <c r="AS21" s="2">
        <f>COUNTIFS(Matchs[[#This Row],[6]:[13]],"&lt;=6,5")</f>
        <v>0</v>
      </c>
      <c r="AT21" s="2">
        <v>1</v>
      </c>
      <c r="AU21" s="2">
        <v>1</v>
      </c>
      <c r="AV21" s="2">
        <v>2</v>
      </c>
      <c r="AW21" s="2">
        <f>COUNT(Matchs[[#This Row],[1]:[13]])</f>
        <v>3</v>
      </c>
      <c r="AX21" s="2" t="str">
        <f>Matchs[[#This Row],[Joueur]]</f>
        <v>A.May</v>
      </c>
      <c r="AY21" s="4">
        <f>AVERAGE(Matchs[[#This Row],[1]:[13]])</f>
        <v>8.1333333333333329</v>
      </c>
    </row>
    <row r="22" spans="1:51" x14ac:dyDescent="0.25">
      <c r="A22" s="2">
        <v>21</v>
      </c>
      <c r="B22" s="2" t="s">
        <v>25</v>
      </c>
      <c r="C22" s="2">
        <v>18</v>
      </c>
      <c r="D22" s="2">
        <v>3</v>
      </c>
      <c r="E22" s="2">
        <v>2</v>
      </c>
      <c r="F22" s="2">
        <v>0</v>
      </c>
      <c r="G22" s="2">
        <v>0</v>
      </c>
      <c r="L22" s="2">
        <f t="shared" ref="L22:L27" si="5">1+2</f>
        <v>3</v>
      </c>
      <c r="M22" s="4">
        <f>((SUM(F22:K22)/Contrat[[#This Row],[Coefficient]])*Contrat[[#This Row],[Année du contrat]])+0.1</f>
        <v>0.1</v>
      </c>
      <c r="N22" s="2">
        <v>0</v>
      </c>
      <c r="O22" s="4">
        <f t="shared" si="1"/>
        <v>0.1</v>
      </c>
      <c r="Q22" s="2" t="s">
        <v>26</v>
      </c>
      <c r="R22" s="2" t="s">
        <v>54</v>
      </c>
      <c r="S22" s="2" t="s">
        <v>48</v>
      </c>
      <c r="T22" s="2">
        <v>2</v>
      </c>
      <c r="U22" s="2">
        <v>24</v>
      </c>
      <c r="V22" s="2">
        <v>74</v>
      </c>
      <c r="W22" s="2">
        <f t="shared" si="2"/>
        <v>0</v>
      </c>
      <c r="X22" s="4">
        <f>VLOOKUP(Informations[[#This Row],[Joueur]],Matchs[],23,FALSE)</f>
        <v>7.9499999999999993</v>
      </c>
      <c r="Y22" s="2">
        <f t="shared" si="4"/>
        <v>4</v>
      </c>
      <c r="Z22" s="3">
        <v>8000000</v>
      </c>
      <c r="AA22" s="3">
        <v>20306</v>
      </c>
      <c r="AC22" s="2" t="s">
        <v>26</v>
      </c>
      <c r="AD22" s="2" t="s">
        <v>48</v>
      </c>
      <c r="AE22" s="4">
        <v>7.9</v>
      </c>
      <c r="AF22" s="4">
        <v>6.8</v>
      </c>
      <c r="AG22" s="4">
        <v>9.1</v>
      </c>
      <c r="AH22" s="4"/>
      <c r="AI22" s="4">
        <v>8</v>
      </c>
      <c r="AJ22" s="4"/>
      <c r="AK22" s="4"/>
      <c r="AL22" s="4"/>
      <c r="AM22" s="4"/>
      <c r="AN22" s="4"/>
      <c r="AO22" s="4"/>
      <c r="AP22" s="4"/>
      <c r="AQ22" s="4"/>
      <c r="AR22" s="4"/>
      <c r="AS22" s="2">
        <f>COUNTIFS(Matchs[[#This Row],[6]:[13]],"&lt;=6,5")</f>
        <v>0</v>
      </c>
      <c r="AT22" s="2">
        <v>1</v>
      </c>
      <c r="AV22" s="2">
        <v>1</v>
      </c>
      <c r="AW22" s="2">
        <f>COUNT(Matchs[[#This Row],[1]:[13]])</f>
        <v>4</v>
      </c>
      <c r="AX22" s="2" t="str">
        <f>Matchs[[#This Row],[Joueur]]</f>
        <v>B.Close</v>
      </c>
      <c r="AY22" s="4">
        <f>AVERAGE(Matchs[[#This Row],[1]:[13]])</f>
        <v>7.9499999999999993</v>
      </c>
    </row>
    <row r="23" spans="1:51" x14ac:dyDescent="0.25">
      <c r="A23" s="2">
        <v>22</v>
      </c>
      <c r="B23" s="2" t="s">
        <v>27</v>
      </c>
      <c r="C23" s="2">
        <v>24</v>
      </c>
      <c r="D23" s="2">
        <v>3</v>
      </c>
      <c r="E23" s="2">
        <v>2</v>
      </c>
      <c r="F23" s="2">
        <v>0.35</v>
      </c>
      <c r="G23" s="2">
        <v>0</v>
      </c>
      <c r="L23" s="2">
        <f t="shared" si="5"/>
        <v>3</v>
      </c>
      <c r="M23" s="4">
        <f>((SUM(F23:K23)/Contrat[[#This Row],[Coefficient]])*Contrat[[#This Row],[Année du contrat]])+0.1</f>
        <v>0.33333333333333331</v>
      </c>
      <c r="N23" s="2">
        <v>0</v>
      </c>
      <c r="O23" s="4">
        <f t="shared" si="1"/>
        <v>0.33333333333333331</v>
      </c>
      <c r="Q23" s="2" t="s">
        <v>20</v>
      </c>
      <c r="R23" s="2" t="s">
        <v>54</v>
      </c>
      <c r="S23" s="2" t="s">
        <v>48</v>
      </c>
      <c r="T23" s="2">
        <v>2</v>
      </c>
      <c r="U23" s="2">
        <v>25</v>
      </c>
      <c r="V23" s="2">
        <v>71</v>
      </c>
      <c r="W23" s="2">
        <f t="shared" si="2"/>
        <v>0</v>
      </c>
      <c r="X23" s="4">
        <f>VLOOKUP(Informations[[#This Row],[Joueur]],Matchs[],23,FALSE)</f>
        <v>7.15</v>
      </c>
      <c r="Y23" s="2">
        <f t="shared" si="4"/>
        <v>4</v>
      </c>
      <c r="Z23" s="3">
        <v>3400000</v>
      </c>
      <c r="AA23" s="3">
        <v>4788</v>
      </c>
      <c r="AC23" s="2" t="s">
        <v>20</v>
      </c>
      <c r="AD23" s="2" t="s">
        <v>48</v>
      </c>
      <c r="AE23" s="4">
        <v>7.7</v>
      </c>
      <c r="AF23" s="4"/>
      <c r="AG23" s="4">
        <v>7.8</v>
      </c>
      <c r="AH23" s="4">
        <v>6.8</v>
      </c>
      <c r="AI23" s="4">
        <v>6.3</v>
      </c>
      <c r="AJ23" s="4"/>
      <c r="AK23" s="4"/>
      <c r="AL23" s="4"/>
      <c r="AM23" s="4"/>
      <c r="AN23" s="4"/>
      <c r="AO23" s="4"/>
      <c r="AP23" s="4"/>
      <c r="AQ23" s="4"/>
      <c r="AR23" s="4"/>
      <c r="AS23" s="2">
        <f>COUNTIFS(Matchs[[#This Row],[6]:[13]],"&lt;=6,5")</f>
        <v>0</v>
      </c>
      <c r="AW23" s="2">
        <f>COUNT(Matchs[[#This Row],[1]:[13]])</f>
        <v>4</v>
      </c>
      <c r="AX23" s="2" t="str">
        <f>Matchs[[#This Row],[Joueur]]</f>
        <v>A.Cannon</v>
      </c>
      <c r="AY23" s="4">
        <f>AVERAGE(Matchs[[#This Row],[1]:[13]])</f>
        <v>7.15</v>
      </c>
    </row>
    <row r="24" spans="1:51" x14ac:dyDescent="0.25">
      <c r="A24" s="2">
        <v>23</v>
      </c>
      <c r="B24" s="2" t="s">
        <v>28</v>
      </c>
      <c r="C24" s="2">
        <v>25</v>
      </c>
      <c r="D24" s="2">
        <v>3</v>
      </c>
      <c r="E24" s="2">
        <v>2</v>
      </c>
      <c r="F24" s="2">
        <v>0.5</v>
      </c>
      <c r="G24" s="2">
        <v>0</v>
      </c>
      <c r="L24" s="2">
        <f t="shared" si="5"/>
        <v>3</v>
      </c>
      <c r="M24" s="4">
        <f>((SUM(F24:K24)/Contrat[[#This Row],[Coefficient]])*Contrat[[#This Row],[Année du contrat]])+0.1</f>
        <v>0.43333333333333335</v>
      </c>
      <c r="N24" s="2">
        <v>0</v>
      </c>
      <c r="O24" s="4">
        <f t="shared" si="1"/>
        <v>0.43333333333333335</v>
      </c>
      <c r="Q24" s="2" t="s">
        <v>19</v>
      </c>
      <c r="R24" s="2" t="s">
        <v>54</v>
      </c>
      <c r="S24" s="2" t="s">
        <v>48</v>
      </c>
      <c r="T24" s="2">
        <v>2</v>
      </c>
      <c r="U24" s="2">
        <v>25</v>
      </c>
      <c r="V24" s="2">
        <v>67</v>
      </c>
      <c r="W24" s="2">
        <f t="shared" si="2"/>
        <v>0</v>
      </c>
      <c r="X24" s="4">
        <f>VLOOKUP(Informations[[#This Row],[Joueur]],Matchs[],23,FALSE)</f>
        <v>7</v>
      </c>
      <c r="Y24" s="2">
        <f t="shared" si="4"/>
        <v>4</v>
      </c>
      <c r="Z24" s="3">
        <v>1000000</v>
      </c>
      <c r="AA24" s="3">
        <v>4850</v>
      </c>
      <c r="AC24" s="2" t="s">
        <v>19</v>
      </c>
      <c r="AD24" s="2" t="s">
        <v>48</v>
      </c>
      <c r="AE24" s="4">
        <v>6.3</v>
      </c>
      <c r="AF24" s="4">
        <v>8.4</v>
      </c>
      <c r="AG24" s="4">
        <v>5.9</v>
      </c>
      <c r="AH24" s="4">
        <v>7.4</v>
      </c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2">
        <f>COUNTIFS(Matchs[[#This Row],[6]:[13]],"&lt;=6,5")</f>
        <v>0</v>
      </c>
      <c r="AT24" s="2">
        <v>1</v>
      </c>
      <c r="AV24" s="2">
        <v>1</v>
      </c>
      <c r="AW24" s="2">
        <f>COUNT(Matchs[[#This Row],[1]:[13]])</f>
        <v>4</v>
      </c>
      <c r="AX24" s="2" t="str">
        <f>Matchs[[#This Row],[Joueur]]</f>
        <v>B.Morris</v>
      </c>
      <c r="AY24" s="4">
        <f>AVERAGE(Matchs[[#This Row],[1]:[13]])</f>
        <v>7</v>
      </c>
    </row>
    <row r="25" spans="1:51" x14ac:dyDescent="0.25">
      <c r="A25" s="2">
        <v>24</v>
      </c>
      <c r="B25" s="2" t="s">
        <v>29</v>
      </c>
      <c r="C25" s="2">
        <v>17</v>
      </c>
      <c r="D25" s="2">
        <v>3</v>
      </c>
      <c r="E25" s="2">
        <v>2</v>
      </c>
      <c r="F25" s="2">
        <v>0.18</v>
      </c>
      <c r="G25" s="2">
        <v>0</v>
      </c>
      <c r="L25" s="2">
        <f t="shared" si="5"/>
        <v>3</v>
      </c>
      <c r="M25" s="4">
        <f>((SUM(F25:K25)/Contrat[[#This Row],[Coefficient]])*Contrat[[#This Row],[Année du contrat]])+0.1</f>
        <v>0.22</v>
      </c>
      <c r="N25" s="2">
        <v>0</v>
      </c>
      <c r="O25" s="4">
        <f t="shared" si="1"/>
        <v>0.22</v>
      </c>
      <c r="Q25" s="2" t="s">
        <v>9</v>
      </c>
      <c r="R25" s="2" t="s">
        <v>54</v>
      </c>
      <c r="S25" s="2" t="s">
        <v>49</v>
      </c>
      <c r="T25" s="2">
        <v>2</v>
      </c>
      <c r="U25" s="2">
        <v>31</v>
      </c>
      <c r="V25" s="2">
        <v>67</v>
      </c>
      <c r="W25" s="2">
        <f t="shared" si="2"/>
        <v>0</v>
      </c>
      <c r="X25" s="4">
        <f>VLOOKUP(Informations[[#This Row],[Joueur]],Matchs[],23,FALSE)</f>
        <v>0</v>
      </c>
      <c r="Y25" s="2">
        <f t="shared" si="4"/>
        <v>0</v>
      </c>
      <c r="Z25" s="3">
        <v>675000</v>
      </c>
      <c r="AA25" s="3">
        <v>4320</v>
      </c>
      <c r="AC25" s="2" t="s">
        <v>9</v>
      </c>
      <c r="AD25" s="2" t="s">
        <v>49</v>
      </c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2">
        <f>COUNTIFS(Matchs[[#This Row],[6]:[13]],"&lt;=6,5")</f>
        <v>0</v>
      </c>
      <c r="AW25" s="2">
        <v>0</v>
      </c>
      <c r="AX25" s="2" t="str">
        <f>Matchs[[#This Row],[Joueur]]</f>
        <v>J.Henry</v>
      </c>
      <c r="AY25" s="4">
        <v>0</v>
      </c>
    </row>
    <row r="26" spans="1:51" x14ac:dyDescent="0.25">
      <c r="A26" s="2">
        <v>25</v>
      </c>
      <c r="B26" s="2" t="s">
        <v>30</v>
      </c>
      <c r="C26" s="2">
        <v>22</v>
      </c>
      <c r="D26" s="2">
        <v>3</v>
      </c>
      <c r="E26" s="2">
        <v>2</v>
      </c>
      <c r="F26" s="2">
        <v>0.26</v>
      </c>
      <c r="G26" s="2">
        <v>0</v>
      </c>
      <c r="L26" s="2">
        <f t="shared" si="5"/>
        <v>3</v>
      </c>
      <c r="M26" s="4">
        <f>((SUM(F26:K26)/Contrat[[#This Row],[Coefficient]])*Contrat[[#This Row],[Année du contrat]])+0.1</f>
        <v>0.27333333333333332</v>
      </c>
      <c r="N26" s="2">
        <v>0</v>
      </c>
      <c r="O26" s="4">
        <f t="shared" si="1"/>
        <v>0.27333333333333332</v>
      </c>
      <c r="Q26" s="2" t="s">
        <v>28</v>
      </c>
      <c r="R26" s="2" t="s">
        <v>54</v>
      </c>
      <c r="S26" s="2" t="s">
        <v>50</v>
      </c>
      <c r="T26" s="2">
        <v>2</v>
      </c>
      <c r="U26" s="2">
        <v>25</v>
      </c>
      <c r="V26" s="2">
        <v>69</v>
      </c>
      <c r="W26" s="2">
        <f t="shared" si="2"/>
        <v>0</v>
      </c>
      <c r="X26" s="4">
        <f>VLOOKUP(Informations[[#This Row],[Joueur]],Matchs[],23,FALSE)</f>
        <v>8.1999999999999993</v>
      </c>
      <c r="Y26" s="2">
        <f t="shared" si="4"/>
        <v>3</v>
      </c>
      <c r="Z26" s="3">
        <v>1600000</v>
      </c>
      <c r="AA26" s="3">
        <v>3131</v>
      </c>
      <c r="AC26" s="2" t="s">
        <v>28</v>
      </c>
      <c r="AD26" s="2" t="s">
        <v>50</v>
      </c>
      <c r="AE26" s="4">
        <v>7.8</v>
      </c>
      <c r="AF26" s="4"/>
      <c r="AG26" s="4"/>
      <c r="AH26" s="4">
        <v>9.1</v>
      </c>
      <c r="AI26" s="4">
        <v>7.7</v>
      </c>
      <c r="AJ26" s="4"/>
      <c r="AK26" s="4"/>
      <c r="AL26" s="4"/>
      <c r="AM26" s="4"/>
      <c r="AN26" s="4"/>
      <c r="AO26" s="4"/>
      <c r="AP26" s="4"/>
      <c r="AQ26" s="4"/>
      <c r="AR26" s="4"/>
      <c r="AS26" s="2">
        <f>COUNTIFS(Matchs[[#This Row],[6]:[13]],"&lt;=6,5")</f>
        <v>0</v>
      </c>
      <c r="AT26" s="2">
        <v>1</v>
      </c>
      <c r="AV26" s="2">
        <v>1</v>
      </c>
      <c r="AW26" s="2">
        <f>COUNT(Matchs[[#This Row],[1]:[13]])</f>
        <v>3</v>
      </c>
      <c r="AX26" s="2" t="str">
        <f>Matchs[[#This Row],[Joueur]]</f>
        <v>M.Harness</v>
      </c>
      <c r="AY26" s="4">
        <f>AVERAGE(Matchs[[#This Row],[1]:[13]])</f>
        <v>8.1999999999999993</v>
      </c>
    </row>
    <row r="27" spans="1:51" x14ac:dyDescent="0.25">
      <c r="A27" s="2">
        <v>26</v>
      </c>
      <c r="B27" s="2" t="s">
        <v>31</v>
      </c>
      <c r="C27" s="2">
        <v>16</v>
      </c>
      <c r="D27" s="2">
        <v>3</v>
      </c>
      <c r="E27" s="2">
        <v>2</v>
      </c>
      <c r="F27" s="2">
        <v>0</v>
      </c>
      <c r="G27" s="2">
        <v>0</v>
      </c>
      <c r="L27" s="2">
        <f t="shared" si="5"/>
        <v>3</v>
      </c>
      <c r="M27" s="4">
        <f>((SUM(F27:K27)/Contrat[[#This Row],[Coefficient]])*Contrat[[#This Row],[Année du contrat]])+0.1</f>
        <v>0.1</v>
      </c>
      <c r="N27" s="2">
        <v>0</v>
      </c>
      <c r="O27" s="4">
        <f t="shared" si="1"/>
        <v>0.1</v>
      </c>
      <c r="Q27" s="2" t="s">
        <v>17</v>
      </c>
      <c r="R27" s="2" t="s">
        <v>54</v>
      </c>
      <c r="S27" s="2" t="s">
        <v>50</v>
      </c>
      <c r="T27" s="2">
        <v>2</v>
      </c>
      <c r="U27" s="2">
        <v>27</v>
      </c>
      <c r="V27" s="2">
        <v>68</v>
      </c>
      <c r="W27" s="2">
        <f t="shared" si="2"/>
        <v>0</v>
      </c>
      <c r="X27" s="4">
        <f>VLOOKUP(Informations[[#This Row],[Joueur]],Matchs[],23,FALSE)</f>
        <v>7.3</v>
      </c>
      <c r="Y27" s="2">
        <f t="shared" si="4"/>
        <v>1</v>
      </c>
      <c r="Z27" s="3">
        <v>1100000</v>
      </c>
      <c r="AA27" s="3">
        <v>6300</v>
      </c>
      <c r="AC27" s="2" t="s">
        <v>17</v>
      </c>
      <c r="AD27" s="2" t="s">
        <v>50</v>
      </c>
      <c r="AE27" s="4"/>
      <c r="AF27" s="4"/>
      <c r="AG27" s="4">
        <v>7.3</v>
      </c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2">
        <f>COUNTIFS(Matchs[[#This Row],[6]:[13]],"&lt;=6,5")</f>
        <v>0</v>
      </c>
      <c r="AW27" s="2">
        <f>COUNT(Matchs[[#This Row],[1]:[13]])</f>
        <v>1</v>
      </c>
      <c r="AX27" s="2" t="str">
        <f>Matchs[[#This Row],[Joueur]]</f>
        <v>R.Williams</v>
      </c>
      <c r="AY27" s="4">
        <f>AVERAGE(Matchs[[#This Row],[1]:[13]])</f>
        <v>7.3</v>
      </c>
    </row>
    <row r="28" spans="1:51" x14ac:dyDescent="0.25">
      <c r="A28" s="2">
        <v>27</v>
      </c>
      <c r="B28" s="2" t="s">
        <v>88</v>
      </c>
      <c r="C28" s="2">
        <v>22</v>
      </c>
      <c r="D28" s="2">
        <v>3</v>
      </c>
      <c r="E28" s="2">
        <v>1</v>
      </c>
      <c r="F28" s="2">
        <v>0</v>
      </c>
      <c r="L28" s="2">
        <v>1</v>
      </c>
      <c r="M28" s="4">
        <f>((SUM(F28:K28)/Contrat[[#This Row],[Coefficient]])*Contrat[[#This Row],[Année du contrat]])+0.1</f>
        <v>0.1</v>
      </c>
      <c r="N28" s="2">
        <v>0</v>
      </c>
      <c r="O28" s="4">
        <f t="shared" si="1"/>
        <v>0.1</v>
      </c>
      <c r="Q28" s="2" t="s">
        <v>18</v>
      </c>
      <c r="R28" s="2" t="s">
        <v>54</v>
      </c>
      <c r="S28" s="2" t="s">
        <v>50</v>
      </c>
      <c r="T28" s="2">
        <v>2</v>
      </c>
      <c r="U28" s="2">
        <v>18</v>
      </c>
      <c r="V28" s="2">
        <v>69</v>
      </c>
      <c r="W28" s="2">
        <f t="shared" si="2"/>
        <v>0</v>
      </c>
      <c r="X28" s="4">
        <f>VLOOKUP(Informations[[#This Row],[Joueur]],Matchs[],23,FALSE)</f>
        <v>6.7333333333333334</v>
      </c>
      <c r="Y28" s="2">
        <f t="shared" si="4"/>
        <v>3</v>
      </c>
      <c r="Z28" s="3">
        <v>1400000</v>
      </c>
      <c r="AA28" s="3">
        <v>500</v>
      </c>
      <c r="AC28" s="2" t="s">
        <v>18</v>
      </c>
      <c r="AD28" s="2" t="s">
        <v>50</v>
      </c>
      <c r="AE28" s="4">
        <v>7.6</v>
      </c>
      <c r="AF28" s="4">
        <v>6</v>
      </c>
      <c r="AG28" s="4"/>
      <c r="AH28" s="4">
        <v>6.6</v>
      </c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2">
        <f>COUNTIFS(Matchs[[#This Row],[6]:[13]],"&lt;=6,5")</f>
        <v>0</v>
      </c>
      <c r="AT28" s="2">
        <v>1</v>
      </c>
      <c r="AW28" s="2">
        <f>COUNT(Matchs[[#This Row],[1]:[13]])</f>
        <v>3</v>
      </c>
      <c r="AX28" s="2" t="str">
        <f>Matchs[[#This Row],[Joueur]]</f>
        <v>C.Watson</v>
      </c>
      <c r="AY28" s="4">
        <f>AVERAGE(Matchs[[#This Row],[1]:[13]])</f>
        <v>6.7333333333333334</v>
      </c>
    </row>
    <row r="29" spans="1:51" x14ac:dyDescent="0.25">
      <c r="A29" s="2">
        <v>28</v>
      </c>
      <c r="B29" s="2" t="s">
        <v>26</v>
      </c>
      <c r="C29" s="2">
        <v>24</v>
      </c>
      <c r="D29" s="2">
        <v>4</v>
      </c>
      <c r="E29" s="2">
        <v>1</v>
      </c>
      <c r="F29" s="2">
        <v>0</v>
      </c>
      <c r="L29" s="2">
        <v>1</v>
      </c>
      <c r="M29" s="4">
        <f>((SUM(F29:K29)/Contrat[[#This Row],[Coefficient]])*Contrat[[#This Row],[Année du contrat]])+0.1</f>
        <v>0.1</v>
      </c>
      <c r="N29" s="2">
        <v>0</v>
      </c>
      <c r="O29" s="4">
        <f t="shared" si="1"/>
        <v>0.1</v>
      </c>
      <c r="Q29" s="2" t="s">
        <v>89</v>
      </c>
      <c r="R29" s="2" t="s">
        <v>55</v>
      </c>
      <c r="S29" s="2" t="s">
        <v>51</v>
      </c>
      <c r="T29" s="2">
        <v>1</v>
      </c>
      <c r="U29" s="2">
        <v>27</v>
      </c>
      <c r="V29" s="2">
        <v>71</v>
      </c>
      <c r="W29" s="2">
        <f t="shared" si="2"/>
        <v>0</v>
      </c>
      <c r="X29" s="4">
        <f>VLOOKUP(Informations[[#This Row],[Joueur]],Matchs[],23,FALSE)</f>
        <v>7.7666666666666657</v>
      </c>
      <c r="Y29" s="2">
        <f t="shared" si="4"/>
        <v>3</v>
      </c>
      <c r="Z29" s="3">
        <v>2800000</v>
      </c>
      <c r="AA29" s="3">
        <v>15720</v>
      </c>
      <c r="AC29" s="2" t="s">
        <v>89</v>
      </c>
      <c r="AD29" s="2" t="s">
        <v>51</v>
      </c>
      <c r="AE29" s="4">
        <v>6</v>
      </c>
      <c r="AF29" s="4"/>
      <c r="AG29" s="4"/>
      <c r="AH29" s="4">
        <v>9.1</v>
      </c>
      <c r="AI29" s="4">
        <v>8.1999999999999993</v>
      </c>
      <c r="AJ29" s="4"/>
      <c r="AK29" s="4"/>
      <c r="AL29" s="4"/>
      <c r="AM29" s="4"/>
      <c r="AN29" s="4"/>
      <c r="AO29" s="4"/>
      <c r="AP29" s="4"/>
      <c r="AQ29" s="4"/>
      <c r="AR29" s="4"/>
      <c r="AS29" s="2">
        <f>COUNTIFS(Matchs[[#This Row],[6]:[13]],"&lt;=6,5")</f>
        <v>0</v>
      </c>
      <c r="AT29" s="2">
        <v>2</v>
      </c>
      <c r="AU29" s="2">
        <v>1</v>
      </c>
      <c r="AV29" s="2">
        <v>1</v>
      </c>
      <c r="AW29" s="2">
        <f>COUNT(Matchs[[#This Row],[1]:[13]])</f>
        <v>3</v>
      </c>
      <c r="AX29" s="2" t="str">
        <f>Matchs[[#This Row],[Joueur]]</f>
        <v>M.Yattara</v>
      </c>
      <c r="AY29" s="4">
        <f>AVERAGE(Matchs[[#This Row],[1]:[13]])</f>
        <v>7.7666666666666657</v>
      </c>
    </row>
    <row r="30" spans="1:51" x14ac:dyDescent="0.25">
      <c r="A30" s="2">
        <v>29</v>
      </c>
      <c r="B30" s="2" t="s">
        <v>32</v>
      </c>
      <c r="C30" s="2">
        <v>25</v>
      </c>
      <c r="D30" s="2">
        <v>4</v>
      </c>
      <c r="E30" s="2">
        <v>2</v>
      </c>
      <c r="F30" s="2">
        <v>0.46</v>
      </c>
      <c r="G30" s="2">
        <v>0</v>
      </c>
      <c r="L30" s="2">
        <f>1+2</f>
        <v>3</v>
      </c>
      <c r="M30" s="4">
        <f>((SUM(F30:K30)/Contrat[[#This Row],[Coefficient]])*Contrat[[#This Row],[Année du contrat]])+0.1</f>
        <v>0.40666666666666673</v>
      </c>
      <c r="N30" s="2">
        <v>1</v>
      </c>
      <c r="O30" s="4">
        <f t="shared" si="1"/>
        <v>0.50666666666666671</v>
      </c>
      <c r="Q30" s="2" t="s">
        <v>8</v>
      </c>
      <c r="R30" s="2" t="s">
        <v>55</v>
      </c>
      <c r="S30" s="2" t="s">
        <v>51</v>
      </c>
      <c r="T30" s="2">
        <v>2</v>
      </c>
      <c r="U30" s="2">
        <v>29</v>
      </c>
      <c r="V30" s="2">
        <v>69</v>
      </c>
      <c r="W30" s="2">
        <f t="shared" si="2"/>
        <v>0</v>
      </c>
      <c r="X30" s="4">
        <f>VLOOKUP(Informations[[#This Row],[Joueur]],Matchs[],23,FALSE)</f>
        <v>7</v>
      </c>
      <c r="Y30" s="2">
        <f t="shared" si="4"/>
        <v>5</v>
      </c>
      <c r="Z30" s="3">
        <v>1300000</v>
      </c>
      <c r="AA30" s="3">
        <v>7300</v>
      </c>
      <c r="AC30" s="2" t="s">
        <v>8</v>
      </c>
      <c r="AD30" s="2" t="s">
        <v>51</v>
      </c>
      <c r="AE30" s="4">
        <v>8.1999999999999993</v>
      </c>
      <c r="AF30" s="4">
        <v>8.6999999999999993</v>
      </c>
      <c r="AG30" s="4">
        <v>6.3</v>
      </c>
      <c r="AH30" s="4">
        <v>6.2</v>
      </c>
      <c r="AI30" s="4">
        <v>5.6</v>
      </c>
      <c r="AJ30" s="4"/>
      <c r="AK30" s="4"/>
      <c r="AL30" s="4"/>
      <c r="AM30" s="4"/>
      <c r="AN30" s="4"/>
      <c r="AO30" s="4"/>
      <c r="AP30" s="4"/>
      <c r="AQ30" s="4"/>
      <c r="AR30" s="4"/>
      <c r="AS30" s="2">
        <f>COUNTIFS(Matchs[[#This Row],[6]:[13]],"&lt;=6,5")</f>
        <v>0</v>
      </c>
      <c r="AT30" s="2">
        <v>1</v>
      </c>
      <c r="AU30" s="2">
        <v>2</v>
      </c>
      <c r="AV30" s="2">
        <v>1</v>
      </c>
      <c r="AW30" s="2">
        <f>COUNT(Matchs[[#This Row],[1]:[13]])</f>
        <v>5</v>
      </c>
      <c r="AX30" s="2" t="str">
        <f>Matchs[[#This Row],[Joueur]]</f>
        <v>J.Marquis</v>
      </c>
      <c r="AY30" s="4">
        <f>AVERAGE(Matchs[[#This Row],[1]:[13]])</f>
        <v>7</v>
      </c>
    </row>
    <row r="31" spans="1:51" x14ac:dyDescent="0.25">
      <c r="A31" s="2">
        <v>30</v>
      </c>
      <c r="B31" s="2" t="s">
        <v>33</v>
      </c>
      <c r="C31" s="2">
        <v>23</v>
      </c>
      <c r="D31" s="2">
        <v>5</v>
      </c>
      <c r="E31" s="2">
        <v>2</v>
      </c>
      <c r="F31" s="2">
        <v>0.4</v>
      </c>
      <c r="G31" s="2">
        <v>0</v>
      </c>
      <c r="L31" s="2">
        <f>1+2</f>
        <v>3</v>
      </c>
      <c r="M31" s="4">
        <f>((SUM(F31:K31)/Contrat[[#This Row],[Coefficient]])*Contrat[[#This Row],[Année du contrat]])+0.1</f>
        <v>0.3666666666666667</v>
      </c>
      <c r="N31" s="2">
        <v>0</v>
      </c>
      <c r="O31" s="4">
        <f t="shared" si="1"/>
        <v>0.3666666666666667</v>
      </c>
      <c r="P31" s="4"/>
      <c r="Q31" s="2" t="s">
        <v>31</v>
      </c>
      <c r="R31" s="2" t="s">
        <v>55</v>
      </c>
      <c r="S31" s="2" t="s">
        <v>51</v>
      </c>
      <c r="T31" s="2">
        <v>2</v>
      </c>
      <c r="U31" s="2">
        <v>16</v>
      </c>
      <c r="V31" s="2">
        <v>64</v>
      </c>
      <c r="W31" s="2">
        <f t="shared" si="2"/>
        <v>0</v>
      </c>
      <c r="X31" s="4">
        <f>VLOOKUP(Informations[[#This Row],[Joueur]],Matchs[],23,FALSE)</f>
        <v>5.9</v>
      </c>
      <c r="Y31" s="2">
        <f t="shared" si="4"/>
        <v>1</v>
      </c>
      <c r="Z31" s="3">
        <v>900000</v>
      </c>
      <c r="AA31" s="3">
        <v>3800</v>
      </c>
      <c r="AC31" s="2" t="s">
        <v>31</v>
      </c>
      <c r="AD31" s="2" t="s">
        <v>51</v>
      </c>
      <c r="AE31" s="4"/>
      <c r="AF31" s="4"/>
      <c r="AG31" s="4">
        <v>5.9</v>
      </c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2">
        <f>COUNTIFS(Matchs[[#This Row],[6]:[13]],"&lt;=6,5")</f>
        <v>0</v>
      </c>
      <c r="AW31" s="2">
        <f>COUNT(Matchs[[#This Row],[1]:[13]])</f>
        <v>1</v>
      </c>
      <c r="AX31" s="2" t="str">
        <f>Matchs[[#This Row],[Joueur]]</f>
        <v>G.Bell</v>
      </c>
      <c r="AY31" s="4">
        <f>AVERAGE(Matchs[[#This Row],[1]:[13]])</f>
        <v>5.9</v>
      </c>
    </row>
    <row r="32" spans="1:51" x14ac:dyDescent="0.25">
      <c r="A32" s="2">
        <v>31</v>
      </c>
      <c r="B32" s="2" t="s">
        <v>87</v>
      </c>
      <c r="C32" s="2">
        <v>19</v>
      </c>
      <c r="D32" s="2">
        <v>5</v>
      </c>
      <c r="E32" s="2">
        <v>1</v>
      </c>
      <c r="F32" s="2">
        <v>0</v>
      </c>
      <c r="L32" s="2">
        <v>1</v>
      </c>
      <c r="M32" s="4">
        <f>((SUM(F32:K32)/Contrat[[#This Row],[Coefficient]])*Contrat[[#This Row],[Année du contrat]])+0.1</f>
        <v>0.1</v>
      </c>
      <c r="N32" s="2">
        <v>0</v>
      </c>
      <c r="O32" s="4">
        <f t="shared" si="1"/>
        <v>0.1</v>
      </c>
      <c r="Q32" s="2" t="s">
        <v>6</v>
      </c>
      <c r="R32" s="2" t="s">
        <v>55</v>
      </c>
      <c r="S32" s="2" t="s">
        <v>51</v>
      </c>
      <c r="T32" s="2">
        <v>2</v>
      </c>
      <c r="U32" s="2">
        <v>27</v>
      </c>
      <c r="V32" s="2">
        <v>67</v>
      </c>
      <c r="W32" s="2">
        <f t="shared" si="2"/>
        <v>0</v>
      </c>
      <c r="X32" s="4">
        <f>VLOOKUP(Informations[[#This Row],[Joueur]],Matchs[],23,FALSE)</f>
        <v>0</v>
      </c>
      <c r="Y32" s="2">
        <f t="shared" si="4"/>
        <v>0</v>
      </c>
      <c r="Z32" s="3">
        <v>900000</v>
      </c>
      <c r="AA32" s="3">
        <v>1100</v>
      </c>
      <c r="AC32" s="2" t="s">
        <v>6</v>
      </c>
      <c r="AD32" s="2" t="s">
        <v>51</v>
      </c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2">
        <f>COUNTIFS(Matchs[[#This Row],[6]:[13]],"&lt;=6,5")</f>
        <v>0</v>
      </c>
      <c r="AW32" s="2">
        <v>0</v>
      </c>
      <c r="AX32" s="2" t="str">
        <f>Matchs[[#This Row],[Joueur]]</f>
        <v>E.Harrison</v>
      </c>
      <c r="AY32" s="4">
        <v>0</v>
      </c>
    </row>
    <row r="33" spans="1:39" x14ac:dyDescent="0.25">
      <c r="C33" s="5">
        <f>SUBTOTAL(101,Contrat[Age])</f>
        <v>23.93548387096774</v>
      </c>
      <c r="D33" s="4">
        <f>SUBTOTAL(101,Contrat[Contrat Restant])</f>
        <v>2.193548387096774</v>
      </c>
      <c r="K33" s="4"/>
      <c r="M33" s="4">
        <f>SUBTOTAL(101,Contrat[Augmentation])</f>
        <v>0.26150537634408594</v>
      </c>
      <c r="O33" s="4"/>
      <c r="R33" s="3"/>
      <c r="S33" s="3"/>
      <c r="T33" s="3"/>
      <c r="U33" s="4">
        <f>SUBTOTAL(101,Informations[Age])</f>
        <v>23.93548387096774</v>
      </c>
      <c r="V33" s="4">
        <f>SUBTOTAL(101,Informations[Note Globale])</f>
        <v>68.838709677419359</v>
      </c>
      <c r="W33" s="3"/>
      <c r="X33" s="3"/>
      <c r="Y33" s="3"/>
      <c r="Z33" s="3">
        <f>SUBTOTAL(109,Informations[Valeur])</f>
        <v>67875000</v>
      </c>
      <c r="AA33" s="3">
        <f>AVERAGE(Informations[Salaire])</f>
        <v>5975.5483870967746</v>
      </c>
    </row>
    <row r="34" spans="1:39" x14ac:dyDescent="0.25">
      <c r="K34" s="4"/>
      <c r="M34" s="4"/>
      <c r="O34" s="4"/>
    </row>
    <row r="35" spans="1:39" x14ac:dyDescent="0.25">
      <c r="A35" s="4"/>
      <c r="C35" s="4"/>
      <c r="K35" s="4"/>
      <c r="L35" s="4"/>
    </row>
    <row r="36" spans="1:39" x14ac:dyDescent="0.25">
      <c r="A36" s="2" t="s">
        <v>35</v>
      </c>
      <c r="B36" s="2" t="s">
        <v>90</v>
      </c>
      <c r="C36" s="2" t="s">
        <v>37</v>
      </c>
      <c r="D36" s="2" t="s">
        <v>38</v>
      </c>
      <c r="E36" s="2" t="s">
        <v>39</v>
      </c>
      <c r="F36" s="2" t="s">
        <v>40</v>
      </c>
      <c r="G36" s="2" t="s">
        <v>41</v>
      </c>
      <c r="R36" s="3">
        <v>3464600</v>
      </c>
      <c r="S36" s="3">
        <f>(R36)*1</f>
        <v>3464600</v>
      </c>
      <c r="T36" s="3">
        <f>S36*1.5</f>
        <v>5196900</v>
      </c>
      <c r="U36" s="3">
        <f>X39</f>
        <v>11951.096774193549</v>
      </c>
      <c r="V36" s="3">
        <f>U36*1</f>
        <v>11951.096774193549</v>
      </c>
      <c r="W36" s="3">
        <f>V36*1.5</f>
        <v>17926.645161290326</v>
      </c>
      <c r="X36" s="3"/>
      <c r="Y36" s="3"/>
      <c r="Z36" s="3"/>
    </row>
    <row r="37" spans="1:39" x14ac:dyDescent="0.25">
      <c r="A37" s="2" t="s">
        <v>42</v>
      </c>
      <c r="B37" s="2">
        <f>COUNTIFS(Informations[Poste],A37)</f>
        <v>4</v>
      </c>
      <c r="C37" s="2" cm="1">
        <f t="array" ref="C37">LARGE(IF(Informations[Poste]=$A37,Informations[Note Globale]),1)</f>
        <v>71</v>
      </c>
      <c r="D37" s="2" cm="1">
        <f t="array" ref="D37">LARGE(IF(Informations[Poste]=$A37,Informations[Note Globale]),2)</f>
        <v>70</v>
      </c>
      <c r="E37" s="2">
        <f t="shared" ref="E37:E46" si="6">D37-3</f>
        <v>67</v>
      </c>
      <c r="F37" s="2">
        <f t="shared" ref="F37:F46" si="7">IF(C37-2&gt;D37,C37-2,D37)</f>
        <v>70</v>
      </c>
      <c r="G37" s="2">
        <f t="shared" ref="G37:G46" si="8">C37+2</f>
        <v>73</v>
      </c>
      <c r="R37" s="3"/>
      <c r="S37" s="3"/>
      <c r="T37" s="3"/>
      <c r="U37" s="3"/>
      <c r="V37" s="3"/>
      <c r="X37" s="3">
        <f>SUM(Informations[Salaire])</f>
        <v>185242</v>
      </c>
      <c r="Y37" s="3"/>
      <c r="Z37" s="3">
        <v>3000000</v>
      </c>
      <c r="AA37" s="3"/>
    </row>
    <row r="38" spans="1:39" x14ac:dyDescent="0.25">
      <c r="A38" s="2" t="s">
        <v>43</v>
      </c>
      <c r="B38" s="2">
        <f>COUNTIFS(Informations[Poste],A38)</f>
        <v>3</v>
      </c>
      <c r="C38" s="2" cm="1">
        <f t="array" ref="C38">LARGE(IF(Informations[Poste]=$A38,Informations[Note Globale]),1)</f>
        <v>70</v>
      </c>
      <c r="D38" s="2" cm="1">
        <f t="array" ref="D38">LARGE(IF(Informations[Poste]=$A38,Informations[Note Globale]),2)</f>
        <v>67</v>
      </c>
      <c r="E38" s="2">
        <f t="shared" si="6"/>
        <v>64</v>
      </c>
      <c r="F38" s="2">
        <f t="shared" si="7"/>
        <v>68</v>
      </c>
      <c r="G38" s="2">
        <f t="shared" si="8"/>
        <v>72</v>
      </c>
      <c r="R38" s="3">
        <v>3300000</v>
      </c>
      <c r="T38" s="3"/>
      <c r="U38" s="3"/>
      <c r="V38" s="3"/>
      <c r="X38" s="2">
        <f>COUNT(Informations[Salaire])</f>
        <v>31</v>
      </c>
      <c r="Y38" s="3"/>
      <c r="Z38" s="3">
        <f>Z37*1.9</f>
        <v>5700000</v>
      </c>
      <c r="AA38" s="3"/>
    </row>
    <row r="39" spans="1:39" x14ac:dyDescent="0.25">
      <c r="A39" s="2" t="s">
        <v>44</v>
      </c>
      <c r="B39" s="2">
        <f>COUNTIFS(Informations[Poste],A39)</f>
        <v>4</v>
      </c>
      <c r="C39" s="2" cm="1">
        <f t="array" ref="C39">LARGE(IF(Informations[Poste]=$A39,Informations[Note Globale]),2)</f>
        <v>73</v>
      </c>
      <c r="D39" s="2" cm="1">
        <f t="array" ref="D39">LARGE(IF(Informations[Poste]=$A39,Informations[Note Globale]),4)</f>
        <v>69</v>
      </c>
      <c r="E39" s="2">
        <f t="shared" si="6"/>
        <v>66</v>
      </c>
      <c r="F39" s="2">
        <f t="shared" si="7"/>
        <v>71</v>
      </c>
      <c r="G39" s="2">
        <f t="shared" si="8"/>
        <v>75</v>
      </c>
      <c r="R39" s="3">
        <v>4250000</v>
      </c>
      <c r="T39" s="3"/>
      <c r="U39" s="3"/>
      <c r="V39" s="3"/>
      <c r="X39" s="3">
        <f>AVERAGE(Informations[Salaire])*2</f>
        <v>11951.096774193549</v>
      </c>
      <c r="Y39" s="3"/>
      <c r="Z39" s="3"/>
      <c r="AA39" s="3"/>
    </row>
    <row r="40" spans="1:39" x14ac:dyDescent="0.25">
      <c r="A40" s="2" t="s">
        <v>45</v>
      </c>
      <c r="B40" s="2">
        <f>COUNTIFS(Informations[Poste],A40)</f>
        <v>2</v>
      </c>
      <c r="C40" s="2" cm="1">
        <f t="array" ref="C40">LARGE(IF(Informations[Poste]=$A40,Informations[Note Globale]),1)</f>
        <v>73</v>
      </c>
      <c r="D40" s="2" cm="1">
        <f t="array" ref="D40">LARGE(IF(Informations[Poste]=$A40,Informations[Note Globale]),2)</f>
        <v>67</v>
      </c>
      <c r="E40" s="2">
        <f t="shared" si="6"/>
        <v>64</v>
      </c>
      <c r="F40" s="2">
        <f t="shared" si="7"/>
        <v>71</v>
      </c>
      <c r="G40" s="2">
        <f t="shared" si="8"/>
        <v>75</v>
      </c>
      <c r="R40" s="3">
        <f>(R39-R38)/4</f>
        <v>237500</v>
      </c>
      <c r="S40" s="6">
        <f>0.25/6</f>
        <v>4.1666666666666664E-2</v>
      </c>
      <c r="U40" s="3"/>
      <c r="V40" s="3"/>
      <c r="X40" s="3">
        <v>13929</v>
      </c>
      <c r="Y40" s="4">
        <v>0.1</v>
      </c>
      <c r="Z40" s="3"/>
      <c r="AA40" s="3"/>
    </row>
    <row r="41" spans="1:39" x14ac:dyDescent="0.25">
      <c r="A41" s="2" t="s">
        <v>46</v>
      </c>
      <c r="B41" s="2">
        <f>COUNTIFS(Informations[Poste],A41)</f>
        <v>4</v>
      </c>
      <c r="C41" s="2" cm="1">
        <f t="array" ref="C41">LARGE(IF(Informations[Poste]=$A41,Informations[Note Globale]),1)</f>
        <v>71</v>
      </c>
      <c r="D41" s="2" cm="1">
        <f t="array" ref="D41">LARGE(IF(Informations[Poste]=$A41,Informations[Note Globale]),2)</f>
        <v>69</v>
      </c>
      <c r="E41" s="2">
        <f t="shared" si="6"/>
        <v>66</v>
      </c>
      <c r="F41" s="2">
        <f t="shared" si="7"/>
        <v>69</v>
      </c>
      <c r="G41" s="2">
        <f t="shared" si="8"/>
        <v>73</v>
      </c>
      <c r="Q41" s="3">
        <f>R38-$R$40</f>
        <v>3062500</v>
      </c>
      <c r="R41" s="3">
        <f t="shared" ref="R41:W41" si="9">Q41+$R$40</f>
        <v>3300000</v>
      </c>
      <c r="S41" s="3">
        <f t="shared" si="9"/>
        <v>3537500</v>
      </c>
      <c r="T41" s="3">
        <f t="shared" si="9"/>
        <v>3775000</v>
      </c>
      <c r="U41" s="3">
        <f t="shared" si="9"/>
        <v>4012500</v>
      </c>
      <c r="V41" s="3">
        <f t="shared" si="9"/>
        <v>4250000</v>
      </c>
      <c r="W41" s="3">
        <f t="shared" si="9"/>
        <v>4487500</v>
      </c>
      <c r="X41" s="3">
        <f>$X$40*(1+$Y$40)</f>
        <v>15321.900000000001</v>
      </c>
      <c r="Y41" s="3">
        <f>$X$40*(1.1+$Y$40)</f>
        <v>16714.800000000003</v>
      </c>
      <c r="Z41" s="3">
        <f>$X$40*(1.2+$Y$40)</f>
        <v>18107.7</v>
      </c>
      <c r="AA41" s="3">
        <f>$X$40*(1.3+$Y$40)</f>
        <v>19500.600000000002</v>
      </c>
    </row>
    <row r="42" spans="1:39" x14ac:dyDescent="0.25">
      <c r="A42" s="2" t="s">
        <v>47</v>
      </c>
      <c r="B42" s="2">
        <f>COUNTIFS(Informations[Poste],A42)</f>
        <v>2</v>
      </c>
      <c r="C42" s="2" cm="1">
        <f t="array" ref="C42">LARGE(IF(Informations[Poste]=$A42,Informations[Note Globale]),1)</f>
        <v>73</v>
      </c>
      <c r="D42" s="2" cm="1">
        <f t="array" ref="D42">LARGE(IF(Informations[Poste]=$A42,Informations[Note Globale]),2)</f>
        <v>66</v>
      </c>
      <c r="E42" s="2">
        <f t="shared" si="6"/>
        <v>63</v>
      </c>
      <c r="F42" s="2">
        <f t="shared" si="7"/>
        <v>71</v>
      </c>
      <c r="G42" s="2">
        <f t="shared" si="8"/>
        <v>75</v>
      </c>
      <c r="Q42" s="7">
        <v>0.25</v>
      </c>
      <c r="R42" s="7">
        <f t="shared" ref="R42:W42" si="10">Q42-$S$40</f>
        <v>0.20833333333333334</v>
      </c>
      <c r="S42" s="7">
        <f t="shared" si="10"/>
        <v>0.16666666666666669</v>
      </c>
      <c r="T42" s="7">
        <f t="shared" si="10"/>
        <v>0.12500000000000003</v>
      </c>
      <c r="U42" s="7">
        <f t="shared" si="10"/>
        <v>8.333333333333337E-2</v>
      </c>
      <c r="V42" s="7">
        <f t="shared" si="10"/>
        <v>4.1666666666666706E-2</v>
      </c>
      <c r="W42" s="7">
        <f t="shared" si="10"/>
        <v>0</v>
      </c>
      <c r="X42" s="2">
        <v>3</v>
      </c>
      <c r="Y42" s="2">
        <f>X42</f>
        <v>3</v>
      </c>
      <c r="Z42" s="2">
        <f t="shared" ref="Z42:AA43" si="11">Y42</f>
        <v>3</v>
      </c>
      <c r="AA42" s="2">
        <f t="shared" si="11"/>
        <v>3</v>
      </c>
    </row>
    <row r="43" spans="1:39" x14ac:dyDescent="0.25">
      <c r="A43" s="2" t="s">
        <v>48</v>
      </c>
      <c r="B43" s="2">
        <f>COUNTIFS(Informations[Poste],A43)</f>
        <v>4</v>
      </c>
      <c r="C43" s="2" cm="1">
        <f t="array" ref="C43">LARGE(IF(Informations[Poste]=$A43,Informations[Note Globale]),2)</f>
        <v>71</v>
      </c>
      <c r="D43" s="2" cm="1">
        <f t="array" ref="D43">LARGE(IF(Informations[Poste]=$A43,Informations[Note Globale]),4)</f>
        <v>65</v>
      </c>
      <c r="E43" s="2">
        <f t="shared" si="6"/>
        <v>62</v>
      </c>
      <c r="F43" s="2">
        <f t="shared" si="7"/>
        <v>69</v>
      </c>
      <c r="G43" s="2">
        <f t="shared" si="8"/>
        <v>73</v>
      </c>
      <c r="R43" s="3">
        <v>2550000</v>
      </c>
      <c r="T43" s="3"/>
      <c r="U43" s="3"/>
      <c r="V43" s="3"/>
      <c r="X43" s="2">
        <f>$X$42*5</f>
        <v>15</v>
      </c>
      <c r="Y43" s="2">
        <f>X43</f>
        <v>15</v>
      </c>
      <c r="Z43" s="2">
        <f t="shared" si="11"/>
        <v>15</v>
      </c>
      <c r="AA43" s="2">
        <f t="shared" si="11"/>
        <v>15</v>
      </c>
    </row>
    <row r="44" spans="1:39" x14ac:dyDescent="0.25">
      <c r="A44" s="2" t="s">
        <v>49</v>
      </c>
      <c r="B44" s="2">
        <f>COUNTIFS(Informations[Poste],A44)</f>
        <v>1</v>
      </c>
      <c r="C44" s="2" cm="1">
        <f t="array" ref="C44">LARGE(IF(Informations[Poste]=$A44,Informations[Note Globale]),1)</f>
        <v>67</v>
      </c>
      <c r="D44" s="2" t="e" cm="1">
        <f t="array" ref="D44">LARGE(IF(Informations[Poste]=$A44,Informations[Note Globale]),2)</f>
        <v>#NUM!</v>
      </c>
      <c r="E44" s="2" t="e">
        <f t="shared" si="6"/>
        <v>#NUM!</v>
      </c>
      <c r="F44" s="2" t="e">
        <f t="shared" si="7"/>
        <v>#NUM!</v>
      </c>
      <c r="G44" s="2">
        <f t="shared" si="8"/>
        <v>69</v>
      </c>
      <c r="R44" s="3">
        <v>3700000</v>
      </c>
      <c r="T44" s="3"/>
      <c r="U44" s="3"/>
      <c r="V44" s="3"/>
      <c r="X44" s="3">
        <f>X41*X43</f>
        <v>229828.50000000003</v>
      </c>
      <c r="Y44" s="3">
        <f>Y41*Y43</f>
        <v>250722.00000000006</v>
      </c>
      <c r="Z44" s="3">
        <f t="shared" ref="Z44:AA44" si="12">Z41*Z43</f>
        <v>271615.5</v>
      </c>
      <c r="AA44" s="3">
        <f t="shared" si="12"/>
        <v>292509.00000000006</v>
      </c>
      <c r="AB44" s="3"/>
    </row>
    <row r="45" spans="1:39" x14ac:dyDescent="0.25">
      <c r="A45" s="2" t="s">
        <v>50</v>
      </c>
      <c r="B45" s="2">
        <f>COUNTIFS(Informations[Poste],A45)</f>
        <v>3</v>
      </c>
      <c r="C45" s="2" cm="1">
        <f t="array" ref="C45">LARGE(IF(Informations[Poste]=$A45,Informations[Note Globale]),1)</f>
        <v>69</v>
      </c>
      <c r="D45" s="2" cm="1">
        <f t="array" ref="D45">LARGE(IF(Informations[Poste]=$A45,Informations[Note Globale]),2)</f>
        <v>69</v>
      </c>
      <c r="E45" s="2">
        <f t="shared" si="6"/>
        <v>66</v>
      </c>
      <c r="F45" s="2">
        <f t="shared" si="7"/>
        <v>69</v>
      </c>
      <c r="G45" s="2">
        <f t="shared" si="8"/>
        <v>71</v>
      </c>
      <c r="R45" s="3">
        <f>(R44-R43)/4</f>
        <v>287500</v>
      </c>
      <c r="S45" s="6">
        <f>0.25/6</f>
        <v>4.1666666666666664E-2</v>
      </c>
      <c r="U45" s="3"/>
      <c r="V45" s="3"/>
      <c r="AB45" s="3"/>
      <c r="AF45" s="3"/>
      <c r="AG45" s="3"/>
      <c r="AH45" s="3"/>
      <c r="AI45" s="3"/>
      <c r="AJ45" s="3"/>
      <c r="AK45" s="3"/>
      <c r="AL45" s="3"/>
      <c r="AM45" s="3"/>
    </row>
    <row r="46" spans="1:39" x14ac:dyDescent="0.25">
      <c r="A46" s="3" t="s">
        <v>51</v>
      </c>
      <c r="B46" s="2">
        <f>COUNTIFS(Informations[Poste],A46)</f>
        <v>4</v>
      </c>
      <c r="C46" s="2" cm="1">
        <f t="array" ref="C46">LARGE(IF(Informations[Poste]=$A46,Informations[Note Globale]),1)</f>
        <v>71</v>
      </c>
      <c r="D46" s="2" cm="1">
        <f t="array" ref="D46">LARGE(IF(Informations[Poste]=$A46,Informations[Note Globale]),2)</f>
        <v>69</v>
      </c>
      <c r="E46" s="2">
        <f t="shared" si="6"/>
        <v>66</v>
      </c>
      <c r="F46" s="2">
        <f t="shared" si="7"/>
        <v>69</v>
      </c>
      <c r="G46" s="2">
        <f t="shared" si="8"/>
        <v>73</v>
      </c>
      <c r="Q46" s="3">
        <f>R43-$R$40</f>
        <v>2312500</v>
      </c>
      <c r="R46" s="3">
        <f t="shared" ref="R46:W46" si="13">Q46+$R$40</f>
        <v>2550000</v>
      </c>
      <c r="S46" s="3">
        <f t="shared" si="13"/>
        <v>2787500</v>
      </c>
      <c r="T46" s="3">
        <f t="shared" si="13"/>
        <v>3025000</v>
      </c>
      <c r="U46" s="3">
        <f t="shared" si="13"/>
        <v>3262500</v>
      </c>
      <c r="V46" s="3">
        <f t="shared" si="13"/>
        <v>3500000</v>
      </c>
      <c r="W46" s="3">
        <f t="shared" si="13"/>
        <v>3737500</v>
      </c>
      <c r="X46" s="3"/>
      <c r="Y46" s="3"/>
      <c r="Z46" s="3"/>
      <c r="AA46" s="3"/>
      <c r="AB46" s="3"/>
      <c r="AC46" s="3"/>
      <c r="AD46" s="5"/>
      <c r="AE46" s="5"/>
      <c r="AF46" s="5"/>
      <c r="AG46" s="5"/>
      <c r="AH46" s="5"/>
      <c r="AI46" s="5"/>
      <c r="AJ46" s="5"/>
      <c r="AK46" s="5"/>
      <c r="AL46" s="5"/>
      <c r="AM46" s="5"/>
    </row>
    <row r="47" spans="1:39" x14ac:dyDescent="0.25">
      <c r="A47" s="3"/>
      <c r="B47" s="3"/>
      <c r="Q47" s="7">
        <v>0.25</v>
      </c>
      <c r="R47" s="7">
        <f t="shared" ref="R47:W47" si="14">Q47-$S$40</f>
        <v>0.20833333333333334</v>
      </c>
      <c r="S47" s="7">
        <f t="shared" si="14"/>
        <v>0.16666666666666669</v>
      </c>
      <c r="T47" s="7">
        <f t="shared" si="14"/>
        <v>0.12500000000000003</v>
      </c>
      <c r="U47" s="7">
        <f t="shared" si="14"/>
        <v>8.333333333333337E-2</v>
      </c>
      <c r="V47" s="7">
        <f t="shared" si="14"/>
        <v>4.1666666666666706E-2</v>
      </c>
      <c r="W47" s="7">
        <f t="shared" si="14"/>
        <v>0</v>
      </c>
      <c r="X47" s="3"/>
      <c r="Y47" s="3"/>
      <c r="Z47" s="3"/>
      <c r="AA47" s="3"/>
      <c r="AB47" s="3"/>
      <c r="AC47" s="3"/>
      <c r="AD47" s="5"/>
      <c r="AE47" s="5"/>
      <c r="AF47" s="5"/>
      <c r="AG47" s="5"/>
      <c r="AH47" s="5"/>
      <c r="AI47" s="5"/>
      <c r="AJ47" s="5"/>
      <c r="AK47" s="5"/>
      <c r="AL47" s="5"/>
      <c r="AM47" s="5"/>
    </row>
    <row r="48" spans="1:39" x14ac:dyDescent="0.25">
      <c r="A48" s="2" t="s">
        <v>42</v>
      </c>
      <c r="B48" s="2">
        <f>AVERAGEIFS(Informations[Note Globale],Informations[Poste],A48)</f>
        <v>68.25</v>
      </c>
      <c r="C48" s="2" t="s">
        <v>52</v>
      </c>
      <c r="D48" s="2">
        <f>AVERAGEIFS(Informations[Note Globale],Informations[Secteur],C48)</f>
        <v>68.25</v>
      </c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</row>
    <row r="49" spans="1:39" x14ac:dyDescent="0.25">
      <c r="A49" s="2" t="s">
        <v>43</v>
      </c>
      <c r="B49" s="2">
        <f>AVERAGEIFS(Informations[Note Globale],Informations[Poste],A49)</f>
        <v>67.666666666666671</v>
      </c>
      <c r="C49" s="3" t="s">
        <v>53</v>
      </c>
      <c r="D49" s="4">
        <f>AVERAGEIFS(Informations[Note Globale],Informations[Secteur],C49)</f>
        <v>69.888888888888886</v>
      </c>
      <c r="T49" s="3"/>
      <c r="U49" s="3"/>
      <c r="V49" s="3"/>
      <c r="W49" s="3"/>
      <c r="X49" s="3"/>
      <c r="Y49" s="3"/>
      <c r="Z49" s="3"/>
      <c r="AA49" s="3"/>
      <c r="AB49" s="3"/>
      <c r="AC49" s="3"/>
      <c r="AD49" s="4"/>
      <c r="AE49" s="4"/>
      <c r="AF49" s="4"/>
      <c r="AG49" s="4"/>
      <c r="AH49" s="4"/>
      <c r="AI49" s="4"/>
      <c r="AJ49" s="4"/>
      <c r="AK49" s="4"/>
      <c r="AL49" s="4"/>
      <c r="AM49" s="4"/>
    </row>
    <row r="50" spans="1:39" x14ac:dyDescent="0.25">
      <c r="A50" s="2" t="s">
        <v>44</v>
      </c>
      <c r="B50" s="2">
        <f>AVERAGEIFS(Informations[Note Globale],Informations[Poste],A50)</f>
        <v>71.5</v>
      </c>
      <c r="C50" s="3" t="s">
        <v>54</v>
      </c>
      <c r="D50" s="4">
        <f>AVERAGEIFS(Informations[Note Globale],Informations[Secteur],C50)</f>
        <v>68.642857142857139</v>
      </c>
      <c r="E50" s="3"/>
      <c r="F50" s="3"/>
      <c r="G50" s="3"/>
      <c r="T50" s="3"/>
      <c r="U50" s="3"/>
      <c r="V50" s="3"/>
      <c r="W50" s="3"/>
      <c r="X50" s="3"/>
      <c r="Y50" s="3"/>
      <c r="Z50" s="3"/>
      <c r="AA50" s="3"/>
      <c r="AB50" s="3"/>
      <c r="AC50" s="3"/>
    </row>
    <row r="51" spans="1:39" x14ac:dyDescent="0.25">
      <c r="A51" s="2" t="s">
        <v>45</v>
      </c>
      <c r="B51" s="2">
        <f>AVERAGEIFS(Informations[Note Globale],Informations[Poste],A51)</f>
        <v>70</v>
      </c>
      <c r="C51" s="3" t="s">
        <v>55</v>
      </c>
      <c r="D51" s="2">
        <f>AVERAGEIFS(Informations[Note Globale],Informations[Secteur],C51)</f>
        <v>67.75</v>
      </c>
      <c r="G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 spans="1:39" x14ac:dyDescent="0.25">
      <c r="A52" s="2" t="s">
        <v>46</v>
      </c>
      <c r="B52" s="2">
        <f>AVERAGEIFS(Informations[Note Globale],Informations[Poste],A52)</f>
        <v>68</v>
      </c>
      <c r="G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 spans="1:39" x14ac:dyDescent="0.25">
      <c r="A53" s="2" t="s">
        <v>47</v>
      </c>
      <c r="B53" s="2">
        <f>AVERAGEIFS(Informations[Note Globale],Informations[Poste],A53)</f>
        <v>69.5</v>
      </c>
      <c r="G53" s="3"/>
      <c r="T53" s="3"/>
      <c r="U53" s="3"/>
      <c r="V53" s="3"/>
      <c r="W53" s="3"/>
      <c r="X53" s="3"/>
      <c r="Y53" s="3"/>
      <c r="Z53" s="3"/>
      <c r="AA53" s="3"/>
      <c r="AB53" s="3"/>
      <c r="AC53" s="3"/>
    </row>
    <row r="54" spans="1:39" x14ac:dyDescent="0.25">
      <c r="A54" s="2" t="s">
        <v>48</v>
      </c>
      <c r="B54" s="2">
        <f>AVERAGEIFS(Informations[Note Globale],Informations[Poste],A54)</f>
        <v>69.25</v>
      </c>
      <c r="C54" s="3"/>
      <c r="D54" s="3"/>
      <c r="E54" s="3"/>
      <c r="F54" s="3"/>
      <c r="G54" s="3"/>
      <c r="T54" s="3"/>
      <c r="U54" s="3"/>
      <c r="V54" s="3"/>
      <c r="W54" s="3"/>
      <c r="X54" s="3"/>
      <c r="Y54" s="3"/>
      <c r="Z54" s="3"/>
      <c r="AA54" s="3"/>
      <c r="AB54" s="3"/>
      <c r="AC54" s="3"/>
    </row>
    <row r="55" spans="1:39" x14ac:dyDescent="0.25">
      <c r="A55" s="2" t="s">
        <v>49</v>
      </c>
      <c r="B55" s="2">
        <f>AVERAGEIFS(Informations[Note Globale],Informations[Poste],A55)</f>
        <v>67</v>
      </c>
      <c r="C55" s="3"/>
      <c r="D55" s="3"/>
      <c r="E55" s="3"/>
      <c r="F55" s="3"/>
      <c r="G55" s="3"/>
      <c r="T55" s="3"/>
      <c r="U55" s="3"/>
      <c r="V55" s="3"/>
      <c r="W55" s="3"/>
      <c r="X55" s="3"/>
      <c r="Y55" s="3"/>
      <c r="Z55" s="3"/>
      <c r="AA55" s="3"/>
      <c r="AB55" s="3"/>
      <c r="AC55" s="3"/>
    </row>
    <row r="56" spans="1:39" x14ac:dyDescent="0.25">
      <c r="A56" s="2" t="s">
        <v>50</v>
      </c>
      <c r="B56" s="2">
        <f>AVERAGEIFS(Informations[Note Globale],Informations[Poste],A56)</f>
        <v>68.666666666666671</v>
      </c>
      <c r="C56" s="3"/>
      <c r="D56" s="3"/>
      <c r="E56" s="3"/>
      <c r="F56" s="3"/>
      <c r="G56" s="3"/>
      <c r="T56" s="3"/>
      <c r="U56" s="3"/>
      <c r="V56" s="3"/>
      <c r="W56" s="3"/>
      <c r="X56" s="3"/>
      <c r="Y56" s="3"/>
      <c r="Z56" s="3"/>
      <c r="AA56" s="3"/>
      <c r="AB56" s="3"/>
      <c r="AC56" s="3"/>
    </row>
    <row r="57" spans="1:39" x14ac:dyDescent="0.25">
      <c r="A57" s="3" t="s">
        <v>51</v>
      </c>
      <c r="B57" s="2">
        <f>AVERAGEIFS(Informations[Note Globale],Informations[Poste],A57)</f>
        <v>67.75</v>
      </c>
      <c r="C57" s="3"/>
      <c r="D57" s="3"/>
      <c r="E57" s="3"/>
      <c r="F57" s="3"/>
      <c r="G57" s="3"/>
      <c r="P57" s="3"/>
      <c r="T57" s="3"/>
      <c r="U57" s="3"/>
      <c r="V57" s="3"/>
      <c r="W57" s="3"/>
      <c r="X57" s="3"/>
      <c r="Y57" s="3"/>
      <c r="Z57" s="3"/>
      <c r="AA57" s="3"/>
      <c r="AB57" s="3"/>
      <c r="AC57" s="3"/>
    </row>
    <row r="58" spans="1:39" x14ac:dyDescent="0.25">
      <c r="O58" s="3"/>
      <c r="P58" s="3"/>
      <c r="T58" s="3"/>
      <c r="U58" s="3"/>
      <c r="V58" s="3"/>
      <c r="W58" s="3"/>
      <c r="X58" s="3"/>
      <c r="Y58" s="3"/>
      <c r="Z58" s="3"/>
      <c r="AA58" s="3"/>
      <c r="AB58" s="3"/>
      <c r="AC58" s="3"/>
    </row>
    <row r="59" spans="1:39" x14ac:dyDescent="0.25"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</row>
    <row r="60" spans="1:39" x14ac:dyDescent="0.25"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</row>
    <row r="61" spans="1:39" x14ac:dyDescent="0.25"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</row>
    <row r="62" spans="1:39" x14ac:dyDescent="0.25"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</row>
    <row r="63" spans="1:39" x14ac:dyDescent="0.25"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C63" s="3"/>
    </row>
    <row r="64" spans="1:39" x14ac:dyDescent="0.25"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C64" s="3"/>
    </row>
    <row r="65" spans="11:25" x14ac:dyDescent="0.25"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</row>
    <row r="66" spans="11:25" x14ac:dyDescent="0.25"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</row>
    <row r="67" spans="11:25" x14ac:dyDescent="0.25">
      <c r="K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</row>
    <row r="68" spans="11:25" x14ac:dyDescent="0.25">
      <c r="O68" s="3"/>
      <c r="Q68" s="3"/>
      <c r="R68" s="3"/>
      <c r="S68" s="3"/>
      <c r="T68" s="3"/>
      <c r="U68" s="3"/>
      <c r="V68" s="3"/>
      <c r="W68" s="3"/>
      <c r="X68" s="3"/>
      <c r="Y68" s="3"/>
    </row>
    <row r="69" spans="11:25" x14ac:dyDescent="0.25">
      <c r="O69" s="3"/>
      <c r="Q69" s="3"/>
      <c r="R69" s="3"/>
      <c r="S69" s="3"/>
      <c r="T69" s="3"/>
      <c r="U69" s="3"/>
      <c r="V69" s="3"/>
      <c r="W69" s="3"/>
      <c r="X69" s="3"/>
      <c r="Y69" s="3"/>
    </row>
    <row r="70" spans="11:25" x14ac:dyDescent="0.25">
      <c r="Q70" s="3"/>
      <c r="R70" s="3"/>
      <c r="S70" s="3"/>
      <c r="T70" s="3"/>
      <c r="U70" s="3"/>
    </row>
  </sheetData>
  <conditionalFormatting sqref="D48:D51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8:B57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49:C51 O58:O64 C54:C57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37:C46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7:D4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2:AE32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F2:AF32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G2:AG32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2:AY32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H2:AH32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I2:AQ32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Moine</dc:creator>
  <cp:lastModifiedBy>Nicolas Moine</cp:lastModifiedBy>
  <dcterms:created xsi:type="dcterms:W3CDTF">2020-05-14T11:57:09Z</dcterms:created>
  <dcterms:modified xsi:type="dcterms:W3CDTF">2020-05-15T09:10:38Z</dcterms:modified>
</cp:coreProperties>
</file>