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OneDrive\Documents\"/>
    </mc:Choice>
  </mc:AlternateContent>
  <xr:revisionPtr revIDLastSave="0" documentId="8_{7EDB6E94-BE37-4E03-A710-7B67E5B79B1E}" xr6:coauthVersionLast="45" xr6:coauthVersionMax="45" xr10:uidLastSave="{00000000-0000-0000-0000-000000000000}"/>
  <bookViews>
    <workbookView xWindow="-120" yWindow="-120" windowWidth="29040" windowHeight="16440" xr2:uid="{D177B843-3918-49B2-B5B2-6EC96DD605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7" i="1" l="1"/>
  <c r="G56" i="1"/>
  <c r="G55" i="1"/>
  <c r="G54" i="1"/>
  <c r="G53" i="1"/>
  <c r="G52" i="1"/>
  <c r="G51" i="1"/>
  <c r="J50" i="1"/>
  <c r="I50" i="1" a="1"/>
  <c r="I52" i="1" s="1"/>
  <c r="G50" i="1"/>
  <c r="J49" i="1"/>
  <c r="I49" i="1" a="1"/>
  <c r="I49" i="1" s="1"/>
  <c r="G49" i="1"/>
  <c r="J48" i="1"/>
  <c r="I48" i="1" a="1"/>
  <c r="I48" i="1" s="1"/>
  <c r="G48" i="1"/>
  <c r="G47" i="1"/>
  <c r="I47" i="1" s="1"/>
  <c r="H45" i="1" a="1"/>
  <c r="H45" i="1" s="1"/>
  <c r="I45" i="1" s="1"/>
  <c r="G45" i="1" a="1"/>
  <c r="G45" i="1" s="1"/>
  <c r="H44" i="1" a="1"/>
  <c r="H44" i="1" s="1"/>
  <c r="I44" i="1" s="1"/>
  <c r="G44" i="1"/>
  <c r="K44" i="1" s="1"/>
  <c r="G44" i="1" a="1"/>
  <c r="H43" i="1" a="1"/>
  <c r="H43" i="1" s="1"/>
  <c r="I43" i="1" s="1"/>
  <c r="G43" i="1" a="1"/>
  <c r="G43" i="1" s="1"/>
  <c r="H42" i="1" a="1"/>
  <c r="H42" i="1" s="1"/>
  <c r="I42" i="1" s="1"/>
  <c r="G42" i="1" a="1"/>
  <c r="G42" i="1" s="1"/>
  <c r="H41" i="1" a="1"/>
  <c r="H41" i="1" s="1"/>
  <c r="I41" i="1" s="1"/>
  <c r="G41" i="1" a="1"/>
  <c r="G41" i="1" s="1"/>
  <c r="H40" i="1"/>
  <c r="I40" i="1" s="1"/>
  <c r="H40" i="1" a="1"/>
  <c r="G40" i="1" a="1"/>
  <c r="G40" i="1" s="1"/>
  <c r="H39" i="1" a="1"/>
  <c r="H39" i="1" s="1"/>
  <c r="I39" i="1" s="1"/>
  <c r="G39" i="1" a="1"/>
  <c r="G39" i="1" s="1"/>
  <c r="H38" i="1"/>
  <c r="I38" i="1" s="1"/>
  <c r="H38" i="1" a="1"/>
  <c r="G38" i="1"/>
  <c r="K38" i="1" s="1"/>
  <c r="G38" i="1" a="1"/>
  <c r="H37" i="1" a="1"/>
  <c r="H37" i="1" s="1"/>
  <c r="I37" i="1" s="1"/>
  <c r="G37" i="1" a="1"/>
  <c r="G37" i="1" s="1"/>
  <c r="H36" i="1" a="1"/>
  <c r="H36" i="1" s="1"/>
  <c r="I36" i="1" s="1"/>
  <c r="G36" i="1"/>
  <c r="K36" i="1" s="1"/>
  <c r="G36" i="1" a="1"/>
  <c r="H35" i="1" a="1"/>
  <c r="H35" i="1" s="1"/>
  <c r="I35" i="1" s="1"/>
  <c r="G35" i="1" a="1"/>
  <c r="G35" i="1" s="1"/>
  <c r="D33" i="1"/>
  <c r="C33" i="1"/>
  <c r="K32" i="1"/>
  <c r="M32" i="1" s="1"/>
  <c r="K31" i="1"/>
  <c r="M31" i="1" s="1"/>
  <c r="K30" i="1"/>
  <c r="M30" i="1" s="1"/>
  <c r="K29" i="1"/>
  <c r="M29" i="1" s="1"/>
  <c r="K28" i="1"/>
  <c r="M28" i="1" s="1"/>
  <c r="K27" i="1"/>
  <c r="M27" i="1" s="1"/>
  <c r="K26" i="1"/>
  <c r="M26" i="1" s="1"/>
  <c r="K25" i="1"/>
  <c r="M25" i="1" s="1"/>
  <c r="K24" i="1"/>
  <c r="M24" i="1" s="1"/>
  <c r="K23" i="1"/>
  <c r="M23" i="1" s="1"/>
  <c r="K22" i="1"/>
  <c r="M22" i="1" s="1"/>
  <c r="K21" i="1"/>
  <c r="M21" i="1" s="1"/>
  <c r="K20" i="1"/>
  <c r="M20" i="1" s="1"/>
  <c r="K19" i="1"/>
  <c r="M19" i="1" s="1"/>
  <c r="K18" i="1"/>
  <c r="M18" i="1" s="1"/>
  <c r="K17" i="1"/>
  <c r="M17" i="1" s="1"/>
  <c r="K16" i="1"/>
  <c r="M16" i="1" s="1"/>
  <c r="K15" i="1"/>
  <c r="M15" i="1" s="1"/>
  <c r="K14" i="1"/>
  <c r="M14" i="1" s="1"/>
  <c r="K13" i="1"/>
  <c r="M13" i="1" s="1"/>
  <c r="K12" i="1"/>
  <c r="M12" i="1" s="1"/>
  <c r="K11" i="1"/>
  <c r="M11" i="1" s="1"/>
  <c r="K10" i="1"/>
  <c r="M10" i="1" s="1"/>
  <c r="K9" i="1"/>
  <c r="M9" i="1" s="1"/>
  <c r="V8" i="1"/>
  <c r="W8" i="1" s="1"/>
  <c r="X8" i="1" s="1"/>
  <c r="Y8" i="1" s="1"/>
  <c r="R8" i="1"/>
  <c r="S8" i="1" s="1"/>
  <c r="T8" i="1" s="1"/>
  <c r="U8" i="1" s="1"/>
  <c r="P8" i="1"/>
  <c r="M8" i="1"/>
  <c r="K8" i="1"/>
  <c r="W7" i="1"/>
  <c r="X7" i="1" s="1"/>
  <c r="Y7" i="1" s="1"/>
  <c r="K7" i="1"/>
  <c r="M7" i="1" s="1"/>
  <c r="Y6" i="1"/>
  <c r="X6" i="1"/>
  <c r="W6" i="1"/>
  <c r="V6" i="1"/>
  <c r="V9" i="1" s="1"/>
  <c r="R6" i="1"/>
  <c r="P6" i="1"/>
  <c r="O7" i="1" s="1"/>
  <c r="P7" i="1" s="1"/>
  <c r="R7" i="1" s="1"/>
  <c r="S7" i="1" s="1"/>
  <c r="T7" i="1" s="1"/>
  <c r="U7" i="1" s="1"/>
  <c r="K6" i="1"/>
  <c r="M6" i="1" s="1"/>
  <c r="K5" i="1"/>
  <c r="M5" i="1" s="1"/>
  <c r="V4" i="1"/>
  <c r="M4" i="1"/>
  <c r="K4" i="1"/>
  <c r="X3" i="1"/>
  <c r="K3" i="1"/>
  <c r="M3" i="1" s="1"/>
  <c r="T1" i="1"/>
  <c r="U1" i="1" s="1"/>
  <c r="S1" i="1"/>
  <c r="R1" i="1"/>
  <c r="P1" i="1"/>
  <c r="W9" i="1" l="1"/>
  <c r="K43" i="1"/>
  <c r="J43" i="1"/>
  <c r="Y9" i="1"/>
  <c r="K35" i="1"/>
  <c r="J35" i="1"/>
  <c r="J41" i="1"/>
  <c r="K41" i="1"/>
  <c r="J45" i="1"/>
  <c r="K45" i="1"/>
  <c r="X9" i="1"/>
  <c r="J37" i="1"/>
  <c r="K37" i="1"/>
  <c r="M33" i="1"/>
  <c r="K42" i="1"/>
  <c r="J42" i="1"/>
  <c r="K40" i="1"/>
  <c r="J40" i="1"/>
  <c r="J39" i="1"/>
  <c r="K39" i="1"/>
  <c r="J44" i="1"/>
  <c r="J36" i="1"/>
  <c r="K33" i="1"/>
  <c r="I50" i="1"/>
  <c r="J38" i="1"/>
  <c r="I5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<sst xmlns="http://schemas.openxmlformats.org/spreadsheetml/2006/main" count="140" uniqueCount="67">
  <si>
    <t>Classement</t>
  </si>
  <si>
    <t>Joueurs</t>
  </si>
  <si>
    <t>Age</t>
  </si>
  <si>
    <t>Contrat Restant</t>
  </si>
  <si>
    <t>Evolution par année de contrat</t>
  </si>
  <si>
    <t>Colonne1</t>
  </si>
  <si>
    <t>Colonne2</t>
  </si>
  <si>
    <t>Colonne3</t>
  </si>
  <si>
    <t>Colonne4</t>
  </si>
  <si>
    <t>Colonne5</t>
  </si>
  <si>
    <t>Pourcentage d'augmentation</t>
  </si>
  <si>
    <t>Négociations</t>
  </si>
  <si>
    <t>Pourcentage d'augmentation après Négociation</t>
  </si>
  <si>
    <t>O.Hawkins</t>
  </si>
  <si>
    <t>L.McGee</t>
  </si>
  <si>
    <t>E.Harrison</t>
  </si>
  <si>
    <t>C.MacGillivray</t>
  </si>
  <si>
    <t>J.Marquis</t>
  </si>
  <si>
    <t>L.Brown</t>
  </si>
  <si>
    <t>J.Henry</t>
  </si>
  <si>
    <t>J.Worrall</t>
  </si>
  <si>
    <t>P.Downing</t>
  </si>
  <si>
    <t>M.Romeo</t>
  </si>
  <si>
    <t xml:space="preserve"> </t>
  </si>
  <si>
    <t>D.Bejarano</t>
  </si>
  <si>
    <t>M.Kieftenbeld</t>
  </si>
  <si>
    <t>C.Davies</t>
  </si>
  <si>
    <t>R.Williams</t>
  </si>
  <si>
    <t>C.Watson</t>
  </si>
  <si>
    <t>B.Morris</t>
  </si>
  <si>
    <t>A.Cannon</t>
  </si>
  <si>
    <t>T.Naylor</t>
  </si>
  <si>
    <t>S.Kingsley</t>
  </si>
  <si>
    <t>M.Watson</t>
  </si>
  <si>
    <t>M.Morgan</t>
  </si>
  <si>
    <t>I.King</t>
  </si>
  <si>
    <t>B.Close</t>
  </si>
  <si>
    <t>J.Whatmough</t>
  </si>
  <si>
    <t>M.Harness</t>
  </si>
  <si>
    <t>J.Martin</t>
  </si>
  <si>
    <t>B.Williams</t>
  </si>
  <si>
    <t>G.Bell</t>
  </si>
  <si>
    <t>R.Curtis</t>
  </si>
  <si>
    <t>A.May</t>
  </si>
  <si>
    <t>Joueur</t>
  </si>
  <si>
    <t>Poste</t>
  </si>
  <si>
    <t>Note Globale</t>
  </si>
  <si>
    <t>Titulaire</t>
  </si>
  <si>
    <t>Remplaçant</t>
  </si>
  <si>
    <t>Formation</t>
  </si>
  <si>
    <t>Recrutement Jeune</t>
  </si>
  <si>
    <t>Recrutement Vieux</t>
  </si>
  <si>
    <t>G</t>
  </si>
  <si>
    <t>DG</t>
  </si>
  <si>
    <t>DC</t>
  </si>
  <si>
    <t>DD</t>
  </si>
  <si>
    <t>MDC</t>
  </si>
  <si>
    <t>MG</t>
  </si>
  <si>
    <t>MC</t>
  </si>
  <si>
    <t>MOC</t>
  </si>
  <si>
    <t>MD</t>
  </si>
  <si>
    <t>AT</t>
  </si>
  <si>
    <t>BU</t>
  </si>
  <si>
    <t>Gardien</t>
  </si>
  <si>
    <t>Défense</t>
  </si>
  <si>
    <t>Milieu</t>
  </si>
  <si>
    <t>Attaque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</si>
</sst>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CAC37D-EF05-4E1A-8445-58E133A8FA72}" name="Tableau5" displayName="Tableau5" ref="A1:M32" totalsRowShown="0" headerRowDxfId="19" dataDxfId="18">
  <autoFilter ref="A1:M32" xr:uid="{7039DDDE-DFC0-461E-8D8C-5DC8FDA8201D}"/>
  <sortState xmlns:xlrd2="http://schemas.microsoft.com/office/spreadsheetml/2017/richdata2" ref="A2:M32">
    <sortCondition ref="A1:A32"/>
  </sortState>
  <tableColumns count="13">
    <tableColumn id="15" xr3:uid="{AEDB2144-D719-4D84-B268-31DB0E1B0F85}" name="Classement" dataDxfId="17"/>
    <tableColumn id="1" xr3:uid="{81D6A2C8-72E2-40B1-9CD4-69FD6CAC5136}" name="Joueurs" dataDxfId="16"/>
    <tableColumn id="2" xr3:uid="{A8D36B4F-75E9-4267-BEDF-3291D4F6A137}" name="Age" dataDxfId="15"/>
    <tableColumn id="3" xr3:uid="{23C444A6-547C-4FC9-9512-C29F1061F09E}" name="Contrat Restant" dataDxfId="14"/>
    <tableColumn id="4" xr3:uid="{7C54FDBF-4AC8-4AD4-98DF-D06BA7EFCC8A}" name="Evolution par année de contrat" dataDxfId="13"/>
    <tableColumn id="5" xr3:uid="{131C2F01-6BAA-435F-A94E-6DB1F2BDFC93}" name="Colonne1" dataDxfId="12"/>
    <tableColumn id="6" xr3:uid="{CFE9904C-22BD-4220-93A9-92DAE3661D17}" name="Colonne2" dataDxfId="11"/>
    <tableColumn id="7" xr3:uid="{AA74D99E-A9F2-4ADD-B487-2E98FFB97BC6}" name="Colonne3" dataDxfId="10"/>
    <tableColumn id="8" xr3:uid="{5A427E5F-54C2-4B86-A8AF-4EBBE2D7459D}" name="Colonne4" dataDxfId="9"/>
    <tableColumn id="9" xr3:uid="{F0A6A387-6D14-4CEA-A6EB-07BBDA09F9E4}" name="Colonne5" dataDxfId="8"/>
    <tableColumn id="10" xr3:uid="{44DD4E8F-083A-4C17-8703-1F4B604AC937}" name="Pourcentage d'augmentation" dataDxfId="7"/>
    <tableColumn id="11" xr3:uid="{BB44BEB3-B12B-4897-BE05-5A72E28673D3}" name="Négociations" dataDxfId="6"/>
    <tableColumn id="12" xr3:uid="{FBE1410A-3A0B-4134-ACD4-C0224014121F}" name="Pourcentage d'augmentation après Négociation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BBD2D3-49E8-441E-ADA4-18F3F5422196}" name="Tableau6" displayName="Tableau6" ref="A34:D64" totalsRowShown="0" headerRowDxfId="4">
  <autoFilter ref="A34:D64" xr:uid="{08A63E90-7F99-4BDC-BAEE-C66E7DBC665B}"/>
  <sortState xmlns:xlrd2="http://schemas.microsoft.com/office/spreadsheetml/2017/richdata2" ref="A35:D64">
    <sortCondition ref="B35:B64" customList="G,DG,DC,DD,MDC,MG,MC,MOC,MD,AT,BU"/>
  </sortState>
  <tableColumns count="4">
    <tableColumn id="1" xr3:uid="{0E98D23C-021A-4133-99E4-806D9451D616}" name="Joueur" dataDxfId="3"/>
    <tableColumn id="2" xr3:uid="{1FC79A6E-9B91-4813-A9A2-9EED556DC301}" name="Poste" dataDxfId="2"/>
    <tableColumn id="3" xr3:uid="{C3AB581C-2AF1-4F0C-A3B2-F46230351196}" name="Age" dataDxfId="1"/>
    <tableColumn id="4" xr3:uid="{F9B951B1-BC34-4C0E-9CA6-E4B2B2FEB004}" name="Note Global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11110-D2A8-4B41-B11B-A166733C1F27}">
  <dimension ref="A1:AF65"/>
  <sheetViews>
    <sheetView tabSelected="1" topLeftCell="A27" workbookViewId="0">
      <selection activeCell="E29" sqref="E29"/>
    </sheetView>
  </sheetViews>
  <sheetFormatPr baseColWidth="10" defaultRowHeight="15" x14ac:dyDescent="0.25"/>
  <cols>
    <col min="1" max="1" width="15.85546875" style="2" bestFit="1" customWidth="1"/>
    <col min="2" max="2" width="14" style="2" bestFit="1" customWidth="1"/>
    <col min="3" max="3" width="9" style="2" bestFit="1" customWidth="1"/>
    <col min="4" max="4" width="19.28515625" style="2" bestFit="1" customWidth="1"/>
    <col min="5" max="5" width="33.140625" style="2" bestFit="1" customWidth="1"/>
    <col min="6" max="9" width="14" style="2" bestFit="1" customWidth="1"/>
    <col min="10" max="10" width="18.42578125" style="2" bestFit="1" customWidth="1"/>
    <col min="11" max="11" width="31.7109375" style="2" bestFit="1" customWidth="1"/>
    <col min="12" max="12" width="17.140625" style="2" bestFit="1" customWidth="1"/>
    <col min="13" max="13" width="48.5703125" style="2" bestFit="1" customWidth="1"/>
    <col min="14" max="14" width="11.42578125" style="2"/>
    <col min="15" max="17" width="10.28515625" style="2" bestFit="1" customWidth="1"/>
    <col min="18" max="18" width="11.28515625" style="2" bestFit="1" customWidth="1"/>
    <col min="19" max="21" width="10.28515625" style="2" bestFit="1" customWidth="1"/>
    <col min="22" max="22" width="8.85546875" style="2" bestFit="1" customWidth="1"/>
    <col min="23" max="23" width="7.85546875" style="2" bestFit="1" customWidth="1"/>
    <col min="24" max="24" width="10.28515625" style="2" bestFit="1" customWidth="1"/>
    <col min="25" max="26" width="8.85546875" style="2" bestFit="1" customWidth="1"/>
    <col min="27" max="16384" width="11.42578125" style="2"/>
  </cols>
  <sheetData>
    <row r="1" spans="1:2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O1" s="3">
        <v>8517573</v>
      </c>
      <c r="P1" s="3">
        <f>(O1)*1</f>
        <v>8517573</v>
      </c>
      <c r="Q1" s="3"/>
      <c r="R1" s="3">
        <f>P1*1.5</f>
        <v>12776359.5</v>
      </c>
      <c r="S1" s="3">
        <f>V4</f>
        <v>7805.9916666666668</v>
      </c>
      <c r="T1" s="3">
        <f>S1*3</f>
        <v>23417.974999999999</v>
      </c>
      <c r="U1" s="3">
        <f>T1*1.5</f>
        <v>35126.962499999994</v>
      </c>
      <c r="V1" s="3"/>
      <c r="W1" s="3"/>
      <c r="X1" s="3"/>
      <c r="Y1" s="3"/>
    </row>
    <row r="2" spans="1:25" x14ac:dyDescent="0.25">
      <c r="A2" s="4">
        <v>0</v>
      </c>
      <c r="D2" s="2">
        <v>0</v>
      </c>
      <c r="E2" s="2">
        <v>1</v>
      </c>
      <c r="F2" s="2">
        <v>2</v>
      </c>
      <c r="K2" s="5"/>
      <c r="P2" s="3"/>
      <c r="Q2" s="3"/>
      <c r="R2" s="3"/>
      <c r="S2" s="3"/>
      <c r="T2" s="3"/>
      <c r="U2" s="3"/>
      <c r="V2" s="3">
        <v>133817</v>
      </c>
      <c r="W2" s="3"/>
      <c r="X2" s="3">
        <v>3600000</v>
      </c>
      <c r="Y2" s="3"/>
    </row>
    <row r="3" spans="1:25" x14ac:dyDescent="0.25">
      <c r="A3" s="4">
        <v>1</v>
      </c>
      <c r="B3" s="2" t="s">
        <v>13</v>
      </c>
      <c r="C3" s="2">
        <v>29</v>
      </c>
      <c r="D3" s="2">
        <v>1</v>
      </c>
      <c r="E3" s="2">
        <v>0</v>
      </c>
      <c r="F3" s="2">
        <v>0</v>
      </c>
      <c r="K3" s="5">
        <f>SUM(E3:J3)/(SUM(E$2:J$2)/MAX(E$2:J$2))+0.1</f>
        <v>0.1</v>
      </c>
      <c r="L3" s="2">
        <v>0</v>
      </c>
      <c r="M3" s="5">
        <f>K3+L3/10</f>
        <v>0.1</v>
      </c>
      <c r="P3" s="3"/>
      <c r="Q3" s="3"/>
      <c r="R3" s="3"/>
      <c r="S3" s="3"/>
      <c r="T3" s="3"/>
      <c r="U3" s="3"/>
      <c r="V3" s="3">
        <v>30</v>
      </c>
      <c r="W3" s="3"/>
      <c r="X3" s="3">
        <f>X2*1.8</f>
        <v>6480000</v>
      </c>
      <c r="Y3" s="3"/>
    </row>
    <row r="4" spans="1:25" x14ac:dyDescent="0.25">
      <c r="A4" s="4">
        <v>2</v>
      </c>
      <c r="B4" s="2" t="s">
        <v>14</v>
      </c>
      <c r="C4" s="2">
        <v>25</v>
      </c>
      <c r="D4" s="2">
        <v>1</v>
      </c>
      <c r="E4" s="2">
        <v>0.03</v>
      </c>
      <c r="F4" s="2">
        <v>0</v>
      </c>
      <c r="K4" s="5">
        <f>SUM(E4:J4)/(SUM(E$2:J$2)/MAX(E$2:J$2))+0.1</f>
        <v>0.12000000000000001</v>
      </c>
      <c r="L4" s="2">
        <v>0</v>
      </c>
      <c r="M4" s="5">
        <f>K4+L4/10</f>
        <v>0.12000000000000001</v>
      </c>
      <c r="P4" s="3">
        <v>3100000</v>
      </c>
      <c r="Q4" s="3"/>
      <c r="R4" s="3"/>
      <c r="S4" s="3"/>
      <c r="T4" s="3"/>
      <c r="U4" s="3"/>
      <c r="V4" s="3">
        <f>V2/V3*1.75</f>
        <v>7805.9916666666668</v>
      </c>
      <c r="W4" s="3"/>
      <c r="X4" s="3"/>
      <c r="Y4" s="3"/>
    </row>
    <row r="5" spans="1:25" x14ac:dyDescent="0.25">
      <c r="A5" s="4">
        <v>3</v>
      </c>
      <c r="B5" s="2" t="s">
        <v>15</v>
      </c>
      <c r="C5" s="2">
        <v>27</v>
      </c>
      <c r="D5" s="2">
        <v>1</v>
      </c>
      <c r="E5" s="2">
        <v>0.17</v>
      </c>
      <c r="F5" s="2">
        <v>0</v>
      </c>
      <c r="K5" s="5">
        <f>SUM(E5:J5)/(SUM(E$2:J$2)/MAX(E$2:J$2))+0.1</f>
        <v>0.21333333333333335</v>
      </c>
      <c r="L5" s="2">
        <v>0</v>
      </c>
      <c r="M5" s="5">
        <f>K5+L5/10</f>
        <v>0.21333333333333335</v>
      </c>
      <c r="P5" s="3">
        <v>4200000</v>
      </c>
      <c r="Q5" s="3"/>
      <c r="R5" s="3"/>
      <c r="S5" s="3"/>
      <c r="T5" s="3"/>
      <c r="U5" s="3"/>
      <c r="V5" s="3">
        <v>7806</v>
      </c>
      <c r="W5" s="2">
        <v>0</v>
      </c>
      <c r="X5" s="3"/>
      <c r="Y5" s="3"/>
    </row>
    <row r="6" spans="1:25" x14ac:dyDescent="0.25">
      <c r="A6" s="4">
        <v>4</v>
      </c>
      <c r="B6" s="2" t="s">
        <v>16</v>
      </c>
      <c r="C6" s="2">
        <v>28</v>
      </c>
      <c r="D6" s="2">
        <v>1</v>
      </c>
      <c r="E6" s="2">
        <v>0.5</v>
      </c>
      <c r="F6" s="2">
        <v>0</v>
      </c>
      <c r="K6" s="5">
        <f>SUM(E6:J6)/(SUM(E$2:J$2)/MAX(E$2:J$2))+0.1</f>
        <v>0.43333333333333335</v>
      </c>
      <c r="L6" s="2">
        <v>0</v>
      </c>
      <c r="M6" s="5">
        <f>K6+L6/10</f>
        <v>0.43333333333333335</v>
      </c>
      <c r="P6" s="3">
        <f>(P5-P4)/3</f>
        <v>366666.66666666669</v>
      </c>
      <c r="Q6" s="3"/>
      <c r="R6" s="6">
        <f>0.25/5</f>
        <v>0.05</v>
      </c>
      <c r="S6" s="3"/>
      <c r="T6" s="3"/>
      <c r="U6" s="3"/>
      <c r="V6" s="3">
        <f>$V$5*(1+$W$5)</f>
        <v>7806</v>
      </c>
      <c r="W6" s="3">
        <f>$V$5*(1.1+$W$5)</f>
        <v>8586.6</v>
      </c>
      <c r="X6" s="3">
        <f>$V$5*(1.2+$W$5)</f>
        <v>9367.1999999999989</v>
      </c>
      <c r="Y6" s="3">
        <f>$V$5*(1.3+$W$5)</f>
        <v>10147.800000000001</v>
      </c>
    </row>
    <row r="7" spans="1:25" x14ac:dyDescent="0.25">
      <c r="A7" s="4">
        <v>5</v>
      </c>
      <c r="B7" s="2" t="s">
        <v>17</v>
      </c>
      <c r="C7" s="2">
        <v>29</v>
      </c>
      <c r="D7" s="2">
        <v>1</v>
      </c>
      <c r="E7" s="2">
        <v>0</v>
      </c>
      <c r="F7" s="2">
        <v>0</v>
      </c>
      <c r="K7" s="5">
        <f>SUM(E7:J7)/(SUM(E$2:J$2)/MAX(E$2:J$2))+0.1</f>
        <v>0.1</v>
      </c>
      <c r="L7" s="2">
        <v>0</v>
      </c>
      <c r="M7" s="5">
        <f>K7+L7/10</f>
        <v>0.1</v>
      </c>
      <c r="O7" s="3">
        <f>P4-P6</f>
        <v>2733333.3333333335</v>
      </c>
      <c r="P7" s="3">
        <f>O7+$P$6</f>
        <v>3100000</v>
      </c>
      <c r="Q7" s="3"/>
      <c r="R7" s="3">
        <f>P7+$P$6</f>
        <v>3466666.6666666665</v>
      </c>
      <c r="S7" s="3">
        <f>R7+$P$6</f>
        <v>3833333.333333333</v>
      </c>
      <c r="T7" s="3">
        <f>S7+$P$6</f>
        <v>4200000</v>
      </c>
      <c r="U7" s="3">
        <f>T7+$P$6</f>
        <v>4566666.666666667</v>
      </c>
      <c r="V7" s="3">
        <v>2</v>
      </c>
      <c r="W7" s="3">
        <f>V7</f>
        <v>2</v>
      </c>
      <c r="X7" s="3">
        <f t="shared" ref="X7:Y8" si="0">W7</f>
        <v>2</v>
      </c>
      <c r="Y7" s="3">
        <f t="shared" si="0"/>
        <v>2</v>
      </c>
    </row>
    <row r="8" spans="1:25" x14ac:dyDescent="0.25">
      <c r="A8" s="4">
        <v>6</v>
      </c>
      <c r="B8" s="2" t="s">
        <v>18</v>
      </c>
      <c r="C8" s="2">
        <v>30</v>
      </c>
      <c r="D8" s="2">
        <v>1</v>
      </c>
      <c r="E8" s="2">
        <v>0.05</v>
      </c>
      <c r="F8" s="2">
        <v>0</v>
      </c>
      <c r="K8" s="5">
        <f>SUM(E8:J8)/(SUM(E$2:J$2)/MAX(E$2:J$2))+0.1</f>
        <v>0.13333333333333333</v>
      </c>
      <c r="L8" s="2">
        <v>0</v>
      </c>
      <c r="M8" s="5">
        <f>K8+L8/10</f>
        <v>0.13333333333333333</v>
      </c>
      <c r="O8" s="6">
        <v>0.25</v>
      </c>
      <c r="P8" s="7">
        <f>O8-$R$6</f>
        <v>0.2</v>
      </c>
      <c r="Q8" s="7"/>
      <c r="R8" s="7">
        <f>P8-$R$6</f>
        <v>0.15000000000000002</v>
      </c>
      <c r="S8" s="7">
        <f>R8-$R$6</f>
        <v>0.10000000000000002</v>
      </c>
      <c r="T8" s="7">
        <f>S8-$R$6</f>
        <v>5.0000000000000017E-2</v>
      </c>
      <c r="U8" s="7">
        <f>T8-$R$6</f>
        <v>0</v>
      </c>
      <c r="V8" s="3">
        <f>$V$7*5</f>
        <v>10</v>
      </c>
      <c r="W8" s="3">
        <f>V8</f>
        <v>10</v>
      </c>
      <c r="X8" s="3">
        <f t="shared" si="0"/>
        <v>10</v>
      </c>
      <c r="Y8" s="3">
        <f t="shared" si="0"/>
        <v>10</v>
      </c>
    </row>
    <row r="9" spans="1:25" x14ac:dyDescent="0.25">
      <c r="A9" s="4">
        <v>7</v>
      </c>
      <c r="B9" s="2" t="s">
        <v>19</v>
      </c>
      <c r="C9" s="2">
        <v>31</v>
      </c>
      <c r="D9" s="2">
        <v>1</v>
      </c>
      <c r="E9" s="2">
        <v>-0.04</v>
      </c>
      <c r="F9" s="2">
        <v>0</v>
      </c>
      <c r="K9" s="5">
        <f>SUM(E9:J9)/(SUM(E$2:J$2)/MAX(E$2:J$2))+0.1</f>
        <v>7.3333333333333334E-2</v>
      </c>
      <c r="L9" s="2">
        <v>0</v>
      </c>
      <c r="M9" s="5">
        <f>K9+L9/10</f>
        <v>7.3333333333333334E-2</v>
      </c>
      <c r="P9" s="3"/>
      <c r="Q9" s="3"/>
      <c r="R9" s="3"/>
      <c r="S9" s="3"/>
      <c r="T9" s="3"/>
      <c r="U9" s="3"/>
      <c r="V9" s="3">
        <f>V6*V8</f>
        <v>78060</v>
      </c>
      <c r="W9" s="3">
        <f>W6*W8</f>
        <v>85866</v>
      </c>
      <c r="X9" s="3">
        <f t="shared" ref="X9:Y9" si="1">X6*X8</f>
        <v>93671.999999999985</v>
      </c>
      <c r="Y9" s="3">
        <f t="shared" si="1"/>
        <v>101478.00000000001</v>
      </c>
    </row>
    <row r="10" spans="1:25" x14ac:dyDescent="0.25">
      <c r="A10" s="4">
        <v>8</v>
      </c>
      <c r="B10" s="2" t="s">
        <v>20</v>
      </c>
      <c r="C10" s="2">
        <v>24</v>
      </c>
      <c r="D10" s="2">
        <v>1</v>
      </c>
      <c r="E10" s="2">
        <v>0.62</v>
      </c>
      <c r="F10" s="2">
        <v>0</v>
      </c>
      <c r="K10" s="5">
        <f>SUM(E10:J10)/(SUM(E$2:J$2)/MAX(E$2:J$2))+0.1</f>
        <v>0.51333333333333331</v>
      </c>
      <c r="L10" s="2">
        <v>0</v>
      </c>
      <c r="M10" s="5">
        <f>K10+L10/10</f>
        <v>0.51333333333333331</v>
      </c>
      <c r="O10" s="5"/>
    </row>
    <row r="11" spans="1:25" x14ac:dyDescent="0.25">
      <c r="A11" s="4">
        <v>9</v>
      </c>
      <c r="B11" s="2" t="s">
        <v>21</v>
      </c>
      <c r="C11" s="2">
        <v>29</v>
      </c>
      <c r="D11" s="2">
        <v>1</v>
      </c>
      <c r="E11" s="2">
        <v>0.28999999999999998</v>
      </c>
      <c r="F11" s="2">
        <v>0</v>
      </c>
      <c r="K11" s="5">
        <f>SUM(E11:J11)/(SUM(E$2:J$2)/MAX(E$2:J$2))+0.1</f>
        <v>0.29333333333333333</v>
      </c>
      <c r="L11" s="2">
        <v>0</v>
      </c>
      <c r="M11" s="5">
        <f>K11+L11/10</f>
        <v>0.29333333333333333</v>
      </c>
      <c r="O11" s="5"/>
    </row>
    <row r="12" spans="1:25" x14ac:dyDescent="0.25">
      <c r="A12" s="4">
        <v>10</v>
      </c>
      <c r="B12" s="2" t="s">
        <v>22</v>
      </c>
      <c r="C12" s="2">
        <v>25</v>
      </c>
      <c r="D12" s="2">
        <v>1</v>
      </c>
      <c r="E12" s="2">
        <v>0.25</v>
      </c>
      <c r="F12" s="2">
        <v>0</v>
      </c>
      <c r="I12" s="2" t="s">
        <v>23</v>
      </c>
      <c r="K12" s="5">
        <f>SUM(E12:J12)/(SUM(E$2:J$2)/MAX(E$2:J$2))+0.1</f>
        <v>0.26666666666666666</v>
      </c>
      <c r="L12" s="2">
        <v>0</v>
      </c>
      <c r="M12" s="5">
        <f>K12+L12/10</f>
        <v>0.26666666666666666</v>
      </c>
      <c r="O12" s="5"/>
    </row>
    <row r="13" spans="1:25" x14ac:dyDescent="0.25">
      <c r="A13" s="4">
        <v>11</v>
      </c>
      <c r="B13" s="2" t="s">
        <v>24</v>
      </c>
      <c r="C13" s="2">
        <v>29</v>
      </c>
      <c r="D13" s="2">
        <v>1</v>
      </c>
      <c r="E13" s="2">
        <v>-0.04</v>
      </c>
      <c r="F13" s="2">
        <v>0</v>
      </c>
      <c r="K13" s="5">
        <f>SUM(E13:J13)/(SUM(E$2:J$2)/MAX(E$2:J$2))+0.1</f>
        <v>7.3333333333333334E-2</v>
      </c>
      <c r="L13" s="2">
        <v>0</v>
      </c>
      <c r="M13" s="5">
        <f>K13+L13/10</f>
        <v>7.3333333333333334E-2</v>
      </c>
      <c r="O13" s="5"/>
    </row>
    <row r="14" spans="1:25" x14ac:dyDescent="0.25">
      <c r="A14" s="4">
        <v>12</v>
      </c>
      <c r="B14" s="2" t="s">
        <v>25</v>
      </c>
      <c r="C14" s="2">
        <v>30</v>
      </c>
      <c r="D14" s="2">
        <v>1</v>
      </c>
      <c r="E14" s="2">
        <v>0</v>
      </c>
      <c r="F14" s="2">
        <v>0</v>
      </c>
      <c r="K14" s="5">
        <f>SUM(E14:J14)/(SUM(E$2:J$2)/MAX(E$2:J$2))+0.1</f>
        <v>0.1</v>
      </c>
      <c r="L14" s="2">
        <v>0</v>
      </c>
      <c r="M14" s="5">
        <f>K14+L14/10</f>
        <v>0.1</v>
      </c>
      <c r="O14" s="5"/>
    </row>
    <row r="15" spans="1:25" x14ac:dyDescent="0.25">
      <c r="A15" s="4">
        <v>13</v>
      </c>
      <c r="B15" s="2" t="s">
        <v>26</v>
      </c>
      <c r="C15" s="2">
        <v>18</v>
      </c>
      <c r="D15" s="2">
        <v>1</v>
      </c>
      <c r="E15" s="2">
        <v>0.33</v>
      </c>
      <c r="F15" s="2">
        <v>0</v>
      </c>
      <c r="K15" s="5">
        <f>SUM(E15:J15)/(SUM(E$2:J$2)/MAX(E$2:J$2))+0.1</f>
        <v>0.32</v>
      </c>
      <c r="L15" s="2">
        <v>0</v>
      </c>
      <c r="M15" s="5">
        <f>K15+L15/10</f>
        <v>0.32</v>
      </c>
      <c r="O15" s="5"/>
    </row>
    <row r="16" spans="1:25" x14ac:dyDescent="0.25">
      <c r="A16" s="4">
        <v>14</v>
      </c>
      <c r="B16" s="2" t="s">
        <v>27</v>
      </c>
      <c r="C16" s="2">
        <v>27</v>
      </c>
      <c r="D16" s="2">
        <v>2</v>
      </c>
      <c r="E16" s="2">
        <v>0.18</v>
      </c>
      <c r="F16" s="2">
        <v>0</v>
      </c>
      <c r="K16" s="5">
        <f>SUM(E16:J16)/(SUM(E$2:J$2)/MAX(E$2:J$2))+0.1</f>
        <v>0.22</v>
      </c>
      <c r="L16" s="2">
        <v>0</v>
      </c>
      <c r="M16" s="5">
        <f>K16+L16/10</f>
        <v>0.22</v>
      </c>
      <c r="O16" s="5"/>
    </row>
    <row r="17" spans="1:15" x14ac:dyDescent="0.25">
      <c r="A17" s="4">
        <v>15</v>
      </c>
      <c r="B17" s="2" t="s">
        <v>28</v>
      </c>
      <c r="C17" s="2">
        <v>18</v>
      </c>
      <c r="D17" s="2">
        <v>2</v>
      </c>
      <c r="E17" s="2">
        <v>-0.16</v>
      </c>
      <c r="F17" s="2">
        <v>0</v>
      </c>
      <c r="K17" s="5">
        <f>SUM(E17:J17)/(SUM(E$2:J$2)/MAX(E$2:J$2))+0.1</f>
        <v>-6.666666666666668E-3</v>
      </c>
      <c r="L17" s="2">
        <v>0</v>
      </c>
      <c r="M17" s="5">
        <f>K17+L17/10</f>
        <v>-6.666666666666668E-3</v>
      </c>
      <c r="O17" s="5"/>
    </row>
    <row r="18" spans="1:15" x14ac:dyDescent="0.25">
      <c r="A18" s="4">
        <v>16</v>
      </c>
      <c r="B18" s="2" t="s">
        <v>29</v>
      </c>
      <c r="C18" s="2">
        <v>25</v>
      </c>
      <c r="D18" s="2">
        <v>2</v>
      </c>
      <c r="E18" s="2">
        <v>0.44</v>
      </c>
      <c r="F18" s="2">
        <v>0</v>
      </c>
      <c r="K18" s="5">
        <f>SUM(E18:J18)/(SUM(E$2:J$2)/MAX(E$2:J$2))+0.1</f>
        <v>0.39333333333333331</v>
      </c>
      <c r="L18" s="2">
        <v>0</v>
      </c>
      <c r="M18" s="5">
        <f>K18+L18/10</f>
        <v>0.39333333333333331</v>
      </c>
      <c r="O18" s="5"/>
    </row>
    <row r="19" spans="1:15" x14ac:dyDescent="0.25">
      <c r="A19" s="4">
        <v>17</v>
      </c>
      <c r="B19" s="2" t="s">
        <v>30</v>
      </c>
      <c r="C19" s="2">
        <v>25</v>
      </c>
      <c r="D19" s="2">
        <v>2</v>
      </c>
      <c r="E19" s="2">
        <v>1.1599999999999999</v>
      </c>
      <c r="F19" s="2">
        <v>0</v>
      </c>
      <c r="K19" s="5">
        <f>SUM(E19:J19)/(SUM(E$2:J$2)/MAX(E$2:J$2))+0.1</f>
        <v>0.87333333333333329</v>
      </c>
      <c r="L19" s="2">
        <v>0</v>
      </c>
      <c r="M19" s="5">
        <f>K19+L19/10</f>
        <v>0.87333333333333329</v>
      </c>
      <c r="O19" s="5"/>
    </row>
    <row r="20" spans="1:15" x14ac:dyDescent="0.25">
      <c r="A20" s="4">
        <v>18</v>
      </c>
      <c r="B20" s="2" t="s">
        <v>31</v>
      </c>
      <c r="C20" s="2">
        <v>29</v>
      </c>
      <c r="D20" s="2">
        <v>2</v>
      </c>
      <c r="E20" s="2">
        <v>0</v>
      </c>
      <c r="F20" s="2">
        <v>0</v>
      </c>
      <c r="K20" s="5">
        <f>SUM(E20:J20)/(SUM(E$2:J$2)/MAX(E$2:J$2))+0.1</f>
        <v>0.1</v>
      </c>
      <c r="L20" s="2">
        <v>0</v>
      </c>
      <c r="M20" s="5">
        <f>K20+L20/10</f>
        <v>0.1</v>
      </c>
      <c r="O20" s="5"/>
    </row>
    <row r="21" spans="1:15" x14ac:dyDescent="0.25">
      <c r="A21" s="4">
        <v>19</v>
      </c>
      <c r="B21" s="2" t="s">
        <v>32</v>
      </c>
      <c r="C21" s="2">
        <v>26</v>
      </c>
      <c r="D21" s="2">
        <v>2</v>
      </c>
      <c r="E21" s="2">
        <v>0.45</v>
      </c>
      <c r="F21" s="2">
        <v>0</v>
      </c>
      <c r="K21" s="5">
        <f>SUM(E21:J21)/(SUM(E$2:J$2)/MAX(E$2:J$2))+0.1</f>
        <v>0.4</v>
      </c>
      <c r="L21" s="2">
        <v>0</v>
      </c>
      <c r="M21" s="5">
        <f>K21+L21/10</f>
        <v>0.4</v>
      </c>
      <c r="O21" s="5"/>
    </row>
    <row r="22" spans="1:15" x14ac:dyDescent="0.25">
      <c r="A22" s="4">
        <v>20</v>
      </c>
      <c r="B22" s="2" t="s">
        <v>33</v>
      </c>
      <c r="C22" s="2">
        <v>18</v>
      </c>
      <c r="D22" s="2">
        <v>2</v>
      </c>
      <c r="E22" s="2">
        <v>1.18</v>
      </c>
      <c r="F22" s="2">
        <v>0</v>
      </c>
      <c r="K22" s="5">
        <f>SUM(E22:J22)/(SUM(E$2:J$2)/MAX(E$2:J$2))+0.1</f>
        <v>0.8866666666666666</v>
      </c>
      <c r="L22" s="2">
        <v>0</v>
      </c>
      <c r="M22" s="5">
        <f>K22+L22/10</f>
        <v>0.8866666666666666</v>
      </c>
      <c r="O22" s="5"/>
    </row>
    <row r="23" spans="1:15" x14ac:dyDescent="0.25">
      <c r="A23" s="4">
        <v>21</v>
      </c>
      <c r="B23" s="2" t="s">
        <v>34</v>
      </c>
      <c r="C23" s="2">
        <v>17</v>
      </c>
      <c r="D23" s="2">
        <v>2</v>
      </c>
      <c r="E23" s="2">
        <v>0</v>
      </c>
      <c r="F23" s="2">
        <v>0</v>
      </c>
      <c r="K23" s="5">
        <f>SUM(E23:J23)/(SUM(E$2:J$2)/MAX(E$2:J$2))+0.1</f>
        <v>0.1</v>
      </c>
      <c r="L23" s="2">
        <v>0</v>
      </c>
      <c r="M23" s="5">
        <f>K23+L23/10</f>
        <v>0.1</v>
      </c>
      <c r="O23" s="5"/>
    </row>
    <row r="24" spans="1:15" x14ac:dyDescent="0.25">
      <c r="A24" s="4">
        <v>22</v>
      </c>
      <c r="B24" s="2" t="s">
        <v>35</v>
      </c>
      <c r="C24" s="2">
        <v>18</v>
      </c>
      <c r="D24" s="2">
        <v>3</v>
      </c>
      <c r="E24" s="2">
        <v>0</v>
      </c>
      <c r="F24" s="2">
        <v>0</v>
      </c>
      <c r="K24" s="5">
        <f>SUM(E24:J24)/(SUM(E$2:J$2)/MAX(E$2:J$2))+0.1</f>
        <v>0.1</v>
      </c>
      <c r="L24" s="2">
        <v>0</v>
      </c>
      <c r="M24" s="5">
        <f>K24+L24/10</f>
        <v>0.1</v>
      </c>
      <c r="O24" s="5"/>
    </row>
    <row r="25" spans="1:15" x14ac:dyDescent="0.25">
      <c r="A25" s="4">
        <v>23</v>
      </c>
      <c r="B25" s="2" t="s">
        <v>36</v>
      </c>
      <c r="C25" s="2">
        <v>24</v>
      </c>
      <c r="D25" s="2">
        <v>3</v>
      </c>
      <c r="E25" s="2">
        <v>1.41</v>
      </c>
      <c r="F25" s="2">
        <v>0</v>
      </c>
      <c r="K25" s="5">
        <f>SUM(E25:J25)/(SUM(E$2:J$2)/MAX(E$2:J$2))+0.1</f>
        <v>1.04</v>
      </c>
      <c r="L25" s="2">
        <v>0</v>
      </c>
      <c r="M25" s="5">
        <f>K25+L25/10</f>
        <v>1.04</v>
      </c>
      <c r="O25" s="5"/>
    </row>
    <row r="26" spans="1:15" x14ac:dyDescent="0.25">
      <c r="A26" s="4">
        <v>24</v>
      </c>
      <c r="B26" s="2" t="s">
        <v>37</v>
      </c>
      <c r="C26" s="2">
        <v>24</v>
      </c>
      <c r="D26" s="2">
        <v>3</v>
      </c>
      <c r="E26" s="2">
        <v>0.35</v>
      </c>
      <c r="F26" s="2">
        <v>0</v>
      </c>
      <c r="K26" s="5">
        <f>SUM(E26:J26)/(SUM(E$2:J$2)/MAX(E$2:J$2))+0.1</f>
        <v>0.33333333333333331</v>
      </c>
      <c r="L26" s="2">
        <v>0</v>
      </c>
      <c r="M26" s="5">
        <f>K26+L26/10</f>
        <v>0.33333333333333331</v>
      </c>
      <c r="O26" s="5"/>
    </row>
    <row r="27" spans="1:15" x14ac:dyDescent="0.25">
      <c r="A27" s="4">
        <v>25</v>
      </c>
      <c r="B27" s="2" t="s">
        <v>38</v>
      </c>
      <c r="C27" s="2">
        <v>25</v>
      </c>
      <c r="D27" s="2">
        <v>3</v>
      </c>
      <c r="E27" s="2">
        <v>0.5</v>
      </c>
      <c r="F27" s="2">
        <v>0</v>
      </c>
      <c r="K27" s="5">
        <f>SUM(E27:J27)/(SUM(E$2:J$2)/MAX(E$2:J$2))+0.1</f>
        <v>0.43333333333333335</v>
      </c>
      <c r="L27" s="2">
        <v>0</v>
      </c>
      <c r="M27" s="5">
        <f>K27+L27/10</f>
        <v>0.43333333333333335</v>
      </c>
      <c r="O27" s="5"/>
    </row>
    <row r="28" spans="1:15" x14ac:dyDescent="0.25">
      <c r="A28" s="4">
        <v>26</v>
      </c>
      <c r="B28" s="2" t="s">
        <v>39</v>
      </c>
      <c r="C28" s="2">
        <v>17</v>
      </c>
      <c r="D28" s="2">
        <v>3</v>
      </c>
      <c r="E28" s="2">
        <v>0.18</v>
      </c>
      <c r="F28" s="2">
        <v>0</v>
      </c>
      <c r="K28" s="5">
        <f>SUM(E28:J28)/(SUM(E$2:J$2)/MAX(E$2:J$2))+0.1</f>
        <v>0.22</v>
      </c>
      <c r="L28" s="2">
        <v>0</v>
      </c>
      <c r="M28" s="5">
        <f>K28+L28/10</f>
        <v>0.22</v>
      </c>
      <c r="O28" s="5"/>
    </row>
    <row r="29" spans="1:15" x14ac:dyDescent="0.25">
      <c r="A29" s="4">
        <v>27</v>
      </c>
      <c r="B29" s="2" t="s">
        <v>40</v>
      </c>
      <c r="C29" s="2">
        <v>22</v>
      </c>
      <c r="D29" s="2">
        <v>3</v>
      </c>
      <c r="E29" s="2">
        <v>0.26</v>
      </c>
      <c r="F29" s="2">
        <v>0</v>
      </c>
      <c r="K29" s="5">
        <f>SUM(E29:J29)/(SUM(E$2:J$2)/MAX(E$2:J$2))+0.1</f>
        <v>0.27333333333333332</v>
      </c>
      <c r="L29" s="2">
        <v>0</v>
      </c>
      <c r="M29" s="5">
        <f>K29+L29/10</f>
        <v>0.27333333333333332</v>
      </c>
      <c r="O29" s="5"/>
    </row>
    <row r="30" spans="1:15" x14ac:dyDescent="0.25">
      <c r="A30" s="4">
        <v>28</v>
      </c>
      <c r="B30" s="2" t="s">
        <v>41</v>
      </c>
      <c r="C30" s="2">
        <v>16</v>
      </c>
      <c r="D30" s="2">
        <v>3</v>
      </c>
      <c r="E30" s="2">
        <v>0</v>
      </c>
      <c r="F30" s="2">
        <v>0</v>
      </c>
      <c r="K30" s="5">
        <f>SUM(E30:J30)/(SUM(E$2:J$2)/MAX(E$2:J$2))+0.1</f>
        <v>0.1</v>
      </c>
      <c r="L30" s="2">
        <v>0</v>
      </c>
      <c r="M30" s="5">
        <f>K30+L30/10</f>
        <v>0.1</v>
      </c>
      <c r="O30" s="5"/>
    </row>
    <row r="31" spans="1:15" x14ac:dyDescent="0.25">
      <c r="A31" s="4">
        <v>29</v>
      </c>
      <c r="B31" s="2" t="s">
        <v>42</v>
      </c>
      <c r="C31" s="2">
        <v>25</v>
      </c>
      <c r="D31" s="2">
        <v>4</v>
      </c>
      <c r="E31" s="2">
        <v>0.46</v>
      </c>
      <c r="F31" s="2">
        <v>0</v>
      </c>
      <c r="K31" s="5">
        <f>SUM(E31:J31)/(SUM(E$2:J$2)/MAX(E$2:J$2))+0.1</f>
        <v>0.40666666666666673</v>
      </c>
      <c r="L31" s="2">
        <v>0</v>
      </c>
      <c r="M31" s="5">
        <f>K31+L31/10</f>
        <v>0.40666666666666673</v>
      </c>
      <c r="O31" s="5"/>
    </row>
    <row r="32" spans="1:15" x14ac:dyDescent="0.25">
      <c r="A32" s="8">
        <v>30</v>
      </c>
      <c r="B32" s="2" t="s">
        <v>43</v>
      </c>
      <c r="C32" s="2">
        <v>23</v>
      </c>
      <c r="D32" s="2">
        <v>5</v>
      </c>
      <c r="E32" s="2">
        <v>0.4</v>
      </c>
      <c r="F32" s="2">
        <v>0</v>
      </c>
      <c r="K32" s="5">
        <f>SUM(E32:J32)/(SUM(E$2:J$2)/MAX(E$2:J$2))+0.1</f>
        <v>0.3666666666666667</v>
      </c>
      <c r="L32" s="2">
        <v>0</v>
      </c>
      <c r="M32" s="5">
        <f>K32+L32/10</f>
        <v>0.3666666666666667</v>
      </c>
      <c r="O32" s="5"/>
    </row>
    <row r="33" spans="1:32" x14ac:dyDescent="0.25">
      <c r="C33" s="5">
        <f>ROUNDDOWN(AVERAGE(C3:C32),2)</f>
        <v>24.43</v>
      </c>
      <c r="D33" s="5">
        <f>AVERAGE(D3:D32)</f>
        <v>1.9666666666666666</v>
      </c>
      <c r="E33" s="5"/>
      <c r="F33" s="5"/>
      <c r="K33" s="5">
        <f>AVERAGE(K3:K32)</f>
        <v>0.29933333333333328</v>
      </c>
      <c r="L33" s="5"/>
      <c r="M33" s="5">
        <f>AVERAGE(M3:M32)</f>
        <v>0.29933333333333328</v>
      </c>
    </row>
    <row r="34" spans="1:32" x14ac:dyDescent="0.25">
      <c r="A34" s="2" t="s">
        <v>44</v>
      </c>
      <c r="B34" s="2" t="s">
        <v>45</v>
      </c>
      <c r="C34" s="2" t="s">
        <v>2</v>
      </c>
      <c r="D34" s="2" t="s">
        <v>46</v>
      </c>
      <c r="F34" s="2" t="s">
        <v>45</v>
      </c>
      <c r="G34" s="2" t="s">
        <v>47</v>
      </c>
      <c r="H34" s="2" t="s">
        <v>48</v>
      </c>
      <c r="I34" s="2" t="s">
        <v>49</v>
      </c>
      <c r="J34" s="2" t="s">
        <v>50</v>
      </c>
      <c r="K34" s="2" t="s">
        <v>51</v>
      </c>
    </row>
    <row r="35" spans="1:32" x14ac:dyDescent="0.25">
      <c r="A35" s="9" t="s">
        <v>14</v>
      </c>
      <c r="B35" s="2" t="s">
        <v>52</v>
      </c>
      <c r="C35" s="9">
        <v>25</v>
      </c>
      <c r="D35" s="2">
        <v>65</v>
      </c>
      <c r="F35" s="2" t="s">
        <v>52</v>
      </c>
      <c r="G35" s="2" cm="1">
        <f t="array" ref="G35">LARGE(IF(Tableau6[Poste]=$F35,Tableau6[Note Globale]),1)</f>
        <v>71</v>
      </c>
      <c r="H35" s="2" cm="1">
        <f t="array" ref="H35">LARGE(IF(Tableau6[Poste]=$F35,Tableau6[Note Globale]),2)</f>
        <v>70</v>
      </c>
      <c r="I35" s="2">
        <f>H35-3</f>
        <v>67</v>
      </c>
      <c r="J35" s="2">
        <f>IF(G35-2&gt;H35,G35-2,H35)</f>
        <v>70</v>
      </c>
      <c r="K35" s="2">
        <f>G35+2</f>
        <v>73</v>
      </c>
    </row>
    <row r="36" spans="1:32" x14ac:dyDescent="0.25">
      <c r="A36" s="9" t="s">
        <v>16</v>
      </c>
      <c r="B36" s="2" t="s">
        <v>52</v>
      </c>
      <c r="C36" s="9">
        <v>28</v>
      </c>
      <c r="D36" s="2">
        <v>67</v>
      </c>
      <c r="F36" s="2" t="s">
        <v>53</v>
      </c>
      <c r="G36" s="2" cm="1">
        <f t="array" ref="G36">LARGE(IF(Tableau6[Poste]=$F36,Tableau6[Note Globale]),1)</f>
        <v>70</v>
      </c>
      <c r="H36" s="2" cm="1">
        <f t="array" ref="H36">LARGE(IF(Tableau6[Poste]=$F36,Tableau6[Note Globale]),2)</f>
        <v>67</v>
      </c>
      <c r="I36" s="2">
        <f t="shared" ref="I36:I45" si="2">H36-3</f>
        <v>64</v>
      </c>
      <c r="J36" s="2">
        <f t="shared" ref="J36:J45" si="3">IF(G36-2&gt;H36,G36-2,H36)</f>
        <v>68</v>
      </c>
      <c r="K36" s="2">
        <f t="shared" ref="K36:K45" si="4">G36+2</f>
        <v>72</v>
      </c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32" x14ac:dyDescent="0.25">
      <c r="A37" s="9" t="s">
        <v>33</v>
      </c>
      <c r="B37" s="2" t="s">
        <v>52</v>
      </c>
      <c r="C37" s="9">
        <v>18</v>
      </c>
      <c r="D37" s="2">
        <v>70</v>
      </c>
      <c r="F37" s="2" t="s">
        <v>54</v>
      </c>
      <c r="G37" s="2" cm="1">
        <f t="array" ref="G37">LARGE(IF(Tableau6[Poste]=$F37,Tableau6[Note Globale]),2)</f>
        <v>73</v>
      </c>
      <c r="H37" s="2" cm="1">
        <f t="array" ref="H37">LARGE(IF(Tableau6[Poste]=$F37,Tableau6[Note Globale]),3)</f>
        <v>69</v>
      </c>
      <c r="I37" s="2">
        <f t="shared" si="2"/>
        <v>66</v>
      </c>
      <c r="J37" s="2">
        <f>IF(G37-2&gt;H37,G37-2,H37)</f>
        <v>71</v>
      </c>
      <c r="K37" s="2">
        <f t="shared" si="4"/>
        <v>75</v>
      </c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32" x14ac:dyDescent="0.25">
      <c r="A38" s="9" t="s">
        <v>34</v>
      </c>
      <c r="B38" s="2" t="s">
        <v>52</v>
      </c>
      <c r="C38" s="9">
        <v>17</v>
      </c>
      <c r="D38" s="2">
        <v>71</v>
      </c>
      <c r="F38" s="2" t="s">
        <v>55</v>
      </c>
      <c r="G38" s="2" cm="1">
        <f t="array" ref="G38">LARGE(IF(Tableau6[Poste]=$F38,Tableau6[Note Globale]),1)</f>
        <v>73</v>
      </c>
      <c r="H38" s="2" cm="1">
        <f t="array" ref="H38">LARGE(IF(Tableau6[Poste]=$F38,Tableau6[Note Globale]),2)</f>
        <v>67</v>
      </c>
      <c r="I38" s="2">
        <f t="shared" si="2"/>
        <v>64</v>
      </c>
      <c r="J38" s="2">
        <f t="shared" ref="J38:J47" si="5">IF(G38-2&gt;H38,G38-2,H38)</f>
        <v>71</v>
      </c>
      <c r="K38" s="2">
        <f t="shared" si="4"/>
        <v>75</v>
      </c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32" x14ac:dyDescent="0.25">
      <c r="A39" s="9" t="s">
        <v>18</v>
      </c>
      <c r="B39" s="2" t="s">
        <v>53</v>
      </c>
      <c r="C39" s="9">
        <v>30</v>
      </c>
      <c r="D39" s="2">
        <v>65</v>
      </c>
      <c r="F39" s="2" t="s">
        <v>56</v>
      </c>
      <c r="G39" s="2" cm="1">
        <f t="array" ref="G39">LARGE(IF(Tableau6[Poste]=$F39,Tableau6[Note Globale]),1)</f>
        <v>69</v>
      </c>
      <c r="H39" s="2" cm="1">
        <f t="array" ref="H39">LARGE(IF(Tableau6[Poste]=$F39,Tableau6[Note Globale]),2)</f>
        <v>67</v>
      </c>
      <c r="I39" s="2">
        <f t="shared" si="2"/>
        <v>64</v>
      </c>
      <c r="J39" s="2">
        <f t="shared" si="5"/>
        <v>67</v>
      </c>
      <c r="K39" s="2">
        <f t="shared" si="4"/>
        <v>71</v>
      </c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32" x14ac:dyDescent="0.25">
      <c r="A40" s="9" t="s">
        <v>32</v>
      </c>
      <c r="B40" s="2" t="s">
        <v>53</v>
      </c>
      <c r="C40" s="9">
        <v>26</v>
      </c>
      <c r="D40" s="2">
        <v>70</v>
      </c>
      <c r="F40" s="2" t="s">
        <v>57</v>
      </c>
      <c r="G40" s="2" cm="1">
        <f t="array" ref="G40">LARGE(IF(Tableau6[Poste]=$F40,Tableau6[Note Globale]),1)</f>
        <v>73</v>
      </c>
      <c r="H40" s="2" cm="1">
        <f t="array" ref="H40">LARGE(IF(Tableau6[Poste]=$F40,Tableau6[Note Globale]),2)</f>
        <v>66</v>
      </c>
      <c r="I40" s="2">
        <f t="shared" si="2"/>
        <v>63</v>
      </c>
      <c r="J40" s="2">
        <f t="shared" si="5"/>
        <v>71</v>
      </c>
      <c r="K40" s="2">
        <f t="shared" si="4"/>
        <v>75</v>
      </c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</row>
    <row r="41" spans="1:32" x14ac:dyDescent="0.25">
      <c r="A41" s="9" t="s">
        <v>39</v>
      </c>
      <c r="B41" s="2" t="s">
        <v>53</v>
      </c>
      <c r="C41" s="9">
        <v>17</v>
      </c>
      <c r="D41" s="2">
        <v>66</v>
      </c>
      <c r="F41" s="2" t="s">
        <v>58</v>
      </c>
      <c r="G41" s="2" cm="1">
        <f t="array" ref="G41">LARGE(IF(Tableau6[Poste]=$F41,Tableau6[Note Globale]),2)</f>
        <v>71</v>
      </c>
      <c r="H41" s="2" cm="1">
        <f t="array" ref="H41">LARGE(IF(Tableau6[Poste]=$F41,Tableau6[Note Globale]),4)</f>
        <v>65</v>
      </c>
      <c r="I41" s="2">
        <f t="shared" si="2"/>
        <v>62</v>
      </c>
      <c r="J41" s="2">
        <f t="shared" si="5"/>
        <v>69</v>
      </c>
      <c r="K41" s="2">
        <f t="shared" si="4"/>
        <v>73</v>
      </c>
      <c r="M41" s="3"/>
      <c r="N41" s="3"/>
      <c r="O41" s="3"/>
      <c r="P41" s="3"/>
      <c r="Q41" s="3"/>
      <c r="R41" s="3"/>
      <c r="S41" s="3"/>
      <c r="T41" s="3"/>
      <c r="U41" s="3"/>
      <c r="V41" s="3"/>
      <c r="W41" s="10"/>
      <c r="X41" s="10"/>
      <c r="Y41" s="10"/>
      <c r="Z41" s="10"/>
      <c r="AA41" s="10"/>
      <c r="AB41" s="10"/>
      <c r="AC41" s="10"/>
      <c r="AD41" s="10"/>
      <c r="AE41" s="10"/>
      <c r="AF41" s="10"/>
    </row>
    <row r="42" spans="1:32" x14ac:dyDescent="0.25">
      <c r="A42" s="9" t="s">
        <v>40</v>
      </c>
      <c r="B42" s="2" t="s">
        <v>53</v>
      </c>
      <c r="C42" s="9">
        <v>22</v>
      </c>
      <c r="D42" s="2">
        <v>67</v>
      </c>
      <c r="F42" s="2" t="s">
        <v>59</v>
      </c>
      <c r="G42" s="2" cm="1">
        <f t="array" ref="G42">LARGE(IF(Tableau6[Poste]=$F42,Tableau6[Note Globale]),1)</f>
        <v>67</v>
      </c>
      <c r="H42" s="2" t="e" cm="1">
        <f t="array" ref="H42">LARGE(IF(Tableau6[Poste]=$F42,Tableau6[Note Globale]),2)</f>
        <v>#NUM!</v>
      </c>
      <c r="I42" s="2" t="e">
        <f t="shared" si="2"/>
        <v>#NUM!</v>
      </c>
      <c r="J42" s="2" t="e">
        <f t="shared" si="5"/>
        <v>#NUM!</v>
      </c>
      <c r="K42" s="2">
        <f t="shared" si="4"/>
        <v>69</v>
      </c>
      <c r="M42" s="3"/>
      <c r="N42" s="3"/>
      <c r="O42" s="3"/>
      <c r="P42" s="3"/>
      <c r="Q42" s="3"/>
      <c r="R42" s="3"/>
      <c r="S42" s="3"/>
      <c r="T42" s="3"/>
      <c r="U42" s="3"/>
      <c r="V42" s="3"/>
      <c r="W42" s="10"/>
      <c r="X42" s="10"/>
      <c r="Y42" s="10"/>
      <c r="Z42" s="10"/>
      <c r="AA42" s="10"/>
      <c r="AB42" s="10"/>
      <c r="AC42" s="10"/>
      <c r="AD42" s="10"/>
      <c r="AE42" s="10"/>
      <c r="AF42" s="10"/>
    </row>
    <row r="43" spans="1:32" x14ac:dyDescent="0.25">
      <c r="A43" s="9" t="s">
        <v>20</v>
      </c>
      <c r="B43" s="2" t="s">
        <v>54</v>
      </c>
      <c r="C43" s="9">
        <v>24</v>
      </c>
      <c r="D43" s="2">
        <v>73</v>
      </c>
      <c r="F43" s="2" t="s">
        <v>60</v>
      </c>
      <c r="G43" s="2" cm="1">
        <f t="array" ref="G43">LARGE(IF(Tableau6[Poste]=$F43,Tableau6[Note Globale]),1)</f>
        <v>69</v>
      </c>
      <c r="H43" s="2" cm="1">
        <f t="array" ref="H43">LARGE(IF(Tableau6[Poste]=$F43,Tableau6[Note Globale]),2)</f>
        <v>69</v>
      </c>
      <c r="I43" s="2">
        <f t="shared" si="2"/>
        <v>66</v>
      </c>
      <c r="J43" s="2">
        <f t="shared" si="5"/>
        <v>69</v>
      </c>
      <c r="K43" s="2">
        <f t="shared" si="4"/>
        <v>71</v>
      </c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2" x14ac:dyDescent="0.25">
      <c r="A44" s="9" t="s">
        <v>21</v>
      </c>
      <c r="B44" s="2" t="s">
        <v>54</v>
      </c>
      <c r="C44" s="9">
        <v>29</v>
      </c>
      <c r="D44" s="2">
        <v>69</v>
      </c>
      <c r="F44" s="2" t="s">
        <v>61</v>
      </c>
      <c r="G44" s="2" cm="1">
        <f t="array" ref="G44">LARGE(IF(Tableau6[Poste]=$F44,Tableau6[Note Globale]),1)</f>
        <v>64</v>
      </c>
      <c r="H44" s="2" cm="1">
        <f t="array" ref="H44">LARGE(IF(Tableau6[Poste]=$F44,Tableau6[Note Globale]),1)</f>
        <v>64</v>
      </c>
      <c r="I44" s="2">
        <f t="shared" si="2"/>
        <v>61</v>
      </c>
      <c r="J44" s="2">
        <f t="shared" si="5"/>
        <v>64</v>
      </c>
      <c r="K44" s="2">
        <f t="shared" si="4"/>
        <v>66</v>
      </c>
      <c r="M44" s="3"/>
      <c r="N44" s="3"/>
      <c r="O44" s="3"/>
      <c r="P44" s="3"/>
      <c r="Q44" s="3"/>
      <c r="R44" s="3"/>
      <c r="S44" s="3"/>
      <c r="T44" s="3"/>
      <c r="U44" s="3"/>
      <c r="V44" s="3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x14ac:dyDescent="0.25">
      <c r="A45" s="9" t="s">
        <v>37</v>
      </c>
      <c r="B45" s="2" t="s">
        <v>54</v>
      </c>
      <c r="C45" s="9">
        <v>24</v>
      </c>
      <c r="D45" s="2">
        <v>74</v>
      </c>
      <c r="E45" s="3"/>
      <c r="F45" s="3" t="s">
        <v>62</v>
      </c>
      <c r="G45" s="2" cm="1">
        <f t="array" ref="G45">LARGE(IF(Tableau6[Poste]=$F45,Tableau6[Note Globale]),1)</f>
        <v>69</v>
      </c>
      <c r="H45" s="2" cm="1">
        <f t="array" ref="H45">LARGE(IF(Tableau6[Poste]=$F45,Tableau6[Note Globale]),2)</f>
        <v>67</v>
      </c>
      <c r="I45" s="2">
        <f t="shared" si="2"/>
        <v>64</v>
      </c>
      <c r="J45" s="2">
        <f t="shared" si="5"/>
        <v>67</v>
      </c>
      <c r="K45" s="2">
        <f t="shared" si="4"/>
        <v>71</v>
      </c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32" x14ac:dyDescent="0.25">
      <c r="A46" s="9" t="s">
        <v>22</v>
      </c>
      <c r="B46" s="2" t="s">
        <v>55</v>
      </c>
      <c r="C46" s="9">
        <v>25</v>
      </c>
      <c r="D46" s="2">
        <v>73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32" x14ac:dyDescent="0.25">
      <c r="A47" s="9" t="s">
        <v>24</v>
      </c>
      <c r="B47" s="2" t="s">
        <v>55</v>
      </c>
      <c r="C47" s="9">
        <v>29</v>
      </c>
      <c r="D47" s="2">
        <v>67</v>
      </c>
      <c r="E47" s="3"/>
      <c r="F47" s="2" t="s">
        <v>52</v>
      </c>
      <c r="G47" s="2">
        <f>AVERAGEIFS(Tableau6[Note Globale],Tableau6[Poste],F47)</f>
        <v>68.25</v>
      </c>
      <c r="H47" s="2" t="s">
        <v>63</v>
      </c>
      <c r="I47" s="2">
        <f>G47</f>
        <v>68.25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32" x14ac:dyDescent="0.25">
      <c r="A48" s="9" t="s">
        <v>25</v>
      </c>
      <c r="B48" s="2" t="s">
        <v>56</v>
      </c>
      <c r="C48" s="9">
        <v>30</v>
      </c>
      <c r="D48" s="2">
        <v>69</v>
      </c>
      <c r="E48" s="3"/>
      <c r="F48" s="2" t="s">
        <v>53</v>
      </c>
      <c r="G48" s="2">
        <f>AVERAGEIFS(Tableau6[Note Globale],Tableau6[Poste],F48)</f>
        <v>67</v>
      </c>
      <c r="H48" s="3" t="s">
        <v>64</v>
      </c>
      <c r="I48" s="10">
        <f t="array" ref="I48">AVERAGEIFS(Tableau6[Note Globale],Tableau6[Poste],{"DG";"DC";"DD"})</f>
        <v>67</v>
      </c>
      <c r="J48" s="5">
        <f>AVERAGE(D39:D47)</f>
        <v>69.333333333333329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x14ac:dyDescent="0.25">
      <c r="A49" s="9" t="s">
        <v>31</v>
      </c>
      <c r="B49" s="2" t="s">
        <v>56</v>
      </c>
      <c r="C49" s="9">
        <v>29</v>
      </c>
      <c r="D49" s="2">
        <v>67</v>
      </c>
      <c r="E49" s="3"/>
      <c r="F49" s="2" t="s">
        <v>54</v>
      </c>
      <c r="G49" s="2">
        <f>AVERAGEIFS(Tableau6[Note Globale],Tableau6[Poste],F49)</f>
        <v>72</v>
      </c>
      <c r="H49" s="3" t="s">
        <v>65</v>
      </c>
      <c r="I49" s="2">
        <f t="array" ref="I49">AVERAGEIFS(Tableau6[Note Globale],Tableau6[Poste],{"MDC";"MG";"MC";"MOC";"MD"})</f>
        <v>67</v>
      </c>
      <c r="J49" s="5">
        <f>AVERAGE(D48:D60)</f>
        <v>68.461538461538467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x14ac:dyDescent="0.25">
      <c r="A50" s="9" t="s">
        <v>35</v>
      </c>
      <c r="B50" s="2" t="s">
        <v>56</v>
      </c>
      <c r="C50" s="9">
        <v>18</v>
      </c>
      <c r="D50" s="2">
        <v>65</v>
      </c>
      <c r="E50" s="3"/>
      <c r="F50" s="2" t="s">
        <v>55</v>
      </c>
      <c r="G50" s="2">
        <f>AVERAGEIFS(Tableau6[Note Globale],Tableau6[Poste],F50)</f>
        <v>70</v>
      </c>
      <c r="H50" s="3" t="s">
        <v>66</v>
      </c>
      <c r="I50" s="2">
        <f t="array" ref="I50:I52">AVERAGEIFS(Tableau6[Note Globale],Tableau6[Poste],{"AT";"BU"})</f>
        <v>64</v>
      </c>
      <c r="J50" s="3">
        <f>AVERAGE(D61:D64)</f>
        <v>66.25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x14ac:dyDescent="0.25">
      <c r="A51" s="9" t="s">
        <v>26</v>
      </c>
      <c r="B51" s="2" t="s">
        <v>57</v>
      </c>
      <c r="C51" s="9">
        <v>18</v>
      </c>
      <c r="D51" s="2">
        <v>66</v>
      </c>
      <c r="E51" s="3"/>
      <c r="F51" s="2" t="s">
        <v>56</v>
      </c>
      <c r="G51" s="2">
        <f>AVERAGEIFS(Tableau6[Note Globale],Tableau6[Poste],F51)</f>
        <v>67</v>
      </c>
      <c r="H51" s="3"/>
      <c r="I51" s="3">
        <v>67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x14ac:dyDescent="0.25">
      <c r="A52" s="9" t="s">
        <v>42</v>
      </c>
      <c r="B52" s="2" t="s">
        <v>57</v>
      </c>
      <c r="C52" s="9">
        <v>25</v>
      </c>
      <c r="D52" s="2">
        <v>73</v>
      </c>
      <c r="E52" s="3"/>
      <c r="F52" s="2" t="s">
        <v>57</v>
      </c>
      <c r="G52" s="2">
        <f>AVERAGEIFS(Tableau6[Note Globale],Tableau6[Poste],F52)</f>
        <v>69.5</v>
      </c>
      <c r="H52" s="3"/>
      <c r="I52" s="3" t="e">
        <v>#N/A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x14ac:dyDescent="0.25">
      <c r="A53" s="9" t="s">
        <v>29</v>
      </c>
      <c r="B53" s="2" t="s">
        <v>58</v>
      </c>
      <c r="C53" s="9">
        <v>25</v>
      </c>
      <c r="D53" s="2">
        <v>67</v>
      </c>
      <c r="E53" s="3"/>
      <c r="F53" s="2" t="s">
        <v>58</v>
      </c>
      <c r="G53" s="2">
        <f>AVERAGEIFS(Tableau6[Note Globale],Tableau6[Poste],F53)</f>
        <v>69.25</v>
      </c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x14ac:dyDescent="0.25">
      <c r="A54" s="9" t="s">
        <v>30</v>
      </c>
      <c r="B54" s="2" t="s">
        <v>58</v>
      </c>
      <c r="C54" s="9">
        <v>25</v>
      </c>
      <c r="D54" s="2">
        <v>71</v>
      </c>
      <c r="E54" s="3"/>
      <c r="F54" s="2" t="s">
        <v>59</v>
      </c>
      <c r="G54" s="2">
        <f>AVERAGEIFS(Tableau6[Note Globale],Tableau6[Poste],F54)</f>
        <v>67</v>
      </c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 x14ac:dyDescent="0.25">
      <c r="A55" s="9" t="s">
        <v>36</v>
      </c>
      <c r="B55" s="2" t="s">
        <v>58</v>
      </c>
      <c r="C55" s="9">
        <v>24</v>
      </c>
      <c r="D55" s="2">
        <v>74</v>
      </c>
      <c r="E55" s="3"/>
      <c r="F55" s="2" t="s">
        <v>60</v>
      </c>
      <c r="G55" s="2">
        <f>AVERAGEIFS(Tableau6[Note Globale],Tableau6[Poste],F55)</f>
        <v>68.666666666666671</v>
      </c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</row>
    <row r="56" spans="1:22" x14ac:dyDescent="0.25">
      <c r="A56" s="9" t="s">
        <v>43</v>
      </c>
      <c r="B56" s="3" t="s">
        <v>58</v>
      </c>
      <c r="C56" s="9">
        <v>23</v>
      </c>
      <c r="D56" s="2">
        <v>65</v>
      </c>
      <c r="E56" s="3"/>
      <c r="F56" s="2" t="s">
        <v>61</v>
      </c>
      <c r="G56" s="2">
        <f>AVERAGEIFS(Tableau6[Note Globale],Tableau6[Poste],F56)</f>
        <v>64</v>
      </c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</row>
    <row r="57" spans="1:22" x14ac:dyDescent="0.25">
      <c r="A57" s="9" t="s">
        <v>19</v>
      </c>
      <c r="B57" s="2" t="s">
        <v>59</v>
      </c>
      <c r="C57" s="9">
        <v>31</v>
      </c>
      <c r="D57" s="2">
        <v>67</v>
      </c>
      <c r="E57" s="3"/>
      <c r="F57" s="3" t="s">
        <v>62</v>
      </c>
      <c r="G57" s="2">
        <f>AVERAGEIFS(Tableau6[Note Globale],Tableau6[Poste],F57)</f>
        <v>67</v>
      </c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</row>
    <row r="58" spans="1:22" x14ac:dyDescent="0.25">
      <c r="A58" s="9" t="s">
        <v>27</v>
      </c>
      <c r="B58" s="2" t="s">
        <v>60</v>
      </c>
      <c r="C58" s="9">
        <v>27</v>
      </c>
      <c r="D58" s="2">
        <v>68</v>
      </c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</row>
    <row r="59" spans="1:22" x14ac:dyDescent="0.25">
      <c r="A59" s="9" t="s">
        <v>28</v>
      </c>
      <c r="B59" s="2" t="s">
        <v>60</v>
      </c>
      <c r="C59" s="9">
        <v>18</v>
      </c>
      <c r="D59" s="2">
        <v>69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</row>
    <row r="60" spans="1:22" x14ac:dyDescent="0.25">
      <c r="A60" s="9" t="s">
        <v>38</v>
      </c>
      <c r="B60" s="2" t="s">
        <v>60</v>
      </c>
      <c r="C60" s="9">
        <v>25</v>
      </c>
      <c r="D60" s="2">
        <v>69</v>
      </c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</row>
    <row r="61" spans="1:22" x14ac:dyDescent="0.25">
      <c r="A61" s="9" t="s">
        <v>41</v>
      </c>
      <c r="B61" s="2" t="s">
        <v>61</v>
      </c>
      <c r="C61" s="9">
        <v>16</v>
      </c>
      <c r="D61" s="2">
        <v>64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</row>
    <row r="62" spans="1:22" x14ac:dyDescent="0.25">
      <c r="A62" s="9" t="s">
        <v>13</v>
      </c>
      <c r="B62" s="2" t="s">
        <v>62</v>
      </c>
      <c r="C62" s="9">
        <v>29</v>
      </c>
      <c r="D62" s="2">
        <v>69</v>
      </c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</row>
    <row r="63" spans="1:22" x14ac:dyDescent="0.25">
      <c r="A63" s="9" t="s">
        <v>15</v>
      </c>
      <c r="B63" s="2" t="s">
        <v>62</v>
      </c>
      <c r="C63" s="9">
        <v>27</v>
      </c>
      <c r="D63" s="2">
        <v>67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</row>
    <row r="64" spans="1:22" x14ac:dyDescent="0.25">
      <c r="A64" s="11" t="s">
        <v>17</v>
      </c>
      <c r="B64" s="2" t="s">
        <v>62</v>
      </c>
      <c r="C64" s="11">
        <v>29</v>
      </c>
      <c r="D64" s="2">
        <v>65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</row>
    <row r="65" spans="2:22" x14ac:dyDescent="0.25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</row>
  </sheetData>
  <conditionalFormatting sqref="H48:H61 H4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Moine</dc:creator>
  <cp:lastModifiedBy>Nicolas Moine</cp:lastModifiedBy>
  <dcterms:created xsi:type="dcterms:W3CDTF">2020-05-14T11:57:09Z</dcterms:created>
  <dcterms:modified xsi:type="dcterms:W3CDTF">2020-05-14T11:57:46Z</dcterms:modified>
</cp:coreProperties>
</file>