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s/Desktop/"/>
    </mc:Choice>
  </mc:AlternateContent>
  <xr:revisionPtr revIDLastSave="0" documentId="13_ncr:1_{B3C85FD5-E37A-804A-9FB8-8E804A17E7F2}" xr6:coauthVersionLast="45" xr6:coauthVersionMax="45" xr10:uidLastSave="{00000000-0000-0000-0000-000000000000}"/>
  <bookViews>
    <workbookView xWindow="480" yWindow="960" windowWidth="25040" windowHeight="14020" xr2:uid="{D2B22292-9559-9443-BC0D-E588FFF02375}"/>
  </bookViews>
  <sheets>
    <sheet name="BDD indiv1" sheetId="2" r:id="rId1"/>
    <sheet name="Stat saison" sheetId="1" r:id="rId2"/>
  </sheets>
  <externalReferences>
    <externalReference r:id="rId3"/>
  </externalReferences>
  <definedNames>
    <definedName name="Adversaire">'[1]BDD Match'!$A:$A</definedName>
    <definedName name="etatterrain">[1]Paramètres!$L$1:$L$5</definedName>
    <definedName name="Faitdejeu">[1]Paramètres!$P:$P</definedName>
    <definedName name="hauteur">[1]Paramètres!$I$1:$I$5</definedName>
    <definedName name="Joueurs">[1]Paramètres!$F$1:$F$22</definedName>
    <definedName name="LieuMatch">[1]Paramètres!$N$1:$N$3</definedName>
    <definedName name="Météo">[1]Paramètres!$K$1:$K$9</definedName>
    <definedName name="Nom">[1]BDD!#REF!</definedName>
    <definedName name="Noms1">[1]BDD!$A:$A</definedName>
    <definedName name="Notes">[1]Paramètres!$B$1:$B$11</definedName>
    <definedName name="Pieds1">[1]Paramètres!$C$1:$C$3</definedName>
    <definedName name="Poids1">[1]Paramètres!$E$1:$E$91</definedName>
    <definedName name="Poste">[1]Paramètres!$A:$A</definedName>
    <definedName name="Postes">[1]Paramètres!$S$1:$S$4</definedName>
    <definedName name="Secondposte">[1]Paramètres!#REF!</definedName>
    <definedName name="Taille">[1]Paramètres!$D$1:$D$109</definedName>
    <definedName name="Tempsdejeu">[1]Paramètres!$H$1:$H$110</definedName>
    <definedName name="Terrains">[1]Paramètres!$J$1:$J$4</definedName>
    <definedName name="TypeMatch">[1]Paramètres!$M$1:$M$6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0" i="1" l="1"/>
  <c r="C5" i="1"/>
  <c r="L5" i="1"/>
  <c r="O5" i="1" s="1"/>
  <c r="N5" i="1"/>
  <c r="E6" i="1"/>
  <c r="G6" i="1"/>
  <c r="L6" i="1"/>
  <c r="N6" i="1"/>
  <c r="E7" i="1"/>
  <c r="G7" i="1"/>
  <c r="L10" i="1"/>
  <c r="N10" i="1"/>
  <c r="L11" i="1"/>
  <c r="O11" i="1" s="1"/>
  <c r="N11" i="1"/>
  <c r="B13" i="1"/>
  <c r="F13" i="1"/>
  <c r="B14" i="1"/>
  <c r="C14" i="1" s="1"/>
  <c r="F14" i="1"/>
  <c r="H14" i="1"/>
  <c r="M14" i="1"/>
  <c r="M15" i="1" s="1"/>
  <c r="B15" i="1"/>
  <c r="F15" i="1"/>
  <c r="B16" i="1"/>
  <c r="C16" i="1" s="1"/>
  <c r="F16" i="1"/>
  <c r="H16" i="1" s="1"/>
  <c r="B17" i="1"/>
  <c r="F17" i="1"/>
  <c r="B18" i="1"/>
  <c r="C18" i="1" s="1"/>
  <c r="F18" i="1"/>
  <c r="H18" i="1" s="1"/>
  <c r="B19" i="1"/>
  <c r="F19" i="1"/>
  <c r="B20" i="1"/>
  <c r="C20" i="1" s="1"/>
  <c r="F20" i="1"/>
  <c r="H20" i="1" s="1"/>
  <c r="B21" i="1"/>
  <c r="F21" i="1"/>
  <c r="B22" i="1"/>
  <c r="C22" i="1" s="1"/>
  <c r="F22" i="1"/>
  <c r="H22" i="1"/>
  <c r="B23" i="1"/>
  <c r="F23" i="1"/>
  <c r="B24" i="1"/>
  <c r="C24" i="1" s="1"/>
  <c r="F24" i="1"/>
  <c r="H24" i="1" s="1"/>
  <c r="B25" i="1"/>
  <c r="F25" i="1"/>
  <c r="B26" i="1"/>
  <c r="C26" i="1" s="1"/>
  <c r="F26" i="1"/>
  <c r="H26" i="1" s="1"/>
  <c r="B27" i="1"/>
  <c r="F27" i="1"/>
  <c r="B28" i="1"/>
  <c r="C28" i="1" s="1"/>
  <c r="F28" i="1"/>
  <c r="H28" i="1" s="1"/>
  <c r="B29" i="1"/>
  <c r="F29" i="1"/>
  <c r="B30" i="1"/>
  <c r="C30" i="1"/>
  <c r="F30" i="1"/>
  <c r="H30" i="1" s="1"/>
  <c r="B31" i="1"/>
  <c r="F31" i="1"/>
  <c r="B32" i="1"/>
  <c r="C32" i="1" s="1"/>
  <c r="F32" i="1"/>
  <c r="H32" i="1" s="1"/>
  <c r="O6" i="1" l="1"/>
  <c r="O10" i="1"/>
  <c r="L14" i="1"/>
  <c r="S12" i="1" s="1"/>
  <c r="L15" i="1"/>
  <c r="M16" i="1"/>
  <c r="N14" i="1" l="1"/>
  <c r="S13" i="1"/>
  <c r="L16" i="1"/>
  <c r="N16" i="1" s="1"/>
  <c r="M17" i="1"/>
  <c r="N15" i="1"/>
  <c r="L17" i="1" l="1"/>
  <c r="N17" i="1" s="1"/>
  <c r="M18" i="1"/>
  <c r="M19" i="1" l="1"/>
  <c r="L18" i="1"/>
  <c r="N18" i="1" s="1"/>
  <c r="L19" i="1" l="1"/>
  <c r="N19" i="1" s="1"/>
  <c r="M20" i="1"/>
  <c r="L20" i="1" l="1"/>
  <c r="N20" i="1" s="1"/>
  <c r="M21" i="1"/>
  <c r="L21" i="1" l="1"/>
  <c r="N21" i="1" s="1"/>
  <c r="M22" i="1"/>
  <c r="M23" i="1" l="1"/>
  <c r="L22" i="1"/>
  <c r="N22" i="1" s="1"/>
  <c r="L23" i="1" l="1"/>
  <c r="N23" i="1" s="1"/>
  <c r="M24" i="1"/>
  <c r="L24" i="1" l="1"/>
  <c r="N24" i="1" s="1"/>
  <c r="M25" i="1"/>
  <c r="L25" i="1" l="1"/>
  <c r="N25" i="1" s="1"/>
  <c r="M26" i="1"/>
  <c r="M27" i="1" l="1"/>
  <c r="L26" i="1"/>
  <c r="N26" i="1" s="1"/>
  <c r="L27" i="1" l="1"/>
  <c r="N27" i="1" s="1"/>
  <c r="M28" i="1"/>
  <c r="N30" i="1" l="1"/>
  <c r="N31" i="1" s="1"/>
  <c r="L28" i="1"/>
  <c r="N28" i="1" s="1"/>
  <c r="M31" i="1" l="1"/>
  <c r="M32" i="1"/>
  <c r="M33" i="1" l="1"/>
  <c r="L33" i="1" s="1"/>
  <c r="L32" i="1"/>
</calcChain>
</file>

<file path=xl/sharedStrings.xml><?xml version="1.0" encoding="utf-8"?>
<sst xmlns="http://schemas.openxmlformats.org/spreadsheetml/2006/main" count="371" uniqueCount="104">
  <si>
    <t>Passe</t>
  </si>
  <si>
    <t>/match</t>
  </si>
  <si>
    <t>Temps de jeu</t>
  </si>
  <si>
    <t xml:space="preserve">Adversaires </t>
  </si>
  <si>
    <t>Reçu</t>
  </si>
  <si>
    <t>Passe vers</t>
  </si>
  <si>
    <t>Simon</t>
  </si>
  <si>
    <t>Vali</t>
  </si>
  <si>
    <t>Joueurs</t>
  </si>
  <si>
    <t>Romain</t>
  </si>
  <si>
    <t>Championnat</t>
  </si>
  <si>
    <t xml:space="preserve">Nombre de match </t>
  </si>
  <si>
    <t xml:space="preserve">Total </t>
  </si>
  <si>
    <t>Anthony</t>
  </si>
  <si>
    <t>Joueur</t>
  </si>
  <si>
    <t>STATISTIQUES SAISON</t>
  </si>
  <si>
    <t>RE3</t>
  </si>
  <si>
    <t>Orageux</t>
  </si>
  <si>
    <t>Mauvais</t>
  </si>
  <si>
    <t>Hybride</t>
  </si>
  <si>
    <t>17h00</t>
  </si>
  <si>
    <t xml:space="preserve">Moyen </t>
  </si>
  <si>
    <t xml:space="preserve">Extérieur </t>
  </si>
  <si>
    <t xml:space="preserve">Bordeaux </t>
  </si>
  <si>
    <t>Jessy</t>
  </si>
  <si>
    <t>RE2</t>
  </si>
  <si>
    <t>Antoine</t>
  </si>
  <si>
    <t>RE1</t>
  </si>
  <si>
    <t>Maxime</t>
  </si>
  <si>
    <t>MG</t>
  </si>
  <si>
    <t>Lukas</t>
  </si>
  <si>
    <t>ATD</t>
  </si>
  <si>
    <t>ATG</t>
  </si>
  <si>
    <t>MCG</t>
  </si>
  <si>
    <t>Alexi</t>
  </si>
  <si>
    <t>MD</t>
  </si>
  <si>
    <t>Tango</t>
  </si>
  <si>
    <t>MCD</t>
  </si>
  <si>
    <t>Alfa</t>
  </si>
  <si>
    <t>DCD</t>
  </si>
  <si>
    <t>DCG</t>
  </si>
  <si>
    <t>DG</t>
  </si>
  <si>
    <t>Raph</t>
  </si>
  <si>
    <t>DD</t>
  </si>
  <si>
    <t>Lucas</t>
  </si>
  <si>
    <t>GB</t>
  </si>
  <si>
    <t>Kevin</t>
  </si>
  <si>
    <t>Soleil</t>
  </si>
  <si>
    <t>Bon</t>
  </si>
  <si>
    <t>Synthétique</t>
  </si>
  <si>
    <t>20h00</t>
  </si>
  <si>
    <t>Coupe de France</t>
  </si>
  <si>
    <t>Bas</t>
  </si>
  <si>
    <t>Lyon</t>
  </si>
  <si>
    <t xml:space="preserve">Pluvieux </t>
  </si>
  <si>
    <t>Très bon</t>
  </si>
  <si>
    <t xml:space="preserve">Herbe </t>
  </si>
  <si>
    <t>19h00</t>
  </si>
  <si>
    <t xml:space="preserve">Domicile </t>
  </si>
  <si>
    <t>Montpellier</t>
  </si>
  <si>
    <t>Bryan</t>
  </si>
  <si>
    <t>Hakim</t>
  </si>
  <si>
    <t>Omar</t>
  </si>
  <si>
    <t>Nicolas</t>
  </si>
  <si>
    <t>Postes</t>
  </si>
  <si>
    <t>Météo</t>
  </si>
  <si>
    <t>État</t>
  </si>
  <si>
    <t>Terrain</t>
  </si>
  <si>
    <t>Heure</t>
  </si>
  <si>
    <t xml:space="preserve">Date </t>
  </si>
  <si>
    <t>Match</t>
  </si>
  <si>
    <t>Hauteur Bloc</t>
  </si>
  <si>
    <t>Compo</t>
  </si>
  <si>
    <t>Lieu</t>
  </si>
  <si>
    <t>Adversaire</t>
  </si>
  <si>
    <t>Hors Jeu</t>
  </si>
  <si>
    <t>Total TDJ</t>
  </si>
  <si>
    <t>Faute Sub</t>
  </si>
  <si>
    <t>Faute Com</t>
  </si>
  <si>
    <t>Carton Rouge</t>
  </si>
  <si>
    <t>Carton Jaune</t>
  </si>
  <si>
    <t>But</t>
  </si>
  <si>
    <t>Passe Déc</t>
  </si>
  <si>
    <t>Tir HC</t>
  </si>
  <si>
    <t>Tir Cadré</t>
  </si>
  <si>
    <t>Trajectoire Coupé</t>
  </si>
  <si>
    <t>Récupération</t>
  </si>
  <si>
    <t>Interception</t>
  </si>
  <si>
    <t>Duel Perdu</t>
  </si>
  <si>
    <t>Duel Gagné</t>
  </si>
  <si>
    <t>Ballon Perdu</t>
  </si>
  <si>
    <t xml:space="preserve">Dégagement </t>
  </si>
  <si>
    <t xml:space="preserve">Passe loupé </t>
  </si>
  <si>
    <t xml:space="preserve">Passe réussi </t>
  </si>
  <si>
    <t>Ballon Touchés</t>
  </si>
  <si>
    <t xml:space="preserve">Joueur </t>
  </si>
  <si>
    <t>SOMME.SI.ENS(INDEX('BDD indiv1'!1:1048576;;EQUIV(B34;'BDD indiv1'!1:1;0));'BDD indiv1'!W:W;'Stat saison'!S12;'BDD indiv1'!A:A;'Stat saison'!C6:D6)</t>
  </si>
  <si>
    <t>EQUIV(B34;'BDD indiv1'!1:1;0)</t>
  </si>
  <si>
    <t xml:space="preserve">&lt;--- En fonction de cette liste déroulante </t>
  </si>
  <si>
    <t xml:space="preserve">Passe réussie </t>
  </si>
  <si>
    <t>Ballon touchés</t>
  </si>
  <si>
    <t>Dégagement</t>
  </si>
  <si>
    <t>En fonction du match (Montpellier S12) et du joueur (Romain C6)</t>
  </si>
  <si>
    <t>Stat séléctionnée dans la liste déroulante (B34)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</si>
</sst>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24"/>
      <color theme="1"/>
      <name val="Calibri (Corps)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2" borderId="0" xfId="0" applyFill="1"/>
    <xf numFmtId="164" fontId="2" fillId="2" borderId="0" xfId="0" applyNumberFormat="1" applyFont="1" applyFill="1" applyAlignment="1">
      <alignment horizontal="right"/>
    </xf>
    <xf numFmtId="164" fontId="2" fillId="4" borderId="0" xfId="0" applyNumberFormat="1" applyFont="1" applyFill="1" applyAlignment="1">
      <alignment horizontal="right"/>
    </xf>
    <xf numFmtId="164" fontId="0" fillId="2" borderId="0" xfId="0" applyNumberFormat="1" applyFill="1"/>
    <xf numFmtId="1" fontId="3" fillId="4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2" fontId="2" fillId="2" borderId="0" xfId="0" applyNumberFormat="1" applyFont="1" applyFill="1" applyAlignment="1">
      <alignment horizontal="right"/>
    </xf>
    <xf numFmtId="2" fontId="2" fillId="4" borderId="0" xfId="0" applyNumberFormat="1" applyFont="1" applyFill="1" applyAlignment="1">
      <alignment horizontal="right"/>
    </xf>
    <xf numFmtId="2" fontId="0" fillId="2" borderId="0" xfId="0" applyNumberFormat="1" applyFill="1"/>
    <xf numFmtId="0" fontId="3" fillId="4" borderId="0" xfId="0" applyFont="1" applyFill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2" borderId="11" xfId="0" applyFill="1" applyBorder="1"/>
    <xf numFmtId="0" fontId="0" fillId="0" borderId="12" xfId="1" applyNumberFormat="1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4" borderId="4" xfId="0" applyFill="1" applyBorder="1"/>
    <xf numFmtId="0" fontId="0" fillId="4" borderId="0" xfId="0" applyFill="1"/>
    <xf numFmtId="0" fontId="0" fillId="4" borderId="5" xfId="0" applyFill="1" applyBorder="1"/>
    <xf numFmtId="0" fontId="0" fillId="2" borderId="16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4" fillId="0" borderId="0" xfId="0" applyFont="1" applyAlignment="1">
      <alignment horizontal="right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2" borderId="0" xfId="0" applyFill="1" applyAlignment="1">
      <alignment horizontal="center"/>
    </xf>
    <xf numFmtId="165" fontId="0" fillId="0" borderId="12" xfId="1" applyNumberFormat="1" applyFont="1" applyBorder="1"/>
    <xf numFmtId="0" fontId="0" fillId="2" borderId="10" xfId="0" applyFill="1" applyBorder="1"/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4" fontId="0" fillId="0" borderId="0" xfId="0" applyNumberFormat="1"/>
    <xf numFmtId="0" fontId="8" fillId="2" borderId="0" xfId="0" applyFont="1" applyFill="1"/>
    <xf numFmtId="0" fontId="6" fillId="0" borderId="0" xfId="0" applyFont="1"/>
    <xf numFmtId="0" fontId="0" fillId="2" borderId="28" xfId="0" applyFill="1" applyBorder="1"/>
    <xf numFmtId="1" fontId="3" fillId="4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/>
    </xf>
    <xf numFmtId="0" fontId="7" fillId="3" borderId="30" xfId="0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2" fontId="3" fillId="4" borderId="0" xfId="0" applyNumberFormat="1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4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/Users/lucas/Pictures/Photo%20Excel%20/Romain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12700</xdr:colOff>
      <xdr:row>4</xdr:row>
      <xdr:rowOff>12700</xdr:rowOff>
    </xdr:from>
    <xdr:ext cx="1418828" cy="1845837"/>
    <xdr:pic>
      <xdr:nvPicPr>
        <xdr:cNvPr id="2" name="Joueur1">
          <a:extLst>
            <a:ext uri="{FF2B5EF4-FFF2-40B4-BE49-F238E27FC236}">
              <a16:creationId xmlns:a16="http://schemas.microsoft.com/office/drawing/2014/main" id="{BCB60D27-7567-7D43-A630-7B49E0C0E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838200" y="825500"/>
          <a:ext cx="1418828" cy="184583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bservation%20match%20pro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"/>
      <sheetName val="BDD"/>
      <sheetName val="Feuille Bilan"/>
      <sheetName val="Comparaison"/>
      <sheetName val="Passe"/>
      <sheetName val="Nombre de passe"/>
      <sheetName val="Stat indiv"/>
      <sheetName val="Stat indiv 1"/>
      <sheetName val="Stat match"/>
      <sheetName val="BDD indiv1"/>
      <sheetName val="BDD indiv "/>
      <sheetName val="BDD Match"/>
      <sheetName val="Résumé match"/>
      <sheetName val="Stat match équipe"/>
      <sheetName val="Stat saison"/>
      <sheetName val="Stat match individuel"/>
      <sheetName val="Composition équipe "/>
      <sheetName val="Paramètres"/>
    </sheetNames>
    <sheetDataSet>
      <sheetData sheetId="0" refreshError="1"/>
      <sheetData sheetId="1">
        <row r="1">
          <cell r="A1" t="str">
            <v>Nom</v>
          </cell>
        </row>
        <row r="2">
          <cell r="A2" t="str">
            <v>Pigeroulet</v>
          </cell>
        </row>
        <row r="3">
          <cell r="A3" t="str">
            <v>GREGoire</v>
          </cell>
        </row>
        <row r="4">
          <cell r="A4" t="str">
            <v>Pifh</v>
          </cell>
        </row>
        <row r="5">
          <cell r="A5" t="str">
            <v>Thomas</v>
          </cell>
        </row>
        <row r="6">
          <cell r="A6" t="str">
            <v>Maschino</v>
          </cell>
        </row>
        <row r="7">
          <cell r="A7" t="str">
            <v>Poste</v>
          </cell>
        </row>
        <row r="8">
          <cell r="A8" t="str">
            <v>TYH</v>
          </cell>
        </row>
        <row r="9">
          <cell r="A9" t="str">
            <v xml:space="preserve">Florindo </v>
          </cell>
        </row>
        <row r="10">
          <cell r="A10" t="str">
            <v>Gameiro</v>
          </cell>
        </row>
        <row r="11">
          <cell r="A11" t="str">
            <v>PIGeroulet 1</v>
          </cell>
        </row>
        <row r="12">
          <cell r="A12" t="str">
            <v>Valentin</v>
          </cell>
        </row>
        <row r="13">
          <cell r="A13" t="str">
            <v>Pigeroulet</v>
          </cell>
        </row>
        <row r="14">
          <cell r="A14" t="str">
            <v>De Biasio</v>
          </cell>
        </row>
        <row r="15">
          <cell r="A15" t="str">
            <v>Moritz</v>
          </cell>
        </row>
        <row r="16">
          <cell r="A16" t="str">
            <v>Glavasevic</v>
          </cell>
        </row>
        <row r="17">
          <cell r="A17" t="str">
            <v>Lucas</v>
          </cell>
        </row>
        <row r="18">
          <cell r="A18" t="str">
            <v>AMAMA</v>
          </cell>
        </row>
        <row r="19">
          <cell r="A19" t="str">
            <v>Oui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1">
          <cell r="A1" t="str">
            <v>Adversaire</v>
          </cell>
        </row>
        <row r="2">
          <cell r="A2" t="str">
            <v>Suisse</v>
          </cell>
        </row>
        <row r="3">
          <cell r="A3" t="str">
            <v xml:space="preserve">Argentine </v>
          </cell>
        </row>
        <row r="4">
          <cell r="A4" t="str">
            <v>Uruguay</v>
          </cell>
        </row>
        <row r="5">
          <cell r="A5" t="str">
            <v>France</v>
          </cell>
        </row>
        <row r="6">
          <cell r="A6" t="str">
            <v>OL</v>
          </cell>
        </row>
        <row r="7">
          <cell r="A7" t="str">
            <v>Strasbourg</v>
          </cell>
        </row>
        <row r="8">
          <cell r="A8" t="str">
            <v>Islande</v>
          </cell>
        </row>
        <row r="9">
          <cell r="A9" t="str">
            <v>Racing Strasbourg</v>
          </cell>
        </row>
        <row r="10">
          <cell r="A10" t="str">
            <v>Marseille</v>
          </cell>
        </row>
        <row r="11">
          <cell r="A11" t="str">
            <v>Test</v>
          </cell>
        </row>
        <row r="12">
          <cell r="A12" t="str">
            <v>Allemagne</v>
          </cell>
        </row>
        <row r="13">
          <cell r="A13" t="str">
            <v>Espagne</v>
          </cell>
        </row>
        <row r="14">
          <cell r="A14" t="str">
            <v>Espagne1</v>
          </cell>
        </row>
        <row r="15">
          <cell r="A15" t="str">
            <v>Montpellier</v>
          </cell>
        </row>
        <row r="16">
          <cell r="A16" t="str">
            <v xml:space="preserve">Bordeaux 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Gardien</v>
          </cell>
          <cell r="B1">
            <v>0</v>
          </cell>
          <cell r="C1" t="str">
            <v>Droit</v>
          </cell>
          <cell r="D1" t="str">
            <v>1m10</v>
          </cell>
          <cell r="E1" t="str">
            <v>30 kg</v>
          </cell>
          <cell r="F1" t="str">
            <v>Kevin</v>
          </cell>
          <cell r="G1" t="str">
            <v>ITZEL</v>
          </cell>
          <cell r="H1">
            <v>1</v>
          </cell>
          <cell r="I1" t="str">
            <v>Très bas</v>
          </cell>
          <cell r="J1" t="str">
            <v xml:space="preserve">Synthétique </v>
          </cell>
          <cell r="K1" t="str">
            <v>Nuageux</v>
          </cell>
          <cell r="L1" t="str">
            <v>Très bon</v>
          </cell>
          <cell r="M1" t="str">
            <v>Championnat</v>
          </cell>
          <cell r="N1" t="str">
            <v xml:space="preserve">Domicile </v>
          </cell>
          <cell r="P1" t="str">
            <v>Ballon Touchés</v>
          </cell>
          <cell r="S1" t="str">
            <v>ATT</v>
          </cell>
        </row>
        <row r="2">
          <cell r="A2" t="str">
            <v xml:space="preserve">Latéral Gauche </v>
          </cell>
          <cell r="B2">
            <v>1</v>
          </cell>
          <cell r="C2" t="str">
            <v>Gauche</v>
          </cell>
          <cell r="D2" t="str">
            <v>1m11</v>
          </cell>
          <cell r="E2" t="str">
            <v>31 kg</v>
          </cell>
          <cell r="F2" t="str">
            <v>Romain</v>
          </cell>
          <cell r="G2" t="str">
            <v>FLORINDO</v>
          </cell>
          <cell r="H2">
            <v>2</v>
          </cell>
          <cell r="I2" t="str">
            <v>Bas</v>
          </cell>
          <cell r="J2" t="str">
            <v xml:space="preserve">Herbe </v>
          </cell>
          <cell r="K2" t="str">
            <v>Soleil</v>
          </cell>
          <cell r="L2" t="str">
            <v xml:space="preserve">Bon </v>
          </cell>
          <cell r="M2" t="str">
            <v>Coupe de France</v>
          </cell>
          <cell r="N2" t="str">
            <v xml:space="preserve">Extérieur </v>
          </cell>
          <cell r="P2" t="str">
            <v>Passe</v>
          </cell>
          <cell r="S2" t="str">
            <v>DEF</v>
          </cell>
        </row>
        <row r="3">
          <cell r="A3" t="str">
            <v>Défenseur Central</v>
          </cell>
          <cell r="B3">
            <v>2</v>
          </cell>
          <cell r="C3" t="str">
            <v>Les deux</v>
          </cell>
          <cell r="D3" t="str">
            <v>1m12</v>
          </cell>
          <cell r="E3" t="str">
            <v>32 kg</v>
          </cell>
          <cell r="F3" t="str">
            <v>Lucas</v>
          </cell>
          <cell r="G3" t="str">
            <v>STOLTZ</v>
          </cell>
          <cell r="H3">
            <v>3</v>
          </cell>
          <cell r="I3" t="str">
            <v xml:space="preserve">Moyen </v>
          </cell>
          <cell r="J3" t="str">
            <v>Hybride</v>
          </cell>
          <cell r="K3" t="str">
            <v xml:space="preserve">Canicule </v>
          </cell>
          <cell r="L3" t="str">
            <v>Moyen</v>
          </cell>
          <cell r="M3" t="str">
            <v>Coupe Grand Est</v>
          </cell>
          <cell r="N3" t="str">
            <v>Neutre</v>
          </cell>
          <cell r="P3" t="str">
            <v xml:space="preserve">Passe réussi </v>
          </cell>
          <cell r="S3" t="str">
            <v>MIL</v>
          </cell>
        </row>
        <row r="4">
          <cell r="A4" t="str">
            <v xml:space="preserve">Latéral Droit </v>
          </cell>
          <cell r="B4">
            <v>3</v>
          </cell>
          <cell r="D4" t="str">
            <v>1m13</v>
          </cell>
          <cell r="E4" t="str">
            <v>33 kg</v>
          </cell>
          <cell r="F4" t="str">
            <v>Simon</v>
          </cell>
          <cell r="G4" t="str">
            <v>BALL</v>
          </cell>
          <cell r="H4">
            <v>4</v>
          </cell>
          <cell r="I4" t="str">
            <v xml:space="preserve">Haut </v>
          </cell>
          <cell r="J4" t="str">
            <v>Autres</v>
          </cell>
          <cell r="K4" t="str">
            <v xml:space="preserve">Pluvieux </v>
          </cell>
          <cell r="L4" t="str">
            <v>Mauvais</v>
          </cell>
          <cell r="M4" t="str">
            <v>Coupe Crédit Mutuel</v>
          </cell>
          <cell r="P4" t="str">
            <v xml:space="preserve">Passe loupé </v>
          </cell>
          <cell r="S4" t="str">
            <v>GB</v>
          </cell>
        </row>
        <row r="5">
          <cell r="A5" t="str">
            <v>Milieu Défensif</v>
          </cell>
          <cell r="B5">
            <v>4</v>
          </cell>
          <cell r="D5" t="str">
            <v>1m14</v>
          </cell>
          <cell r="E5" t="str">
            <v>34 kg</v>
          </cell>
          <cell r="F5" t="str">
            <v>Maxime</v>
          </cell>
          <cell r="G5" t="str">
            <v>DEBES</v>
          </cell>
          <cell r="H5">
            <v>5</v>
          </cell>
          <cell r="I5" t="str">
            <v>Très haut</v>
          </cell>
          <cell r="K5" t="str">
            <v>Orageux</v>
          </cell>
          <cell r="L5" t="str">
            <v xml:space="preserve">Très mauvais </v>
          </cell>
          <cell r="M5" t="str">
            <v xml:space="preserve">Match Amical </v>
          </cell>
          <cell r="P5" t="str">
            <v xml:space="preserve">Dégagement </v>
          </cell>
        </row>
        <row r="6">
          <cell r="A6" t="str">
            <v>Milieu Central</v>
          </cell>
          <cell r="B6">
            <v>5</v>
          </cell>
          <cell r="D6" t="str">
            <v>1m15</v>
          </cell>
          <cell r="E6" t="str">
            <v>35 kg</v>
          </cell>
          <cell r="F6" t="str">
            <v>Anthony</v>
          </cell>
          <cell r="G6" t="str">
            <v>GUISSON</v>
          </cell>
          <cell r="H6">
            <v>6</v>
          </cell>
          <cell r="K6" t="str">
            <v>Tempête</v>
          </cell>
          <cell r="M6" t="str">
            <v>Autres</v>
          </cell>
          <cell r="P6" t="str">
            <v>Ballon Perdu</v>
          </cell>
        </row>
        <row r="7">
          <cell r="A7" t="str">
            <v xml:space="preserve">Milieu Offensif Central </v>
          </cell>
          <cell r="B7">
            <v>6</v>
          </cell>
          <cell r="D7" t="str">
            <v>1m16</v>
          </cell>
          <cell r="E7" t="str">
            <v>36 kg</v>
          </cell>
          <cell r="F7" t="str">
            <v xml:space="preserve">Murat </v>
          </cell>
          <cell r="G7" t="str">
            <v>KAHVECI</v>
          </cell>
          <cell r="H7">
            <v>7</v>
          </cell>
          <cell r="K7" t="str">
            <v>Neige</v>
          </cell>
          <cell r="P7" t="str">
            <v>Duel Gagné</v>
          </cell>
        </row>
        <row r="8">
          <cell r="A8" t="str">
            <v xml:space="preserve">Milieur relayeur </v>
          </cell>
          <cell r="B8">
            <v>7</v>
          </cell>
          <cell r="D8" t="str">
            <v>1m17</v>
          </cell>
          <cell r="E8" t="str">
            <v>37 kg</v>
          </cell>
          <cell r="F8" t="str">
            <v>Alexi</v>
          </cell>
          <cell r="G8" t="str">
            <v>DJILALLI</v>
          </cell>
          <cell r="H8">
            <v>8</v>
          </cell>
          <cell r="K8" t="str">
            <v xml:space="preserve">Vent </v>
          </cell>
          <cell r="P8" t="str">
            <v>Duel Perdu</v>
          </cell>
        </row>
        <row r="9">
          <cell r="A9" t="str">
            <v>Milieu Droit</v>
          </cell>
          <cell r="B9">
            <v>8</v>
          </cell>
          <cell r="D9" t="str">
            <v>1m18</v>
          </cell>
          <cell r="E9" t="str">
            <v>38 kg</v>
          </cell>
          <cell r="F9" t="str">
            <v>Omar</v>
          </cell>
          <cell r="G9" t="str">
            <v>ABDELLOUI</v>
          </cell>
          <cell r="H9">
            <v>9</v>
          </cell>
          <cell r="K9" t="str">
            <v>Froid</v>
          </cell>
          <cell r="P9" t="str">
            <v>Interception</v>
          </cell>
        </row>
        <row r="10">
          <cell r="A10" t="str">
            <v>Milieu Gauche</v>
          </cell>
          <cell r="B10">
            <v>9</v>
          </cell>
          <cell r="D10" t="str">
            <v>1m19</v>
          </cell>
          <cell r="E10" t="str">
            <v>39 kg</v>
          </cell>
          <cell r="F10" t="str">
            <v>Hakim</v>
          </cell>
          <cell r="G10" t="str">
            <v>OUARRANE</v>
          </cell>
          <cell r="H10">
            <v>10</v>
          </cell>
          <cell r="P10" t="str">
            <v>Récupération</v>
          </cell>
        </row>
        <row r="11">
          <cell r="A11" t="str">
            <v>Ailier Droit</v>
          </cell>
          <cell r="B11">
            <v>10</v>
          </cell>
          <cell r="D11" t="str">
            <v>1m20</v>
          </cell>
          <cell r="E11" t="str">
            <v>40 kg</v>
          </cell>
          <cell r="F11" t="str">
            <v>Raph</v>
          </cell>
          <cell r="G11" t="str">
            <v>KISTLER</v>
          </cell>
          <cell r="H11">
            <v>11</v>
          </cell>
          <cell r="P11" t="str">
            <v>Trajectoire</v>
          </cell>
        </row>
        <row r="12">
          <cell r="A12" t="str">
            <v>Ailier Gauche</v>
          </cell>
          <cell r="D12" t="str">
            <v>1m21</v>
          </cell>
          <cell r="E12" t="str">
            <v>41 kg</v>
          </cell>
          <cell r="F12" t="str">
            <v>Rayan</v>
          </cell>
          <cell r="G12" t="str">
            <v>LOUIS</v>
          </cell>
          <cell r="H12">
            <v>12</v>
          </cell>
          <cell r="P12" t="str">
            <v>Tir Cadré</v>
          </cell>
        </row>
        <row r="13">
          <cell r="A13" t="str">
            <v xml:space="preserve">Attaquant Gauche </v>
          </cell>
          <cell r="D13" t="str">
            <v>1m22</v>
          </cell>
          <cell r="E13" t="str">
            <v>42 kg</v>
          </cell>
          <cell r="F13" t="str">
            <v>Lukas</v>
          </cell>
          <cell r="G13" t="str">
            <v>KISTLER</v>
          </cell>
          <cell r="H13">
            <v>13</v>
          </cell>
          <cell r="P13" t="str">
            <v>Tir HC</v>
          </cell>
        </row>
        <row r="14">
          <cell r="A14" t="str">
            <v xml:space="preserve">Attaquant Droit </v>
          </cell>
          <cell r="D14" t="str">
            <v>1m23</v>
          </cell>
          <cell r="E14" t="str">
            <v>43 kg</v>
          </cell>
          <cell r="F14" t="str">
            <v>Tango</v>
          </cell>
          <cell r="G14" t="str">
            <v>GARMI</v>
          </cell>
          <cell r="H14">
            <v>14</v>
          </cell>
          <cell r="P14" t="str">
            <v>Passe Décisive</v>
          </cell>
        </row>
        <row r="15">
          <cell r="A15" t="str">
            <v xml:space="preserve">Buteur </v>
          </cell>
          <cell r="D15" t="str">
            <v>1m24</v>
          </cell>
          <cell r="E15" t="str">
            <v>44 kg</v>
          </cell>
          <cell r="F15" t="str">
            <v>Tanguy</v>
          </cell>
          <cell r="G15" t="str">
            <v>MECKES</v>
          </cell>
          <cell r="H15">
            <v>15</v>
          </cell>
          <cell r="P15" t="str">
            <v>But</v>
          </cell>
        </row>
        <row r="16">
          <cell r="D16" t="str">
            <v>1m25</v>
          </cell>
          <cell r="E16" t="str">
            <v>45 kg</v>
          </cell>
          <cell r="F16" t="str">
            <v>Nicolas</v>
          </cell>
          <cell r="G16" t="str">
            <v>NIPPERT</v>
          </cell>
          <cell r="H16">
            <v>16</v>
          </cell>
          <cell r="P16" t="str">
            <v>Carton Jaune</v>
          </cell>
        </row>
        <row r="17">
          <cell r="D17" t="str">
            <v>1m26</v>
          </cell>
          <cell r="E17" t="str">
            <v>46 kg</v>
          </cell>
          <cell r="F17" t="str">
            <v>Alfa</v>
          </cell>
          <cell r="G17" t="str">
            <v>Nicolas</v>
          </cell>
          <cell r="H17">
            <v>17</v>
          </cell>
          <cell r="P17" t="str">
            <v>Carton Rouge</v>
          </cell>
        </row>
        <row r="18">
          <cell r="D18" t="str">
            <v>1m27</v>
          </cell>
          <cell r="E18" t="str">
            <v>47 kg</v>
          </cell>
          <cell r="F18" t="str">
            <v>Vali</v>
          </cell>
          <cell r="G18" t="str">
            <v>ROOS</v>
          </cell>
          <cell r="H18">
            <v>18</v>
          </cell>
          <cell r="P18" t="str">
            <v>Faute Commise</v>
          </cell>
        </row>
        <row r="19">
          <cell r="D19" t="str">
            <v>1m28</v>
          </cell>
          <cell r="E19" t="str">
            <v>48 kg</v>
          </cell>
          <cell r="F19" t="str">
            <v>Antoine</v>
          </cell>
          <cell r="G19" t="str">
            <v>STEIN</v>
          </cell>
          <cell r="H19">
            <v>19</v>
          </cell>
          <cell r="P19" t="str">
            <v>Faute Sub</v>
          </cell>
        </row>
        <row r="20">
          <cell r="D20" t="str">
            <v>1m29</v>
          </cell>
          <cell r="E20" t="str">
            <v>49 kg</v>
          </cell>
          <cell r="F20" t="str">
            <v>Bryan</v>
          </cell>
          <cell r="G20" t="str">
            <v>ADAM</v>
          </cell>
          <cell r="H20">
            <v>20</v>
          </cell>
          <cell r="P20" t="str">
            <v>Total TDJ</v>
          </cell>
        </row>
        <row r="21">
          <cell r="D21" t="str">
            <v>1m30</v>
          </cell>
          <cell r="E21" t="str">
            <v>50 kg</v>
          </cell>
          <cell r="F21" t="str">
            <v>Jessy</v>
          </cell>
          <cell r="G21" t="str">
            <v>BEY</v>
          </cell>
          <cell r="H21">
            <v>21</v>
          </cell>
          <cell r="P21" t="str">
            <v>Hors Jeu</v>
          </cell>
        </row>
        <row r="22">
          <cell r="D22" t="str">
            <v>1m31</v>
          </cell>
          <cell r="E22" t="str">
            <v>51 kg</v>
          </cell>
          <cell r="F22" t="str">
            <v>Jordan</v>
          </cell>
          <cell r="G22" t="str">
            <v>SCHOEFFOELDT</v>
          </cell>
          <cell r="H22">
            <v>22</v>
          </cell>
        </row>
        <row r="23">
          <cell r="D23" t="str">
            <v>1m32</v>
          </cell>
          <cell r="E23" t="str">
            <v>52 kg</v>
          </cell>
          <cell r="H23">
            <v>23</v>
          </cell>
        </row>
        <row r="24">
          <cell r="D24" t="str">
            <v>1m33</v>
          </cell>
          <cell r="E24" t="str">
            <v>53 kg</v>
          </cell>
          <cell r="H24">
            <v>24</v>
          </cell>
        </row>
        <row r="25">
          <cell r="D25" t="str">
            <v>1m34</v>
          </cell>
          <cell r="E25" t="str">
            <v>54 kg</v>
          </cell>
          <cell r="H25">
            <v>25</v>
          </cell>
        </row>
        <row r="26">
          <cell r="D26" t="str">
            <v>1m35</v>
          </cell>
          <cell r="E26" t="str">
            <v>55 kg</v>
          </cell>
          <cell r="H26">
            <v>26</v>
          </cell>
        </row>
        <row r="27">
          <cell r="D27" t="str">
            <v>1m36</v>
          </cell>
          <cell r="E27" t="str">
            <v>56 kg</v>
          </cell>
          <cell r="H27">
            <v>27</v>
          </cell>
        </row>
        <row r="28">
          <cell r="D28" t="str">
            <v>1m37</v>
          </cell>
          <cell r="E28" t="str">
            <v>57 kg</v>
          </cell>
          <cell r="H28">
            <v>28</v>
          </cell>
        </row>
        <row r="29">
          <cell r="D29" t="str">
            <v>1m38</v>
          </cell>
          <cell r="E29" t="str">
            <v>58 kg</v>
          </cell>
          <cell r="H29">
            <v>29</v>
          </cell>
        </row>
        <row r="30">
          <cell r="D30" t="str">
            <v>1m39</v>
          </cell>
          <cell r="E30" t="str">
            <v>59 kg</v>
          </cell>
          <cell r="H30">
            <v>30</v>
          </cell>
        </row>
        <row r="31">
          <cell r="D31" t="str">
            <v>1m40</v>
          </cell>
          <cell r="E31" t="str">
            <v>60 kg</v>
          </cell>
          <cell r="H31">
            <v>31</v>
          </cell>
        </row>
        <row r="32">
          <cell r="D32" t="str">
            <v>1m41</v>
          </cell>
          <cell r="E32" t="str">
            <v>61 kg</v>
          </cell>
          <cell r="H32">
            <v>32</v>
          </cell>
        </row>
        <row r="33">
          <cell r="D33" t="str">
            <v>1m42</v>
          </cell>
          <cell r="E33" t="str">
            <v>62 kg</v>
          </cell>
          <cell r="H33">
            <v>33</v>
          </cell>
        </row>
        <row r="34">
          <cell r="D34" t="str">
            <v>1m43</v>
          </cell>
          <cell r="E34" t="str">
            <v>63 kg</v>
          </cell>
          <cell r="H34">
            <v>34</v>
          </cell>
        </row>
        <row r="35">
          <cell r="D35" t="str">
            <v>1m44</v>
          </cell>
          <cell r="E35" t="str">
            <v>64 kg</v>
          </cell>
          <cell r="H35">
            <v>35</v>
          </cell>
        </row>
        <row r="36">
          <cell r="D36" t="str">
            <v>1m45</v>
          </cell>
          <cell r="E36" t="str">
            <v>65 kg</v>
          </cell>
          <cell r="H36">
            <v>36</v>
          </cell>
        </row>
        <row r="37">
          <cell r="D37" t="str">
            <v>1m46</v>
          </cell>
          <cell r="E37" t="str">
            <v>66 kg</v>
          </cell>
          <cell r="H37">
            <v>37</v>
          </cell>
        </row>
        <row r="38">
          <cell r="D38" t="str">
            <v>1m47</v>
          </cell>
          <cell r="E38" t="str">
            <v>67 kg</v>
          </cell>
          <cell r="H38">
            <v>38</v>
          </cell>
        </row>
        <row r="39">
          <cell r="D39" t="str">
            <v>1m48</v>
          </cell>
          <cell r="E39" t="str">
            <v>68 kg</v>
          </cell>
          <cell r="H39">
            <v>39</v>
          </cell>
        </row>
        <row r="40">
          <cell r="D40" t="str">
            <v>1m49</v>
          </cell>
          <cell r="E40" t="str">
            <v>69 kg</v>
          </cell>
          <cell r="H40">
            <v>40</v>
          </cell>
        </row>
        <row r="41">
          <cell r="D41" t="str">
            <v>1m50</v>
          </cell>
          <cell r="E41" t="str">
            <v>70 kg</v>
          </cell>
          <cell r="H41">
            <v>41</v>
          </cell>
        </row>
        <row r="42">
          <cell r="D42" t="str">
            <v>1m51</v>
          </cell>
          <cell r="E42" t="str">
            <v>71 kg</v>
          </cell>
          <cell r="H42">
            <v>42</v>
          </cell>
        </row>
        <row r="43">
          <cell r="D43" t="str">
            <v>1m52</v>
          </cell>
          <cell r="E43" t="str">
            <v>72 kg</v>
          </cell>
          <cell r="H43">
            <v>43</v>
          </cell>
        </row>
        <row r="44">
          <cell r="D44" t="str">
            <v>1m53</v>
          </cell>
          <cell r="E44" t="str">
            <v>73 kg</v>
          </cell>
          <cell r="H44">
            <v>44</v>
          </cell>
        </row>
        <row r="45">
          <cell r="D45" t="str">
            <v>1m54</v>
          </cell>
          <cell r="E45" t="str">
            <v>74 kg</v>
          </cell>
          <cell r="H45">
            <v>45</v>
          </cell>
        </row>
        <row r="46">
          <cell r="D46" t="str">
            <v>1m55</v>
          </cell>
          <cell r="E46" t="str">
            <v>75 kg</v>
          </cell>
          <cell r="H46" t="str">
            <v>45+1</v>
          </cell>
        </row>
        <row r="47">
          <cell r="D47" t="str">
            <v>1m56</v>
          </cell>
          <cell r="E47" t="str">
            <v>76 kg</v>
          </cell>
          <cell r="H47" t="str">
            <v>45+2</v>
          </cell>
        </row>
        <row r="48">
          <cell r="D48" t="str">
            <v>1m57</v>
          </cell>
          <cell r="E48" t="str">
            <v>77 kg</v>
          </cell>
          <cell r="H48" t="str">
            <v>45+3</v>
          </cell>
        </row>
        <row r="49">
          <cell r="D49" t="str">
            <v>1m58</v>
          </cell>
          <cell r="E49" t="str">
            <v>78 kg</v>
          </cell>
          <cell r="H49" t="str">
            <v>45+4</v>
          </cell>
        </row>
        <row r="50">
          <cell r="D50" t="str">
            <v>1m59</v>
          </cell>
          <cell r="E50" t="str">
            <v>79 kg</v>
          </cell>
          <cell r="H50" t="str">
            <v>45+5</v>
          </cell>
        </row>
        <row r="51">
          <cell r="D51" t="str">
            <v>1m60</v>
          </cell>
          <cell r="E51" t="str">
            <v>80 kg</v>
          </cell>
          <cell r="H51" t="str">
            <v>45+6</v>
          </cell>
        </row>
        <row r="52">
          <cell r="D52" t="str">
            <v>1m61</v>
          </cell>
          <cell r="E52" t="str">
            <v>81 kg</v>
          </cell>
          <cell r="H52" t="str">
            <v>45+7</v>
          </cell>
        </row>
        <row r="53">
          <cell r="D53" t="str">
            <v>1m62</v>
          </cell>
          <cell r="E53" t="str">
            <v>82 kg</v>
          </cell>
          <cell r="H53" t="str">
            <v>45+8</v>
          </cell>
        </row>
        <row r="54">
          <cell r="D54" t="str">
            <v>1m63</v>
          </cell>
          <cell r="E54" t="str">
            <v>83 kg</v>
          </cell>
          <cell r="H54" t="str">
            <v>45+9</v>
          </cell>
        </row>
        <row r="55">
          <cell r="D55" t="str">
            <v>1m64</v>
          </cell>
          <cell r="E55" t="str">
            <v>84 kg</v>
          </cell>
          <cell r="H55" t="str">
            <v>45+10</v>
          </cell>
        </row>
        <row r="56">
          <cell r="D56" t="str">
            <v>1m65</v>
          </cell>
          <cell r="E56" t="str">
            <v>85 kg</v>
          </cell>
          <cell r="H56">
            <v>46</v>
          </cell>
        </row>
        <row r="57">
          <cell r="D57" t="str">
            <v>1m66</v>
          </cell>
          <cell r="E57" t="str">
            <v>86 kg</v>
          </cell>
          <cell r="H57">
            <v>47</v>
          </cell>
        </row>
        <row r="58">
          <cell r="D58" t="str">
            <v>1m67</v>
          </cell>
          <cell r="E58" t="str">
            <v>87 kg</v>
          </cell>
          <cell r="H58">
            <v>48</v>
          </cell>
        </row>
        <row r="59">
          <cell r="D59" t="str">
            <v>1m68</v>
          </cell>
          <cell r="E59" t="str">
            <v>88 kg</v>
          </cell>
          <cell r="H59">
            <v>49</v>
          </cell>
        </row>
        <row r="60">
          <cell r="D60" t="str">
            <v>1m69</v>
          </cell>
          <cell r="E60" t="str">
            <v>89 kg</v>
          </cell>
          <cell r="H60">
            <v>50</v>
          </cell>
        </row>
        <row r="61">
          <cell r="D61" t="str">
            <v>1m70</v>
          </cell>
          <cell r="E61" t="str">
            <v>90 kg</v>
          </cell>
          <cell r="H61">
            <v>51</v>
          </cell>
        </row>
        <row r="62">
          <cell r="D62" t="str">
            <v>1m71</v>
          </cell>
          <cell r="E62" t="str">
            <v>91 kg</v>
          </cell>
          <cell r="H62">
            <v>52</v>
          </cell>
        </row>
        <row r="63">
          <cell r="D63" t="str">
            <v>1m72</v>
          </cell>
          <cell r="E63" t="str">
            <v>92 kg</v>
          </cell>
          <cell r="H63">
            <v>53</v>
          </cell>
        </row>
        <row r="64">
          <cell r="D64" t="str">
            <v>1m73</v>
          </cell>
          <cell r="E64" t="str">
            <v>93 kg</v>
          </cell>
          <cell r="H64">
            <v>54</v>
          </cell>
        </row>
        <row r="65">
          <cell r="D65" t="str">
            <v>1m74</v>
          </cell>
          <cell r="E65" t="str">
            <v>94 kg</v>
          </cell>
          <cell r="H65">
            <v>55</v>
          </cell>
        </row>
        <row r="66">
          <cell r="D66" t="str">
            <v>1m75</v>
          </cell>
          <cell r="E66" t="str">
            <v>95 kg</v>
          </cell>
          <cell r="H66">
            <v>56</v>
          </cell>
        </row>
        <row r="67">
          <cell r="D67" t="str">
            <v>1m76</v>
          </cell>
          <cell r="E67" t="str">
            <v>96 kg</v>
          </cell>
          <cell r="H67">
            <v>57</v>
          </cell>
        </row>
        <row r="68">
          <cell r="D68" t="str">
            <v>1m77</v>
          </cell>
          <cell r="E68" t="str">
            <v>97 kg</v>
          </cell>
          <cell r="H68">
            <v>58</v>
          </cell>
        </row>
        <row r="69">
          <cell r="D69" t="str">
            <v>1m78</v>
          </cell>
          <cell r="E69" t="str">
            <v>98 kg</v>
          </cell>
          <cell r="H69">
            <v>59</v>
          </cell>
        </row>
        <row r="70">
          <cell r="D70" t="str">
            <v>1m79</v>
          </cell>
          <cell r="E70" t="str">
            <v>99 kg</v>
          </cell>
          <cell r="H70">
            <v>60</v>
          </cell>
        </row>
        <row r="71">
          <cell r="D71" t="str">
            <v>1m80</v>
          </cell>
          <cell r="E71" t="str">
            <v>100 kg</v>
          </cell>
          <cell r="H71">
            <v>61</v>
          </cell>
        </row>
        <row r="72">
          <cell r="D72" t="str">
            <v>1m81</v>
          </cell>
          <cell r="E72" t="str">
            <v>101 kg</v>
          </cell>
          <cell r="H72">
            <v>62</v>
          </cell>
        </row>
        <row r="73">
          <cell r="D73" t="str">
            <v>1m82</v>
          </cell>
          <cell r="E73" t="str">
            <v>102 kg</v>
          </cell>
          <cell r="H73">
            <v>63</v>
          </cell>
        </row>
        <row r="74">
          <cell r="D74" t="str">
            <v>1m83</v>
          </cell>
          <cell r="E74" t="str">
            <v>103 kg</v>
          </cell>
          <cell r="H74">
            <v>64</v>
          </cell>
        </row>
        <row r="75">
          <cell r="D75" t="str">
            <v>1m84</v>
          </cell>
          <cell r="E75" t="str">
            <v>104 kg</v>
          </cell>
          <cell r="H75">
            <v>65</v>
          </cell>
        </row>
        <row r="76">
          <cell r="D76" t="str">
            <v>1m85</v>
          </cell>
          <cell r="E76" t="str">
            <v>105 kg</v>
          </cell>
          <cell r="H76">
            <v>66</v>
          </cell>
        </row>
        <row r="77">
          <cell r="D77" t="str">
            <v>1m86</v>
          </cell>
          <cell r="E77" t="str">
            <v>106 kg</v>
          </cell>
          <cell r="H77">
            <v>67</v>
          </cell>
        </row>
        <row r="78">
          <cell r="D78" t="str">
            <v>1m87</v>
          </cell>
          <cell r="E78" t="str">
            <v>107 kg</v>
          </cell>
          <cell r="H78">
            <v>68</v>
          </cell>
        </row>
        <row r="79">
          <cell r="D79" t="str">
            <v>1m88</v>
          </cell>
          <cell r="E79" t="str">
            <v>108 kg</v>
          </cell>
          <cell r="H79">
            <v>69</v>
          </cell>
        </row>
        <row r="80">
          <cell r="D80" t="str">
            <v>1m89</v>
          </cell>
          <cell r="E80" t="str">
            <v>109 kg</v>
          </cell>
          <cell r="H80">
            <v>70</v>
          </cell>
        </row>
        <row r="81">
          <cell r="D81" t="str">
            <v>1m90</v>
          </cell>
          <cell r="E81" t="str">
            <v>110 kg</v>
          </cell>
          <cell r="H81">
            <v>71</v>
          </cell>
        </row>
        <row r="82">
          <cell r="D82" t="str">
            <v>1m91</v>
          </cell>
          <cell r="E82" t="str">
            <v>111 kg</v>
          </cell>
          <cell r="H82">
            <v>72</v>
          </cell>
        </row>
        <row r="83">
          <cell r="D83" t="str">
            <v>1m92</v>
          </cell>
          <cell r="E83" t="str">
            <v>112 kg</v>
          </cell>
          <cell r="H83">
            <v>73</v>
          </cell>
        </row>
        <row r="84">
          <cell r="D84" t="str">
            <v>1m93</v>
          </cell>
          <cell r="E84" t="str">
            <v>113 kg</v>
          </cell>
          <cell r="H84">
            <v>74</v>
          </cell>
        </row>
        <row r="85">
          <cell r="D85" t="str">
            <v>1m94</v>
          </cell>
          <cell r="E85" t="str">
            <v>114 kg</v>
          </cell>
          <cell r="H85">
            <v>75</v>
          </cell>
        </row>
        <row r="86">
          <cell r="D86" t="str">
            <v>1m95</v>
          </cell>
          <cell r="E86" t="str">
            <v>115 kg</v>
          </cell>
          <cell r="H86">
            <v>76</v>
          </cell>
        </row>
        <row r="87">
          <cell r="D87" t="str">
            <v>1m96</v>
          </cell>
          <cell r="E87" t="str">
            <v>116 kg</v>
          </cell>
          <cell r="H87">
            <v>77</v>
          </cell>
        </row>
        <row r="88">
          <cell r="D88" t="str">
            <v>1m97</v>
          </cell>
          <cell r="E88" t="str">
            <v>117 kg</v>
          </cell>
          <cell r="H88">
            <v>78</v>
          </cell>
        </row>
        <row r="89">
          <cell r="D89" t="str">
            <v>1m98</v>
          </cell>
          <cell r="E89" t="str">
            <v>118 kg</v>
          </cell>
          <cell r="H89">
            <v>79</v>
          </cell>
        </row>
        <row r="90">
          <cell r="D90" t="str">
            <v>1m99</v>
          </cell>
          <cell r="E90" t="str">
            <v>119 kg</v>
          </cell>
          <cell r="H90">
            <v>80</v>
          </cell>
        </row>
        <row r="91">
          <cell r="D91" t="str">
            <v>2m00</v>
          </cell>
          <cell r="H91">
            <v>81</v>
          </cell>
        </row>
        <row r="92">
          <cell r="D92" t="str">
            <v>2m01</v>
          </cell>
          <cell r="H92">
            <v>82</v>
          </cell>
        </row>
        <row r="93">
          <cell r="D93" t="str">
            <v>2m02</v>
          </cell>
          <cell r="H93">
            <v>83</v>
          </cell>
        </row>
        <row r="94">
          <cell r="D94" t="str">
            <v>2m03</v>
          </cell>
          <cell r="H94">
            <v>84</v>
          </cell>
        </row>
        <row r="95">
          <cell r="D95" t="str">
            <v>2m04</v>
          </cell>
          <cell r="H95">
            <v>85</v>
          </cell>
        </row>
        <row r="96">
          <cell r="D96" t="str">
            <v>2m05</v>
          </cell>
          <cell r="H96">
            <v>86</v>
          </cell>
        </row>
        <row r="97">
          <cell r="D97" t="str">
            <v>2m06</v>
          </cell>
          <cell r="H97">
            <v>87</v>
          </cell>
        </row>
        <row r="98">
          <cell r="D98" t="str">
            <v>2m07</v>
          </cell>
          <cell r="H98">
            <v>88</v>
          </cell>
        </row>
        <row r="99">
          <cell r="D99" t="str">
            <v>2m08</v>
          </cell>
          <cell r="H99">
            <v>89</v>
          </cell>
        </row>
        <row r="100">
          <cell r="D100" t="str">
            <v>2m09</v>
          </cell>
          <cell r="H100">
            <v>90</v>
          </cell>
        </row>
        <row r="101">
          <cell r="D101" t="str">
            <v>2m10</v>
          </cell>
          <cell r="H101" t="str">
            <v>90+1</v>
          </cell>
        </row>
        <row r="102">
          <cell r="D102" t="str">
            <v>2m11</v>
          </cell>
          <cell r="H102" t="str">
            <v>90+2</v>
          </cell>
        </row>
        <row r="103">
          <cell r="D103" t="str">
            <v>2m12</v>
          </cell>
          <cell r="H103" t="str">
            <v>90+3</v>
          </cell>
        </row>
        <row r="104">
          <cell r="D104" t="str">
            <v>2m13</v>
          </cell>
          <cell r="H104" t="str">
            <v>90+4</v>
          </cell>
        </row>
        <row r="105">
          <cell r="D105" t="str">
            <v>2m14</v>
          </cell>
          <cell r="H105" t="str">
            <v>90+5</v>
          </cell>
        </row>
        <row r="106">
          <cell r="D106" t="str">
            <v>2m15</v>
          </cell>
          <cell r="H106" t="str">
            <v>90+6</v>
          </cell>
        </row>
        <row r="107">
          <cell r="D107" t="str">
            <v>2m16</v>
          </cell>
          <cell r="H107" t="str">
            <v>90+7</v>
          </cell>
        </row>
        <row r="108">
          <cell r="D108" t="str">
            <v>2m17</v>
          </cell>
          <cell r="H108" t="str">
            <v>90+8</v>
          </cell>
        </row>
        <row r="109">
          <cell r="D109" t="str">
            <v>2m18</v>
          </cell>
          <cell r="H109" t="str">
            <v>90+9</v>
          </cell>
        </row>
        <row r="110">
          <cell r="H110" t="str">
            <v>90+10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84994C-ED4C-BC45-ABC6-90B3A06ED702}" name="Tableau2" displayName="Tableau2" ref="A1:AG58" totalsRowShown="0">
  <autoFilter ref="A1:AG58" xr:uid="{00000000-0009-0000-0100-000002000000}"/>
  <tableColumns count="33">
    <tableColumn id="1" xr3:uid="{00000000-0010-0000-0100-000001000000}" name="Joueur "/>
    <tableColumn id="2" xr3:uid="{00000000-0010-0000-0100-000002000000}" name="Ballon Touchés"/>
    <tableColumn id="3" xr3:uid="{00000000-0010-0000-0100-000003000000}" name="Passe"/>
    <tableColumn id="4" xr3:uid="{00000000-0010-0000-0100-000004000000}" name="Passe réussi "/>
    <tableColumn id="5" xr3:uid="{00000000-0010-0000-0100-000005000000}" name="Passe loupé "/>
    <tableColumn id="6" xr3:uid="{00000000-0010-0000-0100-000006000000}" name="Dégagement "/>
    <tableColumn id="7" xr3:uid="{00000000-0010-0000-0100-000007000000}" name="Ballon Perdu"/>
    <tableColumn id="8" xr3:uid="{00000000-0010-0000-0100-000008000000}" name="Duel Gagné"/>
    <tableColumn id="9" xr3:uid="{00000000-0010-0000-0100-000009000000}" name="Duel Perdu"/>
    <tableColumn id="10" xr3:uid="{00000000-0010-0000-0100-00000A000000}" name="Interception"/>
    <tableColumn id="11" xr3:uid="{00000000-0010-0000-0100-00000B000000}" name="Récupération"/>
    <tableColumn id="12" xr3:uid="{00000000-0010-0000-0100-00000C000000}" name="Trajectoire Coupé"/>
    <tableColumn id="13" xr3:uid="{00000000-0010-0000-0100-00000D000000}" name="Tir Cadré"/>
    <tableColumn id="14" xr3:uid="{00000000-0010-0000-0100-00000E000000}" name="Tir HC"/>
    <tableColumn id="15" xr3:uid="{00000000-0010-0000-0100-00000F000000}" name="Passe Déc"/>
    <tableColumn id="16" xr3:uid="{00000000-0010-0000-0100-000010000000}" name="But"/>
    <tableColumn id="17" xr3:uid="{00000000-0010-0000-0100-000011000000}" name="Carton Jaune"/>
    <tableColumn id="18" xr3:uid="{00000000-0010-0000-0100-000012000000}" name="Carton Rouge"/>
    <tableColumn id="19" xr3:uid="{00000000-0010-0000-0100-000013000000}" name="Faute Com"/>
    <tableColumn id="20" xr3:uid="{00000000-0010-0000-0100-000014000000}" name="Faute Sub"/>
    <tableColumn id="21" xr3:uid="{00000000-0010-0000-0100-000015000000}" name="Total TDJ"/>
    <tableColumn id="22" xr3:uid="{00000000-0010-0000-0100-000016000000}" name="Hors Jeu"/>
    <tableColumn id="23" xr3:uid="{00000000-0010-0000-0100-000017000000}" name="Adversaire"/>
    <tableColumn id="24" xr3:uid="{00000000-0010-0000-0100-000018000000}" name="Lieu"/>
    <tableColumn id="25" xr3:uid="{00000000-0010-0000-0100-000019000000}" name="Compo"/>
    <tableColumn id="26" xr3:uid="{00000000-0010-0000-0100-00001A000000}" name="Hauteur Bloc"/>
    <tableColumn id="27" xr3:uid="{00000000-0010-0000-0100-00001B000000}" name="Match"/>
    <tableColumn id="28" xr3:uid="{00000000-0010-0000-0100-00001C000000}" name="Date " dataDxfId="3"/>
    <tableColumn id="29" xr3:uid="{00000000-0010-0000-0100-00001D000000}" name="Heure"/>
    <tableColumn id="30" xr3:uid="{00000000-0010-0000-0100-00001E000000}" name="Terrain"/>
    <tableColumn id="31" xr3:uid="{00000000-0010-0000-0100-00001F000000}" name="État"/>
    <tableColumn id="32" xr3:uid="{00000000-0010-0000-0100-000020000000}" name="Météo"/>
    <tableColumn id="33" xr3:uid="{B94FE07A-2DFB-1540-94FC-054FDE1D1F00}" name="Post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92515-F86C-324E-964F-8A5C6A32F593}">
  <sheetPr codeName="Feuil14"/>
  <dimension ref="A1:AG30"/>
  <sheetViews>
    <sheetView tabSelected="1" zoomScale="75" workbookViewId="0">
      <selection activeCell="J21" sqref="J21"/>
    </sheetView>
  </sheetViews>
  <sheetFormatPr baseColWidth="10" defaultRowHeight="16"/>
  <cols>
    <col min="2" max="2" width="15.83203125" customWidth="1"/>
    <col min="4" max="4" width="14" customWidth="1"/>
    <col min="5" max="5" width="13.6640625" customWidth="1"/>
    <col min="6" max="6" width="14.5" customWidth="1"/>
    <col min="7" max="7" width="13.83203125" customWidth="1"/>
    <col min="8" max="8" width="13" customWidth="1"/>
    <col min="9" max="9" width="12.33203125" customWidth="1"/>
    <col min="10" max="10" width="13.33203125" customWidth="1"/>
    <col min="11" max="11" width="14.33203125" customWidth="1"/>
    <col min="12" max="12" width="12.33203125" customWidth="1"/>
    <col min="15" max="15" width="11.6640625" customWidth="1"/>
    <col min="17" max="17" width="14" customWidth="1"/>
    <col min="18" max="18" width="14.5" customWidth="1"/>
    <col min="19" max="19" width="12.33203125" customWidth="1"/>
    <col min="20" max="20" width="11.6640625" customWidth="1"/>
    <col min="21" max="21" width="11" customWidth="1"/>
    <col min="23" max="23" width="12.1640625" customWidth="1"/>
    <col min="26" max="26" width="14" customWidth="1"/>
    <col min="28" max="28" width="11.6640625" style="46" bestFit="1" customWidth="1"/>
  </cols>
  <sheetData>
    <row r="1" spans="1:33">
      <c r="A1" t="s">
        <v>95</v>
      </c>
      <c r="B1" t="s">
        <v>94</v>
      </c>
      <c r="C1" t="s">
        <v>0</v>
      </c>
      <c r="D1" t="s">
        <v>93</v>
      </c>
      <c r="E1" t="s">
        <v>92</v>
      </c>
      <c r="F1" t="s">
        <v>91</v>
      </c>
      <c r="G1" t="s">
        <v>90</v>
      </c>
      <c r="H1" t="s">
        <v>89</v>
      </c>
      <c r="I1" t="s">
        <v>88</v>
      </c>
      <c r="J1" t="s">
        <v>87</v>
      </c>
      <c r="K1" t="s">
        <v>86</v>
      </c>
      <c r="L1" t="s">
        <v>85</v>
      </c>
      <c r="M1" t="s">
        <v>84</v>
      </c>
      <c r="N1" t="s">
        <v>83</v>
      </c>
      <c r="O1" t="s">
        <v>82</v>
      </c>
      <c r="P1" t="s">
        <v>81</v>
      </c>
      <c r="Q1" t="s">
        <v>80</v>
      </c>
      <c r="R1" t="s">
        <v>79</v>
      </c>
      <c r="S1" t="s">
        <v>78</v>
      </c>
      <c r="T1" t="s">
        <v>77</v>
      </c>
      <c r="U1" t="s">
        <v>76</v>
      </c>
      <c r="V1" t="s">
        <v>75</v>
      </c>
      <c r="W1" t="s">
        <v>74</v>
      </c>
      <c r="X1" t="s">
        <v>73</v>
      </c>
      <c r="Y1" t="s">
        <v>72</v>
      </c>
      <c r="Z1" t="s">
        <v>71</v>
      </c>
      <c r="AA1" t="s">
        <v>70</v>
      </c>
      <c r="AB1" s="46" t="s">
        <v>69</v>
      </c>
      <c r="AC1" t="s">
        <v>68</v>
      </c>
      <c r="AD1" t="s">
        <v>67</v>
      </c>
      <c r="AE1" t="s">
        <v>66</v>
      </c>
      <c r="AF1" t="s">
        <v>65</v>
      </c>
      <c r="AG1" t="s">
        <v>64</v>
      </c>
    </row>
    <row r="2" spans="1:33">
      <c r="A2" t="s">
        <v>46</v>
      </c>
      <c r="B2">
        <v>2</v>
      </c>
      <c r="C2">
        <v>3</v>
      </c>
      <c r="D2">
        <v>1</v>
      </c>
      <c r="E2">
        <v>2</v>
      </c>
      <c r="F2">
        <v>1</v>
      </c>
      <c r="G2">
        <v>2</v>
      </c>
      <c r="H2">
        <v>3</v>
      </c>
      <c r="I2">
        <v>3</v>
      </c>
      <c r="J2">
        <v>1</v>
      </c>
      <c r="K2">
        <v>0</v>
      </c>
      <c r="L2">
        <v>0</v>
      </c>
      <c r="M2">
        <v>1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95</v>
      </c>
      <c r="V2">
        <v>0</v>
      </c>
      <c r="W2" t="s">
        <v>59</v>
      </c>
      <c r="X2" t="s">
        <v>58</v>
      </c>
      <c r="Y2">
        <v>352</v>
      </c>
      <c r="Z2" t="s">
        <v>52</v>
      </c>
      <c r="AA2" t="s">
        <v>10</v>
      </c>
      <c r="AB2" s="46">
        <v>43941</v>
      </c>
      <c r="AC2" t="s">
        <v>57</v>
      </c>
      <c r="AD2" t="s">
        <v>56</v>
      </c>
      <c r="AE2" t="s">
        <v>55</v>
      </c>
      <c r="AF2" t="s">
        <v>54</v>
      </c>
      <c r="AG2" t="s">
        <v>45</v>
      </c>
    </row>
    <row r="3" spans="1:33">
      <c r="A3" t="s">
        <v>13</v>
      </c>
      <c r="B3">
        <v>1</v>
      </c>
      <c r="C3">
        <v>6</v>
      </c>
      <c r="D3">
        <v>3</v>
      </c>
      <c r="E3">
        <v>3</v>
      </c>
      <c r="F3">
        <v>2</v>
      </c>
      <c r="G3">
        <v>3</v>
      </c>
      <c r="H3">
        <v>4</v>
      </c>
      <c r="I3">
        <v>4</v>
      </c>
      <c r="J3">
        <v>2</v>
      </c>
      <c r="K3">
        <v>6</v>
      </c>
      <c r="L3">
        <v>2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2</v>
      </c>
      <c r="T3">
        <v>0</v>
      </c>
      <c r="U3">
        <v>95</v>
      </c>
      <c r="V3">
        <v>1</v>
      </c>
      <c r="W3" t="s">
        <v>59</v>
      </c>
      <c r="X3" t="s">
        <v>58</v>
      </c>
      <c r="Y3">
        <v>352</v>
      </c>
      <c r="Z3" t="s">
        <v>52</v>
      </c>
      <c r="AA3" t="s">
        <v>10</v>
      </c>
      <c r="AB3" s="46">
        <v>43941</v>
      </c>
      <c r="AC3" t="s">
        <v>57</v>
      </c>
      <c r="AD3" t="s">
        <v>56</v>
      </c>
      <c r="AE3" t="s">
        <v>55</v>
      </c>
      <c r="AF3" t="s">
        <v>54</v>
      </c>
      <c r="AG3" t="s">
        <v>43</v>
      </c>
    </row>
    <row r="4" spans="1:33">
      <c r="A4" t="s">
        <v>63</v>
      </c>
      <c r="B4">
        <v>0</v>
      </c>
      <c r="C4">
        <v>8</v>
      </c>
      <c r="D4">
        <v>4</v>
      </c>
      <c r="E4">
        <v>4</v>
      </c>
      <c r="F4">
        <v>0</v>
      </c>
      <c r="G4">
        <v>0</v>
      </c>
      <c r="H4">
        <v>5</v>
      </c>
      <c r="I4">
        <v>5</v>
      </c>
      <c r="J4">
        <v>1</v>
      </c>
      <c r="K4">
        <v>5</v>
      </c>
      <c r="L4">
        <v>1</v>
      </c>
      <c r="M4">
        <v>1</v>
      </c>
      <c r="N4">
        <v>0</v>
      </c>
      <c r="O4">
        <v>0</v>
      </c>
      <c r="P4">
        <v>0</v>
      </c>
      <c r="Q4">
        <v>0</v>
      </c>
      <c r="R4">
        <v>0</v>
      </c>
      <c r="S4">
        <v>1</v>
      </c>
      <c r="T4">
        <v>1</v>
      </c>
      <c r="U4">
        <v>95</v>
      </c>
      <c r="V4">
        <v>0</v>
      </c>
      <c r="W4" t="s">
        <v>59</v>
      </c>
      <c r="X4" t="s">
        <v>58</v>
      </c>
      <c r="Y4">
        <v>352</v>
      </c>
      <c r="Z4" t="s">
        <v>52</v>
      </c>
      <c r="AA4" t="s">
        <v>10</v>
      </c>
      <c r="AB4" s="46">
        <v>43941</v>
      </c>
      <c r="AC4" t="s">
        <v>57</v>
      </c>
      <c r="AD4" t="s">
        <v>56</v>
      </c>
      <c r="AE4" t="s">
        <v>55</v>
      </c>
      <c r="AF4" t="s">
        <v>54</v>
      </c>
      <c r="AG4" t="s">
        <v>41</v>
      </c>
    </row>
    <row r="5" spans="1:33">
      <c r="A5" t="s">
        <v>9</v>
      </c>
      <c r="B5">
        <v>1</v>
      </c>
      <c r="C5">
        <v>6</v>
      </c>
      <c r="D5">
        <v>3</v>
      </c>
      <c r="E5">
        <v>3</v>
      </c>
      <c r="F5">
        <v>3</v>
      </c>
      <c r="G5">
        <v>0</v>
      </c>
      <c r="H5">
        <v>6</v>
      </c>
      <c r="I5">
        <v>2</v>
      </c>
      <c r="J5">
        <v>0</v>
      </c>
      <c r="K5">
        <v>2</v>
      </c>
      <c r="L5">
        <v>3</v>
      </c>
      <c r="M5">
        <v>6</v>
      </c>
      <c r="N5">
        <v>2</v>
      </c>
      <c r="O5">
        <v>0</v>
      </c>
      <c r="P5">
        <v>0</v>
      </c>
      <c r="Q5">
        <v>0</v>
      </c>
      <c r="R5">
        <v>0</v>
      </c>
      <c r="S5">
        <v>3</v>
      </c>
      <c r="T5">
        <v>2</v>
      </c>
      <c r="U5">
        <v>95</v>
      </c>
      <c r="V5">
        <v>0</v>
      </c>
      <c r="W5" t="s">
        <v>59</v>
      </c>
      <c r="X5" t="s">
        <v>58</v>
      </c>
      <c r="Y5">
        <v>352</v>
      </c>
      <c r="Z5" t="s">
        <v>52</v>
      </c>
      <c r="AA5" t="s">
        <v>10</v>
      </c>
      <c r="AB5" s="46">
        <v>43941</v>
      </c>
      <c r="AC5" t="s">
        <v>57</v>
      </c>
      <c r="AD5" t="s">
        <v>56</v>
      </c>
      <c r="AE5" t="s">
        <v>55</v>
      </c>
      <c r="AF5" t="s">
        <v>54</v>
      </c>
      <c r="AG5" t="s">
        <v>40</v>
      </c>
    </row>
    <row r="6" spans="1:33">
      <c r="A6" t="s">
        <v>6</v>
      </c>
      <c r="B6">
        <v>0</v>
      </c>
      <c r="C6">
        <v>8</v>
      </c>
      <c r="D6">
        <v>4</v>
      </c>
      <c r="E6">
        <v>4</v>
      </c>
      <c r="F6">
        <v>0</v>
      </c>
      <c r="G6">
        <v>2</v>
      </c>
      <c r="H6">
        <v>5</v>
      </c>
      <c r="I6">
        <v>1</v>
      </c>
      <c r="J6">
        <v>1</v>
      </c>
      <c r="K6">
        <v>0</v>
      </c>
      <c r="L6">
        <v>6</v>
      </c>
      <c r="M6">
        <v>2</v>
      </c>
      <c r="N6">
        <v>0</v>
      </c>
      <c r="O6">
        <v>1</v>
      </c>
      <c r="P6">
        <v>0</v>
      </c>
      <c r="Q6">
        <v>1</v>
      </c>
      <c r="R6">
        <v>0</v>
      </c>
      <c r="S6">
        <v>0</v>
      </c>
      <c r="T6">
        <v>0</v>
      </c>
      <c r="U6">
        <v>95</v>
      </c>
      <c r="V6">
        <v>0</v>
      </c>
      <c r="W6" t="s">
        <v>59</v>
      </c>
      <c r="X6" t="s">
        <v>58</v>
      </c>
      <c r="Y6">
        <v>352</v>
      </c>
      <c r="Z6" t="s">
        <v>52</v>
      </c>
      <c r="AA6" t="s">
        <v>10</v>
      </c>
      <c r="AB6" s="46">
        <v>43941</v>
      </c>
      <c r="AC6" t="s">
        <v>57</v>
      </c>
      <c r="AD6" t="s">
        <v>56</v>
      </c>
      <c r="AE6" t="s">
        <v>55</v>
      </c>
      <c r="AF6" t="s">
        <v>54</v>
      </c>
      <c r="AG6" t="s">
        <v>39</v>
      </c>
    </row>
    <row r="7" spans="1:33">
      <c r="A7" t="s">
        <v>62</v>
      </c>
      <c r="B7">
        <v>1</v>
      </c>
      <c r="C7">
        <v>9</v>
      </c>
      <c r="D7">
        <v>5</v>
      </c>
      <c r="E7">
        <v>4</v>
      </c>
      <c r="F7">
        <v>4</v>
      </c>
      <c r="G7">
        <v>1</v>
      </c>
      <c r="H7">
        <v>2</v>
      </c>
      <c r="I7">
        <v>3</v>
      </c>
      <c r="J7">
        <v>2</v>
      </c>
      <c r="K7">
        <v>0</v>
      </c>
      <c r="L7">
        <v>5</v>
      </c>
      <c r="M7">
        <v>1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95</v>
      </c>
      <c r="V7">
        <v>0</v>
      </c>
      <c r="W7" t="s">
        <v>59</v>
      </c>
      <c r="X7" t="s">
        <v>58</v>
      </c>
      <c r="Y7">
        <v>352</v>
      </c>
      <c r="Z7" t="s">
        <v>52</v>
      </c>
      <c r="AA7" t="s">
        <v>10</v>
      </c>
      <c r="AB7" s="46">
        <v>43941</v>
      </c>
      <c r="AC7" t="s">
        <v>57</v>
      </c>
      <c r="AD7" t="s">
        <v>56</v>
      </c>
      <c r="AE7" t="s">
        <v>55</v>
      </c>
      <c r="AF7" t="s">
        <v>54</v>
      </c>
      <c r="AG7" t="s">
        <v>37</v>
      </c>
    </row>
    <row r="8" spans="1:33">
      <c r="A8" t="s">
        <v>61</v>
      </c>
      <c r="B8">
        <v>0</v>
      </c>
      <c r="C8">
        <v>7</v>
      </c>
      <c r="D8">
        <v>2</v>
      </c>
      <c r="E8">
        <v>5</v>
      </c>
      <c r="F8">
        <v>0</v>
      </c>
      <c r="G8">
        <v>3</v>
      </c>
      <c r="H8">
        <v>4</v>
      </c>
      <c r="I8">
        <v>2</v>
      </c>
      <c r="J8">
        <v>6</v>
      </c>
      <c r="K8">
        <v>2</v>
      </c>
      <c r="L8">
        <v>0</v>
      </c>
      <c r="M8">
        <v>3</v>
      </c>
      <c r="N8">
        <v>2</v>
      </c>
      <c r="O8">
        <v>0</v>
      </c>
      <c r="P8">
        <v>0</v>
      </c>
      <c r="Q8">
        <v>0</v>
      </c>
      <c r="R8">
        <v>0</v>
      </c>
      <c r="S8">
        <v>1</v>
      </c>
      <c r="T8">
        <v>1</v>
      </c>
      <c r="U8">
        <v>66</v>
      </c>
      <c r="V8">
        <v>0</v>
      </c>
      <c r="W8" t="s">
        <v>59</v>
      </c>
      <c r="X8" t="s">
        <v>58</v>
      </c>
      <c r="Y8">
        <v>352</v>
      </c>
      <c r="Z8" t="s">
        <v>52</v>
      </c>
      <c r="AA8" t="s">
        <v>10</v>
      </c>
      <c r="AB8" s="46">
        <v>43941</v>
      </c>
      <c r="AC8" t="s">
        <v>57</v>
      </c>
      <c r="AD8" t="s">
        <v>56</v>
      </c>
      <c r="AE8" t="s">
        <v>55</v>
      </c>
      <c r="AF8" t="s">
        <v>54</v>
      </c>
      <c r="AG8" t="s">
        <v>35</v>
      </c>
    </row>
    <row r="9" spans="1:33">
      <c r="A9" t="s">
        <v>38</v>
      </c>
      <c r="B9">
        <v>2</v>
      </c>
      <c r="C9">
        <v>4</v>
      </c>
      <c r="D9">
        <v>2</v>
      </c>
      <c r="E9">
        <v>2</v>
      </c>
      <c r="F9">
        <v>5</v>
      </c>
      <c r="G9">
        <v>2</v>
      </c>
      <c r="H9">
        <v>5</v>
      </c>
      <c r="I9">
        <v>4</v>
      </c>
      <c r="J9">
        <v>5</v>
      </c>
      <c r="K9">
        <v>1</v>
      </c>
      <c r="L9">
        <v>1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2</v>
      </c>
      <c r="T9">
        <v>2</v>
      </c>
      <c r="U9">
        <v>95</v>
      </c>
      <c r="V9">
        <v>0</v>
      </c>
      <c r="W9" t="s">
        <v>59</v>
      </c>
      <c r="X9" t="s">
        <v>58</v>
      </c>
      <c r="Y9">
        <v>352</v>
      </c>
      <c r="Z9" t="s">
        <v>52</v>
      </c>
      <c r="AA9" t="s">
        <v>10</v>
      </c>
      <c r="AB9" s="46">
        <v>43941</v>
      </c>
      <c r="AC9" t="s">
        <v>57</v>
      </c>
      <c r="AD9" t="s">
        <v>56</v>
      </c>
      <c r="AE9" t="s">
        <v>55</v>
      </c>
      <c r="AF9" t="s">
        <v>54</v>
      </c>
      <c r="AG9" t="s">
        <v>33</v>
      </c>
    </row>
    <row r="10" spans="1:33">
      <c r="A10" t="s">
        <v>36</v>
      </c>
      <c r="B10">
        <v>2</v>
      </c>
      <c r="C10">
        <v>8</v>
      </c>
      <c r="D10">
        <v>5</v>
      </c>
      <c r="E10">
        <v>3</v>
      </c>
      <c r="F10">
        <v>2</v>
      </c>
      <c r="G10">
        <v>3</v>
      </c>
      <c r="H10">
        <v>2</v>
      </c>
      <c r="I10">
        <v>2</v>
      </c>
      <c r="J10">
        <v>2</v>
      </c>
      <c r="K10">
        <v>3</v>
      </c>
      <c r="L10">
        <v>2</v>
      </c>
      <c r="M10">
        <v>1</v>
      </c>
      <c r="N10">
        <v>0</v>
      </c>
      <c r="O10">
        <v>0</v>
      </c>
      <c r="P10">
        <v>0</v>
      </c>
      <c r="Q10">
        <v>1</v>
      </c>
      <c r="R10">
        <v>0</v>
      </c>
      <c r="S10">
        <v>0</v>
      </c>
      <c r="T10">
        <v>0</v>
      </c>
      <c r="U10">
        <v>95</v>
      </c>
      <c r="V10">
        <v>0</v>
      </c>
      <c r="W10" t="s">
        <v>59</v>
      </c>
      <c r="X10" t="s">
        <v>58</v>
      </c>
      <c r="Y10">
        <v>352</v>
      </c>
      <c r="Z10" t="s">
        <v>52</v>
      </c>
      <c r="AA10" t="s">
        <v>10</v>
      </c>
      <c r="AB10" s="46">
        <v>43941</v>
      </c>
      <c r="AC10" t="s">
        <v>57</v>
      </c>
      <c r="AD10" t="s">
        <v>56</v>
      </c>
      <c r="AE10" t="s">
        <v>55</v>
      </c>
      <c r="AF10" t="s">
        <v>54</v>
      </c>
      <c r="AG10" t="s">
        <v>32</v>
      </c>
    </row>
    <row r="11" spans="1:33">
      <c r="A11" t="s">
        <v>44</v>
      </c>
      <c r="B11">
        <v>2</v>
      </c>
      <c r="C11">
        <v>38</v>
      </c>
      <c r="D11">
        <v>34</v>
      </c>
      <c r="E11">
        <v>4</v>
      </c>
      <c r="F11">
        <v>1</v>
      </c>
      <c r="G11">
        <v>2</v>
      </c>
      <c r="H11">
        <v>1</v>
      </c>
      <c r="I11">
        <v>4</v>
      </c>
      <c r="J11">
        <v>0</v>
      </c>
      <c r="K11">
        <v>6</v>
      </c>
      <c r="L11">
        <v>2</v>
      </c>
      <c r="M11">
        <v>0</v>
      </c>
      <c r="N11">
        <v>6</v>
      </c>
      <c r="O11">
        <v>2</v>
      </c>
      <c r="P11">
        <v>0</v>
      </c>
      <c r="Q11">
        <v>0</v>
      </c>
      <c r="R11">
        <v>0</v>
      </c>
      <c r="S11">
        <v>0</v>
      </c>
      <c r="T11">
        <v>0</v>
      </c>
      <c r="U11">
        <v>95</v>
      </c>
      <c r="V11">
        <v>0</v>
      </c>
      <c r="W11" t="s">
        <v>59</v>
      </c>
      <c r="X11" t="s">
        <v>58</v>
      </c>
      <c r="Y11">
        <v>352</v>
      </c>
      <c r="Z11" t="s">
        <v>52</v>
      </c>
      <c r="AA11" t="s">
        <v>10</v>
      </c>
      <c r="AB11" s="46">
        <v>43941</v>
      </c>
      <c r="AC11" t="s">
        <v>57</v>
      </c>
      <c r="AD11" t="s">
        <v>56</v>
      </c>
      <c r="AE11" t="s">
        <v>55</v>
      </c>
      <c r="AF11" t="s">
        <v>54</v>
      </c>
      <c r="AG11" t="s">
        <v>31</v>
      </c>
    </row>
    <row r="12" spans="1:33">
      <c r="A12" t="s">
        <v>24</v>
      </c>
      <c r="B12">
        <v>2</v>
      </c>
      <c r="C12">
        <v>10</v>
      </c>
      <c r="D12">
        <v>4</v>
      </c>
      <c r="E12">
        <v>6</v>
      </c>
      <c r="F12">
        <v>1</v>
      </c>
      <c r="G12">
        <v>1</v>
      </c>
      <c r="H12">
        <v>3</v>
      </c>
      <c r="I12">
        <v>4</v>
      </c>
      <c r="J12">
        <v>0</v>
      </c>
      <c r="K12">
        <v>5</v>
      </c>
      <c r="L12">
        <v>1</v>
      </c>
      <c r="M12">
        <v>1</v>
      </c>
      <c r="N12">
        <v>5</v>
      </c>
      <c r="O12">
        <v>1</v>
      </c>
      <c r="P12">
        <v>1</v>
      </c>
      <c r="Q12">
        <v>0</v>
      </c>
      <c r="R12">
        <v>0</v>
      </c>
      <c r="S12">
        <v>2</v>
      </c>
      <c r="T12">
        <v>0</v>
      </c>
      <c r="U12">
        <v>95</v>
      </c>
      <c r="V12">
        <v>0</v>
      </c>
      <c r="W12" t="s">
        <v>59</v>
      </c>
      <c r="X12" t="s">
        <v>58</v>
      </c>
      <c r="Y12">
        <v>352</v>
      </c>
      <c r="Z12" t="s">
        <v>52</v>
      </c>
      <c r="AA12" t="s">
        <v>10</v>
      </c>
      <c r="AB12" s="46">
        <v>43941</v>
      </c>
      <c r="AC12" t="s">
        <v>57</v>
      </c>
      <c r="AD12" t="s">
        <v>56</v>
      </c>
      <c r="AE12" t="s">
        <v>55</v>
      </c>
      <c r="AF12" t="s">
        <v>54</v>
      </c>
      <c r="AG12" t="s">
        <v>29</v>
      </c>
    </row>
    <row r="13" spans="1:33">
      <c r="A13" t="s">
        <v>60</v>
      </c>
      <c r="B13">
        <v>0</v>
      </c>
      <c r="C13">
        <v>6</v>
      </c>
      <c r="D13">
        <v>2</v>
      </c>
      <c r="E13">
        <v>4</v>
      </c>
      <c r="F13">
        <v>1</v>
      </c>
      <c r="G13">
        <v>5</v>
      </c>
      <c r="H13">
        <v>4</v>
      </c>
      <c r="I13">
        <v>4</v>
      </c>
      <c r="J13">
        <v>0</v>
      </c>
      <c r="K13">
        <v>2</v>
      </c>
      <c r="L13">
        <v>3</v>
      </c>
      <c r="M13">
        <v>2</v>
      </c>
      <c r="N13">
        <v>2</v>
      </c>
      <c r="O13">
        <v>0</v>
      </c>
      <c r="P13">
        <v>2</v>
      </c>
      <c r="Q13">
        <v>0</v>
      </c>
      <c r="R13">
        <v>0</v>
      </c>
      <c r="S13">
        <v>1</v>
      </c>
      <c r="T13">
        <v>1</v>
      </c>
      <c r="U13">
        <v>0</v>
      </c>
      <c r="V13">
        <v>0</v>
      </c>
      <c r="W13" t="s">
        <v>59</v>
      </c>
      <c r="X13" t="s">
        <v>58</v>
      </c>
      <c r="Y13">
        <v>352</v>
      </c>
      <c r="Z13" t="s">
        <v>52</v>
      </c>
      <c r="AA13" t="s">
        <v>10</v>
      </c>
      <c r="AB13" s="46">
        <v>43941</v>
      </c>
      <c r="AC13" t="s">
        <v>57</v>
      </c>
      <c r="AD13" t="s">
        <v>56</v>
      </c>
      <c r="AE13" t="s">
        <v>55</v>
      </c>
      <c r="AF13" t="s">
        <v>54</v>
      </c>
      <c r="AG13" t="s">
        <v>27</v>
      </c>
    </row>
    <row r="14" spans="1:33">
      <c r="A14" t="s">
        <v>7</v>
      </c>
      <c r="B14">
        <v>0</v>
      </c>
      <c r="C14">
        <v>9</v>
      </c>
      <c r="D14">
        <v>4</v>
      </c>
      <c r="E14">
        <v>5</v>
      </c>
      <c r="F14">
        <v>1</v>
      </c>
      <c r="G14">
        <v>3</v>
      </c>
      <c r="H14">
        <v>2</v>
      </c>
      <c r="I14">
        <v>5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3</v>
      </c>
      <c r="T14">
        <v>2</v>
      </c>
      <c r="U14">
        <v>0</v>
      </c>
      <c r="V14">
        <v>0</v>
      </c>
      <c r="W14" t="s">
        <v>59</v>
      </c>
      <c r="X14" t="s">
        <v>58</v>
      </c>
      <c r="Y14">
        <v>352</v>
      </c>
      <c r="Z14" t="s">
        <v>52</v>
      </c>
      <c r="AA14" t="s">
        <v>10</v>
      </c>
      <c r="AB14" s="46">
        <v>43941</v>
      </c>
      <c r="AC14" t="s">
        <v>57</v>
      </c>
      <c r="AD14" t="s">
        <v>56</v>
      </c>
      <c r="AE14" t="s">
        <v>55</v>
      </c>
      <c r="AF14" t="s">
        <v>54</v>
      </c>
      <c r="AG14" t="s">
        <v>25</v>
      </c>
    </row>
    <row r="15" spans="1:33">
      <c r="A15" t="s">
        <v>44</v>
      </c>
      <c r="B15">
        <v>0</v>
      </c>
      <c r="C15">
        <v>4</v>
      </c>
      <c r="D15">
        <v>2</v>
      </c>
      <c r="E15">
        <v>2</v>
      </c>
      <c r="F15">
        <v>2</v>
      </c>
      <c r="G15">
        <v>1</v>
      </c>
      <c r="H15">
        <v>5</v>
      </c>
      <c r="I15">
        <v>2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2</v>
      </c>
      <c r="R15">
        <v>1</v>
      </c>
      <c r="S15">
        <v>0</v>
      </c>
      <c r="T15">
        <v>0</v>
      </c>
      <c r="U15">
        <v>74</v>
      </c>
      <c r="V15">
        <v>0</v>
      </c>
      <c r="W15" t="s">
        <v>53</v>
      </c>
      <c r="X15" t="s">
        <v>58</v>
      </c>
      <c r="Y15">
        <v>352</v>
      </c>
      <c r="Z15" t="s">
        <v>52</v>
      </c>
      <c r="AA15" t="s">
        <v>10</v>
      </c>
      <c r="AB15" s="46">
        <v>43941</v>
      </c>
      <c r="AC15" t="s">
        <v>57</v>
      </c>
      <c r="AD15" t="s">
        <v>56</v>
      </c>
      <c r="AE15" t="s">
        <v>55</v>
      </c>
      <c r="AF15" t="s">
        <v>54</v>
      </c>
      <c r="AG15" t="s">
        <v>16</v>
      </c>
    </row>
    <row r="16" spans="1:33">
      <c r="A16" t="s">
        <v>38</v>
      </c>
      <c r="B16">
        <v>0</v>
      </c>
      <c r="C16">
        <v>4</v>
      </c>
      <c r="D16">
        <v>2</v>
      </c>
      <c r="E16">
        <v>2</v>
      </c>
      <c r="F16">
        <v>2</v>
      </c>
      <c r="G16">
        <v>1</v>
      </c>
      <c r="H16">
        <v>5</v>
      </c>
      <c r="I16">
        <v>2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2</v>
      </c>
      <c r="R16">
        <v>1</v>
      </c>
      <c r="S16">
        <v>0</v>
      </c>
      <c r="T16">
        <v>0</v>
      </c>
      <c r="U16">
        <v>74</v>
      </c>
      <c r="V16">
        <v>0</v>
      </c>
      <c r="W16" t="s">
        <v>53</v>
      </c>
      <c r="X16" t="s">
        <v>22</v>
      </c>
      <c r="Y16">
        <v>343</v>
      </c>
      <c r="Z16" t="s">
        <v>52</v>
      </c>
      <c r="AA16" t="s">
        <v>51</v>
      </c>
      <c r="AB16" s="46">
        <v>43942</v>
      </c>
      <c r="AC16" t="s">
        <v>50</v>
      </c>
      <c r="AD16" t="s">
        <v>49</v>
      </c>
      <c r="AE16" t="s">
        <v>48</v>
      </c>
      <c r="AF16" t="s">
        <v>47</v>
      </c>
      <c r="AG16" t="s">
        <v>37</v>
      </c>
    </row>
    <row r="17" spans="1:33">
      <c r="A17" t="s">
        <v>46</v>
      </c>
      <c r="B17">
        <v>31</v>
      </c>
      <c r="C17">
        <v>8</v>
      </c>
      <c r="D17">
        <v>8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3</v>
      </c>
      <c r="N17">
        <v>5</v>
      </c>
      <c r="O17">
        <v>6</v>
      </c>
      <c r="P17">
        <v>0</v>
      </c>
      <c r="Q17">
        <v>0</v>
      </c>
      <c r="R17">
        <v>0</v>
      </c>
      <c r="S17">
        <v>0</v>
      </c>
      <c r="T17">
        <v>0</v>
      </c>
      <c r="U17">
        <v>99</v>
      </c>
      <c r="V17">
        <v>1</v>
      </c>
      <c r="W17" t="s">
        <v>23</v>
      </c>
      <c r="X17" t="s">
        <v>22</v>
      </c>
      <c r="Y17">
        <v>442</v>
      </c>
      <c r="Z17" t="s">
        <v>21</v>
      </c>
      <c r="AA17" t="s">
        <v>10</v>
      </c>
      <c r="AB17" s="46">
        <v>43941</v>
      </c>
      <c r="AC17" t="s">
        <v>20</v>
      </c>
      <c r="AD17" t="s">
        <v>19</v>
      </c>
      <c r="AE17" t="s">
        <v>18</v>
      </c>
      <c r="AF17" t="s">
        <v>17</v>
      </c>
      <c r="AG17" t="s">
        <v>45</v>
      </c>
    </row>
    <row r="18" spans="1:33">
      <c r="A18" t="s">
        <v>44</v>
      </c>
      <c r="B18">
        <v>2</v>
      </c>
      <c r="C18">
        <v>5</v>
      </c>
      <c r="D18">
        <v>2</v>
      </c>
      <c r="E18">
        <v>3</v>
      </c>
      <c r="F18">
        <v>1</v>
      </c>
      <c r="G18">
        <v>0</v>
      </c>
      <c r="H18">
        <v>0</v>
      </c>
      <c r="I18">
        <v>0</v>
      </c>
      <c r="J18">
        <v>6</v>
      </c>
      <c r="K18">
        <v>5</v>
      </c>
      <c r="L18">
        <v>0</v>
      </c>
      <c r="M18">
        <v>2</v>
      </c>
      <c r="N18">
        <v>4</v>
      </c>
      <c r="O18">
        <v>1</v>
      </c>
      <c r="P18">
        <v>0</v>
      </c>
      <c r="Q18">
        <v>0</v>
      </c>
      <c r="R18">
        <v>0</v>
      </c>
      <c r="S18">
        <v>0</v>
      </c>
      <c r="T18">
        <v>1</v>
      </c>
      <c r="U18">
        <v>99</v>
      </c>
      <c r="V18">
        <v>0</v>
      </c>
      <c r="W18" t="s">
        <v>23</v>
      </c>
      <c r="X18" t="s">
        <v>22</v>
      </c>
      <c r="Y18">
        <v>442</v>
      </c>
      <c r="Z18" t="s">
        <v>21</v>
      </c>
      <c r="AA18" t="s">
        <v>10</v>
      </c>
      <c r="AB18" s="46">
        <v>43941</v>
      </c>
      <c r="AC18" t="s">
        <v>20</v>
      </c>
      <c r="AD18" t="s">
        <v>19</v>
      </c>
      <c r="AE18" t="s">
        <v>18</v>
      </c>
      <c r="AF18" t="s">
        <v>17</v>
      </c>
      <c r="AG18" t="s">
        <v>43</v>
      </c>
    </row>
    <row r="19" spans="1:33">
      <c r="A19" t="s">
        <v>42</v>
      </c>
      <c r="B19">
        <v>2</v>
      </c>
      <c r="C19">
        <v>6</v>
      </c>
      <c r="D19">
        <v>2</v>
      </c>
      <c r="E19">
        <v>4</v>
      </c>
      <c r="F19">
        <v>2</v>
      </c>
      <c r="G19">
        <v>1</v>
      </c>
      <c r="H19">
        <v>1</v>
      </c>
      <c r="I19">
        <v>0</v>
      </c>
      <c r="J19">
        <v>2</v>
      </c>
      <c r="K19">
        <v>4</v>
      </c>
      <c r="L19">
        <v>0</v>
      </c>
      <c r="M19">
        <v>4</v>
      </c>
      <c r="N19">
        <v>5</v>
      </c>
      <c r="O19">
        <v>2</v>
      </c>
      <c r="P19">
        <v>0</v>
      </c>
      <c r="Q19">
        <v>1</v>
      </c>
      <c r="R19">
        <v>0</v>
      </c>
      <c r="S19">
        <v>1</v>
      </c>
      <c r="T19">
        <v>0</v>
      </c>
      <c r="U19">
        <v>80</v>
      </c>
      <c r="V19">
        <v>0</v>
      </c>
      <c r="W19" t="s">
        <v>23</v>
      </c>
      <c r="X19" t="s">
        <v>22</v>
      </c>
      <c r="Y19">
        <v>442</v>
      </c>
      <c r="Z19" t="s">
        <v>21</v>
      </c>
      <c r="AA19" t="s">
        <v>10</v>
      </c>
      <c r="AB19" s="46">
        <v>43941</v>
      </c>
      <c r="AC19" t="s">
        <v>20</v>
      </c>
      <c r="AD19" t="s">
        <v>19</v>
      </c>
      <c r="AE19" t="s">
        <v>18</v>
      </c>
      <c r="AF19" t="s">
        <v>17</v>
      </c>
      <c r="AG19" t="s">
        <v>41</v>
      </c>
    </row>
    <row r="20" spans="1:33">
      <c r="A20" t="s">
        <v>6</v>
      </c>
      <c r="B20">
        <v>3</v>
      </c>
      <c r="C20">
        <v>17</v>
      </c>
      <c r="D20">
        <v>12</v>
      </c>
      <c r="E20">
        <v>5</v>
      </c>
      <c r="F20">
        <v>4</v>
      </c>
      <c r="G20">
        <v>2</v>
      </c>
      <c r="H20">
        <v>2</v>
      </c>
      <c r="I20">
        <v>1</v>
      </c>
      <c r="J20">
        <v>4</v>
      </c>
      <c r="K20">
        <v>5</v>
      </c>
      <c r="L20">
        <v>1</v>
      </c>
      <c r="M20">
        <v>4</v>
      </c>
      <c r="N20">
        <v>3</v>
      </c>
      <c r="O20">
        <v>4</v>
      </c>
      <c r="P20">
        <v>0</v>
      </c>
      <c r="Q20">
        <v>0</v>
      </c>
      <c r="R20">
        <v>0</v>
      </c>
      <c r="S20">
        <v>2</v>
      </c>
      <c r="T20">
        <v>4</v>
      </c>
      <c r="U20">
        <v>99</v>
      </c>
      <c r="V20">
        <v>0</v>
      </c>
      <c r="W20" t="s">
        <v>23</v>
      </c>
      <c r="X20" t="s">
        <v>22</v>
      </c>
      <c r="Y20">
        <v>442</v>
      </c>
      <c r="Z20" t="s">
        <v>21</v>
      </c>
      <c r="AA20" t="s">
        <v>10</v>
      </c>
      <c r="AB20" s="46">
        <v>43941</v>
      </c>
      <c r="AC20" t="s">
        <v>20</v>
      </c>
      <c r="AD20" t="s">
        <v>19</v>
      </c>
      <c r="AE20" t="s">
        <v>18</v>
      </c>
      <c r="AF20" t="s">
        <v>17</v>
      </c>
      <c r="AG20" t="s">
        <v>40</v>
      </c>
    </row>
    <row r="21" spans="1:33">
      <c r="A21" t="s">
        <v>9</v>
      </c>
      <c r="B21">
        <v>3</v>
      </c>
      <c r="C21">
        <v>47</v>
      </c>
      <c r="D21">
        <v>45</v>
      </c>
      <c r="E21">
        <v>2</v>
      </c>
      <c r="F21">
        <v>4</v>
      </c>
      <c r="G21">
        <v>1</v>
      </c>
      <c r="H21">
        <v>4</v>
      </c>
      <c r="I21">
        <v>2</v>
      </c>
      <c r="J21">
        <v>4</v>
      </c>
      <c r="K21">
        <v>2</v>
      </c>
      <c r="L21">
        <v>4</v>
      </c>
      <c r="M21">
        <v>2</v>
      </c>
      <c r="N21">
        <v>4</v>
      </c>
      <c r="O21">
        <v>4</v>
      </c>
      <c r="P21">
        <v>0</v>
      </c>
      <c r="Q21">
        <v>0</v>
      </c>
      <c r="R21">
        <v>0</v>
      </c>
      <c r="S21">
        <v>4</v>
      </c>
      <c r="T21">
        <v>0</v>
      </c>
      <c r="U21">
        <v>70</v>
      </c>
      <c r="V21">
        <v>0</v>
      </c>
      <c r="W21" t="s">
        <v>23</v>
      </c>
      <c r="X21" t="s">
        <v>22</v>
      </c>
      <c r="Y21">
        <v>442</v>
      </c>
      <c r="Z21" t="s">
        <v>21</v>
      </c>
      <c r="AA21" t="s">
        <v>10</v>
      </c>
      <c r="AB21" s="46">
        <v>43941</v>
      </c>
      <c r="AC21" t="s">
        <v>20</v>
      </c>
      <c r="AD21" t="s">
        <v>19</v>
      </c>
      <c r="AE21" t="s">
        <v>18</v>
      </c>
      <c r="AF21" t="s">
        <v>17</v>
      </c>
      <c r="AG21" t="s">
        <v>39</v>
      </c>
    </row>
    <row r="22" spans="1:33">
      <c r="A22" t="s">
        <v>38</v>
      </c>
      <c r="B22">
        <v>4</v>
      </c>
      <c r="C22">
        <v>57</v>
      </c>
      <c r="D22">
        <v>56</v>
      </c>
      <c r="E22">
        <v>1</v>
      </c>
      <c r="F22">
        <v>5</v>
      </c>
      <c r="G22">
        <v>2</v>
      </c>
      <c r="H22">
        <v>4</v>
      </c>
      <c r="I22">
        <v>4</v>
      </c>
      <c r="J22">
        <v>2</v>
      </c>
      <c r="K22">
        <v>4</v>
      </c>
      <c r="L22">
        <v>5</v>
      </c>
      <c r="M22">
        <v>4</v>
      </c>
      <c r="N22">
        <v>1</v>
      </c>
      <c r="O22">
        <v>5</v>
      </c>
      <c r="P22">
        <v>0</v>
      </c>
      <c r="Q22">
        <v>0</v>
      </c>
      <c r="R22">
        <v>0</v>
      </c>
      <c r="S22">
        <v>4</v>
      </c>
      <c r="T22">
        <v>1</v>
      </c>
      <c r="U22">
        <v>99</v>
      </c>
      <c r="V22">
        <v>0</v>
      </c>
      <c r="W22" t="s">
        <v>23</v>
      </c>
      <c r="X22" t="s">
        <v>22</v>
      </c>
      <c r="Y22">
        <v>442</v>
      </c>
      <c r="Z22" t="s">
        <v>21</v>
      </c>
      <c r="AA22" t="s">
        <v>10</v>
      </c>
      <c r="AB22" s="46">
        <v>43941</v>
      </c>
      <c r="AC22" t="s">
        <v>20</v>
      </c>
      <c r="AD22" t="s">
        <v>19</v>
      </c>
      <c r="AE22" t="s">
        <v>18</v>
      </c>
      <c r="AF22" t="s">
        <v>17</v>
      </c>
      <c r="AG22" t="s">
        <v>37</v>
      </c>
    </row>
    <row r="23" spans="1:33">
      <c r="A23" t="s">
        <v>36</v>
      </c>
      <c r="B23">
        <v>1</v>
      </c>
      <c r="C23">
        <v>36</v>
      </c>
      <c r="D23">
        <v>34</v>
      </c>
      <c r="E23">
        <v>2</v>
      </c>
      <c r="F23">
        <v>3</v>
      </c>
      <c r="G23">
        <v>4</v>
      </c>
      <c r="H23">
        <v>5</v>
      </c>
      <c r="I23">
        <v>4</v>
      </c>
      <c r="J23">
        <v>4</v>
      </c>
      <c r="K23">
        <v>4</v>
      </c>
      <c r="L23">
        <v>3</v>
      </c>
      <c r="M23">
        <v>4</v>
      </c>
      <c r="N23">
        <v>2</v>
      </c>
      <c r="O23">
        <v>3</v>
      </c>
      <c r="P23">
        <v>0</v>
      </c>
      <c r="Q23">
        <v>0</v>
      </c>
      <c r="R23">
        <v>0</v>
      </c>
      <c r="S23">
        <v>5</v>
      </c>
      <c r="T23">
        <v>2</v>
      </c>
      <c r="U23">
        <v>99</v>
      </c>
      <c r="V23">
        <v>2</v>
      </c>
      <c r="W23" t="s">
        <v>23</v>
      </c>
      <c r="X23" t="s">
        <v>22</v>
      </c>
      <c r="Y23">
        <v>442</v>
      </c>
      <c r="Z23" t="s">
        <v>21</v>
      </c>
      <c r="AA23" t="s">
        <v>10</v>
      </c>
      <c r="AB23" s="46">
        <v>43941</v>
      </c>
      <c r="AC23" t="s">
        <v>20</v>
      </c>
      <c r="AD23" t="s">
        <v>19</v>
      </c>
      <c r="AE23" t="s">
        <v>18</v>
      </c>
      <c r="AF23" t="s">
        <v>17</v>
      </c>
      <c r="AG23" t="s">
        <v>35</v>
      </c>
    </row>
    <row r="24" spans="1:33">
      <c r="A24" t="s">
        <v>34</v>
      </c>
      <c r="B24">
        <v>6</v>
      </c>
      <c r="C24">
        <v>27</v>
      </c>
      <c r="D24">
        <v>23</v>
      </c>
      <c r="E24">
        <v>4</v>
      </c>
      <c r="F24">
        <v>2</v>
      </c>
      <c r="G24">
        <v>4</v>
      </c>
      <c r="H24">
        <v>3</v>
      </c>
      <c r="I24">
        <v>5</v>
      </c>
      <c r="J24">
        <v>4</v>
      </c>
      <c r="K24">
        <v>3</v>
      </c>
      <c r="L24">
        <v>5</v>
      </c>
      <c r="M24">
        <v>0</v>
      </c>
      <c r="N24">
        <v>4</v>
      </c>
      <c r="O24">
        <v>0</v>
      </c>
      <c r="P24">
        <v>0</v>
      </c>
      <c r="Q24">
        <v>0</v>
      </c>
      <c r="R24">
        <v>0</v>
      </c>
      <c r="S24">
        <v>3</v>
      </c>
      <c r="T24">
        <v>4</v>
      </c>
      <c r="U24">
        <v>99</v>
      </c>
      <c r="V24">
        <v>0</v>
      </c>
      <c r="W24" t="s">
        <v>23</v>
      </c>
      <c r="X24" t="s">
        <v>22</v>
      </c>
      <c r="Y24">
        <v>442</v>
      </c>
      <c r="Z24" t="s">
        <v>21</v>
      </c>
      <c r="AA24" t="s">
        <v>10</v>
      </c>
      <c r="AB24" s="46">
        <v>43941</v>
      </c>
      <c r="AC24" t="s">
        <v>20</v>
      </c>
      <c r="AD24" t="s">
        <v>19</v>
      </c>
      <c r="AE24" t="s">
        <v>18</v>
      </c>
      <c r="AF24" t="s">
        <v>17</v>
      </c>
      <c r="AG24" t="s">
        <v>33</v>
      </c>
    </row>
    <row r="25" spans="1:33">
      <c r="A25" t="s">
        <v>7</v>
      </c>
      <c r="B25">
        <v>4</v>
      </c>
      <c r="C25">
        <v>38</v>
      </c>
      <c r="D25">
        <v>34</v>
      </c>
      <c r="E25">
        <v>4</v>
      </c>
      <c r="F25">
        <v>4</v>
      </c>
      <c r="G25">
        <v>5</v>
      </c>
      <c r="H25">
        <v>2</v>
      </c>
      <c r="I25">
        <v>4</v>
      </c>
      <c r="J25">
        <v>0</v>
      </c>
      <c r="K25">
        <v>4</v>
      </c>
      <c r="L25">
        <v>2</v>
      </c>
      <c r="M25">
        <v>4</v>
      </c>
      <c r="N25">
        <v>4</v>
      </c>
      <c r="O25">
        <v>2</v>
      </c>
      <c r="P25">
        <v>0</v>
      </c>
      <c r="Q25">
        <v>0</v>
      </c>
      <c r="R25">
        <v>0</v>
      </c>
      <c r="S25">
        <v>0</v>
      </c>
      <c r="T25">
        <v>4</v>
      </c>
      <c r="U25">
        <v>40</v>
      </c>
      <c r="V25">
        <v>0</v>
      </c>
      <c r="W25" t="s">
        <v>23</v>
      </c>
      <c r="X25" t="s">
        <v>22</v>
      </c>
      <c r="Y25">
        <v>442</v>
      </c>
      <c r="Z25" t="s">
        <v>21</v>
      </c>
      <c r="AA25" t="s">
        <v>10</v>
      </c>
      <c r="AB25" s="46">
        <v>43941</v>
      </c>
      <c r="AC25" t="s">
        <v>20</v>
      </c>
      <c r="AD25" t="s">
        <v>19</v>
      </c>
      <c r="AE25" t="s">
        <v>18</v>
      </c>
      <c r="AF25" t="s">
        <v>17</v>
      </c>
      <c r="AG25" t="s">
        <v>32</v>
      </c>
    </row>
    <row r="26" spans="1:33">
      <c r="A26" t="s">
        <v>13</v>
      </c>
      <c r="B26">
        <v>1</v>
      </c>
      <c r="C26">
        <v>6</v>
      </c>
      <c r="D26">
        <v>1</v>
      </c>
      <c r="E26">
        <v>5</v>
      </c>
      <c r="F26">
        <v>4</v>
      </c>
      <c r="G26">
        <v>3</v>
      </c>
      <c r="H26">
        <v>4</v>
      </c>
      <c r="I26">
        <v>5</v>
      </c>
      <c r="J26">
        <v>2</v>
      </c>
      <c r="K26">
        <v>5</v>
      </c>
      <c r="L26">
        <v>4</v>
      </c>
      <c r="M26">
        <v>5</v>
      </c>
      <c r="N26">
        <v>5</v>
      </c>
      <c r="O26">
        <v>2</v>
      </c>
      <c r="P26">
        <v>0</v>
      </c>
      <c r="Q26">
        <v>0</v>
      </c>
      <c r="R26">
        <v>0</v>
      </c>
      <c r="S26">
        <v>0</v>
      </c>
      <c r="T26">
        <v>5</v>
      </c>
      <c r="U26">
        <v>99</v>
      </c>
      <c r="V26">
        <v>0</v>
      </c>
      <c r="W26" t="s">
        <v>23</v>
      </c>
      <c r="X26" t="s">
        <v>22</v>
      </c>
      <c r="Y26">
        <v>442</v>
      </c>
      <c r="Z26" t="s">
        <v>21</v>
      </c>
      <c r="AA26" t="s">
        <v>10</v>
      </c>
      <c r="AB26" s="46">
        <v>43941</v>
      </c>
      <c r="AC26" t="s">
        <v>20</v>
      </c>
      <c r="AD26" t="s">
        <v>19</v>
      </c>
      <c r="AE26" t="s">
        <v>18</v>
      </c>
      <c r="AF26" t="s">
        <v>17</v>
      </c>
      <c r="AG26" t="s">
        <v>31</v>
      </c>
    </row>
    <row r="27" spans="1:33">
      <c r="A27" t="s">
        <v>30</v>
      </c>
      <c r="B27">
        <v>5</v>
      </c>
      <c r="C27">
        <v>3</v>
      </c>
      <c r="D27">
        <v>0</v>
      </c>
      <c r="E27">
        <v>3</v>
      </c>
      <c r="F27">
        <v>0</v>
      </c>
      <c r="G27">
        <v>0</v>
      </c>
      <c r="H27">
        <v>4</v>
      </c>
      <c r="I27">
        <v>3</v>
      </c>
      <c r="J27">
        <v>1</v>
      </c>
      <c r="K27">
        <v>3</v>
      </c>
      <c r="L27">
        <v>4</v>
      </c>
      <c r="M27">
        <v>3</v>
      </c>
      <c r="N27">
        <v>3</v>
      </c>
      <c r="O27">
        <v>3</v>
      </c>
      <c r="P27">
        <v>3</v>
      </c>
      <c r="Q27">
        <v>0</v>
      </c>
      <c r="R27">
        <v>0</v>
      </c>
      <c r="S27">
        <v>0</v>
      </c>
      <c r="T27">
        <v>3</v>
      </c>
      <c r="U27">
        <v>99</v>
      </c>
      <c r="V27">
        <v>0</v>
      </c>
      <c r="W27" t="s">
        <v>23</v>
      </c>
      <c r="X27" t="s">
        <v>22</v>
      </c>
      <c r="Y27">
        <v>442</v>
      </c>
      <c r="Z27" t="s">
        <v>21</v>
      </c>
      <c r="AA27" t="s">
        <v>10</v>
      </c>
      <c r="AB27" s="46">
        <v>43941</v>
      </c>
      <c r="AC27" t="s">
        <v>20</v>
      </c>
      <c r="AD27" t="s">
        <v>19</v>
      </c>
      <c r="AE27" t="s">
        <v>18</v>
      </c>
      <c r="AF27" t="s">
        <v>17</v>
      </c>
      <c r="AG27" t="s">
        <v>29</v>
      </c>
    </row>
    <row r="28" spans="1:33">
      <c r="A28" t="s">
        <v>28</v>
      </c>
      <c r="B28">
        <v>1</v>
      </c>
      <c r="C28">
        <v>8</v>
      </c>
      <c r="D28">
        <v>4</v>
      </c>
      <c r="E28">
        <v>4</v>
      </c>
      <c r="F28">
        <v>0</v>
      </c>
      <c r="G28">
        <v>0</v>
      </c>
      <c r="H28">
        <v>0</v>
      </c>
      <c r="I28">
        <v>0</v>
      </c>
      <c r="J28">
        <v>1</v>
      </c>
      <c r="K28">
        <v>0</v>
      </c>
      <c r="L28">
        <v>0</v>
      </c>
      <c r="M28">
        <v>0</v>
      </c>
      <c r="N28">
        <v>2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19</v>
      </c>
      <c r="V28">
        <v>0</v>
      </c>
      <c r="W28" t="s">
        <v>23</v>
      </c>
      <c r="X28" t="s">
        <v>22</v>
      </c>
      <c r="Y28">
        <v>442</v>
      </c>
      <c r="Z28" t="s">
        <v>21</v>
      </c>
      <c r="AA28" t="s">
        <v>10</v>
      </c>
      <c r="AB28" s="46">
        <v>43941</v>
      </c>
      <c r="AC28" t="s">
        <v>20</v>
      </c>
      <c r="AD28" t="s">
        <v>19</v>
      </c>
      <c r="AE28" t="s">
        <v>18</v>
      </c>
      <c r="AF28" t="s">
        <v>17</v>
      </c>
      <c r="AG28" t="s">
        <v>27</v>
      </c>
    </row>
    <row r="29" spans="1:33">
      <c r="A29" t="s">
        <v>26</v>
      </c>
      <c r="B29">
        <v>1</v>
      </c>
      <c r="C29">
        <v>3</v>
      </c>
      <c r="D29">
        <v>1</v>
      </c>
      <c r="E29">
        <v>2</v>
      </c>
      <c r="F29">
        <v>0</v>
      </c>
      <c r="G29">
        <v>0</v>
      </c>
      <c r="H29">
        <v>0</v>
      </c>
      <c r="I29">
        <v>0</v>
      </c>
      <c r="J29">
        <v>4</v>
      </c>
      <c r="K29">
        <v>0</v>
      </c>
      <c r="L29">
        <v>0</v>
      </c>
      <c r="M29">
        <v>0</v>
      </c>
      <c r="N29">
        <v>4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59</v>
      </c>
      <c r="V29">
        <v>0</v>
      </c>
      <c r="W29" t="s">
        <v>23</v>
      </c>
      <c r="X29" t="s">
        <v>22</v>
      </c>
      <c r="Y29">
        <v>442</v>
      </c>
      <c r="Z29" t="s">
        <v>21</v>
      </c>
      <c r="AA29" t="s">
        <v>10</v>
      </c>
      <c r="AB29" s="46">
        <v>43941</v>
      </c>
      <c r="AC29" t="s">
        <v>20</v>
      </c>
      <c r="AD29" t="s">
        <v>19</v>
      </c>
      <c r="AE29" t="s">
        <v>18</v>
      </c>
      <c r="AF29" t="s">
        <v>17</v>
      </c>
      <c r="AG29" t="s">
        <v>25</v>
      </c>
    </row>
    <row r="30" spans="1:33">
      <c r="A30" t="s">
        <v>24</v>
      </c>
      <c r="B30">
        <v>2</v>
      </c>
      <c r="C30">
        <v>1</v>
      </c>
      <c r="D30">
        <v>0</v>
      </c>
      <c r="E30">
        <v>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4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29</v>
      </c>
      <c r="V30">
        <v>0</v>
      </c>
      <c r="W30" t="s">
        <v>23</v>
      </c>
      <c r="X30" t="s">
        <v>22</v>
      </c>
      <c r="Y30">
        <v>442</v>
      </c>
      <c r="Z30" t="s">
        <v>21</v>
      </c>
      <c r="AA30" t="s">
        <v>10</v>
      </c>
      <c r="AB30" s="46">
        <v>43941</v>
      </c>
      <c r="AC30" t="s">
        <v>20</v>
      </c>
      <c r="AD30" t="s">
        <v>19</v>
      </c>
      <c r="AE30" t="s">
        <v>18</v>
      </c>
      <c r="AF30" t="s">
        <v>17</v>
      </c>
      <c r="AG30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11883-51EE-6747-9D19-F12E1248535C}">
  <sheetPr codeName="Feuil12"/>
  <dimension ref="A1:W45"/>
  <sheetViews>
    <sheetView zoomScale="82" workbookViewId="0">
      <selection activeCell="R20" sqref="R20"/>
    </sheetView>
  </sheetViews>
  <sheetFormatPr baseColWidth="10" defaultRowHeight="16"/>
  <cols>
    <col min="1" max="1" width="3.5" customWidth="1"/>
    <col min="2" max="2" width="18.83203125" customWidth="1"/>
    <col min="3" max="3" width="7.5" bestFit="1" customWidth="1"/>
    <col min="4" max="4" width="7.5" customWidth="1"/>
    <col min="5" max="5" width="6.5" customWidth="1"/>
    <col min="6" max="6" width="10" customWidth="1"/>
    <col min="7" max="7" width="9.83203125" customWidth="1"/>
    <col min="8" max="8" width="9.33203125" customWidth="1"/>
    <col min="9" max="9" width="3.33203125" customWidth="1"/>
    <col min="13" max="13" width="10.83203125" hidden="1" customWidth="1"/>
    <col min="14" max="14" width="12.1640625" bestFit="1" customWidth="1"/>
    <col min="15" max="15" width="8.1640625" bestFit="1" customWidth="1"/>
    <col min="16" max="16" width="7.83203125" customWidth="1"/>
    <col min="23" max="23" width="0" hidden="1" customWidth="1"/>
  </cols>
  <sheetData>
    <row r="1" spans="1:20" ht="8" customHeight="1">
      <c r="A1" s="1"/>
      <c r="B1" s="1"/>
      <c r="C1" s="1"/>
      <c r="D1" s="1"/>
      <c r="E1" s="1"/>
      <c r="F1" s="1"/>
      <c r="G1" s="1"/>
      <c r="H1" s="1"/>
      <c r="I1" s="1"/>
    </row>
    <row r="2" spans="1:20" ht="16" customHeight="1">
      <c r="A2" s="44"/>
      <c r="B2" s="51" t="s">
        <v>15</v>
      </c>
      <c r="C2" s="51"/>
      <c r="D2" s="51"/>
      <c r="E2" s="51"/>
      <c r="F2" s="51"/>
      <c r="G2" s="51"/>
      <c r="H2" s="51"/>
      <c r="I2" s="44"/>
      <c r="J2" s="45"/>
      <c r="K2" s="45"/>
    </row>
    <row r="3" spans="1:20" ht="17" customHeight="1" thickBot="1">
      <c r="A3" s="44"/>
      <c r="B3" s="51"/>
      <c r="C3" s="51"/>
      <c r="D3" s="51"/>
      <c r="E3" s="51"/>
      <c r="F3" s="51"/>
      <c r="G3" s="51"/>
      <c r="H3" s="51"/>
      <c r="I3" s="44"/>
      <c r="J3" s="45"/>
      <c r="K3" s="45"/>
    </row>
    <row r="4" spans="1:20" ht="18" customHeight="1" thickTop="1" thickBot="1">
      <c r="A4" s="44"/>
      <c r="B4" s="52"/>
      <c r="C4" s="52"/>
      <c r="D4" s="52"/>
      <c r="E4" s="52"/>
      <c r="F4" s="52"/>
      <c r="G4" s="52"/>
      <c r="H4" s="52"/>
      <c r="I4" s="44"/>
      <c r="K4" s="37" t="s">
        <v>14</v>
      </c>
      <c r="L4" s="16" t="s">
        <v>13</v>
      </c>
      <c r="M4" s="16"/>
      <c r="N4" s="16" t="s">
        <v>12</v>
      </c>
    </row>
    <row r="5" spans="1:20" ht="18" thickTop="1" thickBot="1">
      <c r="A5" s="1"/>
      <c r="B5" s="43"/>
      <c r="C5" s="55" t="str">
        <f>VLOOKUP($C$6,[1]Paramètres!F:G,2,0)</f>
        <v>FLORINDO</v>
      </c>
      <c r="D5" s="56"/>
      <c r="E5" s="59" t="s">
        <v>11</v>
      </c>
      <c r="F5" s="60"/>
      <c r="G5" s="59" t="s">
        <v>10</v>
      </c>
      <c r="H5" s="60"/>
      <c r="I5" s="41"/>
      <c r="K5" s="16" t="s">
        <v>5</v>
      </c>
      <c r="L5" s="36">
        <f>SUMIFS([1]!Tableau1[Vers],[1]!Tableau1[[Joueur ]],$C$6,[1]!Tableau1[Joueur],$L$4)</f>
        <v>9</v>
      </c>
      <c r="M5" s="35"/>
      <c r="N5" s="34">
        <f>SUMIFS([1]!Tableau1[Vers],[1]!Tableau1[[Joueur ]],$C$6)</f>
        <v>68</v>
      </c>
      <c r="O5" s="42">
        <f>IFERROR((L5/N5),0)</f>
        <v>0.13235294117647059</v>
      </c>
    </row>
    <row r="6" spans="1:20" ht="18" thickTop="1" thickBot="1">
      <c r="A6" s="1"/>
      <c r="B6" s="33"/>
      <c r="C6" s="55" t="s">
        <v>9</v>
      </c>
      <c r="D6" s="56"/>
      <c r="E6" s="61">
        <f>COUNTIF(Tableau2[[Joueur ]],'Stat saison'!C$6)</f>
        <v>2</v>
      </c>
      <c r="F6" s="62"/>
      <c r="G6" s="61">
        <f>COUNTIFS(Tableau2[[Joueur ]],$C$6,Tableau2[Match],$G$5)</f>
        <v>2</v>
      </c>
      <c r="H6" s="62"/>
      <c r="I6" s="41"/>
      <c r="K6" s="16" t="s">
        <v>4</v>
      </c>
      <c r="L6" s="29">
        <f>SUMIFS([1]!Tableau1[Reçu],[1]!Tableau1[[Joueur ]],$C$6,[1]!Tableau1[Joueur],$L$4)</f>
        <v>3</v>
      </c>
      <c r="M6" s="28"/>
      <c r="N6" s="27">
        <f>SUMIFS([1]!Tableau1[Reçu],[1]!Tableau1[[Joueur ]],$C$6)</f>
        <v>78</v>
      </c>
      <c r="O6" s="42">
        <f>IFERROR(((L6/N6)),0)</f>
        <v>3.8461538461538464E-2</v>
      </c>
    </row>
    <row r="7" spans="1:20" ht="18" thickTop="1" thickBot="1">
      <c r="A7" s="1"/>
      <c r="B7" s="33"/>
      <c r="C7" s="57" t="s">
        <v>2</v>
      </c>
      <c r="D7" s="58"/>
      <c r="E7" s="63">
        <f>SUMIFS(Tableau2[Total TDJ],Tableau2[[Joueur ]],$C$6)</f>
        <v>165</v>
      </c>
      <c r="F7" s="64"/>
      <c r="G7" s="63">
        <f>SUMIFS(Tableau2[Total TDJ],Tableau2[[Joueur ]],$C$6,Tableau2[Match],$G$5)</f>
        <v>165</v>
      </c>
      <c r="H7" s="64"/>
      <c r="I7" s="41"/>
    </row>
    <row r="8" spans="1:20" ht="18" thickTop="1" thickBot="1">
      <c r="A8" s="1"/>
      <c r="B8" s="33"/>
      <c r="C8" s="40"/>
      <c r="D8" s="39"/>
      <c r="E8" s="39"/>
      <c r="F8" s="39"/>
      <c r="G8" s="39"/>
      <c r="H8" s="38"/>
      <c r="I8" s="1"/>
    </row>
    <row r="9" spans="1:20" ht="18" thickTop="1" thickBot="1">
      <c r="A9" s="1"/>
      <c r="B9" s="33"/>
      <c r="C9" s="32"/>
      <c r="D9" s="31"/>
      <c r="E9" s="31"/>
      <c r="F9" s="31"/>
      <c r="G9" s="31"/>
      <c r="H9" s="30"/>
      <c r="I9" s="1"/>
      <c r="K9" s="37" t="s">
        <v>8</v>
      </c>
      <c r="L9" s="16" t="s">
        <v>7</v>
      </c>
      <c r="M9" s="16"/>
      <c r="N9" s="16" t="s">
        <v>6</v>
      </c>
    </row>
    <row r="10" spans="1:20" ht="18" thickTop="1" thickBot="1">
      <c r="A10" s="1"/>
      <c r="B10" s="33"/>
      <c r="C10" s="32"/>
      <c r="D10" s="31"/>
      <c r="E10" s="31"/>
      <c r="F10" s="31"/>
      <c r="G10" s="31"/>
      <c r="H10" s="30"/>
      <c r="I10" s="1"/>
      <c r="K10" s="16" t="s">
        <v>5</v>
      </c>
      <c r="L10" s="36">
        <f>SUMIFS([1]!Tableau1[Vers],[1]!Tableau1[[Joueur ]],$C$6,[1]!Tableau1[Joueur],$L$9)</f>
        <v>4</v>
      </c>
      <c r="M10" s="35"/>
      <c r="N10" s="34">
        <f>SUMIFS([1]!Tableau1[Vers],[1]!Tableau1[[Joueur ]],$C$6,[1]!Tableau1[Joueur],$N$9)</f>
        <v>4</v>
      </c>
      <c r="O10" s="26">
        <f>L10-N10</f>
        <v>0</v>
      </c>
      <c r="S10">
        <f>MATCH(B34,'BDD indiv1'!1:1,0)</f>
        <v>2</v>
      </c>
      <c r="T10" t="s">
        <v>97</v>
      </c>
    </row>
    <row r="11" spans="1:20" ht="18" thickTop="1" thickBot="1">
      <c r="A11" s="1"/>
      <c r="B11" s="33"/>
      <c r="C11" s="32"/>
      <c r="D11" s="31"/>
      <c r="E11" s="31"/>
      <c r="F11" s="31"/>
      <c r="G11" s="31"/>
      <c r="H11" s="30"/>
      <c r="I11" s="1"/>
      <c r="J11" s="7"/>
      <c r="K11" s="16" t="s">
        <v>4</v>
      </c>
      <c r="L11" s="29">
        <f>SUMIFS([1]!Tableau1[Reçu],[1]!Tableau1[[Joueur ]],$C$6,[1]!Tableau1[Joueur],$L$9)</f>
        <v>3</v>
      </c>
      <c r="M11" s="28"/>
      <c r="N11" s="27">
        <f>SUMIFS([1]!Tableau1[Reçu],[1]!Tableau1[[Joueur ]],$C$6,[1]!Tableau1[Joueur],$N$9)</f>
        <v>2</v>
      </c>
      <c r="O11" s="26">
        <f>L11-N11</f>
        <v>1</v>
      </c>
    </row>
    <row r="12" spans="1:20" ht="18" thickTop="1" thickBot="1">
      <c r="A12" s="1"/>
      <c r="B12" s="25"/>
      <c r="C12" s="24"/>
      <c r="D12" s="23"/>
      <c r="E12" s="23"/>
      <c r="F12" s="23"/>
      <c r="G12" s="23"/>
      <c r="H12" s="22"/>
      <c r="I12" s="1"/>
      <c r="J12" s="7"/>
      <c r="K12" s="7"/>
      <c r="S12" t="str">
        <f ca="1">L14</f>
        <v>Montpellier</v>
      </c>
    </row>
    <row r="13" spans="1:20" ht="26" thickTop="1" thickBot="1">
      <c r="A13" s="1"/>
      <c r="B13" s="21" t="str">
        <f>Tableau2[[#Headers],[Ballon Touchés]]</f>
        <v>Ballon Touchés</v>
      </c>
      <c r="C13" s="19" t="s">
        <v>1</v>
      </c>
      <c r="D13" s="18"/>
      <c r="E13" s="20"/>
      <c r="F13" s="65" t="str">
        <f>Tableau2[[#Headers],[Trajectoire Coupé]]</f>
        <v>Trajectoire Coupé</v>
      </c>
      <c r="G13" s="65"/>
      <c r="H13" s="19" t="s">
        <v>1</v>
      </c>
      <c r="I13" s="18"/>
      <c r="J13" s="6"/>
      <c r="L13" s="17" t="s">
        <v>3</v>
      </c>
      <c r="N13" s="16" t="s">
        <v>2</v>
      </c>
      <c r="R13" s="48"/>
      <c r="S13" s="49">
        <f ca="1">SUMIFS(INDEX('BDD indiv1'!1:1048576,,MATCH(B34,'BDD indiv1'!1:1,0)),'BDD indiv1'!W:W,'Stat saison'!S12,'BDD indiv1'!A:A,'Stat saison'!C6:D6)</f>
        <v>0</v>
      </c>
      <c r="T13" t="s">
        <v>96</v>
      </c>
    </row>
    <row r="14" spans="1:20" ht="20" thickTop="1">
      <c r="A14" s="1"/>
      <c r="B14" s="5">
        <f>SUMIFS(Tableau2[Ballon Touchés],Tableau2[[Joueur ]],$C$6)</f>
        <v>4</v>
      </c>
      <c r="C14" s="3">
        <f>IFERROR(B14/$E$6,0)</f>
        <v>2</v>
      </c>
      <c r="D14" s="2"/>
      <c r="E14" s="4"/>
      <c r="F14" s="50">
        <f>SUMIFS(Tableau2[Trajectoire Coupé],Tableau2[[Joueur ]],$C$6)</f>
        <v>7</v>
      </c>
      <c r="G14" s="50"/>
      <c r="H14" s="3">
        <f>IFERROR(F14/$E$6,0)</f>
        <v>3.5</v>
      </c>
      <c r="I14" s="2"/>
      <c r="J14" s="6"/>
      <c r="L14" s="15" t="str">
        <f ca="1">IFERROR(INDEX('BDD indiv1'!W:W,M14),"")</f>
        <v>Montpellier</v>
      </c>
      <c r="M14" s="14">
        <f ca="1">IFERROR(MATCH($C$6,OFFSET(Tableau2[[#Headers],[Joueur ]],M13,0,COUNTA('BDD indiv1'!A:A)-M13,1),0)+M13,"")</f>
        <v>5</v>
      </c>
      <c r="N14" s="13">
        <f ca="1">IF(L14=0,"",SUMIFS(Tableau2[Total TDJ],Tableau2[[Joueur ]],$C$6,Tableau2[Adversaire],$L14))</f>
        <v>95</v>
      </c>
    </row>
    <row r="15" spans="1:20" ht="19">
      <c r="A15" s="1"/>
      <c r="B15" s="5" t="str">
        <f>Tableau2[[#Headers],[Passe]]</f>
        <v>Passe</v>
      </c>
      <c r="C15" s="3" t="s">
        <v>1</v>
      </c>
      <c r="D15" s="2"/>
      <c r="E15" s="4"/>
      <c r="F15" s="50" t="str">
        <f>Tableau2[[#Headers],[Tir Cadré]]</f>
        <v>Tir Cadré</v>
      </c>
      <c r="G15" s="50"/>
      <c r="H15" s="3" t="s">
        <v>1</v>
      </c>
      <c r="I15" s="2"/>
      <c r="J15" s="6"/>
      <c r="L15" s="12" t="str">
        <f ca="1">IFERROR(INDEX('BDD indiv1'!W:W,M15),"")</f>
        <v xml:space="preserve">Bordeaux </v>
      </c>
      <c r="M15">
        <f ca="1">IFERROR(MATCH($C$6,OFFSET(Tableau2[[#Headers],[Joueur ]],M14,0,COUNTA('BDD indiv1'!A:A)-M14,1),0)+M14,"")</f>
        <v>21</v>
      </c>
      <c r="N15" s="11">
        <f ca="1">IF(L15=0,"",SUMIFS(Tableau2[Total TDJ],Tableau2[[Joueur ]],$C$6,Tableau2[Adversaire],$L15))</f>
        <v>70</v>
      </c>
    </row>
    <row r="16" spans="1:20" ht="19">
      <c r="A16" s="1"/>
      <c r="B16" s="5">
        <f>SUMIFS(Tableau2[Passe],Tableau2[[Joueur ]],$C$6)</f>
        <v>53</v>
      </c>
      <c r="C16" s="3">
        <f>IFERROR(B16/$E$6,0)</f>
        <v>26.5</v>
      </c>
      <c r="D16" s="2"/>
      <c r="E16" s="4"/>
      <c r="F16" s="50">
        <f>SUMIFS(Tableau2[Tir Cadré],Tableau2[[Joueur ]],$C$6)</f>
        <v>8</v>
      </c>
      <c r="G16" s="50"/>
      <c r="H16" s="3">
        <f>IFERROR(F16/$E$6,0)</f>
        <v>4</v>
      </c>
      <c r="I16" s="2"/>
      <c r="J16" s="6"/>
      <c r="L16" s="12" t="str">
        <f ca="1">IFERROR(INDEX('BDD indiv1'!W:W,M16),"")</f>
        <v/>
      </c>
      <c r="M16" t="str">
        <f ca="1">IFERROR(MATCH($C$6,OFFSET(Tableau2[[#Headers],[Joueur ]],M15,0,COUNTA('BDD indiv1'!A:A)-M15,1),0)+M15,"")</f>
        <v/>
      </c>
      <c r="N16" s="11">
        <f ca="1">IF(L16=0,"",SUMIFS(Tableau2[Total TDJ],Tableau2[[Joueur ]],$C$6,Tableau2[Adversaire],$L16))</f>
        <v>0</v>
      </c>
    </row>
    <row r="17" spans="1:19" ht="19">
      <c r="A17" s="1"/>
      <c r="B17" s="5" t="str">
        <f>Tableau2[[#Headers],[Passe réussi ]]</f>
        <v xml:space="preserve">Passe réussi </v>
      </c>
      <c r="C17" s="3" t="s">
        <v>1</v>
      </c>
      <c r="D17" s="2"/>
      <c r="E17" s="4"/>
      <c r="F17" s="50" t="str">
        <f>Tableau2[[#Headers],[Tir HC]]</f>
        <v>Tir HC</v>
      </c>
      <c r="G17" s="50"/>
      <c r="H17" s="3" t="s">
        <v>1</v>
      </c>
      <c r="I17" s="2"/>
      <c r="J17" s="6"/>
      <c r="L17" s="12" t="str">
        <f ca="1">IFERROR(INDEX('BDD indiv1'!W:W,M17),"")</f>
        <v/>
      </c>
      <c r="M17" t="str">
        <f ca="1">IFERROR(MATCH($C$6,OFFSET(Tableau2[[#Headers],[Joueur ]],M16,0,COUNTA('BDD indiv1'!A:A)-M16,1),0)+M16,"")</f>
        <v/>
      </c>
      <c r="N17" s="11">
        <f ca="1">IF(L17=0,"",SUMIFS(Tableau2[Total TDJ],Tableau2[[Joueur ]],$C$6,Tableau2[Adversaire],$L17))</f>
        <v>0</v>
      </c>
      <c r="S17" t="s">
        <v>103</v>
      </c>
    </row>
    <row r="18" spans="1:19" ht="19">
      <c r="A18" s="1"/>
      <c r="B18" s="5">
        <f>SUMIFS(Tableau2[[Passe réussi ]],Tableau2[[Joueur ]],$C$6)</f>
        <v>48</v>
      </c>
      <c r="C18" s="3">
        <f>IFERROR(B18/$E$6,0)</f>
        <v>24</v>
      </c>
      <c r="D18" s="2"/>
      <c r="E18" s="4"/>
      <c r="F18" s="50">
        <f>SUMIFS(Tableau2[Tir HC],Tableau2[[Joueur ]],$C$6)</f>
        <v>6</v>
      </c>
      <c r="G18" s="50"/>
      <c r="H18" s="3">
        <f>IFERROR(F18/$E$6,0)</f>
        <v>3</v>
      </c>
      <c r="I18" s="2"/>
      <c r="J18" s="6"/>
      <c r="L18" s="12" t="str">
        <f ca="1">IFERROR(INDEX('BDD indiv1'!W:W,M18),"")</f>
        <v/>
      </c>
      <c r="M18" t="str">
        <f ca="1">IFERROR(MATCH($C$6,OFFSET(Tableau2[[#Headers],[Joueur ]],M17,0,COUNTA('BDD indiv1'!A:A)-M17,1),0)+M17,"")</f>
        <v/>
      </c>
      <c r="N18" s="11">
        <f ca="1">IF(L18=0,"",SUMIFS(Tableau2[Total TDJ],Tableau2[[Joueur ]],$C$6,Tableau2[Adversaire],$L18))</f>
        <v>0</v>
      </c>
      <c r="S18" t="s">
        <v>102</v>
      </c>
    </row>
    <row r="19" spans="1:19" ht="19">
      <c r="A19" s="1"/>
      <c r="B19" s="5" t="str">
        <f>Tableau2[[#Headers],[Passe loupé ]]</f>
        <v xml:space="preserve">Passe loupé </v>
      </c>
      <c r="C19" s="3" t="s">
        <v>1</v>
      </c>
      <c r="D19" s="2"/>
      <c r="E19" s="4"/>
      <c r="F19" s="50" t="str">
        <f>Tableau2[[#Headers],[Passe Déc]]</f>
        <v>Passe Déc</v>
      </c>
      <c r="G19" s="50"/>
      <c r="H19" s="3" t="s">
        <v>1</v>
      </c>
      <c r="I19" s="2"/>
      <c r="J19" s="6"/>
      <c r="L19" s="12" t="str">
        <f ca="1">IFERROR(INDEX('BDD indiv1'!W:W,M19),"")</f>
        <v/>
      </c>
      <c r="M19" t="str">
        <f ca="1">IFERROR(MATCH($C$6,OFFSET(Tableau2[[#Headers],[Joueur ]],M18,0,COUNTA('BDD indiv1'!A:A)-M18,1),0)+M18,"")</f>
        <v/>
      </c>
      <c r="N19" s="11">
        <f ca="1">IF(L19=0,"",SUMIFS(Tableau2[Total TDJ],Tableau2[[Joueur ]],$C$6,Tableau2[Adversaire],$L19))</f>
        <v>0</v>
      </c>
    </row>
    <row r="20" spans="1:19" ht="19">
      <c r="A20" s="1"/>
      <c r="B20" s="5">
        <f>SUMIFS(Tableau2[[Passe loupé ]],Tableau2[[Joueur ]],$C$6)</f>
        <v>5</v>
      </c>
      <c r="C20" s="3">
        <f>IFERROR(B20/$E$6,0)</f>
        <v>2.5</v>
      </c>
      <c r="D20" s="2"/>
      <c r="E20" s="4"/>
      <c r="F20" s="50">
        <f>SUMIFS(Tableau2[Passe Déc],Tableau2[[Joueur ]],$C$6)</f>
        <v>4</v>
      </c>
      <c r="G20" s="50"/>
      <c r="H20" s="3">
        <f>IFERROR(F20/$E$6,0)</f>
        <v>2</v>
      </c>
      <c r="I20" s="2"/>
      <c r="J20" s="6"/>
      <c r="L20" s="12" t="str">
        <f ca="1">IFERROR(INDEX('BDD indiv1'!W:W,M20),"")</f>
        <v/>
      </c>
      <c r="M20" t="str">
        <f ca="1">IFERROR(MATCH($C$6,OFFSET(Tableau2[[#Headers],[Joueur ]],M19,0,COUNTA('BDD indiv1'!A:A)-M19,1),0)+M19,"")</f>
        <v/>
      </c>
      <c r="N20" s="11">
        <f ca="1">IF(L20=0,"",SUMIFS(Tableau2[Total TDJ],Tableau2[[Joueur ]],$C$6,Tableau2[Adversaire],$L20))</f>
        <v>0</v>
      </c>
    </row>
    <row r="21" spans="1:19" ht="19">
      <c r="A21" s="1"/>
      <c r="B21" s="5" t="str">
        <f>Tableau2[[#Headers],[Dégagement ]]</f>
        <v xml:space="preserve">Dégagement </v>
      </c>
      <c r="C21" s="3" t="s">
        <v>1</v>
      </c>
      <c r="D21" s="2"/>
      <c r="E21" s="4"/>
      <c r="F21" s="50" t="str">
        <f>Tableau2[[#Headers],[But]]</f>
        <v>But</v>
      </c>
      <c r="G21" s="50"/>
      <c r="H21" s="3" t="s">
        <v>1</v>
      </c>
      <c r="I21" s="2"/>
      <c r="J21" s="6"/>
      <c r="L21" s="12" t="str">
        <f ca="1">IFERROR(INDEX('BDD indiv1'!W:W,M21),"")</f>
        <v/>
      </c>
      <c r="M21" t="str">
        <f ca="1">IFERROR(MATCH($C$6,OFFSET(Tableau2[[#Headers],[Joueur ]],M20,0,COUNTA('BDD indiv1'!A:A)-M20,1),0)+M20,"")</f>
        <v/>
      </c>
      <c r="N21" s="11">
        <f ca="1">IF(L21=0,"",SUMIFS(Tableau2[Total TDJ],Tableau2[[Joueur ]],$C$6,Tableau2[Adversaire],$L21))</f>
        <v>0</v>
      </c>
    </row>
    <row r="22" spans="1:19" ht="19">
      <c r="A22" s="1"/>
      <c r="B22" s="5">
        <f>SUMIFS(Tableau2[[Dégagement ]],Tableau2[[Joueur ]],$C$6)</f>
        <v>7</v>
      </c>
      <c r="C22" s="3">
        <f>IFERROR(B22/$E$6,0)</f>
        <v>3.5</v>
      </c>
      <c r="D22" s="2"/>
      <c r="E22" s="4"/>
      <c r="F22" s="50">
        <f>SUMIFS(Tableau2[But],Tableau2[[Joueur ]],$C$6)</f>
        <v>0</v>
      </c>
      <c r="G22" s="50"/>
      <c r="H22" s="3">
        <f>IFERROR(F22/$E$6,0)</f>
        <v>0</v>
      </c>
      <c r="I22" s="2"/>
      <c r="J22" s="6"/>
      <c r="L22" s="12" t="str">
        <f ca="1">IFERROR(INDEX('BDD indiv1'!W:W,M22),"")</f>
        <v/>
      </c>
      <c r="M22" t="str">
        <f ca="1">IFERROR(MATCH($C$6,OFFSET(Tableau2[[#Headers],[Joueur ]],M21,0,COUNTA('BDD indiv1'!A:A)-M21,1),0)+M21,"")</f>
        <v/>
      </c>
      <c r="N22" s="11">
        <f ca="1">IF(L22=0,"",SUMIFS(Tableau2[Total TDJ],Tableau2[[Joueur ]],$C$6,Tableau2[Adversaire],$L22))</f>
        <v>0</v>
      </c>
    </row>
    <row r="23" spans="1:19" ht="19">
      <c r="A23" s="1"/>
      <c r="B23" s="5" t="str">
        <f>Tableau2[[#Headers],[Ballon Perdu]]</f>
        <v>Ballon Perdu</v>
      </c>
      <c r="C23" s="3" t="s">
        <v>1</v>
      </c>
      <c r="D23" s="2"/>
      <c r="E23" s="4"/>
      <c r="F23" s="50" t="str">
        <f>Tableau2[[#Headers],[Carton Jaune]]</f>
        <v>Carton Jaune</v>
      </c>
      <c r="G23" s="50"/>
      <c r="H23" s="3" t="s">
        <v>1</v>
      </c>
      <c r="I23" s="2"/>
      <c r="J23" s="6"/>
      <c r="L23" s="12" t="str">
        <f ca="1">IFERROR(INDEX('BDD indiv1'!W:W,M23),"")</f>
        <v/>
      </c>
      <c r="M23" t="str">
        <f ca="1">IFERROR(MATCH($C$6,OFFSET(Tableau2[[#Headers],[Joueur ]],M22,0,COUNTA('BDD indiv1'!A:A)-M22,1),0)+M22,"")</f>
        <v/>
      </c>
      <c r="N23" s="11">
        <f ca="1">IF(L23=0,"",SUMIFS(Tableau2[Total TDJ],Tableau2[[Joueur ]],$C$6,Tableau2[Adversaire],$L23))</f>
        <v>0</v>
      </c>
    </row>
    <row r="24" spans="1:19" ht="19">
      <c r="A24" s="1"/>
      <c r="B24" s="5">
        <f>SUMIFS(Tableau2[Ballon Perdu],Tableau2[[Joueur ]],$C$6)</f>
        <v>1</v>
      </c>
      <c r="C24" s="3">
        <f>IFERROR(B24/$E$6,0)</f>
        <v>0.5</v>
      </c>
      <c r="D24" s="2"/>
      <c r="E24" s="4"/>
      <c r="F24" s="50">
        <f>SUMIFS(Tableau2[Carton Jaune],Tableau2[[Joueur ]],$C$6)</f>
        <v>0</v>
      </c>
      <c r="G24" s="50"/>
      <c r="H24" s="3">
        <f>IFERROR(F24/$E$6,0)</f>
        <v>0</v>
      </c>
      <c r="I24" s="2"/>
      <c r="J24" s="6"/>
      <c r="L24" s="12" t="str">
        <f ca="1">IFERROR(INDEX('BDD indiv1'!W:W,M24),"")</f>
        <v/>
      </c>
      <c r="M24" t="str">
        <f ca="1">IFERROR(MATCH($C$6,OFFSET(Tableau2[[#Headers],[Joueur ]],M23,0,COUNTA('BDD indiv1'!A:A)-M23,1),0)+M23,"")</f>
        <v/>
      </c>
      <c r="N24" s="11">
        <f ca="1">IF(L24=0,"",SUMIFS(Tableau2[Total TDJ],Tableau2[[Joueur ]],$C$6,Tableau2[Adversaire],$L24))</f>
        <v>0</v>
      </c>
    </row>
    <row r="25" spans="1:19" ht="19">
      <c r="A25" s="1"/>
      <c r="B25" s="5" t="str">
        <f>Tableau2[[#Headers],[Duel Gagné]]</f>
        <v>Duel Gagné</v>
      </c>
      <c r="C25" s="3" t="s">
        <v>1</v>
      </c>
      <c r="D25" s="2"/>
      <c r="E25" s="4"/>
      <c r="F25" s="50" t="str">
        <f>Tableau2[[#Headers],[Carton Rouge]]</f>
        <v>Carton Rouge</v>
      </c>
      <c r="G25" s="50"/>
      <c r="H25" s="3" t="s">
        <v>1</v>
      </c>
      <c r="I25" s="2"/>
      <c r="J25" s="6"/>
      <c r="L25" s="12" t="str">
        <f ca="1">IFERROR(INDEX('BDD indiv1'!W:W,M25),"")</f>
        <v/>
      </c>
      <c r="M25" t="str">
        <f ca="1">IFERROR(MATCH($C$6,OFFSET(Tableau2[[#Headers],[Joueur ]],M24,0,COUNTA('BDD indiv1'!A:A)-M24,1),0)+M24,"")</f>
        <v/>
      </c>
      <c r="N25" s="11">
        <f ca="1">IF(L25=0,"",SUMIFS(Tableau2[Total TDJ],Tableau2[[Joueur ]],$C$6,Tableau2[Adversaire],$L25))</f>
        <v>0</v>
      </c>
    </row>
    <row r="26" spans="1:19" ht="19">
      <c r="A26" s="1"/>
      <c r="B26" s="5">
        <f>SUMIFS(Tableau2[Duel Gagné],Tableau2[[Joueur ]],$C$6)</f>
        <v>10</v>
      </c>
      <c r="C26" s="3">
        <f>IFERROR(B26/$E$6,0)</f>
        <v>5</v>
      </c>
      <c r="D26" s="2"/>
      <c r="E26" s="4"/>
      <c r="F26" s="50">
        <f>SUMIFS(Tableau2[Carton Rouge],Tableau2[[Joueur ]],$C$6)</f>
        <v>0</v>
      </c>
      <c r="G26" s="50"/>
      <c r="H26" s="3">
        <f>IFERROR(F26/$E$6,0)</f>
        <v>0</v>
      </c>
      <c r="I26" s="2"/>
      <c r="J26" s="6"/>
      <c r="L26" s="12" t="str">
        <f ca="1">IFERROR(INDEX('BDD indiv1'!W:W,M26),"")</f>
        <v/>
      </c>
      <c r="M26" t="str">
        <f ca="1">IFERROR(MATCH($C$6,OFFSET(Tableau2[[#Headers],[Joueur ]],M25,0,COUNTA('BDD indiv1'!A:A)-M25,1),0)+M25,"")</f>
        <v/>
      </c>
      <c r="N26" s="11">
        <f ca="1">IF(L26=0,"",SUMIFS(Tableau2[Total TDJ],Tableau2[[Joueur ]],$C$6,Tableau2[Adversaire],$L26))</f>
        <v>0</v>
      </c>
    </row>
    <row r="27" spans="1:19" ht="19">
      <c r="A27" s="1"/>
      <c r="B27" s="5" t="str">
        <f>Tableau2[[#Headers],[Duel Perdu]]</f>
        <v>Duel Perdu</v>
      </c>
      <c r="C27" s="3" t="s">
        <v>1</v>
      </c>
      <c r="D27" s="2"/>
      <c r="E27" s="4"/>
      <c r="F27" s="50" t="str">
        <f>Tableau2[[#Headers],[Faute Com]]</f>
        <v>Faute Com</v>
      </c>
      <c r="G27" s="50"/>
      <c r="H27" s="3" t="s">
        <v>1</v>
      </c>
      <c r="I27" s="2"/>
      <c r="J27" s="6"/>
      <c r="L27" s="12" t="str">
        <f ca="1">IFERROR(INDEX('BDD indiv1'!W:W,M27),"")</f>
        <v/>
      </c>
      <c r="M27" t="str">
        <f ca="1">IFERROR(MATCH($C$6,OFFSET(Tableau2[[#Headers],[Joueur ]],M26,0,COUNTA('BDD indiv1'!A:A)-M26,1),0)+M26,"")</f>
        <v/>
      </c>
      <c r="N27" s="11">
        <f ca="1">IF(L27=0,"",SUMIFS(Tableau2[Total TDJ],Tableau2[[Joueur ]],$C$6,Tableau2[Adversaire],$L27))</f>
        <v>0</v>
      </c>
    </row>
    <row r="28" spans="1:19" ht="20" thickBot="1">
      <c r="A28" s="1"/>
      <c r="B28" s="5">
        <f>SUMIFS(Tableau2[Duel Perdu],Tableau2[[Joueur ]],$C$6)</f>
        <v>4</v>
      </c>
      <c r="C28" s="3">
        <f>IFERROR(B28/$E$6,0)</f>
        <v>2</v>
      </c>
      <c r="D28" s="2"/>
      <c r="E28" s="4"/>
      <c r="F28" s="50">
        <f>SUMIFS(Tableau2[Faute Com],Tableau2[[Joueur ]],$C$6)</f>
        <v>7</v>
      </c>
      <c r="G28" s="50"/>
      <c r="H28" s="3">
        <f>IFERROR(F28/$E$6,0)</f>
        <v>3.5</v>
      </c>
      <c r="I28" s="2"/>
      <c r="J28" s="6"/>
      <c r="L28" s="10" t="str">
        <f ca="1">IFERROR(INDEX('BDD indiv1'!W:W,M28),"")</f>
        <v/>
      </c>
      <c r="M28" s="9" t="str">
        <f ca="1">IFERROR(MATCH($C$6,OFFSET(Tableau2[[#Headers],[Joueur ]],M27,0,COUNTA('BDD indiv1'!A:A)-M27,1),0)+M27,"")</f>
        <v/>
      </c>
      <c r="N28" s="8">
        <f ca="1">IF(L28=0,"",SUMIFS(Tableau2[Total TDJ],Tableau2[[Joueur ]],$C$6,Tableau2[Adversaire],$L28))</f>
        <v>0</v>
      </c>
    </row>
    <row r="29" spans="1:19" ht="20" thickTop="1">
      <c r="A29" s="1"/>
      <c r="B29" s="5" t="str">
        <f>Tableau2[[#Headers],[Interception]]</f>
        <v>Interception</v>
      </c>
      <c r="C29" s="3" t="s">
        <v>1</v>
      </c>
      <c r="D29" s="2"/>
      <c r="E29" s="4"/>
      <c r="F29" s="50" t="str">
        <f>Tableau2[[#Headers],[Faute Sub]]</f>
        <v>Faute Sub</v>
      </c>
      <c r="G29" s="50"/>
      <c r="H29" s="3" t="s">
        <v>1</v>
      </c>
      <c r="I29" s="2"/>
      <c r="J29" s="6"/>
      <c r="K29" s="7"/>
    </row>
    <row r="30" spans="1:19" ht="19">
      <c r="A30" s="1"/>
      <c r="B30" s="5">
        <f>SUMIFS(Tableau2[Interception],Tableau2[[Joueur ]],$C$6)</f>
        <v>4</v>
      </c>
      <c r="C30" s="3">
        <f>IFERROR(B30/$E$6,0)</f>
        <v>2</v>
      </c>
      <c r="D30" s="2"/>
      <c r="E30" s="4"/>
      <c r="F30" s="50">
        <f>SUMIFS(Tableau2[Faute Sub],Tableau2[[Joueur ]],$C$6)</f>
        <v>2</v>
      </c>
      <c r="G30" s="50"/>
      <c r="H30" s="3">
        <f>IFERROR(F30/$E$6,0)</f>
        <v>1</v>
      </c>
      <c r="I30" s="2"/>
      <c r="J30" s="6"/>
      <c r="N30" t="str">
        <f ca="1">IFERROR(MATCH($C$6,OFFSET(Tableau2[[#Headers],[Joueur ]],M28,0,COUNTA('BDD indiv1'!A:A)-M28,1),0)+M28,"")</f>
        <v/>
      </c>
    </row>
    <row r="31" spans="1:19" ht="19">
      <c r="A31" s="1"/>
      <c r="B31" s="5" t="str">
        <f>Tableau2[[#Headers],[Récupération]]</f>
        <v>Récupération</v>
      </c>
      <c r="C31" s="3" t="s">
        <v>1</v>
      </c>
      <c r="D31" s="2"/>
      <c r="E31" s="4"/>
      <c r="F31" s="50" t="str">
        <f>Tableau2[[#Headers],[Hors Jeu]]</f>
        <v>Hors Jeu</v>
      </c>
      <c r="G31" s="50"/>
      <c r="H31" s="3" t="s">
        <v>1</v>
      </c>
      <c r="I31" s="2"/>
      <c r="J31" s="6"/>
      <c r="M31" t="str">
        <f ca="1">IFERROR(INDEX('BDD indiv1'!W:W,N31),"")</f>
        <v/>
      </c>
      <c r="N31" t="str">
        <f ca="1">IFERROR(MATCH($C$6,OFFSET(Tableau2[[#Headers],[Joueur ]],N30,0,COUNTA('BDD indiv1'!A:A)-N30,1),0)+N30,"")</f>
        <v/>
      </c>
    </row>
    <row r="32" spans="1:19" ht="19">
      <c r="A32" s="1"/>
      <c r="B32" s="5">
        <f>SUMIFS(Tableau2[Récupération],Tableau2[[Joueur ]],$C$6)</f>
        <v>4</v>
      </c>
      <c r="C32" s="3">
        <f>IFERROR(B32/$E$6,0)</f>
        <v>2</v>
      </c>
      <c r="D32" s="2"/>
      <c r="E32" s="4"/>
      <c r="F32" s="50">
        <f>SUMIFS(Tableau2[Hors Jeu],Tableau2[[Joueur ]],$C$6)</f>
        <v>0</v>
      </c>
      <c r="G32" s="50"/>
      <c r="H32" s="3">
        <f>IFERROR(F32/$E$6,0)</f>
        <v>0</v>
      </c>
      <c r="I32" s="2"/>
      <c r="L32" t="str">
        <f ca="1">IFERROR(INDEX('BDD indiv1'!W:W,M32),"")</f>
        <v/>
      </c>
      <c r="M32" t="str">
        <f ca="1">IFERROR(MATCH($C$6,OFFSET(Tableau2[[#Headers],[Joueur ]],N31,0,COUNTA('BDD indiv1'!A:A)-N31,1),0)+N31,"")</f>
        <v/>
      </c>
    </row>
    <row r="33" spans="1:23" ht="17" thickBot="1">
      <c r="A33" s="1"/>
      <c r="B33" s="1"/>
      <c r="C33" s="1"/>
      <c r="D33" s="1"/>
      <c r="E33" s="1"/>
      <c r="F33" s="1"/>
      <c r="G33" s="1"/>
      <c r="H33" s="1"/>
      <c r="I33" s="1"/>
      <c r="L33" t="str">
        <f ca="1">IFERROR(INDEX('BDD indiv1'!W:W,M33),"")</f>
        <v/>
      </c>
      <c r="M33" t="str">
        <f ca="1">IFERROR(MATCH($C$6,OFFSET(Tableau2[[#Headers],[Joueur ]],M32,0,COUNTA('BDD indiv1'!A:A)-M32,1),0)+M32,"")</f>
        <v/>
      </c>
    </row>
    <row r="34" spans="1:23" ht="38" thickBot="1">
      <c r="A34" s="1"/>
      <c r="B34" s="53" t="s">
        <v>100</v>
      </c>
      <c r="C34" s="54"/>
      <c r="D34" s="47" t="s">
        <v>98</v>
      </c>
      <c r="E34" s="47"/>
      <c r="F34" s="47"/>
      <c r="G34" s="47"/>
      <c r="H34" s="1"/>
      <c r="I34" s="1"/>
      <c r="W34" t="s">
        <v>100</v>
      </c>
    </row>
    <row r="35" spans="1:23">
      <c r="A35" s="1"/>
      <c r="B35" s="1"/>
      <c r="C35" s="1"/>
      <c r="D35" s="1"/>
      <c r="E35" s="1"/>
      <c r="F35" s="1"/>
      <c r="G35" s="1"/>
      <c r="H35" s="1"/>
      <c r="I35" s="1"/>
      <c r="W35" t="s">
        <v>0</v>
      </c>
    </row>
    <row r="36" spans="1:23">
      <c r="A36" s="1"/>
      <c r="B36" s="1"/>
      <c r="C36" s="1"/>
      <c r="D36" s="1"/>
      <c r="E36" s="1"/>
      <c r="F36" s="1"/>
      <c r="G36" s="1"/>
      <c r="H36" s="1"/>
      <c r="I36" s="1"/>
      <c r="W36" t="s">
        <v>99</v>
      </c>
    </row>
    <row r="37" spans="1:23">
      <c r="A37" s="1"/>
      <c r="B37" s="1"/>
      <c r="C37" s="1"/>
      <c r="D37" s="1"/>
      <c r="E37" s="1"/>
      <c r="F37" s="1"/>
      <c r="G37" s="1"/>
      <c r="H37" s="1"/>
      <c r="I37" s="1"/>
      <c r="W37" t="s">
        <v>92</v>
      </c>
    </row>
    <row r="38" spans="1:23">
      <c r="A38" s="1"/>
      <c r="B38" s="1"/>
      <c r="C38" s="1"/>
      <c r="D38" s="1"/>
      <c r="E38" s="1"/>
      <c r="F38" s="1"/>
      <c r="G38" s="1"/>
      <c r="H38" s="1"/>
      <c r="I38" s="1"/>
      <c r="W38" t="s">
        <v>101</v>
      </c>
    </row>
    <row r="39" spans="1:23">
      <c r="A39" s="1"/>
      <c r="B39" s="1"/>
      <c r="C39" s="1"/>
      <c r="D39" s="1"/>
      <c r="E39" s="1"/>
      <c r="F39" s="1"/>
      <c r="G39" s="1"/>
      <c r="H39" s="1"/>
      <c r="I39" s="1"/>
    </row>
    <row r="40" spans="1:23">
      <c r="A40" s="1"/>
      <c r="B40" s="1"/>
      <c r="C40" s="1"/>
      <c r="D40" s="1"/>
      <c r="E40" s="1"/>
      <c r="F40" s="1"/>
      <c r="G40" s="1"/>
      <c r="H40" s="1"/>
      <c r="I40" s="1"/>
    </row>
    <row r="41" spans="1:23">
      <c r="A41" s="1"/>
      <c r="B41" s="1"/>
      <c r="C41" s="1"/>
      <c r="D41" s="1"/>
      <c r="E41" s="1"/>
      <c r="F41" s="1"/>
      <c r="G41" s="1"/>
      <c r="H41" s="1"/>
      <c r="I41" s="1"/>
    </row>
    <row r="42" spans="1:23">
      <c r="A42" s="1"/>
      <c r="B42" s="1"/>
      <c r="C42" s="1"/>
      <c r="D42" s="1"/>
      <c r="E42" s="1"/>
      <c r="F42" s="1"/>
      <c r="G42" s="1"/>
      <c r="H42" s="1"/>
      <c r="I42" s="1"/>
    </row>
    <row r="43" spans="1:23">
      <c r="A43" s="1"/>
      <c r="B43" s="1"/>
      <c r="C43" s="1"/>
      <c r="D43" s="1"/>
      <c r="E43" s="1"/>
      <c r="F43" s="1"/>
      <c r="G43" s="1"/>
      <c r="H43" s="1"/>
      <c r="I43" s="1"/>
    </row>
    <row r="44" spans="1:23">
      <c r="A44" s="1"/>
      <c r="B44" s="1"/>
      <c r="C44" s="1"/>
      <c r="D44" s="1"/>
      <c r="E44" s="1"/>
      <c r="F44" s="1"/>
      <c r="G44" s="1"/>
      <c r="H44" s="1"/>
      <c r="I44" s="1"/>
    </row>
    <row r="45" spans="1:23">
      <c r="A45" s="1"/>
      <c r="B45" s="1"/>
      <c r="C45" s="1"/>
      <c r="D45" s="1"/>
      <c r="E45" s="1"/>
      <c r="F45" s="1"/>
      <c r="G45" s="1"/>
      <c r="H45" s="1"/>
      <c r="I45" s="1"/>
    </row>
  </sheetData>
  <mergeCells count="31">
    <mergeCell ref="F20:G20"/>
    <mergeCell ref="F21:G21"/>
    <mergeCell ref="F22:G22"/>
    <mergeCell ref="G5:H5"/>
    <mergeCell ref="C5:D5"/>
    <mergeCell ref="G6:H6"/>
    <mergeCell ref="G7:H7"/>
    <mergeCell ref="F13:G13"/>
    <mergeCell ref="F14:G14"/>
    <mergeCell ref="B2:H4"/>
    <mergeCell ref="B34:C34"/>
    <mergeCell ref="C6:D6"/>
    <mergeCell ref="C7:D7"/>
    <mergeCell ref="E5:F5"/>
    <mergeCell ref="E6:F6"/>
    <mergeCell ref="E7:F7"/>
    <mergeCell ref="F29:G29"/>
    <mergeCell ref="F30:G30"/>
    <mergeCell ref="F31:G31"/>
    <mergeCell ref="F15:G15"/>
    <mergeCell ref="F16:G16"/>
    <mergeCell ref="F17:G17"/>
    <mergeCell ref="F28:G28"/>
    <mergeCell ref="F18:G18"/>
    <mergeCell ref="F19:G19"/>
    <mergeCell ref="F32:G32"/>
    <mergeCell ref="F23:G23"/>
    <mergeCell ref="F24:G24"/>
    <mergeCell ref="F25:G25"/>
    <mergeCell ref="F26:G26"/>
    <mergeCell ref="F27:G27"/>
  </mergeCells>
  <conditionalFormatting sqref="O10:O11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dataValidations count="1">
    <dataValidation type="list" allowBlank="1" showInputMessage="1" showErrorMessage="1" sqref="B34:C34" xr:uid="{910BE4FC-A2F4-0A41-A9BC-B5CC01F408BD}">
      <formula1>$W$34:$W$38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indiv1</vt:lpstr>
      <vt:lpstr>Stat 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2020-05-11T20:29:19Z</dcterms:created>
  <dcterms:modified xsi:type="dcterms:W3CDTF">2020-05-11T20:39:32Z</dcterms:modified>
</cp:coreProperties>
</file>