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filterPrivacy="1" codeName="ThisWorkbook" defaultThemeVersion="124226"/>
  <xr:revisionPtr revIDLastSave="0" documentId="13_ncr:1_{1317F68C-3B17-4120-A945-F90D22D09BAA}" xr6:coauthVersionLast="44" xr6:coauthVersionMax="44" xr10:uidLastSave="{00000000-0000-0000-0000-000000000000}"/>
  <bookViews>
    <workbookView xWindow="-110" yWindow="-110" windowWidth="19420" windowHeight="10420" activeTab="2" xr2:uid="{00000000-000D-0000-FFFF-FFFF00000000}"/>
  </bookViews>
  <sheets>
    <sheet name="NC Qualité" sheetId="5" r:id="rId1"/>
    <sheet name="Feuille calcul" sheetId="9" r:id="rId2"/>
    <sheet name="Code macro" sheetId="11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6" i="11" l="1"/>
  <c r="L6" i="11"/>
  <c r="K6" i="11"/>
  <c r="J6" i="11"/>
  <c r="I6" i="11"/>
  <c r="H6" i="11"/>
  <c r="G6" i="11"/>
  <c r="F6" i="11"/>
  <c r="E6" i="11"/>
  <c r="D6" i="11"/>
  <c r="C6" i="11"/>
  <c r="B6" i="11"/>
  <c r="O229" i="11"/>
  <c r="N229" i="11"/>
  <c r="L229" i="11"/>
  <c r="J229" i="11"/>
  <c r="F229" i="11"/>
  <c r="E229" i="11"/>
  <c r="D229" i="11"/>
  <c r="C229" i="11"/>
  <c r="O210" i="11"/>
  <c r="N210" i="11"/>
  <c r="L210" i="11"/>
  <c r="J210" i="11"/>
  <c r="F210" i="11"/>
  <c r="E210" i="11"/>
  <c r="D210" i="11"/>
  <c r="C210" i="11"/>
  <c r="O191" i="11"/>
  <c r="N191" i="11"/>
  <c r="L191" i="11"/>
  <c r="J191" i="11"/>
  <c r="F191" i="11"/>
  <c r="E191" i="11"/>
  <c r="D191" i="11"/>
  <c r="C191" i="11"/>
  <c r="O172" i="11"/>
  <c r="N172" i="11"/>
  <c r="L172" i="11"/>
  <c r="J172" i="11"/>
  <c r="F172" i="11"/>
  <c r="E172" i="11"/>
  <c r="D172" i="11"/>
  <c r="C172" i="11"/>
  <c r="O153" i="11"/>
  <c r="N153" i="11"/>
  <c r="L153" i="11"/>
  <c r="J153" i="11"/>
  <c r="F153" i="11"/>
  <c r="E153" i="11"/>
  <c r="D153" i="11"/>
  <c r="C153" i="11"/>
  <c r="O134" i="11"/>
  <c r="N134" i="11"/>
  <c r="L134" i="11"/>
  <c r="J134" i="11"/>
  <c r="F134" i="11"/>
  <c r="E134" i="11"/>
  <c r="D134" i="11"/>
  <c r="C134" i="11"/>
  <c r="O115" i="11"/>
  <c r="N115" i="11"/>
  <c r="L115" i="11"/>
  <c r="J115" i="11"/>
  <c r="F115" i="11"/>
  <c r="E115" i="11"/>
  <c r="D115" i="11"/>
  <c r="C115" i="11"/>
  <c r="O96" i="11"/>
  <c r="N96" i="11"/>
  <c r="L96" i="11"/>
  <c r="J96" i="11"/>
  <c r="F96" i="11"/>
  <c r="E96" i="11"/>
  <c r="D96" i="11"/>
  <c r="C96" i="11"/>
  <c r="O77" i="11"/>
  <c r="N77" i="11"/>
  <c r="L77" i="11"/>
  <c r="J77" i="11"/>
  <c r="F77" i="11"/>
  <c r="E77" i="11"/>
  <c r="D77" i="11"/>
  <c r="C77" i="11"/>
  <c r="C190" i="11"/>
  <c r="D190" i="11"/>
  <c r="E190" i="11"/>
  <c r="F190" i="11"/>
  <c r="J190" i="11"/>
  <c r="L190" i="11"/>
  <c r="N190" i="11"/>
  <c r="O190" i="11"/>
  <c r="C57" i="11" l="1"/>
  <c r="D57" i="11"/>
  <c r="E57" i="11"/>
  <c r="F57" i="11"/>
  <c r="J57" i="11"/>
  <c r="L57" i="11"/>
  <c r="N57" i="11"/>
  <c r="O57" i="11"/>
  <c r="O39" i="11"/>
  <c r="N39" i="11"/>
  <c r="L39" i="11"/>
  <c r="J39" i="11"/>
  <c r="F39" i="11"/>
  <c r="E39" i="11"/>
  <c r="D39" i="11"/>
  <c r="C39" i="11"/>
  <c r="O22" i="11"/>
  <c r="O21" i="11"/>
  <c r="N22" i="11"/>
  <c r="N21" i="11"/>
  <c r="L22" i="11"/>
  <c r="L21" i="11"/>
  <c r="J22" i="11"/>
  <c r="J21" i="11"/>
  <c r="F22" i="11"/>
  <c r="F21" i="11"/>
  <c r="E22" i="11"/>
  <c r="D22" i="11"/>
  <c r="C22" i="11"/>
  <c r="O8" i="9"/>
  <c r="N8" i="9"/>
  <c r="L8" i="9"/>
  <c r="J8" i="9"/>
  <c r="F8" i="9"/>
  <c r="E8" i="9"/>
  <c r="D8" i="9"/>
  <c r="C8" i="9"/>
  <c r="J3" i="11" l="1"/>
  <c r="O228" i="11"/>
  <c r="N228" i="11"/>
  <c r="L228" i="11"/>
  <c r="J228" i="11"/>
  <c r="F228" i="11"/>
  <c r="E228" i="11"/>
  <c r="D228" i="11"/>
  <c r="C228" i="11"/>
  <c r="O227" i="11"/>
  <c r="N227" i="11"/>
  <c r="L227" i="11"/>
  <c r="J227" i="11"/>
  <c r="F227" i="11"/>
  <c r="E227" i="11"/>
  <c r="D227" i="11"/>
  <c r="C227" i="11"/>
  <c r="O226" i="11"/>
  <c r="N226" i="11"/>
  <c r="L226" i="11"/>
  <c r="J226" i="11"/>
  <c r="F226" i="11"/>
  <c r="E226" i="11"/>
  <c r="D226" i="11"/>
  <c r="C226" i="11"/>
  <c r="O209" i="11"/>
  <c r="N209" i="11"/>
  <c r="L209" i="11"/>
  <c r="J209" i="11"/>
  <c r="F209" i="11"/>
  <c r="E209" i="11"/>
  <c r="D209" i="11"/>
  <c r="C209" i="11"/>
  <c r="O208" i="11"/>
  <c r="N208" i="11"/>
  <c r="L208" i="11"/>
  <c r="J208" i="11"/>
  <c r="F208" i="11"/>
  <c r="E208" i="11"/>
  <c r="D208" i="11"/>
  <c r="C208" i="11"/>
  <c r="O207" i="11"/>
  <c r="N207" i="11"/>
  <c r="L207" i="11"/>
  <c r="J207" i="11"/>
  <c r="F207" i="11"/>
  <c r="E207" i="11"/>
  <c r="D207" i="11"/>
  <c r="C207" i="11"/>
  <c r="O189" i="11"/>
  <c r="N189" i="11"/>
  <c r="L189" i="11"/>
  <c r="J189" i="11"/>
  <c r="F189" i="11"/>
  <c r="E189" i="11"/>
  <c r="D189" i="11"/>
  <c r="C189" i="11"/>
  <c r="O188" i="11"/>
  <c r="N188" i="11"/>
  <c r="L188" i="11"/>
  <c r="J188" i="11"/>
  <c r="F188" i="11"/>
  <c r="E188" i="11"/>
  <c r="D188" i="11"/>
  <c r="C188" i="11"/>
  <c r="O171" i="11"/>
  <c r="N171" i="11"/>
  <c r="L171" i="11"/>
  <c r="J171" i="11"/>
  <c r="F171" i="11"/>
  <c r="E171" i="11"/>
  <c r="D171" i="11"/>
  <c r="C171" i="11"/>
  <c r="O170" i="11"/>
  <c r="N170" i="11"/>
  <c r="L170" i="11"/>
  <c r="J170" i="11"/>
  <c r="F170" i="11"/>
  <c r="E170" i="11"/>
  <c r="D170" i="11"/>
  <c r="C170" i="11"/>
  <c r="O169" i="11"/>
  <c r="N169" i="11"/>
  <c r="L169" i="11"/>
  <c r="J169" i="11"/>
  <c r="E169" i="11"/>
  <c r="D169" i="11"/>
  <c r="C169" i="11"/>
  <c r="O152" i="11"/>
  <c r="N152" i="11"/>
  <c r="L152" i="11"/>
  <c r="J152" i="11"/>
  <c r="F152" i="11"/>
  <c r="E152" i="11"/>
  <c r="D152" i="11"/>
  <c r="C152" i="11"/>
  <c r="O151" i="11"/>
  <c r="N151" i="11"/>
  <c r="L151" i="11"/>
  <c r="J151" i="11"/>
  <c r="F151" i="11"/>
  <c r="E151" i="11"/>
  <c r="D151" i="11"/>
  <c r="C151" i="11"/>
  <c r="O150" i="11"/>
  <c r="N150" i="11"/>
  <c r="L150" i="11"/>
  <c r="J150" i="11"/>
  <c r="F150" i="11"/>
  <c r="E150" i="11"/>
  <c r="D150" i="11"/>
  <c r="C150" i="11"/>
  <c r="O133" i="11"/>
  <c r="N133" i="11"/>
  <c r="L133" i="11"/>
  <c r="J133" i="11"/>
  <c r="F133" i="11"/>
  <c r="E133" i="11"/>
  <c r="D133" i="11"/>
  <c r="C133" i="11"/>
  <c r="O132" i="11"/>
  <c r="N132" i="11"/>
  <c r="L132" i="11"/>
  <c r="J132" i="11"/>
  <c r="F132" i="11"/>
  <c r="E132" i="11"/>
  <c r="D132" i="11"/>
  <c r="C132" i="11"/>
  <c r="O131" i="11"/>
  <c r="N131" i="11"/>
  <c r="L131" i="11"/>
  <c r="J131" i="11"/>
  <c r="F131" i="11"/>
  <c r="E131" i="11"/>
  <c r="D131" i="11"/>
  <c r="C131" i="11"/>
  <c r="O114" i="11"/>
  <c r="N114" i="11"/>
  <c r="L114" i="11"/>
  <c r="J114" i="11"/>
  <c r="F114" i="11"/>
  <c r="E114" i="11"/>
  <c r="D114" i="11"/>
  <c r="C114" i="11"/>
  <c r="O113" i="11"/>
  <c r="N113" i="11"/>
  <c r="L113" i="11"/>
  <c r="J113" i="11"/>
  <c r="F113" i="11"/>
  <c r="E113" i="11"/>
  <c r="D113" i="11"/>
  <c r="C113" i="11"/>
  <c r="O112" i="11"/>
  <c r="N112" i="11"/>
  <c r="L112" i="11"/>
  <c r="J112" i="11"/>
  <c r="F112" i="11"/>
  <c r="E112" i="11"/>
  <c r="D112" i="11"/>
  <c r="C112" i="11"/>
  <c r="AB104" i="11"/>
  <c r="AA104" i="11"/>
  <c r="X104" i="11"/>
  <c r="W104" i="11"/>
  <c r="V104" i="11"/>
  <c r="U104" i="11"/>
  <c r="T104" i="11"/>
  <c r="S104" i="11"/>
  <c r="R104" i="11"/>
  <c r="Q104" i="11"/>
  <c r="P104" i="11"/>
  <c r="O104" i="11"/>
  <c r="J104" i="11"/>
  <c r="H104" i="11"/>
  <c r="F104" i="11"/>
  <c r="D104" i="11"/>
  <c r="AB103" i="11"/>
  <c r="AA103" i="11"/>
  <c r="X103" i="11"/>
  <c r="W103" i="11"/>
  <c r="V103" i="11"/>
  <c r="U103" i="11"/>
  <c r="T103" i="11"/>
  <c r="S103" i="11"/>
  <c r="R103" i="11"/>
  <c r="Q103" i="11"/>
  <c r="P103" i="11"/>
  <c r="O103" i="11"/>
  <c r="J103" i="11"/>
  <c r="H103" i="11"/>
  <c r="F103" i="11"/>
  <c r="D103" i="11"/>
  <c r="AB102" i="11"/>
  <c r="AA102" i="11"/>
  <c r="X102" i="11"/>
  <c r="W102" i="11"/>
  <c r="V102" i="11"/>
  <c r="U102" i="11"/>
  <c r="T102" i="11"/>
  <c r="S102" i="11"/>
  <c r="R102" i="11"/>
  <c r="Q102" i="11"/>
  <c r="P102" i="11"/>
  <c r="O102" i="11"/>
  <c r="J102" i="11"/>
  <c r="H102" i="11"/>
  <c r="F102" i="11"/>
  <c r="D102" i="11"/>
  <c r="AB101" i="11"/>
  <c r="AA101" i="11"/>
  <c r="X101" i="11"/>
  <c r="W101" i="11"/>
  <c r="V101" i="11"/>
  <c r="U101" i="11"/>
  <c r="T101" i="11"/>
  <c r="S101" i="11"/>
  <c r="R101" i="11"/>
  <c r="Q101" i="11"/>
  <c r="P101" i="11"/>
  <c r="O101" i="11"/>
  <c r="J101" i="11"/>
  <c r="H101" i="11"/>
  <c r="F101" i="11"/>
  <c r="D101" i="11"/>
  <c r="AB100" i="11"/>
  <c r="AA100" i="11"/>
  <c r="X100" i="11"/>
  <c r="W100" i="11"/>
  <c r="V100" i="11"/>
  <c r="U100" i="11"/>
  <c r="T100" i="11"/>
  <c r="S100" i="11"/>
  <c r="R100" i="11"/>
  <c r="Q100" i="11"/>
  <c r="P100" i="11"/>
  <c r="O100" i="11"/>
  <c r="J100" i="11"/>
  <c r="H100" i="11"/>
  <c r="F100" i="11"/>
  <c r="D100" i="11"/>
  <c r="AB99" i="11"/>
  <c r="AA99" i="11"/>
  <c r="AB98" i="11"/>
  <c r="AA98" i="11"/>
  <c r="AB97" i="11"/>
  <c r="AA97" i="11"/>
  <c r="AB96" i="11"/>
  <c r="AA96" i="11"/>
  <c r="AB95" i="11"/>
  <c r="AA95" i="11"/>
  <c r="O95" i="11"/>
  <c r="N95" i="11"/>
  <c r="L95" i="11"/>
  <c r="J95" i="11"/>
  <c r="F95" i="11"/>
  <c r="E95" i="11"/>
  <c r="D95" i="11"/>
  <c r="C95" i="11"/>
  <c r="AB94" i="11"/>
  <c r="AA94" i="11"/>
  <c r="O94" i="11"/>
  <c r="N94" i="11"/>
  <c r="L94" i="11"/>
  <c r="J94" i="11"/>
  <c r="F94" i="11"/>
  <c r="E94" i="11"/>
  <c r="D94" i="11"/>
  <c r="C94" i="11"/>
  <c r="AB93" i="11"/>
  <c r="AA93" i="11"/>
  <c r="O93" i="11"/>
  <c r="N93" i="11"/>
  <c r="L93" i="11"/>
  <c r="J93" i="11"/>
  <c r="F93" i="11"/>
  <c r="E93" i="11"/>
  <c r="D93" i="11"/>
  <c r="C93" i="11"/>
  <c r="AB85" i="11"/>
  <c r="AA85" i="11"/>
  <c r="X85" i="11"/>
  <c r="W85" i="11"/>
  <c r="V85" i="11"/>
  <c r="U85" i="11"/>
  <c r="T85" i="11"/>
  <c r="S85" i="11"/>
  <c r="R85" i="11"/>
  <c r="Q85" i="11"/>
  <c r="P85" i="11"/>
  <c r="O85" i="11"/>
  <c r="J85" i="11"/>
  <c r="H85" i="11"/>
  <c r="F85" i="11"/>
  <c r="D85" i="11"/>
  <c r="AB84" i="11"/>
  <c r="AA84" i="11"/>
  <c r="X84" i="11"/>
  <c r="W84" i="11"/>
  <c r="V84" i="11"/>
  <c r="U84" i="11"/>
  <c r="T84" i="11"/>
  <c r="S84" i="11"/>
  <c r="R84" i="11"/>
  <c r="Q84" i="11"/>
  <c r="P84" i="11"/>
  <c r="O84" i="11"/>
  <c r="J84" i="11"/>
  <c r="H84" i="11"/>
  <c r="F84" i="11"/>
  <c r="D84" i="11"/>
  <c r="AB83" i="11"/>
  <c r="AA83" i="11"/>
  <c r="X83" i="11"/>
  <c r="W83" i="11"/>
  <c r="V83" i="11"/>
  <c r="U83" i="11"/>
  <c r="T83" i="11"/>
  <c r="S83" i="11"/>
  <c r="R83" i="11"/>
  <c r="Q83" i="11"/>
  <c r="P83" i="11"/>
  <c r="O83" i="11"/>
  <c r="J83" i="11"/>
  <c r="H83" i="11"/>
  <c r="F83" i="11"/>
  <c r="D83" i="11"/>
  <c r="AB82" i="11"/>
  <c r="AA82" i="11"/>
  <c r="X82" i="11"/>
  <c r="W82" i="11"/>
  <c r="V82" i="11"/>
  <c r="U82" i="11"/>
  <c r="T82" i="11"/>
  <c r="S82" i="11"/>
  <c r="R82" i="11"/>
  <c r="Q82" i="11"/>
  <c r="P82" i="11"/>
  <c r="O82" i="11"/>
  <c r="J82" i="11"/>
  <c r="H82" i="11"/>
  <c r="F82" i="11"/>
  <c r="D82" i="11"/>
  <c r="AB81" i="11"/>
  <c r="AA81" i="11"/>
  <c r="X81" i="11"/>
  <c r="W81" i="11"/>
  <c r="V81" i="11"/>
  <c r="U81" i="11"/>
  <c r="T81" i="11"/>
  <c r="S81" i="11"/>
  <c r="R81" i="11"/>
  <c r="Q81" i="11"/>
  <c r="P81" i="11"/>
  <c r="O81" i="11"/>
  <c r="J81" i="11"/>
  <c r="H81" i="11"/>
  <c r="F81" i="11"/>
  <c r="D81" i="11"/>
  <c r="AB80" i="11"/>
  <c r="AA80" i="11"/>
  <c r="AB79" i="11"/>
  <c r="AA79" i="11"/>
  <c r="AB78" i="11"/>
  <c r="AA78" i="11"/>
  <c r="AB77" i="11"/>
  <c r="AA77" i="11"/>
  <c r="AB76" i="11"/>
  <c r="AA76" i="11"/>
  <c r="O76" i="11"/>
  <c r="N76" i="11"/>
  <c r="L76" i="11"/>
  <c r="J76" i="11"/>
  <c r="F76" i="11"/>
  <c r="E76" i="11"/>
  <c r="D76" i="11"/>
  <c r="C76" i="11"/>
  <c r="AB75" i="11"/>
  <c r="AA75" i="11"/>
  <c r="O75" i="11"/>
  <c r="N75" i="11"/>
  <c r="L75" i="11"/>
  <c r="J75" i="11"/>
  <c r="F75" i="11"/>
  <c r="E75" i="11"/>
  <c r="D75" i="11"/>
  <c r="C75" i="11"/>
  <c r="AB74" i="11"/>
  <c r="AA74" i="11"/>
  <c r="O74" i="11"/>
  <c r="N74" i="11"/>
  <c r="L74" i="11"/>
  <c r="J74" i="11"/>
  <c r="F74" i="11"/>
  <c r="E74" i="11"/>
  <c r="D74" i="11"/>
  <c r="C74" i="11"/>
  <c r="AB65" i="11"/>
  <c r="AA65" i="11"/>
  <c r="X65" i="11"/>
  <c r="W65" i="11"/>
  <c r="V65" i="11"/>
  <c r="U65" i="11"/>
  <c r="T65" i="11"/>
  <c r="S65" i="11"/>
  <c r="R65" i="11"/>
  <c r="Q65" i="11"/>
  <c r="P65" i="11"/>
  <c r="O65" i="11"/>
  <c r="J65" i="11"/>
  <c r="H65" i="11"/>
  <c r="F65" i="11"/>
  <c r="D65" i="11"/>
  <c r="AB64" i="11"/>
  <c r="AA64" i="11"/>
  <c r="X64" i="11"/>
  <c r="W64" i="11"/>
  <c r="V64" i="11"/>
  <c r="U64" i="11"/>
  <c r="T64" i="11"/>
  <c r="S64" i="11"/>
  <c r="R64" i="11"/>
  <c r="Q64" i="11"/>
  <c r="P64" i="11"/>
  <c r="O64" i="11"/>
  <c r="J64" i="11"/>
  <c r="H64" i="11"/>
  <c r="F64" i="11"/>
  <c r="D64" i="11"/>
  <c r="AB63" i="11"/>
  <c r="AA63" i="11"/>
  <c r="X63" i="11"/>
  <c r="W63" i="11"/>
  <c r="V63" i="11"/>
  <c r="U63" i="11"/>
  <c r="T63" i="11"/>
  <c r="S63" i="11"/>
  <c r="R63" i="11"/>
  <c r="Q63" i="11"/>
  <c r="P63" i="11"/>
  <c r="O63" i="11"/>
  <c r="J63" i="11"/>
  <c r="H63" i="11"/>
  <c r="F63" i="11"/>
  <c r="D63" i="11"/>
  <c r="AB62" i="11"/>
  <c r="AA62" i="11"/>
  <c r="X62" i="11"/>
  <c r="W62" i="11"/>
  <c r="V62" i="11"/>
  <c r="U62" i="11"/>
  <c r="T62" i="11"/>
  <c r="S62" i="11"/>
  <c r="R62" i="11"/>
  <c r="Q62" i="11"/>
  <c r="P62" i="11"/>
  <c r="O62" i="11"/>
  <c r="J62" i="11"/>
  <c r="H62" i="11"/>
  <c r="F62" i="11"/>
  <c r="D62" i="11"/>
  <c r="AB61" i="11"/>
  <c r="AA61" i="11"/>
  <c r="X61" i="11"/>
  <c r="W61" i="11"/>
  <c r="V61" i="11"/>
  <c r="U61" i="11"/>
  <c r="T61" i="11"/>
  <c r="S61" i="11"/>
  <c r="R61" i="11"/>
  <c r="Q61" i="11"/>
  <c r="P61" i="11"/>
  <c r="O61" i="11"/>
  <c r="J61" i="11"/>
  <c r="H61" i="11"/>
  <c r="F61" i="11"/>
  <c r="D61" i="11"/>
  <c r="AB60" i="11"/>
  <c r="AA60" i="11"/>
  <c r="AB59" i="11"/>
  <c r="AA59" i="11"/>
  <c r="AB58" i="11"/>
  <c r="AA58" i="11"/>
  <c r="AB57" i="11"/>
  <c r="AA57" i="11"/>
  <c r="AB56" i="11"/>
  <c r="AA56" i="11"/>
  <c r="O56" i="11"/>
  <c r="N56" i="11"/>
  <c r="L56" i="11"/>
  <c r="J56" i="11"/>
  <c r="F56" i="11"/>
  <c r="E56" i="11"/>
  <c r="D56" i="11"/>
  <c r="C56" i="11"/>
  <c r="AB55" i="11"/>
  <c r="AA55" i="11"/>
  <c r="O55" i="11"/>
  <c r="N55" i="11"/>
  <c r="L55" i="11"/>
  <c r="J55" i="11"/>
  <c r="F55" i="11"/>
  <c r="E55" i="11"/>
  <c r="D55" i="11"/>
  <c r="C55" i="11"/>
  <c r="AB54" i="11"/>
  <c r="AA54" i="11"/>
  <c r="O54" i="11"/>
  <c r="N54" i="11"/>
  <c r="L54" i="11"/>
  <c r="J54" i="11"/>
  <c r="F54" i="11"/>
  <c r="E54" i="11"/>
  <c r="D54" i="11"/>
  <c r="C54" i="11"/>
  <c r="AB47" i="11"/>
  <c r="AA47" i="11"/>
  <c r="X47" i="11"/>
  <c r="W47" i="11"/>
  <c r="V47" i="11"/>
  <c r="U47" i="11"/>
  <c r="T47" i="11"/>
  <c r="S47" i="11"/>
  <c r="R47" i="11"/>
  <c r="Q47" i="11"/>
  <c r="P47" i="11"/>
  <c r="O47" i="11"/>
  <c r="J47" i="11"/>
  <c r="H47" i="11"/>
  <c r="F47" i="11"/>
  <c r="D47" i="11"/>
  <c r="AB46" i="11"/>
  <c r="AA46" i="11"/>
  <c r="X46" i="11"/>
  <c r="W46" i="11"/>
  <c r="V46" i="11"/>
  <c r="U46" i="11"/>
  <c r="T46" i="11"/>
  <c r="S46" i="11"/>
  <c r="R46" i="11"/>
  <c r="Q46" i="11"/>
  <c r="P46" i="11"/>
  <c r="O46" i="11"/>
  <c r="J46" i="11"/>
  <c r="H46" i="11"/>
  <c r="F46" i="11"/>
  <c r="D46" i="11"/>
  <c r="AB45" i="11"/>
  <c r="AA45" i="11"/>
  <c r="X45" i="11"/>
  <c r="W45" i="11"/>
  <c r="V45" i="11"/>
  <c r="U45" i="11"/>
  <c r="T45" i="11"/>
  <c r="S45" i="11"/>
  <c r="R45" i="11"/>
  <c r="Q45" i="11"/>
  <c r="P45" i="11"/>
  <c r="O45" i="11"/>
  <c r="J45" i="11"/>
  <c r="H45" i="11"/>
  <c r="F45" i="11"/>
  <c r="D45" i="11"/>
  <c r="AB44" i="11"/>
  <c r="AA44" i="11"/>
  <c r="X44" i="11"/>
  <c r="W44" i="11"/>
  <c r="V44" i="11"/>
  <c r="U44" i="11"/>
  <c r="T44" i="11"/>
  <c r="S44" i="11"/>
  <c r="R44" i="11"/>
  <c r="Q44" i="11"/>
  <c r="P44" i="11"/>
  <c r="O44" i="11"/>
  <c r="J44" i="11"/>
  <c r="H44" i="11"/>
  <c r="F44" i="11"/>
  <c r="D44" i="11"/>
  <c r="AB43" i="11"/>
  <c r="AA43" i="11"/>
  <c r="X43" i="11"/>
  <c r="W43" i="11"/>
  <c r="V43" i="11"/>
  <c r="U43" i="11"/>
  <c r="T43" i="11"/>
  <c r="S43" i="11"/>
  <c r="R43" i="11"/>
  <c r="Q43" i="11"/>
  <c r="P43" i="11"/>
  <c r="O43" i="11"/>
  <c r="J43" i="11"/>
  <c r="H43" i="11"/>
  <c r="F43" i="11"/>
  <c r="D43" i="11"/>
  <c r="AB42" i="11"/>
  <c r="AA42" i="11"/>
  <c r="AB41" i="11"/>
  <c r="AA41" i="11"/>
  <c r="AB40" i="11"/>
  <c r="AA40" i="11"/>
  <c r="AB39" i="11"/>
  <c r="AA39" i="11"/>
  <c r="AB38" i="11"/>
  <c r="AA38" i="11"/>
  <c r="O38" i="11"/>
  <c r="N38" i="11"/>
  <c r="L38" i="11"/>
  <c r="J38" i="11"/>
  <c r="F38" i="11"/>
  <c r="E38" i="11"/>
  <c r="D38" i="11"/>
  <c r="C38" i="11"/>
  <c r="AB37" i="11"/>
  <c r="AA37" i="11"/>
  <c r="O37" i="11"/>
  <c r="N37" i="11"/>
  <c r="L37" i="11"/>
  <c r="J37" i="11"/>
  <c r="F37" i="11"/>
  <c r="E37" i="11"/>
  <c r="D37" i="11"/>
  <c r="C37" i="11"/>
  <c r="AB36" i="11"/>
  <c r="AA36" i="11"/>
  <c r="O36" i="11"/>
  <c r="N36" i="11"/>
  <c r="L36" i="11"/>
  <c r="J36" i="11"/>
  <c r="F36" i="11"/>
  <c r="E36" i="11"/>
  <c r="D36" i="11"/>
  <c r="C36" i="11"/>
  <c r="AB30" i="11"/>
  <c r="AA30" i="11"/>
  <c r="X30" i="11"/>
  <c r="W30" i="11"/>
  <c r="V30" i="11"/>
  <c r="U30" i="11"/>
  <c r="T30" i="11"/>
  <c r="S30" i="11"/>
  <c r="R30" i="11"/>
  <c r="Q30" i="11"/>
  <c r="P30" i="11"/>
  <c r="O30" i="11"/>
  <c r="J30" i="11"/>
  <c r="H30" i="11"/>
  <c r="F30" i="11"/>
  <c r="D30" i="11"/>
  <c r="AB29" i="11"/>
  <c r="AA29" i="11"/>
  <c r="X29" i="11"/>
  <c r="W29" i="11"/>
  <c r="V29" i="11"/>
  <c r="U29" i="11"/>
  <c r="T29" i="11"/>
  <c r="S29" i="11"/>
  <c r="R29" i="11"/>
  <c r="Q29" i="11"/>
  <c r="P29" i="11"/>
  <c r="O29" i="11"/>
  <c r="J29" i="11"/>
  <c r="H29" i="11"/>
  <c r="F29" i="11"/>
  <c r="D29" i="11"/>
  <c r="AB28" i="11"/>
  <c r="AA28" i="11"/>
  <c r="X28" i="11"/>
  <c r="W28" i="11"/>
  <c r="V28" i="11"/>
  <c r="U28" i="11"/>
  <c r="T28" i="11"/>
  <c r="S28" i="11"/>
  <c r="R28" i="11"/>
  <c r="Q28" i="11"/>
  <c r="P28" i="11"/>
  <c r="O28" i="11"/>
  <c r="J28" i="11"/>
  <c r="H28" i="11"/>
  <c r="F28" i="11"/>
  <c r="D28" i="11"/>
  <c r="AB27" i="11"/>
  <c r="AA27" i="11"/>
  <c r="X27" i="11"/>
  <c r="W27" i="11"/>
  <c r="V27" i="11"/>
  <c r="U27" i="11"/>
  <c r="T27" i="11"/>
  <c r="S27" i="11"/>
  <c r="R27" i="11"/>
  <c r="Q27" i="11"/>
  <c r="P27" i="11"/>
  <c r="O27" i="11"/>
  <c r="J27" i="11"/>
  <c r="H27" i="11"/>
  <c r="F27" i="11"/>
  <c r="D27" i="11"/>
  <c r="AB26" i="11"/>
  <c r="AA26" i="11"/>
  <c r="X26" i="11"/>
  <c r="W26" i="11"/>
  <c r="V26" i="11"/>
  <c r="U26" i="11"/>
  <c r="T26" i="11"/>
  <c r="S26" i="11"/>
  <c r="R26" i="11"/>
  <c r="Q26" i="11"/>
  <c r="P26" i="11"/>
  <c r="O26" i="11"/>
  <c r="J26" i="11"/>
  <c r="H26" i="11"/>
  <c r="F26" i="11"/>
  <c r="D26" i="11"/>
  <c r="AB25" i="11"/>
  <c r="AA25" i="11"/>
  <c r="AB24" i="11"/>
  <c r="AA24" i="11"/>
  <c r="AB23" i="11"/>
  <c r="AA23" i="11"/>
  <c r="AB22" i="11"/>
  <c r="AA22" i="11"/>
  <c r="AB21" i="11"/>
  <c r="AA21" i="11"/>
  <c r="E21" i="11"/>
  <c r="D21" i="11"/>
  <c r="C21" i="11"/>
  <c r="AB20" i="11"/>
  <c r="AA20" i="11"/>
  <c r="O20" i="11"/>
  <c r="N20" i="11"/>
  <c r="L20" i="11"/>
  <c r="J20" i="11"/>
  <c r="F20" i="11"/>
  <c r="E20" i="11"/>
  <c r="D20" i="11"/>
  <c r="C20" i="11"/>
  <c r="AB19" i="11"/>
  <c r="AA19" i="11"/>
  <c r="O19" i="11"/>
  <c r="N19" i="11"/>
  <c r="L19" i="11"/>
  <c r="J19" i="11"/>
  <c r="F19" i="11"/>
  <c r="E19" i="11"/>
  <c r="D19" i="11"/>
  <c r="C19" i="11"/>
  <c r="F5" i="11"/>
  <c r="E5" i="11"/>
  <c r="D5" i="11"/>
  <c r="C5" i="11"/>
  <c r="B5" i="11"/>
  <c r="F4" i="11"/>
  <c r="E4" i="11"/>
  <c r="D4" i="11"/>
  <c r="C4" i="11"/>
  <c r="B4" i="11"/>
  <c r="F3" i="11"/>
  <c r="E3" i="11"/>
  <c r="D3" i="11"/>
  <c r="C3" i="11"/>
  <c r="B3" i="11"/>
  <c r="M5" i="11" l="1"/>
  <c r="M4" i="11"/>
  <c r="L5" i="11"/>
  <c r="L4" i="11"/>
  <c r="K5" i="11"/>
  <c r="K4" i="11"/>
  <c r="M3" i="11"/>
  <c r="L3" i="11"/>
  <c r="K3" i="11"/>
  <c r="I3" i="11"/>
  <c r="H3" i="11"/>
  <c r="G3" i="11"/>
  <c r="J5" i="11"/>
  <c r="J4" i="11"/>
  <c r="F169" i="11" l="1"/>
  <c r="AB230" i="11" l="1"/>
  <c r="AA230" i="11"/>
  <c r="AB211" i="11"/>
  <c r="AA211" i="11"/>
  <c r="AB192" i="11"/>
  <c r="AA192" i="11"/>
  <c r="AB173" i="11"/>
  <c r="AA173" i="11"/>
  <c r="AB154" i="11"/>
  <c r="AA154" i="11"/>
  <c r="AB135" i="11"/>
  <c r="AA135" i="11"/>
  <c r="AB116" i="11"/>
  <c r="AA116" i="11"/>
  <c r="AB229" i="11"/>
  <c r="AA229" i="11"/>
  <c r="AB210" i="11"/>
  <c r="AA210" i="11"/>
  <c r="AB191" i="11"/>
  <c r="AA191" i="11"/>
  <c r="AB172" i="11"/>
  <c r="AA172" i="11"/>
  <c r="AB153" i="11"/>
  <c r="AA153" i="11"/>
  <c r="AB134" i="11"/>
  <c r="AA134" i="11"/>
  <c r="AB115" i="11"/>
  <c r="AA115" i="11"/>
  <c r="AB228" i="11"/>
  <c r="AA228" i="11"/>
  <c r="AB209" i="11"/>
  <c r="AA209" i="11"/>
  <c r="AB190" i="11"/>
  <c r="AA190" i="11"/>
  <c r="AB171" i="11"/>
  <c r="AA171" i="11"/>
  <c r="AB152" i="11"/>
  <c r="AA152" i="11"/>
  <c r="AB133" i="11"/>
  <c r="AA133" i="11"/>
  <c r="AB114" i="11"/>
  <c r="AA114" i="11"/>
  <c r="I5" i="11"/>
  <c r="H5" i="11"/>
  <c r="G5" i="11"/>
  <c r="AB227" i="11"/>
  <c r="AA227" i="11"/>
  <c r="AB208" i="11"/>
  <c r="AA208" i="11"/>
  <c r="AB189" i="11"/>
  <c r="AA189" i="11"/>
  <c r="AB170" i="11"/>
  <c r="AA170" i="11"/>
  <c r="AB151" i="11"/>
  <c r="AA151" i="11"/>
  <c r="AB132" i="11"/>
  <c r="AA132" i="11"/>
  <c r="AB113" i="11"/>
  <c r="AA113" i="11"/>
  <c r="I4" i="11"/>
  <c r="H4" i="11"/>
  <c r="G4" i="11"/>
  <c r="AB226" i="11"/>
  <c r="AA226" i="11"/>
  <c r="AB207" i="11"/>
  <c r="AA207" i="11"/>
  <c r="AB188" i="11"/>
  <c r="AB169" i="11"/>
  <c r="AA169" i="11"/>
  <c r="AB150" i="11"/>
  <c r="AA150" i="11"/>
  <c r="AB131" i="11"/>
  <c r="AA131" i="11"/>
  <c r="AB112" i="11"/>
  <c r="AA112" i="11"/>
  <c r="E5" i="9" l="1"/>
  <c r="E6" i="9"/>
  <c r="F7" i="9" l="1"/>
  <c r="F6" i="9"/>
  <c r="F5" i="9"/>
  <c r="E7" i="9"/>
  <c r="D7" i="9"/>
  <c r="D6" i="9"/>
  <c r="D5" i="9"/>
  <c r="O7" i="9"/>
  <c r="N7" i="9"/>
  <c r="L7" i="9"/>
  <c r="J7" i="9"/>
  <c r="O6" i="9"/>
  <c r="N6" i="9"/>
  <c r="L6" i="9"/>
  <c r="J6" i="9"/>
  <c r="O5" i="9"/>
  <c r="J55" i="9" s="1"/>
  <c r="N5" i="9"/>
  <c r="I55" i="9" s="1"/>
  <c r="L5" i="9"/>
  <c r="H55" i="9" s="1"/>
  <c r="J5" i="9"/>
  <c r="G55" i="9" s="1"/>
  <c r="C7" i="9"/>
  <c r="C6" i="9"/>
  <c r="C5" i="9"/>
  <c r="C55" i="9" s="1"/>
  <c r="D55" i="9" l="1"/>
  <c r="F55" i="9"/>
  <c r="E55" i="9"/>
  <c r="Q233" i="11" l="1"/>
  <c r="Q234" i="11"/>
  <c r="AB237" i="11"/>
  <c r="AA237" i="11"/>
  <c r="X237" i="11"/>
  <c r="W237" i="11"/>
  <c r="V237" i="11"/>
  <c r="U237" i="11"/>
  <c r="T237" i="11"/>
  <c r="S237" i="11"/>
  <c r="R237" i="11"/>
  <c r="Q237" i="11"/>
  <c r="P237" i="11"/>
  <c r="O237" i="11"/>
  <c r="J237" i="11"/>
  <c r="H237" i="11"/>
  <c r="F237" i="11"/>
  <c r="D237" i="11"/>
  <c r="AB236" i="11"/>
  <c r="AA236" i="11"/>
  <c r="X236" i="11"/>
  <c r="W236" i="11"/>
  <c r="V236" i="11"/>
  <c r="U236" i="11"/>
  <c r="T236" i="11"/>
  <c r="S236" i="11"/>
  <c r="R236" i="11"/>
  <c r="Q236" i="11"/>
  <c r="P236" i="11"/>
  <c r="O236" i="11"/>
  <c r="J236" i="11"/>
  <c r="H236" i="11"/>
  <c r="F236" i="11"/>
  <c r="D236" i="11"/>
  <c r="AB235" i="11"/>
  <c r="AA235" i="11"/>
  <c r="X235" i="11"/>
  <c r="W235" i="11"/>
  <c r="V235" i="11"/>
  <c r="U235" i="11"/>
  <c r="T235" i="11"/>
  <c r="S235" i="11"/>
  <c r="R235" i="11"/>
  <c r="Q235" i="11"/>
  <c r="P235" i="11"/>
  <c r="O235" i="11"/>
  <c r="J235" i="11"/>
  <c r="H235" i="11"/>
  <c r="F235" i="11"/>
  <c r="D235" i="11"/>
  <c r="AB234" i="11"/>
  <c r="AA234" i="11"/>
  <c r="X234" i="11"/>
  <c r="W234" i="11"/>
  <c r="V234" i="11"/>
  <c r="U234" i="11"/>
  <c r="T234" i="11"/>
  <c r="S234" i="11"/>
  <c r="R234" i="11"/>
  <c r="P234" i="11"/>
  <c r="O234" i="11"/>
  <c r="J234" i="11"/>
  <c r="H234" i="11"/>
  <c r="F234" i="11"/>
  <c r="D234" i="11"/>
  <c r="AB233" i="11"/>
  <c r="AA233" i="11"/>
  <c r="X233" i="11"/>
  <c r="W233" i="11"/>
  <c r="V233" i="11"/>
  <c r="U233" i="11"/>
  <c r="T233" i="11"/>
  <c r="S233" i="11"/>
  <c r="R233" i="11"/>
  <c r="P233" i="11"/>
  <c r="O233" i="11"/>
  <c r="J233" i="11"/>
  <c r="H233" i="11"/>
  <c r="F233" i="11"/>
  <c r="D233" i="11"/>
  <c r="AB232" i="11"/>
  <c r="AA232" i="11"/>
  <c r="AB231" i="11"/>
  <c r="AA231" i="11"/>
  <c r="AB218" i="11"/>
  <c r="AA218" i="11"/>
  <c r="X218" i="11"/>
  <c r="W218" i="11"/>
  <c r="V218" i="11"/>
  <c r="U218" i="11"/>
  <c r="T218" i="11"/>
  <c r="S218" i="11"/>
  <c r="R218" i="11"/>
  <c r="Q218" i="11"/>
  <c r="P218" i="11"/>
  <c r="O218" i="11"/>
  <c r="J218" i="11"/>
  <c r="H218" i="11"/>
  <c r="F218" i="11"/>
  <c r="D218" i="11"/>
  <c r="AB217" i="11"/>
  <c r="AA217" i="11"/>
  <c r="X217" i="11"/>
  <c r="W217" i="11"/>
  <c r="V217" i="11"/>
  <c r="U217" i="11"/>
  <c r="T217" i="11"/>
  <c r="S217" i="11"/>
  <c r="R217" i="11"/>
  <c r="Q217" i="11"/>
  <c r="P217" i="11"/>
  <c r="O217" i="11"/>
  <c r="J217" i="11"/>
  <c r="H217" i="11"/>
  <c r="F217" i="11"/>
  <c r="D217" i="11"/>
  <c r="AB216" i="11"/>
  <c r="AA216" i="11"/>
  <c r="X216" i="11"/>
  <c r="W216" i="11"/>
  <c r="V216" i="11"/>
  <c r="U216" i="11"/>
  <c r="T216" i="11"/>
  <c r="S216" i="11"/>
  <c r="R216" i="11"/>
  <c r="Q216" i="11"/>
  <c r="P216" i="11"/>
  <c r="O216" i="11"/>
  <c r="J216" i="11"/>
  <c r="H216" i="11"/>
  <c r="F216" i="11"/>
  <c r="D216" i="11"/>
  <c r="AB215" i="11"/>
  <c r="AA215" i="11"/>
  <c r="X215" i="11"/>
  <c r="W215" i="11"/>
  <c r="V215" i="11"/>
  <c r="U215" i="11"/>
  <c r="T215" i="11"/>
  <c r="S215" i="11"/>
  <c r="R215" i="11"/>
  <c r="Q215" i="11"/>
  <c r="P215" i="11"/>
  <c r="O215" i="11"/>
  <c r="J215" i="11"/>
  <c r="H215" i="11"/>
  <c r="F215" i="11"/>
  <c r="D215" i="11"/>
  <c r="AB214" i="11"/>
  <c r="AA214" i="11"/>
  <c r="X214" i="11"/>
  <c r="W214" i="11"/>
  <c r="V214" i="11"/>
  <c r="U214" i="11"/>
  <c r="T214" i="11"/>
  <c r="S214" i="11"/>
  <c r="R214" i="11"/>
  <c r="Q214" i="11"/>
  <c r="P214" i="11"/>
  <c r="O214" i="11"/>
  <c r="J214" i="11"/>
  <c r="H214" i="11"/>
  <c r="F214" i="11"/>
  <c r="D214" i="11"/>
  <c r="AB213" i="11"/>
  <c r="AA213" i="11"/>
  <c r="AB212" i="11"/>
  <c r="AA212" i="11"/>
  <c r="AB199" i="11"/>
  <c r="AA199" i="11"/>
  <c r="X199" i="11"/>
  <c r="W199" i="11"/>
  <c r="V199" i="11"/>
  <c r="U199" i="11"/>
  <c r="T199" i="11"/>
  <c r="S199" i="11"/>
  <c r="R199" i="11"/>
  <c r="Q199" i="11"/>
  <c r="P199" i="11"/>
  <c r="O199" i="11"/>
  <c r="J199" i="11"/>
  <c r="H199" i="11"/>
  <c r="F199" i="11"/>
  <c r="D199" i="11"/>
  <c r="AB198" i="11"/>
  <c r="AA198" i="11"/>
  <c r="X198" i="11"/>
  <c r="W198" i="11"/>
  <c r="V198" i="11"/>
  <c r="U198" i="11"/>
  <c r="T198" i="11"/>
  <c r="S198" i="11"/>
  <c r="R198" i="11"/>
  <c r="Q198" i="11"/>
  <c r="P198" i="11"/>
  <c r="O198" i="11"/>
  <c r="J198" i="11"/>
  <c r="H198" i="11"/>
  <c r="F198" i="11"/>
  <c r="D198" i="11"/>
  <c r="AB197" i="11"/>
  <c r="AA197" i="11"/>
  <c r="X197" i="11"/>
  <c r="W197" i="11"/>
  <c r="V197" i="11"/>
  <c r="U197" i="11"/>
  <c r="T197" i="11"/>
  <c r="S197" i="11"/>
  <c r="R197" i="11"/>
  <c r="Q197" i="11"/>
  <c r="P197" i="11"/>
  <c r="O197" i="11"/>
  <c r="J197" i="11"/>
  <c r="H197" i="11"/>
  <c r="F197" i="11"/>
  <c r="D197" i="11"/>
  <c r="AB196" i="11"/>
  <c r="AA196" i="11"/>
  <c r="X196" i="11"/>
  <c r="W196" i="11"/>
  <c r="V196" i="11"/>
  <c r="U196" i="11"/>
  <c r="T196" i="11"/>
  <c r="S196" i="11"/>
  <c r="R196" i="11"/>
  <c r="Q196" i="11"/>
  <c r="P196" i="11"/>
  <c r="O196" i="11"/>
  <c r="J196" i="11"/>
  <c r="H196" i="11"/>
  <c r="F196" i="11"/>
  <c r="D196" i="11"/>
  <c r="AB195" i="11"/>
  <c r="AA195" i="11"/>
  <c r="X195" i="11"/>
  <c r="W195" i="11"/>
  <c r="V195" i="11"/>
  <c r="U195" i="11"/>
  <c r="T195" i="11"/>
  <c r="S195" i="11"/>
  <c r="R195" i="11"/>
  <c r="Q195" i="11"/>
  <c r="P195" i="11"/>
  <c r="O195" i="11"/>
  <c r="J195" i="11"/>
  <c r="H195" i="11"/>
  <c r="F195" i="11"/>
  <c r="D195" i="11"/>
  <c r="AB194" i="11"/>
  <c r="AA194" i="11"/>
  <c r="AB193" i="11"/>
  <c r="AA193" i="11"/>
  <c r="AB180" i="11"/>
  <c r="AA180" i="11"/>
  <c r="X180" i="11"/>
  <c r="W180" i="11"/>
  <c r="V180" i="11"/>
  <c r="U180" i="11"/>
  <c r="T180" i="11"/>
  <c r="S180" i="11"/>
  <c r="R180" i="11"/>
  <c r="Q180" i="11"/>
  <c r="P180" i="11"/>
  <c r="O180" i="11"/>
  <c r="J180" i="11"/>
  <c r="H180" i="11"/>
  <c r="F180" i="11"/>
  <c r="D180" i="11"/>
  <c r="AB179" i="11"/>
  <c r="AA179" i="11"/>
  <c r="X179" i="11"/>
  <c r="W179" i="11"/>
  <c r="V179" i="11"/>
  <c r="U179" i="11"/>
  <c r="T179" i="11"/>
  <c r="S179" i="11"/>
  <c r="R179" i="11"/>
  <c r="Q179" i="11"/>
  <c r="P179" i="11"/>
  <c r="O179" i="11"/>
  <c r="J179" i="11"/>
  <c r="H179" i="11"/>
  <c r="F179" i="11"/>
  <c r="D179" i="11"/>
  <c r="AB178" i="11"/>
  <c r="AA178" i="11"/>
  <c r="X178" i="11"/>
  <c r="W178" i="11"/>
  <c r="V178" i="11"/>
  <c r="U178" i="11"/>
  <c r="T178" i="11"/>
  <c r="S178" i="11"/>
  <c r="R178" i="11"/>
  <c r="Q178" i="11"/>
  <c r="P178" i="11"/>
  <c r="O178" i="11"/>
  <c r="J178" i="11"/>
  <c r="H178" i="11"/>
  <c r="F178" i="11"/>
  <c r="D178" i="11"/>
  <c r="AB177" i="11"/>
  <c r="AA177" i="11"/>
  <c r="X177" i="11"/>
  <c r="W177" i="11"/>
  <c r="V177" i="11"/>
  <c r="U177" i="11"/>
  <c r="T177" i="11"/>
  <c r="S177" i="11"/>
  <c r="R177" i="11"/>
  <c r="Q177" i="11"/>
  <c r="P177" i="11"/>
  <c r="O177" i="11"/>
  <c r="J177" i="11"/>
  <c r="H177" i="11"/>
  <c r="F177" i="11"/>
  <c r="D177" i="11"/>
  <c r="AB176" i="11"/>
  <c r="AA176" i="11"/>
  <c r="X176" i="11"/>
  <c r="W176" i="11"/>
  <c r="V176" i="11"/>
  <c r="U176" i="11"/>
  <c r="T176" i="11"/>
  <c r="S176" i="11"/>
  <c r="R176" i="11"/>
  <c r="Q176" i="11"/>
  <c r="P176" i="11"/>
  <c r="O176" i="11"/>
  <c r="J176" i="11"/>
  <c r="H176" i="11"/>
  <c r="F176" i="11"/>
  <c r="D176" i="11"/>
  <c r="AB175" i="11"/>
  <c r="AA175" i="11"/>
  <c r="AB174" i="11"/>
  <c r="AA174" i="11"/>
  <c r="AB161" i="11"/>
  <c r="AA161" i="11"/>
  <c r="X161" i="11"/>
  <c r="W161" i="11"/>
  <c r="V161" i="11"/>
  <c r="U161" i="11"/>
  <c r="T161" i="11"/>
  <c r="S161" i="11"/>
  <c r="R161" i="11"/>
  <c r="Q161" i="11"/>
  <c r="P161" i="11"/>
  <c r="O161" i="11"/>
  <c r="J161" i="11"/>
  <c r="H161" i="11"/>
  <c r="F161" i="11"/>
  <c r="D161" i="11"/>
  <c r="AB160" i="11"/>
  <c r="X160" i="11"/>
  <c r="W160" i="11"/>
  <c r="V160" i="11"/>
  <c r="U160" i="11"/>
  <c r="T160" i="11"/>
  <c r="S160" i="11"/>
  <c r="R160" i="11"/>
  <c r="Q160" i="11"/>
  <c r="P160" i="11"/>
  <c r="O160" i="11"/>
  <c r="J160" i="11"/>
  <c r="H160" i="11"/>
  <c r="F160" i="11"/>
  <c r="D160" i="11"/>
  <c r="AB159" i="11"/>
  <c r="X159" i="11"/>
  <c r="W159" i="11"/>
  <c r="V159" i="11"/>
  <c r="U159" i="11"/>
  <c r="T159" i="11"/>
  <c r="S159" i="11"/>
  <c r="R159" i="11"/>
  <c r="Q159" i="11"/>
  <c r="P159" i="11"/>
  <c r="O159" i="11"/>
  <c r="J159" i="11"/>
  <c r="H159" i="11"/>
  <c r="F159" i="11"/>
  <c r="D159" i="11"/>
  <c r="AB158" i="11"/>
  <c r="X158" i="11"/>
  <c r="W158" i="11"/>
  <c r="V158" i="11"/>
  <c r="U158" i="11"/>
  <c r="T158" i="11"/>
  <c r="S158" i="11"/>
  <c r="R158" i="11"/>
  <c r="Q158" i="11"/>
  <c r="P158" i="11"/>
  <c r="O158" i="11"/>
  <c r="J158" i="11"/>
  <c r="H158" i="11"/>
  <c r="F158" i="11"/>
  <c r="D158" i="11"/>
  <c r="AB157" i="11"/>
  <c r="X157" i="11"/>
  <c r="W157" i="11"/>
  <c r="V157" i="11"/>
  <c r="U157" i="11"/>
  <c r="T157" i="11"/>
  <c r="S157" i="11"/>
  <c r="R157" i="11"/>
  <c r="Q157" i="11"/>
  <c r="P157" i="11"/>
  <c r="O157" i="11"/>
  <c r="J157" i="11"/>
  <c r="H157" i="11"/>
  <c r="F157" i="11"/>
  <c r="D157" i="11"/>
  <c r="AB156" i="11"/>
  <c r="AA156" i="11"/>
  <c r="AB155" i="11"/>
  <c r="AA155" i="11"/>
  <c r="AB123" i="11"/>
  <c r="AA123" i="11"/>
  <c r="AB142" i="11"/>
  <c r="AA142" i="11"/>
  <c r="X142" i="11"/>
  <c r="W142" i="11"/>
  <c r="V142" i="11"/>
  <c r="U142" i="11"/>
  <c r="T142" i="11"/>
  <c r="S142" i="11"/>
  <c r="R142" i="11"/>
  <c r="Q142" i="11"/>
  <c r="P142" i="11"/>
  <c r="O142" i="11"/>
  <c r="J142" i="11"/>
  <c r="H142" i="11"/>
  <c r="F142" i="11"/>
  <c r="D142" i="11"/>
  <c r="AB141" i="11"/>
  <c r="X141" i="11"/>
  <c r="W141" i="11"/>
  <c r="V141" i="11"/>
  <c r="U141" i="11"/>
  <c r="T141" i="11"/>
  <c r="S141" i="11"/>
  <c r="R141" i="11"/>
  <c r="Q141" i="11"/>
  <c r="P141" i="11"/>
  <c r="O141" i="11"/>
  <c r="J141" i="11"/>
  <c r="H141" i="11"/>
  <c r="F141" i="11"/>
  <c r="D141" i="11"/>
  <c r="AB140" i="11"/>
  <c r="X140" i="11"/>
  <c r="W140" i="11"/>
  <c r="V140" i="11"/>
  <c r="U140" i="11"/>
  <c r="T140" i="11"/>
  <c r="S140" i="11"/>
  <c r="R140" i="11"/>
  <c r="Q140" i="11"/>
  <c r="P140" i="11"/>
  <c r="O140" i="11"/>
  <c r="J140" i="11"/>
  <c r="H140" i="11"/>
  <c r="F140" i="11"/>
  <c r="D140" i="11"/>
  <c r="AB139" i="11"/>
  <c r="AA139" i="11"/>
  <c r="X139" i="11"/>
  <c r="W139" i="11"/>
  <c r="V139" i="11"/>
  <c r="U139" i="11"/>
  <c r="T139" i="11"/>
  <c r="S139" i="11"/>
  <c r="R139" i="11"/>
  <c r="Q139" i="11"/>
  <c r="P139" i="11"/>
  <c r="O139" i="11"/>
  <c r="J139" i="11"/>
  <c r="H139" i="11"/>
  <c r="F139" i="11"/>
  <c r="D139" i="11"/>
  <c r="AB138" i="11"/>
  <c r="AA138" i="11"/>
  <c r="X138" i="11"/>
  <c r="W138" i="11"/>
  <c r="V138" i="11"/>
  <c r="U138" i="11"/>
  <c r="T138" i="11"/>
  <c r="S138" i="11"/>
  <c r="R138" i="11"/>
  <c r="Q138" i="11"/>
  <c r="P138" i="11"/>
  <c r="O138" i="11"/>
  <c r="J138" i="11"/>
  <c r="H138" i="11"/>
  <c r="F138" i="11"/>
  <c r="D138" i="11"/>
  <c r="AB137" i="11"/>
  <c r="AA137" i="11"/>
  <c r="AB136" i="11"/>
  <c r="AA136" i="11"/>
  <c r="X123" i="11"/>
  <c r="W123" i="11"/>
  <c r="V123" i="11"/>
  <c r="U123" i="11"/>
  <c r="T123" i="11"/>
  <c r="S123" i="11"/>
  <c r="R123" i="11"/>
  <c r="Q123" i="11"/>
  <c r="P123" i="11"/>
  <c r="O123" i="11"/>
  <c r="J123" i="11"/>
  <c r="H123" i="11"/>
  <c r="F123" i="11"/>
  <c r="D123" i="11"/>
  <c r="AB122" i="11"/>
  <c r="X122" i="11"/>
  <c r="W122" i="11"/>
  <c r="V122" i="11"/>
  <c r="U122" i="11"/>
  <c r="T122" i="11"/>
  <c r="S122" i="11"/>
  <c r="R122" i="11"/>
  <c r="Q122" i="11"/>
  <c r="P122" i="11"/>
  <c r="O122" i="11"/>
  <c r="J122" i="11"/>
  <c r="H122" i="11"/>
  <c r="F122" i="11"/>
  <c r="D122" i="11"/>
  <c r="AB121" i="11"/>
  <c r="AA121" i="11"/>
  <c r="X121" i="11"/>
  <c r="W121" i="11"/>
  <c r="V121" i="11"/>
  <c r="U121" i="11"/>
  <c r="T121" i="11"/>
  <c r="S121" i="11"/>
  <c r="R121" i="11"/>
  <c r="Q121" i="11"/>
  <c r="P121" i="11"/>
  <c r="O121" i="11"/>
  <c r="J121" i="11"/>
  <c r="H121" i="11"/>
  <c r="F121" i="11"/>
  <c r="D121" i="11"/>
  <c r="AB120" i="11"/>
  <c r="X120" i="11"/>
  <c r="W120" i="11"/>
  <c r="V120" i="11"/>
  <c r="U120" i="11"/>
  <c r="T120" i="11"/>
  <c r="S120" i="11"/>
  <c r="R120" i="11"/>
  <c r="Q120" i="11"/>
  <c r="P120" i="11"/>
  <c r="O120" i="11"/>
  <c r="J120" i="11"/>
  <c r="H120" i="11"/>
  <c r="F120" i="11"/>
  <c r="D120" i="11"/>
  <c r="AB119" i="11"/>
  <c r="X119" i="11"/>
  <c r="W119" i="11"/>
  <c r="V119" i="11"/>
  <c r="U119" i="11"/>
  <c r="T119" i="11"/>
  <c r="S119" i="11"/>
  <c r="R119" i="11"/>
  <c r="Q119" i="11"/>
  <c r="P119" i="11"/>
  <c r="O119" i="11"/>
  <c r="J119" i="11"/>
  <c r="H119" i="11"/>
  <c r="F119" i="11"/>
  <c r="D119" i="11"/>
  <c r="AB118" i="11"/>
  <c r="AA118" i="11"/>
  <c r="AB117" i="11"/>
  <c r="AA117" i="11"/>
  <c r="AB124" i="11" l="1"/>
  <c r="AA219" i="11"/>
  <c r="AB219" i="11"/>
  <c r="AA238" i="11"/>
  <c r="AB238" i="11"/>
  <c r="AB200" i="11"/>
  <c r="AB181" i="11"/>
  <c r="AB162" i="11"/>
  <c r="AB143" i="11"/>
  <c r="AB105" i="11"/>
  <c r="AB86" i="11"/>
  <c r="AB66" i="11"/>
  <c r="AB48" i="11"/>
  <c r="AB31" i="11"/>
  <c r="I15" i="11" l="1"/>
  <c r="H15" i="11"/>
  <c r="K15" i="11"/>
  <c r="G15" i="11"/>
  <c r="J15" i="11"/>
  <c r="F15" i="11"/>
  <c r="M15" i="11"/>
  <c r="L15" i="11"/>
  <c r="E15" i="11"/>
  <c r="D15" i="11"/>
  <c r="C15" i="11"/>
  <c r="B15" i="11" l="1"/>
  <c r="AA10" i="9"/>
  <c r="AA9" i="9"/>
  <c r="AA8" i="9"/>
  <c r="AB5" i="9"/>
  <c r="S6" i="5"/>
  <c r="S7" i="5"/>
  <c r="S8" i="5"/>
  <c r="S9" i="5"/>
  <c r="S10" i="5"/>
  <c r="S11" i="5"/>
  <c r="S12" i="5"/>
  <c r="S13" i="5"/>
  <c r="S14" i="5"/>
  <c r="AA159" i="11" s="1"/>
  <c r="S15" i="5"/>
  <c r="S16" i="5"/>
  <c r="S17" i="5"/>
  <c r="S18" i="5"/>
  <c r="S19" i="5"/>
  <c r="AA160" i="11" s="1"/>
  <c r="S20" i="5"/>
  <c r="AA158" i="11" s="1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S39" i="5"/>
  <c r="S40" i="5"/>
  <c r="S41" i="5"/>
  <c r="S42" i="5"/>
  <c r="S43" i="5"/>
  <c r="S44" i="5"/>
  <c r="S45" i="5"/>
  <c r="S46" i="5"/>
  <c r="S47" i="5"/>
  <c r="S48" i="5"/>
  <c r="S49" i="5"/>
  <c r="S50" i="5"/>
  <c r="S51" i="5"/>
  <c r="S52" i="5"/>
  <c r="S53" i="5"/>
  <c r="S54" i="5"/>
  <c r="S55" i="5"/>
  <c r="S56" i="5"/>
  <c r="S57" i="5"/>
  <c r="S58" i="5"/>
  <c r="S59" i="5"/>
  <c r="S60" i="5"/>
  <c r="S61" i="5"/>
  <c r="S62" i="5"/>
  <c r="S63" i="5"/>
  <c r="S64" i="5"/>
  <c r="S65" i="5"/>
  <c r="S66" i="5"/>
  <c r="S67" i="5"/>
  <c r="S68" i="5"/>
  <c r="S70" i="5"/>
  <c r="S71" i="5"/>
  <c r="S72" i="5"/>
  <c r="S73" i="5"/>
  <c r="S74" i="5"/>
  <c r="S75" i="5"/>
  <c r="S76" i="5"/>
  <c r="S77" i="5"/>
  <c r="S78" i="5"/>
  <c r="S79" i="5"/>
  <c r="S80" i="5"/>
  <c r="S81" i="5"/>
  <c r="S82" i="5"/>
  <c r="S83" i="5"/>
  <c r="S84" i="5"/>
  <c r="S85" i="5"/>
  <c r="S86" i="5"/>
  <c r="S87" i="5"/>
  <c r="S88" i="5"/>
  <c r="S89" i="5"/>
  <c r="S90" i="5"/>
  <c r="S91" i="5"/>
  <c r="S92" i="5"/>
  <c r="S93" i="5"/>
  <c r="S94" i="5"/>
  <c r="S95" i="5"/>
  <c r="S96" i="5"/>
  <c r="S97" i="5"/>
  <c r="S98" i="5"/>
  <c r="S99" i="5"/>
  <c r="S100" i="5"/>
  <c r="S101" i="5"/>
  <c r="S102" i="5"/>
  <c r="S103" i="5"/>
  <c r="S104" i="5"/>
  <c r="S105" i="5"/>
  <c r="S106" i="5"/>
  <c r="S107" i="5"/>
  <c r="S108" i="5"/>
  <c r="S109" i="5"/>
  <c r="S110" i="5"/>
  <c r="S111" i="5"/>
  <c r="S112" i="5"/>
  <c r="S113" i="5"/>
  <c r="S114" i="5"/>
  <c r="S115" i="5"/>
  <c r="S116" i="5"/>
  <c r="S117" i="5"/>
  <c r="S118" i="5"/>
  <c r="S119" i="5"/>
  <c r="S120" i="5"/>
  <c r="S121" i="5"/>
  <c r="S122" i="5"/>
  <c r="S123" i="5"/>
  <c r="S124" i="5"/>
  <c r="S125" i="5"/>
  <c r="S126" i="5"/>
  <c r="S127" i="5"/>
  <c r="S128" i="5"/>
  <c r="S129" i="5"/>
  <c r="S130" i="5"/>
  <c r="S131" i="5"/>
  <c r="S132" i="5"/>
  <c r="S133" i="5"/>
  <c r="S134" i="5"/>
  <c r="S135" i="5"/>
  <c r="S136" i="5"/>
  <c r="S137" i="5"/>
  <c r="S138" i="5"/>
  <c r="S139" i="5"/>
  <c r="S140" i="5"/>
  <c r="S141" i="5"/>
  <c r="S142" i="5"/>
  <c r="S143" i="5"/>
  <c r="S144" i="5"/>
  <c r="S145" i="5"/>
  <c r="S146" i="5"/>
  <c r="S147" i="5"/>
  <c r="S148" i="5"/>
  <c r="S149" i="5"/>
  <c r="S150" i="5"/>
  <c r="S151" i="5"/>
  <c r="S152" i="5"/>
  <c r="S153" i="5"/>
  <c r="S154" i="5"/>
  <c r="S155" i="5"/>
  <c r="S156" i="5"/>
  <c r="S157" i="5"/>
  <c r="S158" i="5"/>
  <c r="S159" i="5"/>
  <c r="S160" i="5"/>
  <c r="S161" i="5"/>
  <c r="S162" i="5"/>
  <c r="S163" i="5"/>
  <c r="S164" i="5"/>
  <c r="S165" i="5"/>
  <c r="S166" i="5"/>
  <c r="S167" i="5"/>
  <c r="S168" i="5"/>
  <c r="S169" i="5"/>
  <c r="S170" i="5"/>
  <c r="S171" i="5"/>
  <c r="S172" i="5"/>
  <c r="S173" i="5"/>
  <c r="S174" i="5"/>
  <c r="S175" i="5"/>
  <c r="S176" i="5"/>
  <c r="S177" i="5"/>
  <c r="S178" i="5"/>
  <c r="S179" i="5"/>
  <c r="S180" i="5"/>
  <c r="S181" i="5"/>
  <c r="S182" i="5"/>
  <c r="S183" i="5"/>
  <c r="S184" i="5"/>
  <c r="S185" i="5"/>
  <c r="S186" i="5"/>
  <c r="S187" i="5"/>
  <c r="S188" i="5"/>
  <c r="S189" i="5"/>
  <c r="S190" i="5"/>
  <c r="S191" i="5"/>
  <c r="S192" i="5"/>
  <c r="S193" i="5"/>
  <c r="S194" i="5"/>
  <c r="S195" i="5"/>
  <c r="S196" i="5"/>
  <c r="S197" i="5"/>
  <c r="S198" i="5"/>
  <c r="S199" i="5"/>
  <c r="S200" i="5"/>
  <c r="S201" i="5"/>
  <c r="S202" i="5"/>
  <c r="S203" i="5"/>
  <c r="S204" i="5"/>
  <c r="S205" i="5"/>
  <c r="S206" i="5"/>
  <c r="S207" i="5"/>
  <c r="S208" i="5"/>
  <c r="S209" i="5"/>
  <c r="S210" i="5"/>
  <c r="S211" i="5"/>
  <c r="S212" i="5"/>
  <c r="S213" i="5"/>
  <c r="S214" i="5"/>
  <c r="S215" i="5"/>
  <c r="S216" i="5"/>
  <c r="S217" i="5"/>
  <c r="S218" i="5"/>
  <c r="S219" i="5"/>
  <c r="S220" i="5"/>
  <c r="S221" i="5"/>
  <c r="S222" i="5"/>
  <c r="S223" i="5"/>
  <c r="S224" i="5"/>
  <c r="S225" i="5"/>
  <c r="S226" i="5"/>
  <c r="S227" i="5"/>
  <c r="S228" i="5"/>
  <c r="S229" i="5"/>
  <c r="S230" i="5"/>
  <c r="S231" i="5"/>
  <c r="S232" i="5"/>
  <c r="S233" i="5"/>
  <c r="S234" i="5"/>
  <c r="S235" i="5"/>
  <c r="S236" i="5"/>
  <c r="S237" i="5"/>
  <c r="S238" i="5"/>
  <c r="S239" i="5"/>
  <c r="S240" i="5"/>
  <c r="S241" i="5"/>
  <c r="S242" i="5"/>
  <c r="S243" i="5"/>
  <c r="S244" i="5"/>
  <c r="S245" i="5"/>
  <c r="S246" i="5"/>
  <c r="S247" i="5"/>
  <c r="S248" i="5"/>
  <c r="S249" i="5"/>
  <c r="S250" i="5"/>
  <c r="S251" i="5"/>
  <c r="S252" i="5"/>
  <c r="S253" i="5"/>
  <c r="S254" i="5"/>
  <c r="S255" i="5"/>
  <c r="S256" i="5"/>
  <c r="S257" i="5"/>
  <c r="S258" i="5"/>
  <c r="S259" i="5"/>
  <c r="S260" i="5"/>
  <c r="S261" i="5"/>
  <c r="S262" i="5"/>
  <c r="S263" i="5"/>
  <c r="S264" i="5"/>
  <c r="S265" i="5"/>
  <c r="S266" i="5"/>
  <c r="S267" i="5"/>
  <c r="S268" i="5"/>
  <c r="S269" i="5"/>
  <c r="S270" i="5"/>
  <c r="S271" i="5"/>
  <c r="S272" i="5"/>
  <c r="S273" i="5"/>
  <c r="S274" i="5"/>
  <c r="S275" i="5"/>
  <c r="S276" i="5"/>
  <c r="S277" i="5"/>
  <c r="S278" i="5"/>
  <c r="S279" i="5"/>
  <c r="S280" i="5"/>
  <c r="S281" i="5"/>
  <c r="S282" i="5"/>
  <c r="S283" i="5"/>
  <c r="S284" i="5"/>
  <c r="S285" i="5"/>
  <c r="S286" i="5"/>
  <c r="S287" i="5"/>
  <c r="S288" i="5"/>
  <c r="S289" i="5"/>
  <c r="S290" i="5"/>
  <c r="S291" i="5"/>
  <c r="S292" i="5"/>
  <c r="S293" i="5"/>
  <c r="S294" i="5"/>
  <c r="S295" i="5"/>
  <c r="S296" i="5"/>
  <c r="S297" i="5"/>
  <c r="S298" i="5"/>
  <c r="S299" i="5"/>
  <c r="S300" i="5"/>
  <c r="S301" i="5"/>
  <c r="S302" i="5"/>
  <c r="S303" i="5"/>
  <c r="S304" i="5"/>
  <c r="S305" i="5"/>
  <c r="S306" i="5"/>
  <c r="S307" i="5"/>
  <c r="S308" i="5"/>
  <c r="S309" i="5"/>
  <c r="S310" i="5"/>
  <c r="S311" i="5"/>
  <c r="S312" i="5"/>
  <c r="S313" i="5"/>
  <c r="S314" i="5"/>
  <c r="S315" i="5"/>
  <c r="S316" i="5"/>
  <c r="S317" i="5"/>
  <c r="S318" i="5"/>
  <c r="S319" i="5"/>
  <c r="S320" i="5"/>
  <c r="S321" i="5"/>
  <c r="S322" i="5"/>
  <c r="S323" i="5"/>
  <c r="S324" i="5"/>
  <c r="S325" i="5"/>
  <c r="S326" i="5"/>
  <c r="S327" i="5"/>
  <c r="S328" i="5"/>
  <c r="S329" i="5"/>
  <c r="S330" i="5"/>
  <c r="S331" i="5"/>
  <c r="S332" i="5"/>
  <c r="S333" i="5"/>
  <c r="S334" i="5"/>
  <c r="S335" i="5"/>
  <c r="S336" i="5"/>
  <c r="S337" i="5"/>
  <c r="S338" i="5"/>
  <c r="S339" i="5"/>
  <c r="S340" i="5"/>
  <c r="S341" i="5"/>
  <c r="S342" i="5"/>
  <c r="S343" i="5"/>
  <c r="S344" i="5"/>
  <c r="S345" i="5"/>
  <c r="S346" i="5"/>
  <c r="S347" i="5"/>
  <c r="S348" i="5"/>
  <c r="S349" i="5"/>
  <c r="S350" i="5"/>
  <c r="S351" i="5"/>
  <c r="S352" i="5"/>
  <c r="S353" i="5"/>
  <c r="S354" i="5"/>
  <c r="S355" i="5"/>
  <c r="S356" i="5"/>
  <c r="S357" i="5"/>
  <c r="S358" i="5"/>
  <c r="S359" i="5"/>
  <c r="S360" i="5"/>
  <c r="S361" i="5"/>
  <c r="S362" i="5"/>
  <c r="S363" i="5"/>
  <c r="S364" i="5"/>
  <c r="S365" i="5"/>
  <c r="S366" i="5"/>
  <c r="S367" i="5"/>
  <c r="S368" i="5"/>
  <c r="S369" i="5"/>
  <c r="S370" i="5"/>
  <c r="S371" i="5"/>
  <c r="S372" i="5"/>
  <c r="S373" i="5"/>
  <c r="S374" i="5"/>
  <c r="S375" i="5"/>
  <c r="S376" i="5"/>
  <c r="S377" i="5"/>
  <c r="S378" i="5"/>
  <c r="S379" i="5"/>
  <c r="S380" i="5"/>
  <c r="S381" i="5"/>
  <c r="S382" i="5"/>
  <c r="S383" i="5"/>
  <c r="S384" i="5"/>
  <c r="S385" i="5"/>
  <c r="S386" i="5"/>
  <c r="S387" i="5"/>
  <c r="S388" i="5"/>
  <c r="S389" i="5"/>
  <c r="S390" i="5"/>
  <c r="S391" i="5"/>
  <c r="S392" i="5"/>
  <c r="S393" i="5"/>
  <c r="S394" i="5"/>
  <c r="S395" i="5"/>
  <c r="S396" i="5"/>
  <c r="S397" i="5"/>
  <c r="S398" i="5"/>
  <c r="S399" i="5"/>
  <c r="S400" i="5"/>
  <c r="S401" i="5"/>
  <c r="S402" i="5"/>
  <c r="S403" i="5"/>
  <c r="S404" i="5"/>
  <c r="S405" i="5"/>
  <c r="S406" i="5"/>
  <c r="S407" i="5"/>
  <c r="S408" i="5"/>
  <c r="S409" i="5"/>
  <c r="S410" i="5"/>
  <c r="S411" i="5"/>
  <c r="S412" i="5"/>
  <c r="S413" i="5"/>
  <c r="S414" i="5"/>
  <c r="S415" i="5"/>
  <c r="S416" i="5"/>
  <c r="S417" i="5"/>
  <c r="S418" i="5"/>
  <c r="S419" i="5"/>
  <c r="S420" i="5"/>
  <c r="S421" i="5"/>
  <c r="S422" i="5"/>
  <c r="S423" i="5"/>
  <c r="S424" i="5"/>
  <c r="S425" i="5"/>
  <c r="S426" i="5"/>
  <c r="S427" i="5"/>
  <c r="S428" i="5"/>
  <c r="S429" i="5"/>
  <c r="S430" i="5"/>
  <c r="S431" i="5"/>
  <c r="S432" i="5"/>
  <c r="S433" i="5"/>
  <c r="S434" i="5"/>
  <c r="S435" i="5"/>
  <c r="S436" i="5"/>
  <c r="S437" i="5"/>
  <c r="S438" i="5"/>
  <c r="S439" i="5"/>
  <c r="S440" i="5"/>
  <c r="S441" i="5"/>
  <c r="S442" i="5"/>
  <c r="S443" i="5"/>
  <c r="S444" i="5"/>
  <c r="S445" i="5"/>
  <c r="S446" i="5"/>
  <c r="S447" i="5"/>
  <c r="S448" i="5"/>
  <c r="S449" i="5"/>
  <c r="S450" i="5"/>
  <c r="S451" i="5"/>
  <c r="S452" i="5"/>
  <c r="S453" i="5"/>
  <c r="S454" i="5"/>
  <c r="S455" i="5"/>
  <c r="S456" i="5"/>
  <c r="S457" i="5"/>
  <c r="S458" i="5"/>
  <c r="S459" i="5"/>
  <c r="S460" i="5"/>
  <c r="S461" i="5"/>
  <c r="S462" i="5"/>
  <c r="S463" i="5"/>
  <c r="S464" i="5"/>
  <c r="S465" i="5"/>
  <c r="S466" i="5"/>
  <c r="S467" i="5"/>
  <c r="S468" i="5"/>
  <c r="S469" i="5"/>
  <c r="S470" i="5"/>
  <c r="S471" i="5"/>
  <c r="S472" i="5"/>
  <c r="S473" i="5"/>
  <c r="S474" i="5"/>
  <c r="S475" i="5"/>
  <c r="S476" i="5"/>
  <c r="S477" i="5"/>
  <c r="S478" i="5"/>
  <c r="S479" i="5"/>
  <c r="S480" i="5"/>
  <c r="S481" i="5"/>
  <c r="S482" i="5"/>
  <c r="S483" i="5"/>
  <c r="S484" i="5"/>
  <c r="S485" i="5"/>
  <c r="S486" i="5"/>
  <c r="S487" i="5"/>
  <c r="S488" i="5"/>
  <c r="S489" i="5"/>
  <c r="S490" i="5"/>
  <c r="S491" i="5"/>
  <c r="S492" i="5"/>
  <c r="S493" i="5"/>
  <c r="S494" i="5"/>
  <c r="S495" i="5"/>
  <c r="S496" i="5"/>
  <c r="S497" i="5"/>
  <c r="S498" i="5"/>
  <c r="S499" i="5"/>
  <c r="S500" i="5"/>
  <c r="S501" i="5"/>
  <c r="S502" i="5"/>
  <c r="S503" i="5"/>
  <c r="S504" i="5"/>
  <c r="S505" i="5"/>
  <c r="S506" i="5"/>
  <c r="S507" i="5"/>
  <c r="S508" i="5"/>
  <c r="S509" i="5"/>
  <c r="S510" i="5"/>
  <c r="S511" i="5"/>
  <c r="S512" i="5"/>
  <c r="S513" i="5"/>
  <c r="AA181" i="11"/>
  <c r="AB16" i="9"/>
  <c r="AB15" i="9"/>
  <c r="AB14" i="9"/>
  <c r="AB13" i="9"/>
  <c r="AB12" i="9"/>
  <c r="AB11" i="9"/>
  <c r="AB10" i="9"/>
  <c r="AB9" i="9"/>
  <c r="AB8" i="9"/>
  <c r="AB7" i="9"/>
  <c r="AB6" i="9"/>
  <c r="AA188" i="11" l="1"/>
  <c r="AA200" i="11" s="1"/>
  <c r="AA7" i="9"/>
  <c r="AA157" i="11"/>
  <c r="AA162" i="11" s="1"/>
  <c r="AA141" i="11"/>
  <c r="AA140" i="11"/>
  <c r="AA119" i="11"/>
  <c r="AA120" i="11"/>
  <c r="AA122" i="11"/>
  <c r="AA6" i="9"/>
  <c r="AA105" i="11"/>
  <c r="AA11" i="9"/>
  <c r="AA16" i="9"/>
  <c r="AA14" i="9"/>
  <c r="AA15" i="9"/>
  <c r="AA5" i="9"/>
  <c r="AA13" i="9"/>
  <c r="AA12" i="9"/>
  <c r="AB17" i="9"/>
  <c r="X16" i="9"/>
  <c r="W16" i="9"/>
  <c r="V16" i="9"/>
  <c r="U16" i="9"/>
  <c r="T16" i="9"/>
  <c r="S16" i="9"/>
  <c r="R16" i="9"/>
  <c r="Q16" i="9"/>
  <c r="P16" i="9"/>
  <c r="O16" i="9"/>
  <c r="J16" i="9"/>
  <c r="H16" i="9"/>
  <c r="F16" i="9"/>
  <c r="D16" i="9"/>
  <c r="X15" i="9"/>
  <c r="W15" i="9"/>
  <c r="V15" i="9"/>
  <c r="U15" i="9"/>
  <c r="T15" i="9"/>
  <c r="S15" i="9"/>
  <c r="R15" i="9"/>
  <c r="Q15" i="9"/>
  <c r="P15" i="9"/>
  <c r="O15" i="9"/>
  <c r="J15" i="9"/>
  <c r="H15" i="9"/>
  <c r="F15" i="9"/>
  <c r="D15" i="9"/>
  <c r="X14" i="9"/>
  <c r="W14" i="9"/>
  <c r="V14" i="9"/>
  <c r="U14" i="9"/>
  <c r="T14" i="9"/>
  <c r="S14" i="9"/>
  <c r="R14" i="9"/>
  <c r="Q14" i="9"/>
  <c r="P14" i="9"/>
  <c r="O14" i="9"/>
  <c r="J14" i="9"/>
  <c r="H14" i="9"/>
  <c r="F14" i="9"/>
  <c r="D14" i="9"/>
  <c r="X13" i="9"/>
  <c r="W13" i="9"/>
  <c r="V13" i="9"/>
  <c r="U13" i="9"/>
  <c r="T13" i="9"/>
  <c r="S13" i="9"/>
  <c r="R13" i="9"/>
  <c r="Q13" i="9"/>
  <c r="P13" i="9"/>
  <c r="O13" i="9"/>
  <c r="J13" i="9"/>
  <c r="H13" i="9"/>
  <c r="F13" i="9"/>
  <c r="D13" i="9"/>
  <c r="X12" i="9"/>
  <c r="P50" i="9" s="1"/>
  <c r="W12" i="9"/>
  <c r="O50" i="9" s="1"/>
  <c r="V12" i="9"/>
  <c r="U12" i="9"/>
  <c r="M50" i="9" s="1"/>
  <c r="T12" i="9"/>
  <c r="L50" i="9" s="1"/>
  <c r="S12" i="9"/>
  <c r="K50" i="9" s="1"/>
  <c r="R12" i="9"/>
  <c r="Q12" i="9"/>
  <c r="I50" i="9" s="1"/>
  <c r="P12" i="9"/>
  <c r="H50" i="9" s="1"/>
  <c r="O12" i="9"/>
  <c r="G50" i="9" s="1"/>
  <c r="J12" i="9"/>
  <c r="H12" i="9"/>
  <c r="E50" i="9" s="1"/>
  <c r="F12" i="9"/>
  <c r="D50" i="9" s="1"/>
  <c r="D12" i="9"/>
  <c r="C50" i="9" s="1"/>
  <c r="C45" i="9"/>
  <c r="N45" i="9"/>
  <c r="M45" i="9"/>
  <c r="L45" i="9"/>
  <c r="K45" i="9"/>
  <c r="J45" i="9"/>
  <c r="I45" i="9"/>
  <c r="H45" i="9"/>
  <c r="G45" i="9"/>
  <c r="F45" i="9"/>
  <c r="E45" i="9"/>
  <c r="D45" i="9"/>
  <c r="AA124" i="11" l="1"/>
  <c r="AA86" i="11"/>
  <c r="AA31" i="11"/>
  <c r="AA143" i="11"/>
  <c r="F50" i="9"/>
  <c r="J50" i="9"/>
  <c r="N50" i="9"/>
  <c r="O45" i="9"/>
  <c r="AA48" i="11"/>
  <c r="AA66" i="11"/>
  <c r="AA17" i="9"/>
</calcChain>
</file>

<file path=xl/sharedStrings.xml><?xml version="1.0" encoding="utf-8"?>
<sst xmlns="http://schemas.openxmlformats.org/spreadsheetml/2006/main" count="517" uniqueCount="99">
  <si>
    <t>Bianchi</t>
  </si>
  <si>
    <t>Parc</t>
  </si>
  <si>
    <t>Précontraint</t>
  </si>
  <si>
    <t>Préfabrication</t>
  </si>
  <si>
    <t>Problème d'étiquetage</t>
  </si>
  <si>
    <t>Chanfrein</t>
  </si>
  <si>
    <t>Panneau coulé à plat</t>
  </si>
  <si>
    <t>Cintrage</t>
  </si>
  <si>
    <t>Horodateur</t>
  </si>
  <si>
    <t xml:space="preserve">Nom-Prénom </t>
  </si>
  <si>
    <t>Situation à remonter :</t>
  </si>
  <si>
    <t>Nom du Client / Ville</t>
  </si>
  <si>
    <t xml:space="preserve">Ateliers concernés par l'anomalie </t>
  </si>
  <si>
    <t>Si tuyaux superflex, préciser le diamètre</t>
  </si>
  <si>
    <t>Si tuyaux modul, préciser le diamètre</t>
  </si>
  <si>
    <t xml:space="preserve">Référence produit </t>
  </si>
  <si>
    <t>Type de non conformité</t>
  </si>
  <si>
    <t>Photos qualité de fabrication</t>
  </si>
  <si>
    <t>Action suite à l'anomalie constatée</t>
  </si>
  <si>
    <t>Commentaires</t>
  </si>
  <si>
    <t>PILOTE</t>
  </si>
  <si>
    <t>Action corrective mise en place (pour eviter la récurrence)</t>
  </si>
  <si>
    <t>Critère de mesure de l'efficacité</t>
  </si>
  <si>
    <t>Efficacité de l'action _x000D_
corrective (PDCA)</t>
  </si>
  <si>
    <t>Accessoires (Mauvais positionnement , manquement, etc.)</t>
  </si>
  <si>
    <t>Dimensionnement (entraînant un rebut)</t>
  </si>
  <si>
    <t>Aspect béton (tâches / nid d'abeilles / granuleux / Fissures etc.)</t>
  </si>
  <si>
    <t>Seuil de porte (réservation)</t>
  </si>
  <si>
    <t>Problème de chargement (sanglage, casse etc.)</t>
  </si>
  <si>
    <t>Ateliers</t>
  </si>
  <si>
    <t>Inversion des aciers de clavetages</t>
  </si>
  <si>
    <t>étanchéité</t>
  </si>
  <si>
    <t>équarrissage d'about</t>
  </si>
  <si>
    <t>Ancre de levage</t>
  </si>
  <si>
    <t>Emboîtement</t>
  </si>
  <si>
    <t>Armatures apparentes</t>
  </si>
  <si>
    <t>Joint décalé</t>
  </si>
  <si>
    <t>Non respect du délais de livraison de 14 jours</t>
  </si>
  <si>
    <t>Mauvaise position des réservations (chambres)</t>
  </si>
  <si>
    <t>Casse de l'élément</t>
  </si>
  <si>
    <t>Autres :</t>
  </si>
  <si>
    <t>Charpente</t>
  </si>
  <si>
    <t>Assainissement</t>
  </si>
  <si>
    <t>équerrisage</t>
  </si>
  <si>
    <t>épaisseur</t>
  </si>
  <si>
    <t xml:space="preserve">Erreur de chargement </t>
  </si>
  <si>
    <t>Actions Correctives Terminées</t>
  </si>
  <si>
    <t>Actions Correctives totales</t>
  </si>
  <si>
    <t>Aout</t>
  </si>
  <si>
    <t xml:space="preserve">Septembre </t>
  </si>
  <si>
    <t xml:space="preserve">Octobre </t>
  </si>
  <si>
    <t>Novembre</t>
  </si>
  <si>
    <t>Décembre</t>
  </si>
  <si>
    <t>Janvier</t>
  </si>
  <si>
    <t>Février</t>
  </si>
  <si>
    <t xml:space="preserve">Mars </t>
  </si>
  <si>
    <t>Avril</t>
  </si>
  <si>
    <t xml:space="preserve">Mai </t>
  </si>
  <si>
    <t xml:space="preserve">Juin </t>
  </si>
  <si>
    <t>Juillet</t>
  </si>
  <si>
    <t>NE PAS TOUCHER</t>
  </si>
  <si>
    <t>MOIS</t>
  </si>
  <si>
    <t>Année</t>
  </si>
  <si>
    <t>Septembre</t>
  </si>
  <si>
    <t>NE PAS TOUCHER !!!</t>
  </si>
  <si>
    <t>Octobre</t>
  </si>
  <si>
    <t>Mars</t>
  </si>
  <si>
    <t>Mai</t>
  </si>
  <si>
    <t>Juin</t>
  </si>
  <si>
    <r>
      <t xml:space="preserve">Tableau récapitulatif des non conformités en </t>
    </r>
    <r>
      <rPr>
        <b/>
        <u/>
        <sz val="26"/>
        <color rgb="FFFF0000"/>
        <rFont val="Calibri"/>
        <family val="2"/>
        <scheme val="minor"/>
      </rPr>
      <t>LOGEMENT</t>
    </r>
  </si>
  <si>
    <t>Blocs</t>
  </si>
  <si>
    <t>Poutrelles</t>
  </si>
  <si>
    <t>Hourdis</t>
  </si>
  <si>
    <t>Bordures</t>
  </si>
  <si>
    <t>Caniveaux</t>
  </si>
  <si>
    <t>Logement</t>
  </si>
  <si>
    <t>Analyse des causes si besoin</t>
  </si>
  <si>
    <t>Aspect béton (Fissures, etc.)</t>
  </si>
  <si>
    <t>Perçage du voile de pose</t>
  </si>
  <si>
    <t>Palettisation</t>
  </si>
  <si>
    <t xml:space="preserve">Non respect du délais de livraison </t>
  </si>
  <si>
    <t>Non respect du délais de livraison</t>
  </si>
  <si>
    <t>Délais de livraison</t>
  </si>
  <si>
    <t xml:space="preserve">Délais de livraison </t>
  </si>
  <si>
    <t>A</t>
  </si>
  <si>
    <t xml:space="preserve">A
</t>
  </si>
  <si>
    <t>INDICATEUR SUR LES NON-CONFORMITES DE JANVIER</t>
  </si>
  <si>
    <t>INDICATEUR SUR LES NON-CONFORMITES DE FEVRIER</t>
  </si>
  <si>
    <t>INDICATEUR SUR LES NON-CONFORMITES DE MARS</t>
  </si>
  <si>
    <t>INDICATEUR SUR LES NON-CONFORMITES DE AVRIL</t>
  </si>
  <si>
    <t>INDICATEUR SUR LES NON-CONFORMITES DE MAI</t>
  </si>
  <si>
    <t>INDICATEUR SUR LES NON-CONFORMITES DE JUIN</t>
  </si>
  <si>
    <t>INDICATEUR SUR LES NON-CONFORMITES DE JUILLET</t>
  </si>
  <si>
    <t>INDICATEUR SUR LES NON-CONFORMITES DE AOUT</t>
  </si>
  <si>
    <t>INDICATEUR SUR LES NON-CONFORMITES DE SEPTEMBRE</t>
  </si>
  <si>
    <t>INDICATEUR SUR LES NON-CONFORMITES DE OCTOBRE</t>
  </si>
  <si>
    <t>INDICATEUR SUR LES NON-CONFORMITES DE NOVEMBRE</t>
  </si>
  <si>
    <t>INDICATEUR SUR LES NON-CONFORMITES DE DECEMBRE</t>
  </si>
  <si>
    <t>Blocs à bancher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</si>
</sst>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8"/>
      <color rgb="FF141414"/>
      <name val="Segoe UI"/>
      <family val="2"/>
    </font>
    <font>
      <sz val="8"/>
      <color theme="0"/>
      <name val="Segoe UI"/>
      <family val="2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u/>
      <sz val="2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22" fontId="0" fillId="0" borderId="0" xfId="0" applyNumberForma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2" fontId="0" fillId="0" borderId="0" xfId="0" applyNumberFormat="1" applyBorder="1" applyAlignment="1">
      <alignment horizontal="center" vertical="center" wrapText="1"/>
    </xf>
    <xf numFmtId="22" fontId="0" fillId="0" borderId="0" xfId="0" applyNumberFormat="1" applyFont="1" applyBorder="1" applyAlignment="1">
      <alignment horizontal="center" vertical="center" wrapText="1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6" borderId="0" xfId="0" applyFill="1"/>
    <xf numFmtId="0" fontId="0" fillId="6" borderId="6" xfId="0" applyFill="1" applyBorder="1"/>
    <xf numFmtId="0" fontId="0" fillId="0" borderId="7" xfId="0" applyBorder="1"/>
    <xf numFmtId="0" fontId="0" fillId="6" borderId="7" xfId="0" applyFill="1" applyBorder="1"/>
    <xf numFmtId="0" fontId="0" fillId="6" borderId="8" xfId="0" applyFill="1" applyBorder="1"/>
    <xf numFmtId="0" fontId="0" fillId="6" borderId="5" xfId="0" applyFill="1" applyBorder="1"/>
    <xf numFmtId="0" fontId="0" fillId="0" borderId="5" xfId="0" applyBorder="1"/>
    <xf numFmtId="0" fontId="0" fillId="0" borderId="9" xfId="0" applyBorder="1"/>
    <xf numFmtId="0" fontId="0" fillId="0" borderId="0" xfId="0" applyBorder="1"/>
    <xf numFmtId="0" fontId="5" fillId="0" borderId="0" xfId="0" applyFont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10" fillId="7" borderId="0" xfId="0" applyFont="1" applyFill="1" applyAlignment="1">
      <alignment horizontal="center" vertical="center"/>
    </xf>
    <xf numFmtId="0" fontId="11" fillId="0" borderId="0" xfId="0" applyFont="1"/>
    <xf numFmtId="0" fontId="12" fillId="0" borderId="0" xfId="0" applyFont="1"/>
    <xf numFmtId="0" fontId="1" fillId="3" borderId="2" xfId="0" applyFont="1" applyFill="1" applyBorder="1" applyAlignment="1">
      <alignment horizontal="center" vertical="center" wrapText="1"/>
    </xf>
    <xf numFmtId="0" fontId="0" fillId="2" borderId="0" xfId="0" applyFill="1"/>
    <xf numFmtId="0" fontId="0" fillId="0" borderId="13" xfId="0" applyBorder="1"/>
    <xf numFmtId="0" fontId="3" fillId="0" borderId="0" xfId="0" applyFont="1" applyFill="1" applyAlignment="1">
      <alignment horizontal="center" vertical="center" wrapText="1"/>
    </xf>
    <xf numFmtId="0" fontId="0" fillId="0" borderId="0" xfId="0" applyFont="1"/>
    <xf numFmtId="0" fontId="0" fillId="0" borderId="10" xfId="0" applyBorder="1"/>
    <xf numFmtId="0" fontId="0" fillId="0" borderId="11" xfId="0" applyBorder="1"/>
    <xf numFmtId="0" fontId="0" fillId="0" borderId="12" xfId="0" applyBorder="1"/>
    <xf numFmtId="14" fontId="0" fillId="0" borderId="0" xfId="0" applyNumberFormat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textRotation="90" wrapText="1"/>
    </xf>
    <xf numFmtId="0" fontId="0" fillId="0" borderId="0" xfId="0" applyAlignment="1">
      <alignment horizontal="center" vertical="center" textRotation="90"/>
    </xf>
    <xf numFmtId="0" fontId="16" fillId="0" borderId="0" xfId="1" applyAlignment="1">
      <alignment horizontal="center" vertical="center" wrapText="1"/>
    </xf>
    <xf numFmtId="0" fontId="16" fillId="0" borderId="0" xfId="1"/>
    <xf numFmtId="0" fontId="17" fillId="0" borderId="0" xfId="0" applyFont="1"/>
    <xf numFmtId="0" fontId="0" fillId="5" borderId="0" xfId="0" applyFill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2" fillId="0" borderId="1" xfId="0" applyFont="1" applyBorder="1" applyAlignment="1">
      <alignment horizontal="center" vertical="center" textRotation="90"/>
    </xf>
    <xf numFmtId="0" fontId="0" fillId="0" borderId="4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textRotation="90"/>
    </xf>
    <xf numFmtId="0" fontId="3" fillId="0" borderId="0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15" fillId="0" borderId="1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14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textRotation="90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numFmt numFmtId="27" formatCode="dd/mm/yyyy\ hh:mm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A20" totalsRowShown="0" headerRowDxfId="4" dataDxfId="2" headerRowBorderDxfId="3" tableBorderDxfId="1">
  <autoFilter ref="A3:A20" xr:uid="{00000000-0009-0000-0100-000001000000}"/>
  <tableColumns count="1">
    <tableColumn id="1" xr3:uid="{00000000-0010-0000-0000-000001000000}" name="Horodat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B513"/>
  <sheetViews>
    <sheetView zoomScale="47" zoomScaleNormal="55" workbookViewId="0">
      <selection activeCell="N9" sqref="N9"/>
    </sheetView>
  </sheetViews>
  <sheetFormatPr baseColWidth="10" defaultRowHeight="14.5" x14ac:dyDescent="0.35"/>
  <cols>
    <col min="1" max="2" width="20.54296875" style="1" customWidth="1"/>
    <col min="3" max="3" width="21.7265625" style="1" customWidth="1"/>
    <col min="4" max="4" width="21.26953125" style="1" bestFit="1" customWidth="1"/>
    <col min="5" max="5" width="20.54296875" style="17" customWidth="1"/>
    <col min="6" max="7" width="20.54296875" style="1" customWidth="1"/>
    <col min="8" max="8" width="20.54296875" style="7" customWidth="1"/>
    <col min="9" max="9" width="20.54296875" style="17" customWidth="1"/>
    <col min="10" max="11" width="20.54296875" style="1" customWidth="1"/>
    <col min="12" max="12" width="27.453125" style="1" customWidth="1"/>
    <col min="13" max="13" width="20.54296875" style="1" customWidth="1"/>
    <col min="14" max="14" width="22.453125" style="1" customWidth="1"/>
    <col min="15" max="17" width="20.54296875" style="1" customWidth="1"/>
    <col min="18" max="18" width="20.54296875" style="30" customWidth="1"/>
    <col min="19" max="28" width="10.81640625" style="1"/>
  </cols>
  <sheetData>
    <row r="1" spans="1:28" ht="50.15" customHeight="1" thickBot="1" x14ac:dyDescent="0.4">
      <c r="A1" s="61" t="s">
        <v>69</v>
      </c>
      <c r="B1" s="62"/>
      <c r="C1" s="62"/>
      <c r="D1" s="62"/>
      <c r="E1" s="62"/>
      <c r="F1" s="62"/>
      <c r="G1" s="62"/>
      <c r="H1" s="62"/>
      <c r="I1" s="63"/>
    </row>
    <row r="2" spans="1:28" x14ac:dyDescent="0.35">
      <c r="E2" s="19"/>
      <c r="I2" s="19"/>
    </row>
    <row r="3" spans="1:28" s="3" customFormat="1" ht="70" customHeight="1" x14ac:dyDescent="0.3">
      <c r="A3" s="37" t="s">
        <v>8</v>
      </c>
      <c r="B3" s="12" t="s">
        <v>9</v>
      </c>
      <c r="C3" s="12" t="s">
        <v>10</v>
      </c>
      <c r="D3" s="12" t="s">
        <v>11</v>
      </c>
      <c r="E3" s="12" t="s">
        <v>12</v>
      </c>
      <c r="F3" s="12" t="s">
        <v>13</v>
      </c>
      <c r="G3" s="12" t="s">
        <v>14</v>
      </c>
      <c r="H3" s="12" t="s">
        <v>15</v>
      </c>
      <c r="I3" s="12" t="s">
        <v>16</v>
      </c>
      <c r="J3" s="12" t="s">
        <v>17</v>
      </c>
      <c r="K3" s="12" t="s">
        <v>18</v>
      </c>
      <c r="L3" s="12" t="s">
        <v>19</v>
      </c>
      <c r="M3" s="13" t="s">
        <v>20</v>
      </c>
      <c r="N3" s="13" t="s">
        <v>76</v>
      </c>
      <c r="O3" s="13" t="s">
        <v>22</v>
      </c>
      <c r="P3" s="13" t="s">
        <v>21</v>
      </c>
      <c r="Q3" s="13" t="s">
        <v>23</v>
      </c>
      <c r="R3" s="30"/>
      <c r="S3" s="35"/>
      <c r="T3" s="1"/>
      <c r="U3" s="1"/>
      <c r="V3" s="1"/>
      <c r="W3" s="1"/>
      <c r="X3" s="1"/>
      <c r="Y3" s="1"/>
      <c r="Z3" s="1"/>
      <c r="AA3" s="1"/>
      <c r="AB3" s="1"/>
    </row>
    <row r="4" spans="1:28" s="3" customFormat="1" ht="50.15" customHeight="1" x14ac:dyDescent="0.3">
      <c r="A4" s="5">
        <v>43808.44394675926</v>
      </c>
      <c r="B4" s="1"/>
      <c r="C4" s="1"/>
      <c r="D4" s="1"/>
      <c r="E4" s="17" t="s">
        <v>71</v>
      </c>
      <c r="F4" s="1"/>
      <c r="G4" s="1"/>
      <c r="H4" s="7"/>
      <c r="I4" s="18" t="s">
        <v>77</v>
      </c>
      <c r="J4" s="8"/>
      <c r="K4" s="1"/>
      <c r="L4" s="1"/>
      <c r="M4" s="1"/>
      <c r="N4" s="1"/>
      <c r="O4" s="1"/>
      <c r="P4" s="1"/>
      <c r="Q4" s="1"/>
      <c r="R4" s="30"/>
      <c r="S4" s="36"/>
      <c r="T4" s="1"/>
      <c r="U4" s="1"/>
      <c r="V4" s="1"/>
      <c r="W4" s="1"/>
      <c r="X4" s="1"/>
      <c r="Y4" s="1"/>
      <c r="Z4" s="1"/>
      <c r="AA4" s="1"/>
      <c r="AB4" s="1"/>
    </row>
    <row r="5" spans="1:28" s="3" customFormat="1" ht="50.15" customHeight="1" x14ac:dyDescent="0.3">
      <c r="A5" s="5">
        <v>43867.617326388892</v>
      </c>
      <c r="B5" s="1"/>
      <c r="C5" s="1"/>
      <c r="D5" s="1"/>
      <c r="E5" s="17" t="s">
        <v>70</v>
      </c>
      <c r="F5" s="1"/>
      <c r="G5" s="1"/>
      <c r="H5" s="7"/>
      <c r="I5" s="18" t="s">
        <v>39</v>
      </c>
      <c r="J5" s="49"/>
      <c r="K5" s="1"/>
      <c r="L5" s="1"/>
      <c r="M5" s="1"/>
      <c r="N5" s="1"/>
      <c r="O5" s="1"/>
      <c r="P5" s="1"/>
      <c r="Q5" s="1" t="s">
        <v>85</v>
      </c>
      <c r="R5" s="30"/>
      <c r="S5" s="36"/>
      <c r="T5" s="1"/>
      <c r="U5" s="1"/>
      <c r="V5" s="1"/>
      <c r="W5" s="1"/>
      <c r="X5" s="1"/>
      <c r="Y5" s="1"/>
      <c r="Z5" s="1"/>
      <c r="AA5" s="1"/>
      <c r="AB5" s="1"/>
    </row>
    <row r="6" spans="1:28" s="3" customFormat="1" ht="50.15" customHeight="1" x14ac:dyDescent="0.3">
      <c r="A6" s="6">
        <v>43951.457256944443</v>
      </c>
      <c r="B6" s="1"/>
      <c r="C6" s="1"/>
      <c r="D6" s="1"/>
      <c r="E6" s="17" t="s">
        <v>70</v>
      </c>
      <c r="F6" s="1"/>
      <c r="G6" s="1"/>
      <c r="H6" s="7"/>
      <c r="I6" s="18" t="s">
        <v>77</v>
      </c>
      <c r="J6" s="8"/>
      <c r="K6" s="1"/>
      <c r="L6" s="1"/>
      <c r="M6" s="1"/>
      <c r="N6" s="1"/>
      <c r="O6" s="1"/>
      <c r="P6" s="1"/>
      <c r="Q6" s="1" t="s">
        <v>84</v>
      </c>
      <c r="R6" s="30"/>
      <c r="S6" s="36">
        <f t="shared" ref="S6:S37" si="0">IF(ISTEXT(M:M),1,)</f>
        <v>0</v>
      </c>
      <c r="T6" s="1"/>
      <c r="U6" s="1"/>
      <c r="V6" s="1"/>
      <c r="W6" s="1"/>
      <c r="X6" s="1"/>
      <c r="Y6" s="1"/>
      <c r="Z6" s="1"/>
      <c r="AA6" s="1"/>
      <c r="AB6" s="1"/>
    </row>
    <row r="7" spans="1:28" s="3" customFormat="1" ht="50.15" customHeight="1" x14ac:dyDescent="0.3">
      <c r="A7" s="53"/>
      <c r="E7" s="52"/>
      <c r="I7" s="52"/>
      <c r="J7" s="1"/>
      <c r="R7" s="30"/>
      <c r="S7" s="36">
        <f t="shared" si="0"/>
        <v>0</v>
      </c>
      <c r="T7" s="1"/>
      <c r="U7" s="1"/>
      <c r="V7" s="1"/>
      <c r="W7" s="1"/>
      <c r="X7" s="1"/>
      <c r="Y7" s="1"/>
      <c r="Z7" s="1"/>
      <c r="AA7" s="1"/>
      <c r="AB7" s="1"/>
    </row>
    <row r="8" spans="1:28" s="3" customFormat="1" ht="50.15" customHeight="1" x14ac:dyDescent="0.3">
      <c r="A8" s="53"/>
      <c r="E8" s="52"/>
      <c r="I8" s="52"/>
      <c r="J8" s="1"/>
      <c r="R8" s="30"/>
      <c r="S8" s="36">
        <f t="shared" si="0"/>
        <v>0</v>
      </c>
      <c r="T8" s="1"/>
      <c r="U8" s="1"/>
      <c r="V8" s="1"/>
      <c r="W8" s="1"/>
      <c r="X8" s="1"/>
      <c r="Y8" s="1"/>
      <c r="Z8" s="1"/>
      <c r="AA8" s="1"/>
      <c r="AB8" s="1"/>
    </row>
    <row r="9" spans="1:28" s="3" customFormat="1" ht="50.15" customHeight="1" x14ac:dyDescent="0.3">
      <c r="A9" s="6"/>
      <c r="B9" s="4"/>
      <c r="C9" s="1"/>
      <c r="D9" s="1"/>
      <c r="E9" s="17"/>
      <c r="F9" s="1"/>
      <c r="G9" s="1"/>
      <c r="H9" s="1"/>
      <c r="I9" s="17"/>
      <c r="J9" s="8"/>
      <c r="K9" s="7"/>
      <c r="L9" s="40"/>
      <c r="M9" s="1"/>
      <c r="N9" s="1"/>
      <c r="O9" s="7"/>
      <c r="P9" s="1"/>
      <c r="Q9" s="1"/>
      <c r="R9" s="30"/>
      <c r="S9" s="36">
        <f t="shared" si="0"/>
        <v>0</v>
      </c>
      <c r="T9" s="1"/>
      <c r="U9" s="1"/>
      <c r="V9" s="1"/>
      <c r="W9" s="1"/>
      <c r="X9" s="1"/>
      <c r="Y9" s="1"/>
      <c r="Z9" s="1"/>
      <c r="AA9" s="1"/>
      <c r="AB9" s="1"/>
    </row>
    <row r="10" spans="1:28" s="3" customFormat="1" ht="50.15" customHeight="1" x14ac:dyDescent="0.3">
      <c r="A10" s="6"/>
      <c r="B10" s="1"/>
      <c r="C10" s="1"/>
      <c r="D10" s="1"/>
      <c r="E10" s="17"/>
      <c r="F10" s="1"/>
      <c r="H10" s="1"/>
      <c r="I10" s="18"/>
      <c r="J10" s="8"/>
      <c r="K10" s="7"/>
      <c r="L10" s="54"/>
      <c r="M10" s="1"/>
      <c r="N10" s="1"/>
      <c r="O10" s="1"/>
      <c r="P10" s="1"/>
      <c r="Q10" s="1"/>
      <c r="R10" s="30"/>
      <c r="S10" s="36">
        <f t="shared" si="0"/>
        <v>0</v>
      </c>
      <c r="T10" s="1"/>
      <c r="U10" s="1"/>
      <c r="V10" s="1"/>
      <c r="W10" s="1"/>
      <c r="X10" s="1"/>
      <c r="Y10" s="1"/>
      <c r="Z10" s="1"/>
      <c r="AA10" s="1"/>
      <c r="AB10" s="1"/>
    </row>
    <row r="11" spans="1:28" s="3" customFormat="1" ht="50.15" customHeight="1" x14ac:dyDescent="0.3">
      <c r="A11" s="9"/>
      <c r="B11" s="1"/>
      <c r="C11" s="1"/>
      <c r="D11" s="1"/>
      <c r="E11" s="17"/>
      <c r="F11" s="1"/>
      <c r="H11" s="1"/>
      <c r="I11" s="18"/>
      <c r="J11" s="49"/>
      <c r="K11" s="7"/>
      <c r="L11" s="54"/>
      <c r="M11" s="1"/>
      <c r="N11" s="1"/>
      <c r="O11" s="1"/>
      <c r="P11" s="1"/>
      <c r="Q11" s="1"/>
      <c r="R11" s="30"/>
      <c r="S11" s="36">
        <f t="shared" si="0"/>
        <v>0</v>
      </c>
      <c r="T11" s="1"/>
      <c r="U11" s="1"/>
      <c r="V11" s="1"/>
      <c r="W11" s="1"/>
      <c r="X11" s="1"/>
      <c r="Y11" s="1"/>
      <c r="Z11" s="1"/>
      <c r="AA11" s="1"/>
      <c r="AB11" s="1"/>
    </row>
    <row r="12" spans="1:28" s="3" customFormat="1" ht="50.15" customHeight="1" x14ac:dyDescent="0.3">
      <c r="A12" s="9"/>
      <c r="B12" s="1"/>
      <c r="C12" s="1"/>
      <c r="D12" s="1"/>
      <c r="E12" s="17"/>
      <c r="F12" s="1"/>
      <c r="H12" s="1"/>
      <c r="I12" s="18"/>
      <c r="J12" s="8"/>
      <c r="K12" s="7"/>
      <c r="L12" s="54"/>
      <c r="M12" s="1"/>
      <c r="N12" s="1"/>
      <c r="O12" s="1"/>
      <c r="P12" s="1"/>
      <c r="Q12" s="1"/>
      <c r="R12" s="30"/>
      <c r="S12" s="36">
        <f t="shared" si="0"/>
        <v>0</v>
      </c>
      <c r="T12" s="1"/>
      <c r="U12" s="1"/>
      <c r="V12" s="1"/>
      <c r="W12" s="1"/>
      <c r="X12" s="1"/>
      <c r="Y12" s="1"/>
      <c r="Z12" s="1"/>
      <c r="AA12" s="1"/>
      <c r="AB12" s="1"/>
    </row>
    <row r="13" spans="1:28" s="3" customFormat="1" ht="50.15" customHeight="1" x14ac:dyDescent="0.3">
      <c r="A13" s="5"/>
      <c r="B13" s="1"/>
      <c r="C13" s="1"/>
      <c r="D13" s="1"/>
      <c r="E13" s="17"/>
      <c r="F13" s="1"/>
      <c r="H13" s="1"/>
      <c r="I13" s="52"/>
      <c r="J13" s="8"/>
      <c r="K13" s="7"/>
      <c r="L13" s="40"/>
      <c r="M13" s="1"/>
      <c r="N13" s="1"/>
      <c r="O13" s="1"/>
      <c r="P13" s="1"/>
      <c r="Q13" s="1"/>
      <c r="R13" s="30"/>
      <c r="S13" s="36">
        <f t="shared" si="0"/>
        <v>0</v>
      </c>
      <c r="T13" s="1"/>
      <c r="U13" s="1"/>
      <c r="V13" s="1"/>
      <c r="W13" s="1"/>
      <c r="X13" s="1"/>
      <c r="Y13" s="1"/>
      <c r="Z13" s="1"/>
      <c r="AA13" s="1"/>
      <c r="AB13" s="1"/>
    </row>
    <row r="14" spans="1:28" s="3" customFormat="1" ht="50.15" customHeight="1" x14ac:dyDescent="0.3">
      <c r="A14" s="5"/>
      <c r="B14" s="1"/>
      <c r="C14" s="1"/>
      <c r="D14" s="1"/>
      <c r="E14" s="17"/>
      <c r="F14" s="1"/>
      <c r="H14" s="1"/>
      <c r="I14" s="18"/>
      <c r="J14" s="8"/>
      <c r="K14" s="7"/>
      <c r="L14" s="8"/>
      <c r="M14" s="1"/>
      <c r="N14" s="1"/>
      <c r="O14" s="1"/>
      <c r="P14" s="1"/>
      <c r="Q14" s="1"/>
      <c r="R14" s="30"/>
      <c r="S14" s="36">
        <f t="shared" si="0"/>
        <v>0</v>
      </c>
      <c r="T14" s="1"/>
      <c r="U14" s="1"/>
      <c r="V14" s="1"/>
      <c r="W14" s="1"/>
      <c r="X14" s="1"/>
      <c r="Y14" s="1"/>
      <c r="Z14" s="1"/>
      <c r="AA14" s="1"/>
      <c r="AB14" s="1"/>
    </row>
    <row r="15" spans="1:28" s="3" customFormat="1" ht="50.15" customHeight="1" x14ac:dyDescent="0.3">
      <c r="A15" s="5"/>
      <c r="B15" s="1"/>
      <c r="C15" s="1"/>
      <c r="D15" s="1"/>
      <c r="E15" s="17"/>
      <c r="F15" s="1"/>
      <c r="H15" s="1"/>
      <c r="I15" s="18"/>
      <c r="J15" s="8"/>
      <c r="K15" s="7"/>
      <c r="L15" s="8"/>
      <c r="M15" s="1"/>
      <c r="N15" s="1"/>
      <c r="O15" s="1"/>
      <c r="P15" s="1"/>
      <c r="Q15" s="1"/>
      <c r="R15" s="30"/>
      <c r="S15" s="36">
        <f t="shared" si="0"/>
        <v>0</v>
      </c>
      <c r="T15" s="1"/>
      <c r="U15" s="1"/>
      <c r="V15" s="1"/>
      <c r="W15" s="1"/>
      <c r="X15" s="1"/>
      <c r="Y15" s="1"/>
      <c r="Z15" s="1"/>
      <c r="AA15" s="1"/>
      <c r="AB15" s="1"/>
    </row>
    <row r="16" spans="1:28" s="3" customFormat="1" ht="50.15" customHeight="1" x14ac:dyDescent="0.3">
      <c r="A16" s="5"/>
      <c r="B16" s="1"/>
      <c r="C16" s="1"/>
      <c r="D16" s="1"/>
      <c r="E16" s="17"/>
      <c r="F16" s="1"/>
      <c r="H16" s="1"/>
      <c r="I16" s="18"/>
      <c r="J16" s="8"/>
      <c r="K16" s="7"/>
      <c r="L16" s="8"/>
      <c r="M16" s="1"/>
      <c r="N16" s="1"/>
      <c r="O16" s="1"/>
      <c r="P16" s="1"/>
      <c r="Q16" s="1"/>
      <c r="R16" s="30"/>
      <c r="S16" s="36">
        <f t="shared" si="0"/>
        <v>0</v>
      </c>
      <c r="T16" s="1"/>
      <c r="U16" s="1"/>
      <c r="V16" s="1"/>
      <c r="W16" s="1"/>
      <c r="X16" s="1"/>
      <c r="Y16" s="1"/>
      <c r="Z16" s="1"/>
      <c r="AA16" s="1"/>
      <c r="AB16" s="1"/>
    </row>
    <row r="17" spans="1:28" s="3" customFormat="1" ht="50.15" customHeight="1" x14ac:dyDescent="0.3">
      <c r="A17" s="5"/>
      <c r="B17" s="1"/>
      <c r="C17" s="1"/>
      <c r="D17" s="1"/>
      <c r="E17" s="17"/>
      <c r="F17" s="1"/>
      <c r="H17" s="1"/>
      <c r="I17" s="18"/>
      <c r="J17" s="8"/>
      <c r="K17" s="7"/>
      <c r="L17" s="8"/>
      <c r="M17" s="1"/>
      <c r="N17" s="1"/>
      <c r="O17" s="1"/>
      <c r="P17" s="1"/>
      <c r="Q17" s="1"/>
      <c r="R17" s="30"/>
      <c r="S17" s="36">
        <f t="shared" si="0"/>
        <v>0</v>
      </c>
      <c r="T17" s="1"/>
      <c r="U17" s="1"/>
      <c r="V17" s="1"/>
      <c r="W17" s="1"/>
      <c r="X17" s="1"/>
      <c r="Y17" s="1"/>
      <c r="Z17" s="1"/>
      <c r="AA17" s="1"/>
      <c r="AB17" s="1"/>
    </row>
    <row r="18" spans="1:28" s="3" customFormat="1" ht="50.15" customHeight="1" x14ac:dyDescent="0.3">
      <c r="A18" s="5"/>
      <c r="B18" s="1"/>
      <c r="C18" s="1"/>
      <c r="D18" s="1"/>
      <c r="E18" s="17"/>
      <c r="F18" s="1"/>
      <c r="H18" s="1"/>
      <c r="I18" s="18"/>
      <c r="J18" s="8"/>
      <c r="K18" s="7"/>
      <c r="L18" s="8"/>
      <c r="M18" s="1"/>
      <c r="N18" s="1"/>
      <c r="O18" s="1"/>
      <c r="P18" s="1"/>
      <c r="Q18" s="1"/>
      <c r="R18" s="30"/>
      <c r="S18" s="36">
        <f t="shared" si="0"/>
        <v>0</v>
      </c>
      <c r="T18" s="1"/>
      <c r="U18" s="1"/>
      <c r="V18" s="1"/>
      <c r="W18" s="1"/>
      <c r="X18" s="1"/>
      <c r="Y18" s="1"/>
      <c r="Z18" s="1"/>
      <c r="AA18" s="1"/>
      <c r="AB18" s="1"/>
    </row>
    <row r="19" spans="1:28" s="3" customFormat="1" ht="50.15" customHeight="1" x14ac:dyDescent="0.3">
      <c r="A19" s="5"/>
      <c r="B19" s="1"/>
      <c r="C19" s="1"/>
      <c r="D19" s="1"/>
      <c r="E19" s="17"/>
      <c r="F19" s="1"/>
      <c r="G19" s="1"/>
      <c r="H19" s="1"/>
      <c r="I19" s="18"/>
      <c r="J19" s="8"/>
      <c r="K19" s="7"/>
      <c r="L19" s="8"/>
      <c r="M19" s="1"/>
      <c r="N19" s="1"/>
      <c r="O19" s="1"/>
      <c r="P19" s="1"/>
      <c r="Q19" s="1"/>
      <c r="R19" s="30"/>
      <c r="S19" s="36">
        <f t="shared" si="0"/>
        <v>0</v>
      </c>
      <c r="T19" s="1"/>
      <c r="U19" s="1"/>
      <c r="V19" s="1"/>
      <c r="W19" s="1"/>
      <c r="X19" s="1"/>
      <c r="Y19" s="1"/>
      <c r="Z19" s="1"/>
      <c r="AA19" s="1"/>
      <c r="AB19" s="1"/>
    </row>
    <row r="20" spans="1:28" ht="50.15" customHeight="1" x14ac:dyDescent="0.35">
      <c r="A20" s="5"/>
      <c r="H20" s="1"/>
      <c r="I20" s="18"/>
      <c r="J20" s="8"/>
      <c r="K20" s="7"/>
      <c r="L20" s="8"/>
      <c r="S20" s="36">
        <f t="shared" si="0"/>
        <v>0</v>
      </c>
    </row>
    <row r="21" spans="1:28" ht="50.15" customHeight="1" x14ac:dyDescent="0.35">
      <c r="A21" s="5"/>
      <c r="H21" s="1"/>
      <c r="I21" s="18"/>
      <c r="J21" s="8"/>
      <c r="K21" s="7"/>
      <c r="L21" s="8"/>
      <c r="S21" s="36">
        <f t="shared" si="0"/>
        <v>0</v>
      </c>
    </row>
    <row r="22" spans="1:28" ht="50.15" customHeight="1" x14ac:dyDescent="0.35">
      <c r="A22" s="5"/>
      <c r="H22" s="1"/>
      <c r="I22" s="18"/>
      <c r="J22" s="8"/>
      <c r="K22" s="7"/>
      <c r="M22" s="8"/>
      <c r="S22" s="36">
        <f t="shared" si="0"/>
        <v>0</v>
      </c>
    </row>
    <row r="23" spans="1:28" ht="50.15" customHeight="1" x14ac:dyDescent="0.35">
      <c r="A23" s="5"/>
      <c r="H23" s="1"/>
      <c r="I23" s="18"/>
      <c r="J23" s="8"/>
      <c r="K23" s="7"/>
      <c r="S23" s="36">
        <f t="shared" si="0"/>
        <v>0</v>
      </c>
    </row>
    <row r="24" spans="1:28" ht="50.15" customHeight="1" x14ac:dyDescent="0.35">
      <c r="A24" s="5"/>
      <c r="H24" s="1"/>
      <c r="I24" s="18"/>
      <c r="J24" s="8"/>
      <c r="K24" s="7"/>
      <c r="S24" s="36">
        <f t="shared" si="0"/>
        <v>0</v>
      </c>
    </row>
    <row r="25" spans="1:28" ht="50.15" customHeight="1" x14ac:dyDescent="0.35">
      <c r="A25" s="5"/>
      <c r="H25" s="1"/>
      <c r="I25" s="18"/>
      <c r="J25" s="8"/>
      <c r="K25" s="7"/>
      <c r="S25" s="36">
        <f t="shared" si="0"/>
        <v>0</v>
      </c>
    </row>
    <row r="26" spans="1:28" ht="50.15" customHeight="1" x14ac:dyDescent="0.35">
      <c r="A26" s="5"/>
      <c r="H26" s="1"/>
      <c r="I26" s="18"/>
      <c r="J26" s="8"/>
      <c r="K26" s="7"/>
      <c r="S26" s="36">
        <f t="shared" si="0"/>
        <v>0</v>
      </c>
    </row>
    <row r="27" spans="1:28" ht="50.15" customHeight="1" x14ac:dyDescent="0.35">
      <c r="A27" s="5"/>
      <c r="H27" s="1"/>
      <c r="I27" s="18"/>
      <c r="J27" s="8"/>
      <c r="K27" s="7"/>
      <c r="S27" s="36">
        <f t="shared" si="0"/>
        <v>0</v>
      </c>
    </row>
    <row r="28" spans="1:28" ht="50.15" customHeight="1" x14ac:dyDescent="0.35">
      <c r="A28" s="10"/>
      <c r="H28" s="1"/>
      <c r="I28" s="18"/>
      <c r="J28" s="8"/>
      <c r="K28" s="7"/>
      <c r="S28" s="36">
        <f t="shared" si="0"/>
        <v>0</v>
      </c>
    </row>
    <row r="29" spans="1:28" ht="50.15" customHeight="1" x14ac:dyDescent="0.35">
      <c r="A29" s="6"/>
      <c r="H29" s="1"/>
      <c r="I29" s="18"/>
      <c r="J29" s="8"/>
      <c r="K29" s="7"/>
      <c r="M29" s="8"/>
      <c r="S29" s="36">
        <f t="shared" si="0"/>
        <v>0</v>
      </c>
    </row>
    <row r="30" spans="1:28" ht="50.15" customHeight="1" x14ac:dyDescent="0.35">
      <c r="A30" s="5"/>
      <c r="H30" s="1"/>
      <c r="I30" s="18"/>
      <c r="J30" s="8"/>
      <c r="K30" s="7"/>
      <c r="S30" s="36">
        <f t="shared" si="0"/>
        <v>0</v>
      </c>
    </row>
    <row r="31" spans="1:28" ht="50.15" customHeight="1" x14ac:dyDescent="0.35">
      <c r="A31" s="5"/>
      <c r="H31" s="1"/>
      <c r="I31" s="18"/>
      <c r="J31" s="8"/>
      <c r="K31" s="7"/>
      <c r="M31" s="8"/>
      <c r="S31" s="36">
        <f t="shared" si="0"/>
        <v>0</v>
      </c>
    </row>
    <row r="32" spans="1:28" ht="50.15" customHeight="1" x14ac:dyDescent="0.35">
      <c r="A32" s="5"/>
      <c r="H32" s="1"/>
      <c r="I32" s="18"/>
      <c r="J32" s="8"/>
      <c r="K32" s="7"/>
      <c r="S32" s="36">
        <f t="shared" si="0"/>
        <v>0</v>
      </c>
    </row>
    <row r="33" spans="1:19" ht="50.15" customHeight="1" x14ac:dyDescent="0.35">
      <c r="A33" s="5"/>
      <c r="H33" s="1"/>
      <c r="I33" s="18"/>
      <c r="J33" s="8"/>
      <c r="K33" s="7"/>
      <c r="S33" s="36">
        <f t="shared" si="0"/>
        <v>0</v>
      </c>
    </row>
    <row r="34" spans="1:19" ht="50.15" customHeight="1" x14ac:dyDescent="0.35">
      <c r="A34" s="5"/>
      <c r="H34" s="1"/>
      <c r="I34" s="18"/>
      <c r="J34" s="8"/>
      <c r="K34" s="7"/>
      <c r="S34" s="36">
        <f t="shared" si="0"/>
        <v>0</v>
      </c>
    </row>
    <row r="35" spans="1:19" ht="50.15" customHeight="1" x14ac:dyDescent="0.35">
      <c r="A35" s="5"/>
      <c r="H35" s="1"/>
      <c r="I35" s="18"/>
      <c r="J35" s="8"/>
      <c r="K35" s="7"/>
      <c r="M35" s="8"/>
      <c r="S35" s="36">
        <f t="shared" si="0"/>
        <v>0</v>
      </c>
    </row>
    <row r="36" spans="1:19" ht="50.15" customHeight="1" x14ac:dyDescent="0.35">
      <c r="A36" s="5"/>
      <c r="H36" s="1"/>
      <c r="I36" s="18"/>
      <c r="J36" s="8"/>
      <c r="K36" s="7"/>
      <c r="M36" s="8"/>
      <c r="S36" s="36">
        <f t="shared" si="0"/>
        <v>0</v>
      </c>
    </row>
    <row r="37" spans="1:19" ht="50.15" customHeight="1" x14ac:dyDescent="0.35">
      <c r="A37" s="5"/>
      <c r="H37" s="1"/>
      <c r="I37" s="18"/>
      <c r="J37" s="8"/>
      <c r="K37" s="7"/>
      <c r="M37" s="8"/>
      <c r="S37" s="36">
        <f t="shared" si="0"/>
        <v>0</v>
      </c>
    </row>
    <row r="38" spans="1:19" ht="50.15" customHeight="1" x14ac:dyDescent="0.35">
      <c r="A38" s="5"/>
      <c r="H38" s="1"/>
      <c r="I38" s="18"/>
      <c r="J38" s="8"/>
      <c r="K38" s="7"/>
      <c r="M38" s="8"/>
      <c r="S38" s="36">
        <f t="shared" ref="S38:S68" si="1">IF(ISTEXT(M:M),1,)</f>
        <v>0</v>
      </c>
    </row>
    <row r="39" spans="1:19" ht="50.15" customHeight="1" x14ac:dyDescent="0.35">
      <c r="A39" s="5"/>
      <c r="H39" s="1"/>
      <c r="I39" s="18"/>
      <c r="J39" s="8"/>
      <c r="K39" s="7"/>
      <c r="S39" s="36">
        <f t="shared" si="1"/>
        <v>0</v>
      </c>
    </row>
    <row r="40" spans="1:19" ht="50.15" customHeight="1" x14ac:dyDescent="0.35">
      <c r="A40" s="5"/>
      <c r="H40" s="1"/>
      <c r="I40" s="18"/>
      <c r="J40" s="8"/>
      <c r="K40" s="7"/>
      <c r="M40" s="8"/>
      <c r="S40" s="36">
        <f t="shared" si="1"/>
        <v>0</v>
      </c>
    </row>
    <row r="41" spans="1:19" ht="50.15" customHeight="1" x14ac:dyDescent="0.35">
      <c r="A41" s="5"/>
      <c r="H41" s="1"/>
      <c r="I41" s="18"/>
      <c r="J41" s="8"/>
      <c r="K41" s="7"/>
      <c r="M41" s="8"/>
      <c r="S41" s="36">
        <f t="shared" si="1"/>
        <v>0</v>
      </c>
    </row>
    <row r="42" spans="1:19" ht="50.15" customHeight="1" x14ac:dyDescent="0.35">
      <c r="A42" s="5"/>
      <c r="H42" s="1"/>
      <c r="I42" s="18"/>
      <c r="J42" s="8"/>
      <c r="K42" s="7"/>
      <c r="S42" s="36">
        <f t="shared" si="1"/>
        <v>0</v>
      </c>
    </row>
    <row r="43" spans="1:19" ht="50.15" customHeight="1" x14ac:dyDescent="0.35">
      <c r="A43" s="5"/>
      <c r="H43" s="1"/>
      <c r="I43" s="18"/>
      <c r="J43" s="8"/>
      <c r="K43" s="7"/>
      <c r="M43" s="8"/>
      <c r="S43" s="36">
        <f t="shared" si="1"/>
        <v>0</v>
      </c>
    </row>
    <row r="44" spans="1:19" ht="50.15" customHeight="1" x14ac:dyDescent="0.35">
      <c r="A44" s="5"/>
      <c r="H44" s="1"/>
      <c r="I44" s="18"/>
      <c r="J44" s="8"/>
      <c r="K44" s="7"/>
      <c r="M44" s="8"/>
      <c r="S44" s="36">
        <f t="shared" si="1"/>
        <v>0</v>
      </c>
    </row>
    <row r="45" spans="1:19" ht="50.15" customHeight="1" x14ac:dyDescent="0.35">
      <c r="A45" s="5"/>
      <c r="H45" s="1"/>
      <c r="I45" s="18"/>
      <c r="J45" s="8"/>
      <c r="K45" s="7"/>
      <c r="M45" s="8"/>
      <c r="S45" s="36">
        <f t="shared" si="1"/>
        <v>0</v>
      </c>
    </row>
    <row r="46" spans="1:19" ht="50.15" customHeight="1" x14ac:dyDescent="0.35">
      <c r="A46" s="5"/>
      <c r="H46" s="1"/>
      <c r="I46" s="18"/>
      <c r="J46" s="8"/>
      <c r="K46" s="7"/>
      <c r="M46" s="8"/>
      <c r="S46" s="36">
        <f t="shared" si="1"/>
        <v>0</v>
      </c>
    </row>
    <row r="47" spans="1:19" ht="50.15" customHeight="1" x14ac:dyDescent="0.35">
      <c r="A47" s="5"/>
      <c r="H47" s="1"/>
      <c r="I47" s="18"/>
      <c r="J47" s="8"/>
      <c r="K47" s="7"/>
      <c r="S47" s="36">
        <f t="shared" si="1"/>
        <v>0</v>
      </c>
    </row>
    <row r="48" spans="1:19" ht="50.15" customHeight="1" x14ac:dyDescent="0.35">
      <c r="A48" s="5"/>
      <c r="H48" s="1"/>
      <c r="I48" s="18"/>
      <c r="J48" s="8"/>
      <c r="K48" s="7"/>
      <c r="M48" s="8"/>
      <c r="S48" s="36">
        <f t="shared" si="1"/>
        <v>0</v>
      </c>
    </row>
    <row r="49" spans="1:19" ht="50.15" customHeight="1" x14ac:dyDescent="0.35">
      <c r="A49" s="5"/>
      <c r="H49" s="1"/>
      <c r="I49" s="18"/>
      <c r="J49" s="8"/>
      <c r="K49" s="7"/>
      <c r="L49" s="50"/>
      <c r="M49" s="8"/>
      <c r="S49" s="36">
        <f t="shared" si="1"/>
        <v>0</v>
      </c>
    </row>
    <row r="50" spans="1:19" ht="50.15" customHeight="1" x14ac:dyDescent="0.35">
      <c r="A50" s="5"/>
      <c r="H50" s="1"/>
      <c r="I50" s="18"/>
      <c r="J50" s="8"/>
      <c r="K50" s="7"/>
      <c r="S50" s="36">
        <f t="shared" si="1"/>
        <v>0</v>
      </c>
    </row>
    <row r="51" spans="1:19" ht="50.15" customHeight="1" x14ac:dyDescent="0.35">
      <c r="A51" s="5"/>
      <c r="H51" s="1"/>
      <c r="I51" s="18"/>
      <c r="J51" s="8"/>
      <c r="K51" s="7"/>
      <c r="M51" s="8"/>
      <c r="S51" s="36">
        <f t="shared" si="1"/>
        <v>0</v>
      </c>
    </row>
    <row r="52" spans="1:19" ht="50.15" customHeight="1" x14ac:dyDescent="0.35">
      <c r="A52" s="5"/>
      <c r="H52" s="1"/>
      <c r="I52" s="18"/>
      <c r="J52" s="8"/>
      <c r="K52" s="7"/>
      <c r="M52" s="8"/>
      <c r="S52" s="36">
        <f t="shared" si="1"/>
        <v>0</v>
      </c>
    </row>
    <row r="53" spans="1:19" ht="50.15" customHeight="1" x14ac:dyDescent="0.35">
      <c r="A53" s="5"/>
      <c r="H53" s="1"/>
      <c r="I53" s="18"/>
      <c r="J53" s="8"/>
      <c r="K53" s="7"/>
      <c r="M53" s="8"/>
      <c r="S53" s="36">
        <f t="shared" si="1"/>
        <v>0</v>
      </c>
    </row>
    <row r="54" spans="1:19" ht="50.15" customHeight="1" x14ac:dyDescent="0.35">
      <c r="A54" s="5"/>
      <c r="H54" s="1"/>
      <c r="I54" s="18"/>
      <c r="J54" s="8"/>
      <c r="K54" s="7"/>
      <c r="S54" s="36">
        <f t="shared" si="1"/>
        <v>0</v>
      </c>
    </row>
    <row r="55" spans="1:19" ht="50.15" customHeight="1" x14ac:dyDescent="0.35">
      <c r="A55" s="5"/>
      <c r="H55" s="1"/>
      <c r="I55" s="18"/>
      <c r="J55" s="8"/>
      <c r="K55" s="7"/>
      <c r="M55" s="8"/>
      <c r="S55" s="36">
        <f t="shared" si="1"/>
        <v>0</v>
      </c>
    </row>
    <row r="56" spans="1:19" ht="50.15" customHeight="1" x14ac:dyDescent="0.35">
      <c r="A56" s="5"/>
      <c r="H56" s="1"/>
      <c r="I56" s="18"/>
      <c r="J56" s="8"/>
      <c r="K56" s="7"/>
      <c r="S56" s="36">
        <f t="shared" si="1"/>
        <v>0</v>
      </c>
    </row>
    <row r="57" spans="1:19" ht="50.15" customHeight="1" x14ac:dyDescent="0.35">
      <c r="A57" s="5"/>
      <c r="H57" s="1"/>
      <c r="I57" s="18"/>
      <c r="J57" s="8"/>
      <c r="K57" s="7"/>
      <c r="S57" s="36">
        <f t="shared" si="1"/>
        <v>0</v>
      </c>
    </row>
    <row r="58" spans="1:19" ht="50.15" customHeight="1" x14ac:dyDescent="0.35">
      <c r="A58" s="5"/>
      <c r="H58" s="1"/>
      <c r="I58" s="18"/>
      <c r="J58" s="8"/>
      <c r="K58" s="7"/>
      <c r="M58" s="8"/>
      <c r="S58" s="36">
        <f t="shared" si="1"/>
        <v>0</v>
      </c>
    </row>
    <row r="59" spans="1:19" ht="50.15" customHeight="1" x14ac:dyDescent="0.35">
      <c r="A59" s="5"/>
      <c r="I59" s="18"/>
      <c r="J59" s="8"/>
      <c r="S59" s="36">
        <f t="shared" si="1"/>
        <v>0</v>
      </c>
    </row>
    <row r="60" spans="1:19" ht="50.15" customHeight="1" x14ac:dyDescent="0.35">
      <c r="A60" s="5"/>
      <c r="H60" s="1"/>
      <c r="I60" s="18"/>
      <c r="J60" s="8"/>
      <c r="K60" s="40"/>
      <c r="M60" s="8"/>
      <c r="S60" s="36">
        <f t="shared" si="1"/>
        <v>0</v>
      </c>
    </row>
    <row r="61" spans="1:19" ht="50.15" customHeight="1" x14ac:dyDescent="0.35">
      <c r="A61" s="5"/>
      <c r="H61" s="1"/>
      <c r="I61" s="18"/>
      <c r="J61" s="8"/>
      <c r="K61" s="40"/>
      <c r="S61" s="36">
        <f t="shared" si="1"/>
        <v>0</v>
      </c>
    </row>
    <row r="62" spans="1:19" ht="50.15" customHeight="1" x14ac:dyDescent="0.35">
      <c r="A62" s="5"/>
      <c r="H62" s="1"/>
      <c r="I62" s="18"/>
      <c r="J62" s="8"/>
      <c r="K62" s="40"/>
      <c r="S62" s="36">
        <f t="shared" si="1"/>
        <v>0</v>
      </c>
    </row>
    <row r="63" spans="1:19" ht="50.15" customHeight="1" x14ac:dyDescent="0.35">
      <c r="A63" s="5"/>
      <c r="I63" s="18"/>
      <c r="J63" s="8"/>
      <c r="S63" s="36">
        <f t="shared" si="1"/>
        <v>0</v>
      </c>
    </row>
    <row r="64" spans="1:19" ht="50.15" customHeight="1" x14ac:dyDescent="0.35">
      <c r="A64" s="5"/>
      <c r="I64" s="18"/>
      <c r="J64" s="8"/>
      <c r="S64" s="36">
        <f t="shared" si="1"/>
        <v>0</v>
      </c>
    </row>
    <row r="65" spans="1:19" ht="50.15" customHeight="1" x14ac:dyDescent="0.35">
      <c r="A65" s="5"/>
      <c r="I65" s="18"/>
      <c r="J65" s="8"/>
      <c r="S65" s="36">
        <f t="shared" si="1"/>
        <v>0</v>
      </c>
    </row>
    <row r="66" spans="1:19" ht="50.15" customHeight="1" x14ac:dyDescent="0.35">
      <c r="A66" s="5"/>
      <c r="I66" s="18"/>
      <c r="J66" s="8"/>
      <c r="S66" s="36">
        <f t="shared" si="1"/>
        <v>0</v>
      </c>
    </row>
    <row r="67" spans="1:19" ht="50.15" customHeight="1" x14ac:dyDescent="0.35">
      <c r="A67" s="5"/>
      <c r="I67" s="46"/>
      <c r="J67" s="8"/>
      <c r="K67" s="40"/>
      <c r="S67" s="36">
        <f t="shared" si="1"/>
        <v>0</v>
      </c>
    </row>
    <row r="68" spans="1:19" ht="50.15" customHeight="1" x14ac:dyDescent="0.35">
      <c r="A68" s="5"/>
      <c r="I68" s="46"/>
      <c r="J68" s="8"/>
      <c r="K68" s="40"/>
      <c r="S68" s="36">
        <f t="shared" si="1"/>
        <v>0</v>
      </c>
    </row>
    <row r="69" spans="1:19" ht="50.15" customHeight="1" x14ac:dyDescent="0.35">
      <c r="A69" s="5"/>
      <c r="I69" s="46"/>
      <c r="J69" s="8"/>
      <c r="K69" s="40"/>
      <c r="S69" s="36"/>
    </row>
    <row r="70" spans="1:19" ht="50.15" customHeight="1" x14ac:dyDescent="0.35">
      <c r="A70" s="45"/>
      <c r="I70" s="18"/>
      <c r="J70" s="8"/>
      <c r="S70" s="36">
        <f t="shared" ref="S70:S133" si="2">IF(ISTEXT(M:M),1,)</f>
        <v>0</v>
      </c>
    </row>
    <row r="71" spans="1:19" ht="50.15" customHeight="1" x14ac:dyDescent="0.35">
      <c r="A71" s="45"/>
      <c r="I71" s="18"/>
      <c r="J71" s="8"/>
      <c r="K71" s="40"/>
      <c r="S71" s="36">
        <f t="shared" si="2"/>
        <v>0</v>
      </c>
    </row>
    <row r="72" spans="1:19" ht="50.15" customHeight="1" x14ac:dyDescent="0.35">
      <c r="A72" s="5"/>
      <c r="I72" s="18"/>
      <c r="J72" s="8"/>
      <c r="K72" s="40"/>
      <c r="S72" s="36">
        <f t="shared" si="2"/>
        <v>0</v>
      </c>
    </row>
    <row r="73" spans="1:19" ht="50.15" customHeight="1" x14ac:dyDescent="0.35">
      <c r="A73" s="5"/>
      <c r="I73" s="18"/>
      <c r="J73" s="8"/>
      <c r="K73" s="40"/>
      <c r="S73" s="36">
        <f t="shared" si="2"/>
        <v>0</v>
      </c>
    </row>
    <row r="74" spans="1:19" ht="50.15" customHeight="1" x14ac:dyDescent="0.35">
      <c r="A74" s="5"/>
      <c r="I74" s="18"/>
      <c r="J74" s="8"/>
      <c r="K74" s="19"/>
      <c r="S74" s="36">
        <f t="shared" si="2"/>
        <v>0</v>
      </c>
    </row>
    <row r="75" spans="1:19" ht="50.15" customHeight="1" x14ac:dyDescent="0.35">
      <c r="A75" s="5"/>
      <c r="I75" s="18"/>
      <c r="J75" s="8"/>
      <c r="K75" s="19"/>
      <c r="S75" s="36">
        <f t="shared" si="2"/>
        <v>0</v>
      </c>
    </row>
    <row r="76" spans="1:19" ht="50.15" customHeight="1" x14ac:dyDescent="0.35">
      <c r="A76" s="5"/>
      <c r="I76" s="18"/>
      <c r="J76" s="8"/>
      <c r="K76" s="19"/>
      <c r="S76" s="36">
        <f t="shared" si="2"/>
        <v>0</v>
      </c>
    </row>
    <row r="77" spans="1:19" ht="50.15" customHeight="1" x14ac:dyDescent="0.35">
      <c r="A77" s="5"/>
      <c r="I77" s="18"/>
      <c r="J77" s="8"/>
      <c r="S77" s="36">
        <f t="shared" si="2"/>
        <v>0</v>
      </c>
    </row>
    <row r="78" spans="1:19" ht="50.15" customHeight="1" x14ac:dyDescent="0.35">
      <c r="A78" s="5"/>
      <c r="I78" s="18"/>
      <c r="J78" s="8"/>
      <c r="S78" s="36">
        <f t="shared" si="2"/>
        <v>0</v>
      </c>
    </row>
    <row r="79" spans="1:19" ht="50.15" customHeight="1" x14ac:dyDescent="0.35">
      <c r="A79" s="5"/>
      <c r="I79" s="18"/>
      <c r="J79" s="49"/>
      <c r="S79" s="36">
        <f t="shared" si="2"/>
        <v>0</v>
      </c>
    </row>
    <row r="80" spans="1:19" ht="50.15" customHeight="1" x14ac:dyDescent="0.35">
      <c r="A80" s="5"/>
      <c r="I80" s="18"/>
      <c r="J80" s="49"/>
      <c r="S80" s="36">
        <f t="shared" si="2"/>
        <v>0</v>
      </c>
    </row>
    <row r="81" spans="1:19" ht="50.15" customHeight="1" x14ac:dyDescent="0.35">
      <c r="A81" s="5"/>
      <c r="I81" s="18"/>
      <c r="J81" s="49"/>
      <c r="S81" s="36">
        <f t="shared" si="2"/>
        <v>0</v>
      </c>
    </row>
    <row r="82" spans="1:19" ht="50.15" customHeight="1" x14ac:dyDescent="0.35">
      <c r="A82" s="5"/>
      <c r="I82" s="18"/>
      <c r="J82" s="8"/>
      <c r="S82" s="36">
        <f t="shared" si="2"/>
        <v>0</v>
      </c>
    </row>
    <row r="83" spans="1:19" ht="50.15" customHeight="1" x14ac:dyDescent="0.35">
      <c r="A83" s="5"/>
      <c r="I83" s="18"/>
      <c r="J83" s="8"/>
      <c r="S83" s="36">
        <f t="shared" si="2"/>
        <v>0</v>
      </c>
    </row>
    <row r="84" spans="1:19" ht="50.15" customHeight="1" x14ac:dyDescent="0.35">
      <c r="A84" s="5"/>
      <c r="S84" s="36">
        <f t="shared" si="2"/>
        <v>0</v>
      </c>
    </row>
    <row r="85" spans="1:19" ht="50.15" customHeight="1" x14ac:dyDescent="0.35">
      <c r="A85" s="5"/>
      <c r="S85" s="36">
        <f t="shared" si="2"/>
        <v>0</v>
      </c>
    </row>
    <row r="86" spans="1:19" ht="50.15" customHeight="1" x14ac:dyDescent="0.35">
      <c r="A86" s="5"/>
      <c r="S86" s="36">
        <f t="shared" si="2"/>
        <v>0</v>
      </c>
    </row>
    <row r="87" spans="1:19" ht="50.15" customHeight="1" x14ac:dyDescent="0.35">
      <c r="A87" s="5"/>
      <c r="S87" s="36">
        <f t="shared" si="2"/>
        <v>0</v>
      </c>
    </row>
    <row r="88" spans="1:19" ht="50.15" customHeight="1" x14ac:dyDescent="0.35">
      <c r="A88" s="5"/>
      <c r="S88" s="36">
        <f t="shared" si="2"/>
        <v>0</v>
      </c>
    </row>
    <row r="89" spans="1:19" ht="50.15" customHeight="1" x14ac:dyDescent="0.35">
      <c r="A89" s="5"/>
      <c r="S89" s="36">
        <f t="shared" si="2"/>
        <v>0</v>
      </c>
    </row>
    <row r="90" spans="1:19" ht="50.15" customHeight="1" x14ac:dyDescent="0.35">
      <c r="S90" s="36">
        <f t="shared" si="2"/>
        <v>0</v>
      </c>
    </row>
    <row r="91" spans="1:19" ht="50.15" customHeight="1" x14ac:dyDescent="0.35">
      <c r="S91" s="36">
        <f t="shared" si="2"/>
        <v>0</v>
      </c>
    </row>
    <row r="92" spans="1:19" ht="50.15" customHeight="1" x14ac:dyDescent="0.35">
      <c r="S92" s="36">
        <f t="shared" si="2"/>
        <v>0</v>
      </c>
    </row>
    <row r="93" spans="1:19" ht="50.15" customHeight="1" x14ac:dyDescent="0.35">
      <c r="S93" s="36">
        <f t="shared" si="2"/>
        <v>0</v>
      </c>
    </row>
    <row r="94" spans="1:19" ht="50.15" customHeight="1" x14ac:dyDescent="0.35">
      <c r="S94" s="36">
        <f t="shared" si="2"/>
        <v>0</v>
      </c>
    </row>
    <row r="95" spans="1:19" ht="50.15" customHeight="1" x14ac:dyDescent="0.35">
      <c r="S95" s="36">
        <f t="shared" si="2"/>
        <v>0</v>
      </c>
    </row>
    <row r="96" spans="1:19" ht="50.15" customHeight="1" x14ac:dyDescent="0.35">
      <c r="S96" s="36">
        <f t="shared" si="2"/>
        <v>0</v>
      </c>
    </row>
    <row r="97" spans="19:19" ht="50.15" customHeight="1" x14ac:dyDescent="0.35">
      <c r="S97" s="36">
        <f t="shared" si="2"/>
        <v>0</v>
      </c>
    </row>
    <row r="98" spans="19:19" ht="50.15" customHeight="1" x14ac:dyDescent="0.35">
      <c r="S98" s="36">
        <f t="shared" si="2"/>
        <v>0</v>
      </c>
    </row>
    <row r="99" spans="19:19" ht="50.15" customHeight="1" x14ac:dyDescent="0.35">
      <c r="S99" s="36">
        <f t="shared" si="2"/>
        <v>0</v>
      </c>
    </row>
    <row r="100" spans="19:19" ht="50.15" customHeight="1" x14ac:dyDescent="0.35">
      <c r="S100" s="36">
        <f t="shared" si="2"/>
        <v>0</v>
      </c>
    </row>
    <row r="101" spans="19:19" ht="50.15" customHeight="1" x14ac:dyDescent="0.35">
      <c r="S101" s="36">
        <f t="shared" si="2"/>
        <v>0</v>
      </c>
    </row>
    <row r="102" spans="19:19" ht="50.15" customHeight="1" x14ac:dyDescent="0.35">
      <c r="S102" s="36">
        <f t="shared" si="2"/>
        <v>0</v>
      </c>
    </row>
    <row r="103" spans="19:19" ht="50.15" customHeight="1" x14ac:dyDescent="0.35">
      <c r="S103" s="36">
        <f t="shared" si="2"/>
        <v>0</v>
      </c>
    </row>
    <row r="104" spans="19:19" ht="50.15" customHeight="1" x14ac:dyDescent="0.35">
      <c r="S104" s="36">
        <f t="shared" si="2"/>
        <v>0</v>
      </c>
    </row>
    <row r="105" spans="19:19" ht="50.15" customHeight="1" x14ac:dyDescent="0.35">
      <c r="S105" s="36">
        <f t="shared" si="2"/>
        <v>0</v>
      </c>
    </row>
    <row r="106" spans="19:19" ht="50.15" customHeight="1" x14ac:dyDescent="0.35">
      <c r="S106" s="36">
        <f t="shared" si="2"/>
        <v>0</v>
      </c>
    </row>
    <row r="107" spans="19:19" ht="50.15" customHeight="1" x14ac:dyDescent="0.35">
      <c r="S107" s="36">
        <f t="shared" si="2"/>
        <v>0</v>
      </c>
    </row>
    <row r="108" spans="19:19" ht="50.15" customHeight="1" x14ac:dyDescent="0.35">
      <c r="S108" s="36">
        <f t="shared" si="2"/>
        <v>0</v>
      </c>
    </row>
    <row r="109" spans="19:19" ht="50.15" customHeight="1" x14ac:dyDescent="0.35">
      <c r="S109" s="36">
        <f t="shared" si="2"/>
        <v>0</v>
      </c>
    </row>
    <row r="110" spans="19:19" ht="50.15" customHeight="1" x14ac:dyDescent="0.35">
      <c r="S110" s="36">
        <f t="shared" si="2"/>
        <v>0</v>
      </c>
    </row>
    <row r="111" spans="19:19" ht="50.15" customHeight="1" x14ac:dyDescent="0.35">
      <c r="S111" s="36">
        <f t="shared" si="2"/>
        <v>0</v>
      </c>
    </row>
    <row r="112" spans="19:19" ht="50.15" customHeight="1" x14ac:dyDescent="0.35">
      <c r="S112" s="36">
        <f t="shared" si="2"/>
        <v>0</v>
      </c>
    </row>
    <row r="113" spans="19:19" ht="50.15" customHeight="1" x14ac:dyDescent="0.35">
      <c r="S113" s="36">
        <f t="shared" si="2"/>
        <v>0</v>
      </c>
    </row>
    <row r="114" spans="19:19" ht="50.15" customHeight="1" x14ac:dyDescent="0.35">
      <c r="S114" s="36">
        <f t="shared" si="2"/>
        <v>0</v>
      </c>
    </row>
    <row r="115" spans="19:19" ht="50.15" customHeight="1" x14ac:dyDescent="0.35">
      <c r="S115" s="36">
        <f t="shared" si="2"/>
        <v>0</v>
      </c>
    </row>
    <row r="116" spans="19:19" ht="50.15" customHeight="1" x14ac:dyDescent="0.35">
      <c r="S116" s="36">
        <f t="shared" si="2"/>
        <v>0</v>
      </c>
    </row>
    <row r="117" spans="19:19" ht="50.15" customHeight="1" x14ac:dyDescent="0.35">
      <c r="S117" s="36">
        <f t="shared" si="2"/>
        <v>0</v>
      </c>
    </row>
    <row r="118" spans="19:19" ht="50.15" customHeight="1" x14ac:dyDescent="0.35">
      <c r="S118" s="36">
        <f t="shared" si="2"/>
        <v>0</v>
      </c>
    </row>
    <row r="119" spans="19:19" ht="50.15" customHeight="1" x14ac:dyDescent="0.35">
      <c r="S119" s="36">
        <f t="shared" si="2"/>
        <v>0</v>
      </c>
    </row>
    <row r="120" spans="19:19" ht="50.15" customHeight="1" x14ac:dyDescent="0.35">
      <c r="S120" s="36">
        <f t="shared" si="2"/>
        <v>0</v>
      </c>
    </row>
    <row r="121" spans="19:19" ht="50.15" customHeight="1" x14ac:dyDescent="0.35">
      <c r="S121" s="36">
        <f t="shared" si="2"/>
        <v>0</v>
      </c>
    </row>
    <row r="122" spans="19:19" ht="50.15" customHeight="1" x14ac:dyDescent="0.35">
      <c r="S122" s="36">
        <f t="shared" si="2"/>
        <v>0</v>
      </c>
    </row>
    <row r="123" spans="19:19" ht="50.15" customHeight="1" x14ac:dyDescent="0.35">
      <c r="S123" s="36">
        <f t="shared" si="2"/>
        <v>0</v>
      </c>
    </row>
    <row r="124" spans="19:19" ht="50.15" customHeight="1" x14ac:dyDescent="0.35">
      <c r="S124" s="36">
        <f t="shared" si="2"/>
        <v>0</v>
      </c>
    </row>
    <row r="125" spans="19:19" ht="50.15" customHeight="1" x14ac:dyDescent="0.35">
      <c r="S125" s="36">
        <f t="shared" si="2"/>
        <v>0</v>
      </c>
    </row>
    <row r="126" spans="19:19" ht="50.15" customHeight="1" x14ac:dyDescent="0.35">
      <c r="S126" s="36">
        <f t="shared" si="2"/>
        <v>0</v>
      </c>
    </row>
    <row r="127" spans="19:19" ht="50.15" customHeight="1" x14ac:dyDescent="0.35">
      <c r="S127" s="36">
        <f t="shared" si="2"/>
        <v>0</v>
      </c>
    </row>
    <row r="128" spans="19:19" ht="50.15" customHeight="1" x14ac:dyDescent="0.35">
      <c r="S128" s="36">
        <f t="shared" si="2"/>
        <v>0</v>
      </c>
    </row>
    <row r="129" spans="19:19" ht="50.15" customHeight="1" x14ac:dyDescent="0.35">
      <c r="S129" s="36">
        <f t="shared" si="2"/>
        <v>0</v>
      </c>
    </row>
    <row r="130" spans="19:19" ht="50.15" customHeight="1" x14ac:dyDescent="0.35">
      <c r="S130" s="36">
        <f t="shared" si="2"/>
        <v>0</v>
      </c>
    </row>
    <row r="131" spans="19:19" ht="50.15" customHeight="1" x14ac:dyDescent="0.35">
      <c r="S131" s="36">
        <f t="shared" si="2"/>
        <v>0</v>
      </c>
    </row>
    <row r="132" spans="19:19" ht="50.15" customHeight="1" x14ac:dyDescent="0.35">
      <c r="S132" s="36">
        <f t="shared" si="2"/>
        <v>0</v>
      </c>
    </row>
    <row r="133" spans="19:19" ht="50.15" customHeight="1" x14ac:dyDescent="0.35">
      <c r="S133" s="36">
        <f t="shared" si="2"/>
        <v>0</v>
      </c>
    </row>
    <row r="134" spans="19:19" ht="50.15" customHeight="1" x14ac:dyDescent="0.35">
      <c r="S134" s="36">
        <f t="shared" ref="S134:S197" si="3">IF(ISTEXT(M:M),1,)</f>
        <v>0</v>
      </c>
    </row>
    <row r="135" spans="19:19" ht="50.15" customHeight="1" x14ac:dyDescent="0.35">
      <c r="S135" s="36">
        <f t="shared" si="3"/>
        <v>0</v>
      </c>
    </row>
    <row r="136" spans="19:19" ht="50.15" customHeight="1" x14ac:dyDescent="0.35">
      <c r="S136" s="36">
        <f t="shared" si="3"/>
        <v>0</v>
      </c>
    </row>
    <row r="137" spans="19:19" ht="50.15" customHeight="1" x14ac:dyDescent="0.35">
      <c r="S137" s="36">
        <f t="shared" si="3"/>
        <v>0</v>
      </c>
    </row>
    <row r="138" spans="19:19" ht="50.15" customHeight="1" x14ac:dyDescent="0.35">
      <c r="S138" s="36">
        <f t="shared" si="3"/>
        <v>0</v>
      </c>
    </row>
    <row r="139" spans="19:19" ht="50.15" customHeight="1" x14ac:dyDescent="0.35">
      <c r="S139" s="36">
        <f t="shared" si="3"/>
        <v>0</v>
      </c>
    </row>
    <row r="140" spans="19:19" ht="50.15" customHeight="1" x14ac:dyDescent="0.35">
      <c r="S140" s="36">
        <f t="shared" si="3"/>
        <v>0</v>
      </c>
    </row>
    <row r="141" spans="19:19" ht="50.15" customHeight="1" x14ac:dyDescent="0.35">
      <c r="S141" s="36">
        <f t="shared" si="3"/>
        <v>0</v>
      </c>
    </row>
    <row r="142" spans="19:19" ht="50.15" customHeight="1" x14ac:dyDescent="0.35">
      <c r="S142" s="36">
        <f t="shared" si="3"/>
        <v>0</v>
      </c>
    </row>
    <row r="143" spans="19:19" ht="50.15" customHeight="1" x14ac:dyDescent="0.35">
      <c r="S143" s="36">
        <f t="shared" si="3"/>
        <v>0</v>
      </c>
    </row>
    <row r="144" spans="19:19" ht="50.15" customHeight="1" x14ac:dyDescent="0.35">
      <c r="S144" s="36">
        <f t="shared" si="3"/>
        <v>0</v>
      </c>
    </row>
    <row r="145" spans="19:19" ht="50.15" customHeight="1" x14ac:dyDescent="0.35">
      <c r="S145" s="36">
        <f t="shared" si="3"/>
        <v>0</v>
      </c>
    </row>
    <row r="146" spans="19:19" ht="50.15" customHeight="1" x14ac:dyDescent="0.35">
      <c r="S146" s="36">
        <f t="shared" si="3"/>
        <v>0</v>
      </c>
    </row>
    <row r="147" spans="19:19" ht="50.15" customHeight="1" x14ac:dyDescent="0.35">
      <c r="S147" s="36">
        <f t="shared" si="3"/>
        <v>0</v>
      </c>
    </row>
    <row r="148" spans="19:19" ht="50.15" customHeight="1" x14ac:dyDescent="0.35">
      <c r="S148" s="36">
        <f t="shared" si="3"/>
        <v>0</v>
      </c>
    </row>
    <row r="149" spans="19:19" ht="50.15" customHeight="1" x14ac:dyDescent="0.35">
      <c r="S149" s="36">
        <f t="shared" si="3"/>
        <v>0</v>
      </c>
    </row>
    <row r="150" spans="19:19" ht="50.15" customHeight="1" x14ac:dyDescent="0.35">
      <c r="S150" s="36">
        <f t="shared" si="3"/>
        <v>0</v>
      </c>
    </row>
    <row r="151" spans="19:19" ht="50.15" customHeight="1" x14ac:dyDescent="0.35">
      <c r="S151" s="36">
        <f t="shared" si="3"/>
        <v>0</v>
      </c>
    </row>
    <row r="152" spans="19:19" ht="50.15" customHeight="1" x14ac:dyDescent="0.35">
      <c r="S152" s="36">
        <f t="shared" si="3"/>
        <v>0</v>
      </c>
    </row>
    <row r="153" spans="19:19" ht="50.15" customHeight="1" x14ac:dyDescent="0.35">
      <c r="S153" s="36">
        <f t="shared" si="3"/>
        <v>0</v>
      </c>
    </row>
    <row r="154" spans="19:19" ht="50.15" customHeight="1" x14ac:dyDescent="0.35">
      <c r="S154" s="36">
        <f t="shared" si="3"/>
        <v>0</v>
      </c>
    </row>
    <row r="155" spans="19:19" ht="50.15" customHeight="1" x14ac:dyDescent="0.35">
      <c r="S155" s="36">
        <f t="shared" si="3"/>
        <v>0</v>
      </c>
    </row>
    <row r="156" spans="19:19" ht="50.15" customHeight="1" x14ac:dyDescent="0.35">
      <c r="S156" s="36">
        <f t="shared" si="3"/>
        <v>0</v>
      </c>
    </row>
    <row r="157" spans="19:19" ht="50.15" customHeight="1" x14ac:dyDescent="0.35">
      <c r="S157" s="36">
        <f t="shared" si="3"/>
        <v>0</v>
      </c>
    </row>
    <row r="158" spans="19:19" ht="50.15" customHeight="1" x14ac:dyDescent="0.35">
      <c r="S158" s="36">
        <f t="shared" si="3"/>
        <v>0</v>
      </c>
    </row>
    <row r="159" spans="19:19" ht="50.15" customHeight="1" x14ac:dyDescent="0.35">
      <c r="S159" s="36">
        <f t="shared" si="3"/>
        <v>0</v>
      </c>
    </row>
    <row r="160" spans="19:19" ht="50.15" customHeight="1" x14ac:dyDescent="0.35">
      <c r="S160" s="36">
        <f t="shared" si="3"/>
        <v>0</v>
      </c>
    </row>
    <row r="161" spans="19:19" ht="50.15" customHeight="1" x14ac:dyDescent="0.35">
      <c r="S161" s="36">
        <f t="shared" si="3"/>
        <v>0</v>
      </c>
    </row>
    <row r="162" spans="19:19" ht="50.15" customHeight="1" x14ac:dyDescent="0.35">
      <c r="S162" s="36">
        <f t="shared" si="3"/>
        <v>0</v>
      </c>
    </row>
    <row r="163" spans="19:19" ht="50.15" customHeight="1" x14ac:dyDescent="0.35">
      <c r="S163" s="36">
        <f t="shared" si="3"/>
        <v>0</v>
      </c>
    </row>
    <row r="164" spans="19:19" ht="50.15" customHeight="1" x14ac:dyDescent="0.35">
      <c r="S164" s="36">
        <f t="shared" si="3"/>
        <v>0</v>
      </c>
    </row>
    <row r="165" spans="19:19" ht="50.15" customHeight="1" x14ac:dyDescent="0.35">
      <c r="S165" s="36">
        <f t="shared" si="3"/>
        <v>0</v>
      </c>
    </row>
    <row r="166" spans="19:19" ht="50.15" customHeight="1" x14ac:dyDescent="0.35">
      <c r="S166" s="36">
        <f t="shared" si="3"/>
        <v>0</v>
      </c>
    </row>
    <row r="167" spans="19:19" ht="50.15" customHeight="1" x14ac:dyDescent="0.35">
      <c r="S167" s="36">
        <f t="shared" si="3"/>
        <v>0</v>
      </c>
    </row>
    <row r="168" spans="19:19" ht="50.15" customHeight="1" x14ac:dyDescent="0.35">
      <c r="S168" s="36">
        <f t="shared" si="3"/>
        <v>0</v>
      </c>
    </row>
    <row r="169" spans="19:19" ht="50.15" customHeight="1" x14ac:dyDescent="0.35">
      <c r="S169" s="36">
        <f t="shared" si="3"/>
        <v>0</v>
      </c>
    </row>
    <row r="170" spans="19:19" ht="50.15" customHeight="1" x14ac:dyDescent="0.35">
      <c r="S170" s="36">
        <f t="shared" si="3"/>
        <v>0</v>
      </c>
    </row>
    <row r="171" spans="19:19" ht="50.15" customHeight="1" x14ac:dyDescent="0.35">
      <c r="S171" s="36">
        <f t="shared" si="3"/>
        <v>0</v>
      </c>
    </row>
    <row r="172" spans="19:19" ht="50.15" customHeight="1" x14ac:dyDescent="0.35">
      <c r="S172" s="36">
        <f t="shared" si="3"/>
        <v>0</v>
      </c>
    </row>
    <row r="173" spans="19:19" ht="50.15" customHeight="1" x14ac:dyDescent="0.35">
      <c r="S173" s="36">
        <f t="shared" si="3"/>
        <v>0</v>
      </c>
    </row>
    <row r="174" spans="19:19" ht="50.15" customHeight="1" x14ac:dyDescent="0.35">
      <c r="S174" s="36">
        <f t="shared" si="3"/>
        <v>0</v>
      </c>
    </row>
    <row r="175" spans="19:19" ht="50.15" customHeight="1" x14ac:dyDescent="0.35">
      <c r="S175" s="36">
        <f t="shared" si="3"/>
        <v>0</v>
      </c>
    </row>
    <row r="176" spans="19:19" ht="50.15" customHeight="1" x14ac:dyDescent="0.35">
      <c r="S176" s="36">
        <f t="shared" si="3"/>
        <v>0</v>
      </c>
    </row>
    <row r="177" spans="19:19" ht="50.15" customHeight="1" x14ac:dyDescent="0.35">
      <c r="S177" s="36">
        <f t="shared" si="3"/>
        <v>0</v>
      </c>
    </row>
    <row r="178" spans="19:19" ht="50.15" customHeight="1" x14ac:dyDescent="0.35">
      <c r="S178" s="36">
        <f t="shared" si="3"/>
        <v>0</v>
      </c>
    </row>
    <row r="179" spans="19:19" ht="50.15" customHeight="1" x14ac:dyDescent="0.35">
      <c r="S179" s="36">
        <f t="shared" si="3"/>
        <v>0</v>
      </c>
    </row>
    <row r="180" spans="19:19" ht="50.15" customHeight="1" x14ac:dyDescent="0.35">
      <c r="S180" s="36">
        <f t="shared" si="3"/>
        <v>0</v>
      </c>
    </row>
    <row r="181" spans="19:19" ht="50.15" customHeight="1" x14ac:dyDescent="0.35">
      <c r="S181" s="36">
        <f t="shared" si="3"/>
        <v>0</v>
      </c>
    </row>
    <row r="182" spans="19:19" ht="50.15" customHeight="1" x14ac:dyDescent="0.35">
      <c r="S182" s="36">
        <f t="shared" si="3"/>
        <v>0</v>
      </c>
    </row>
    <row r="183" spans="19:19" ht="50.15" customHeight="1" x14ac:dyDescent="0.35">
      <c r="S183" s="36">
        <f t="shared" si="3"/>
        <v>0</v>
      </c>
    </row>
    <row r="184" spans="19:19" ht="50.15" customHeight="1" x14ac:dyDescent="0.35">
      <c r="S184" s="36">
        <f t="shared" si="3"/>
        <v>0</v>
      </c>
    </row>
    <row r="185" spans="19:19" ht="50.15" customHeight="1" x14ac:dyDescent="0.35">
      <c r="S185" s="36">
        <f t="shared" si="3"/>
        <v>0</v>
      </c>
    </row>
    <row r="186" spans="19:19" ht="50.15" customHeight="1" x14ac:dyDescent="0.35">
      <c r="S186" s="36">
        <f t="shared" si="3"/>
        <v>0</v>
      </c>
    </row>
    <row r="187" spans="19:19" ht="50.15" customHeight="1" x14ac:dyDescent="0.35">
      <c r="S187" s="36">
        <f t="shared" si="3"/>
        <v>0</v>
      </c>
    </row>
    <row r="188" spans="19:19" ht="50.15" customHeight="1" x14ac:dyDescent="0.35">
      <c r="S188" s="36">
        <f t="shared" si="3"/>
        <v>0</v>
      </c>
    </row>
    <row r="189" spans="19:19" ht="50.15" customHeight="1" x14ac:dyDescent="0.35">
      <c r="S189" s="36">
        <f t="shared" si="3"/>
        <v>0</v>
      </c>
    </row>
    <row r="190" spans="19:19" ht="50.15" customHeight="1" x14ac:dyDescent="0.35">
      <c r="S190" s="36">
        <f t="shared" si="3"/>
        <v>0</v>
      </c>
    </row>
    <row r="191" spans="19:19" ht="50.15" customHeight="1" x14ac:dyDescent="0.35">
      <c r="S191" s="36">
        <f t="shared" si="3"/>
        <v>0</v>
      </c>
    </row>
    <row r="192" spans="19:19" ht="50.15" customHeight="1" x14ac:dyDescent="0.35">
      <c r="S192" s="36">
        <f t="shared" si="3"/>
        <v>0</v>
      </c>
    </row>
    <row r="193" spans="19:19" ht="50.15" customHeight="1" x14ac:dyDescent="0.35">
      <c r="S193" s="36">
        <f t="shared" si="3"/>
        <v>0</v>
      </c>
    </row>
    <row r="194" spans="19:19" ht="50.15" customHeight="1" x14ac:dyDescent="0.35">
      <c r="S194" s="36">
        <f t="shared" si="3"/>
        <v>0</v>
      </c>
    </row>
    <row r="195" spans="19:19" ht="50.15" customHeight="1" x14ac:dyDescent="0.35">
      <c r="S195" s="36">
        <f t="shared" si="3"/>
        <v>0</v>
      </c>
    </row>
    <row r="196" spans="19:19" ht="50.15" customHeight="1" x14ac:dyDescent="0.35">
      <c r="S196" s="36">
        <f t="shared" si="3"/>
        <v>0</v>
      </c>
    </row>
    <row r="197" spans="19:19" ht="50.15" customHeight="1" x14ac:dyDescent="0.35">
      <c r="S197" s="36">
        <f t="shared" si="3"/>
        <v>0</v>
      </c>
    </row>
    <row r="198" spans="19:19" ht="50.15" customHeight="1" x14ac:dyDescent="0.35">
      <c r="S198" s="36">
        <f t="shared" ref="S198:S261" si="4">IF(ISTEXT(M:M),1,)</f>
        <v>0</v>
      </c>
    </row>
    <row r="199" spans="19:19" ht="50.15" customHeight="1" x14ac:dyDescent="0.35">
      <c r="S199" s="36">
        <f t="shared" si="4"/>
        <v>0</v>
      </c>
    </row>
    <row r="200" spans="19:19" ht="50.15" customHeight="1" x14ac:dyDescent="0.35">
      <c r="S200" s="36">
        <f t="shared" si="4"/>
        <v>0</v>
      </c>
    </row>
    <row r="201" spans="19:19" ht="50.15" customHeight="1" x14ac:dyDescent="0.35">
      <c r="S201" s="36">
        <f t="shared" si="4"/>
        <v>0</v>
      </c>
    </row>
    <row r="202" spans="19:19" ht="50.15" customHeight="1" x14ac:dyDescent="0.35">
      <c r="S202" s="36">
        <f t="shared" si="4"/>
        <v>0</v>
      </c>
    </row>
    <row r="203" spans="19:19" x14ac:dyDescent="0.35">
      <c r="S203" s="36">
        <f t="shared" si="4"/>
        <v>0</v>
      </c>
    </row>
    <row r="204" spans="19:19" x14ac:dyDescent="0.35">
      <c r="S204" s="36">
        <f t="shared" si="4"/>
        <v>0</v>
      </c>
    </row>
    <row r="205" spans="19:19" x14ac:dyDescent="0.35">
      <c r="S205" s="36">
        <f t="shared" si="4"/>
        <v>0</v>
      </c>
    </row>
    <row r="206" spans="19:19" x14ac:dyDescent="0.35">
      <c r="S206" s="36">
        <f t="shared" si="4"/>
        <v>0</v>
      </c>
    </row>
    <row r="207" spans="19:19" x14ac:dyDescent="0.35">
      <c r="S207" s="36">
        <f t="shared" si="4"/>
        <v>0</v>
      </c>
    </row>
    <row r="208" spans="19:19" x14ac:dyDescent="0.35">
      <c r="S208" s="36">
        <f t="shared" si="4"/>
        <v>0</v>
      </c>
    </row>
    <row r="209" spans="19:19" x14ac:dyDescent="0.35">
      <c r="S209" s="36">
        <f t="shared" si="4"/>
        <v>0</v>
      </c>
    </row>
    <row r="210" spans="19:19" x14ac:dyDescent="0.35">
      <c r="S210" s="36">
        <f t="shared" si="4"/>
        <v>0</v>
      </c>
    </row>
    <row r="211" spans="19:19" x14ac:dyDescent="0.35">
      <c r="S211" s="36">
        <f t="shared" si="4"/>
        <v>0</v>
      </c>
    </row>
    <row r="212" spans="19:19" x14ac:dyDescent="0.35">
      <c r="S212" s="36">
        <f t="shared" si="4"/>
        <v>0</v>
      </c>
    </row>
    <row r="213" spans="19:19" x14ac:dyDescent="0.35">
      <c r="S213" s="36">
        <f t="shared" si="4"/>
        <v>0</v>
      </c>
    </row>
    <row r="214" spans="19:19" x14ac:dyDescent="0.35">
      <c r="S214" s="36">
        <f t="shared" si="4"/>
        <v>0</v>
      </c>
    </row>
    <row r="215" spans="19:19" x14ac:dyDescent="0.35">
      <c r="S215" s="36">
        <f t="shared" si="4"/>
        <v>0</v>
      </c>
    </row>
    <row r="216" spans="19:19" x14ac:dyDescent="0.35">
      <c r="S216" s="36">
        <f t="shared" si="4"/>
        <v>0</v>
      </c>
    </row>
    <row r="217" spans="19:19" x14ac:dyDescent="0.35">
      <c r="S217" s="36">
        <f t="shared" si="4"/>
        <v>0</v>
      </c>
    </row>
    <row r="218" spans="19:19" x14ac:dyDescent="0.35">
      <c r="S218" s="36">
        <f t="shared" si="4"/>
        <v>0</v>
      </c>
    </row>
    <row r="219" spans="19:19" x14ac:dyDescent="0.35">
      <c r="S219" s="36">
        <f t="shared" si="4"/>
        <v>0</v>
      </c>
    </row>
    <row r="220" spans="19:19" x14ac:dyDescent="0.35">
      <c r="S220" s="36">
        <f t="shared" si="4"/>
        <v>0</v>
      </c>
    </row>
    <row r="221" spans="19:19" x14ac:dyDescent="0.35">
      <c r="S221" s="36">
        <f t="shared" si="4"/>
        <v>0</v>
      </c>
    </row>
    <row r="222" spans="19:19" x14ac:dyDescent="0.35">
      <c r="S222" s="36">
        <f t="shared" si="4"/>
        <v>0</v>
      </c>
    </row>
    <row r="223" spans="19:19" x14ac:dyDescent="0.35">
      <c r="S223" s="36">
        <f t="shared" si="4"/>
        <v>0</v>
      </c>
    </row>
    <row r="224" spans="19:19" x14ac:dyDescent="0.35">
      <c r="S224" s="36">
        <f t="shared" si="4"/>
        <v>0</v>
      </c>
    </row>
    <row r="225" spans="19:19" x14ac:dyDescent="0.35">
      <c r="S225" s="36">
        <f t="shared" si="4"/>
        <v>0</v>
      </c>
    </row>
    <row r="226" spans="19:19" x14ac:dyDescent="0.35">
      <c r="S226" s="36">
        <f t="shared" si="4"/>
        <v>0</v>
      </c>
    </row>
    <row r="227" spans="19:19" x14ac:dyDescent="0.35">
      <c r="S227" s="36">
        <f t="shared" si="4"/>
        <v>0</v>
      </c>
    </row>
    <row r="228" spans="19:19" x14ac:dyDescent="0.35">
      <c r="S228" s="36">
        <f t="shared" si="4"/>
        <v>0</v>
      </c>
    </row>
    <row r="229" spans="19:19" x14ac:dyDescent="0.35">
      <c r="S229" s="36">
        <f t="shared" si="4"/>
        <v>0</v>
      </c>
    </row>
    <row r="230" spans="19:19" x14ac:dyDescent="0.35">
      <c r="S230" s="36">
        <f t="shared" si="4"/>
        <v>0</v>
      </c>
    </row>
    <row r="231" spans="19:19" x14ac:dyDescent="0.35">
      <c r="S231" s="36">
        <f t="shared" si="4"/>
        <v>0</v>
      </c>
    </row>
    <row r="232" spans="19:19" x14ac:dyDescent="0.35">
      <c r="S232" s="36">
        <f t="shared" si="4"/>
        <v>0</v>
      </c>
    </row>
    <row r="233" spans="19:19" x14ac:dyDescent="0.35">
      <c r="S233" s="36">
        <f t="shared" si="4"/>
        <v>0</v>
      </c>
    </row>
    <row r="234" spans="19:19" x14ac:dyDescent="0.35">
      <c r="S234" s="36">
        <f t="shared" si="4"/>
        <v>0</v>
      </c>
    </row>
    <row r="235" spans="19:19" x14ac:dyDescent="0.35">
      <c r="S235" s="36">
        <f t="shared" si="4"/>
        <v>0</v>
      </c>
    </row>
    <row r="236" spans="19:19" x14ac:dyDescent="0.35">
      <c r="S236" s="36">
        <f t="shared" si="4"/>
        <v>0</v>
      </c>
    </row>
    <row r="237" spans="19:19" x14ac:dyDescent="0.35">
      <c r="S237" s="36">
        <f t="shared" si="4"/>
        <v>0</v>
      </c>
    </row>
    <row r="238" spans="19:19" x14ac:dyDescent="0.35">
      <c r="S238" s="36">
        <f t="shared" si="4"/>
        <v>0</v>
      </c>
    </row>
    <row r="239" spans="19:19" x14ac:dyDescent="0.35">
      <c r="S239" s="36">
        <f t="shared" si="4"/>
        <v>0</v>
      </c>
    </row>
    <row r="240" spans="19:19" x14ac:dyDescent="0.35">
      <c r="S240" s="36">
        <f t="shared" si="4"/>
        <v>0</v>
      </c>
    </row>
    <row r="241" spans="19:19" x14ac:dyDescent="0.35">
      <c r="S241" s="36">
        <f t="shared" si="4"/>
        <v>0</v>
      </c>
    </row>
    <row r="242" spans="19:19" x14ac:dyDescent="0.35">
      <c r="S242" s="36">
        <f t="shared" si="4"/>
        <v>0</v>
      </c>
    </row>
    <row r="243" spans="19:19" x14ac:dyDescent="0.35">
      <c r="S243" s="36">
        <f t="shared" si="4"/>
        <v>0</v>
      </c>
    </row>
    <row r="244" spans="19:19" x14ac:dyDescent="0.35">
      <c r="S244" s="36">
        <f t="shared" si="4"/>
        <v>0</v>
      </c>
    </row>
    <row r="245" spans="19:19" x14ac:dyDescent="0.35">
      <c r="S245" s="36">
        <f t="shared" si="4"/>
        <v>0</v>
      </c>
    </row>
    <row r="246" spans="19:19" x14ac:dyDescent="0.35">
      <c r="S246" s="36">
        <f t="shared" si="4"/>
        <v>0</v>
      </c>
    </row>
    <row r="247" spans="19:19" x14ac:dyDescent="0.35">
      <c r="S247" s="36">
        <f t="shared" si="4"/>
        <v>0</v>
      </c>
    </row>
    <row r="248" spans="19:19" x14ac:dyDescent="0.35">
      <c r="S248" s="36">
        <f t="shared" si="4"/>
        <v>0</v>
      </c>
    </row>
    <row r="249" spans="19:19" x14ac:dyDescent="0.35">
      <c r="S249" s="36">
        <f t="shared" si="4"/>
        <v>0</v>
      </c>
    </row>
    <row r="250" spans="19:19" x14ac:dyDescent="0.35">
      <c r="S250" s="36">
        <f t="shared" si="4"/>
        <v>0</v>
      </c>
    </row>
    <row r="251" spans="19:19" x14ac:dyDescent="0.35">
      <c r="S251" s="36">
        <f t="shared" si="4"/>
        <v>0</v>
      </c>
    </row>
    <row r="252" spans="19:19" x14ac:dyDescent="0.35">
      <c r="S252" s="36">
        <f t="shared" si="4"/>
        <v>0</v>
      </c>
    </row>
    <row r="253" spans="19:19" x14ac:dyDescent="0.35">
      <c r="S253" s="36">
        <f t="shared" si="4"/>
        <v>0</v>
      </c>
    </row>
    <row r="254" spans="19:19" x14ac:dyDescent="0.35">
      <c r="S254" s="36">
        <f t="shared" si="4"/>
        <v>0</v>
      </c>
    </row>
    <row r="255" spans="19:19" x14ac:dyDescent="0.35">
      <c r="S255" s="36">
        <f t="shared" si="4"/>
        <v>0</v>
      </c>
    </row>
    <row r="256" spans="19:19" x14ac:dyDescent="0.35">
      <c r="S256" s="36">
        <f t="shared" si="4"/>
        <v>0</v>
      </c>
    </row>
    <row r="257" spans="19:19" x14ac:dyDescent="0.35">
      <c r="S257" s="36">
        <f t="shared" si="4"/>
        <v>0</v>
      </c>
    </row>
    <row r="258" spans="19:19" x14ac:dyDescent="0.35">
      <c r="S258" s="36">
        <f t="shared" si="4"/>
        <v>0</v>
      </c>
    </row>
    <row r="259" spans="19:19" x14ac:dyDescent="0.35">
      <c r="S259" s="36">
        <f t="shared" si="4"/>
        <v>0</v>
      </c>
    </row>
    <row r="260" spans="19:19" x14ac:dyDescent="0.35">
      <c r="S260" s="36">
        <f t="shared" si="4"/>
        <v>0</v>
      </c>
    </row>
    <row r="261" spans="19:19" x14ac:dyDescent="0.35">
      <c r="S261" s="36">
        <f t="shared" si="4"/>
        <v>0</v>
      </c>
    </row>
    <row r="262" spans="19:19" x14ac:dyDescent="0.35">
      <c r="S262" s="36">
        <f t="shared" ref="S262:S325" si="5">IF(ISTEXT(M:M),1,)</f>
        <v>0</v>
      </c>
    </row>
    <row r="263" spans="19:19" x14ac:dyDescent="0.35">
      <c r="S263" s="36">
        <f t="shared" si="5"/>
        <v>0</v>
      </c>
    </row>
    <row r="264" spans="19:19" x14ac:dyDescent="0.35">
      <c r="S264" s="36">
        <f t="shared" si="5"/>
        <v>0</v>
      </c>
    </row>
    <row r="265" spans="19:19" x14ac:dyDescent="0.35">
      <c r="S265" s="36">
        <f t="shared" si="5"/>
        <v>0</v>
      </c>
    </row>
    <row r="266" spans="19:19" x14ac:dyDescent="0.35">
      <c r="S266" s="36">
        <f t="shared" si="5"/>
        <v>0</v>
      </c>
    </row>
    <row r="267" spans="19:19" x14ac:dyDescent="0.35">
      <c r="S267" s="36">
        <f t="shared" si="5"/>
        <v>0</v>
      </c>
    </row>
    <row r="268" spans="19:19" x14ac:dyDescent="0.35">
      <c r="S268" s="36">
        <f t="shared" si="5"/>
        <v>0</v>
      </c>
    </row>
    <row r="269" spans="19:19" x14ac:dyDescent="0.35">
      <c r="S269" s="36">
        <f t="shared" si="5"/>
        <v>0</v>
      </c>
    </row>
    <row r="270" spans="19:19" x14ac:dyDescent="0.35">
      <c r="S270" s="36">
        <f t="shared" si="5"/>
        <v>0</v>
      </c>
    </row>
    <row r="271" spans="19:19" x14ac:dyDescent="0.35">
      <c r="S271" s="36">
        <f t="shared" si="5"/>
        <v>0</v>
      </c>
    </row>
    <row r="272" spans="19:19" x14ac:dyDescent="0.35">
      <c r="S272" s="36">
        <f t="shared" si="5"/>
        <v>0</v>
      </c>
    </row>
    <row r="273" spans="19:19" x14ac:dyDescent="0.35">
      <c r="S273" s="36">
        <f t="shared" si="5"/>
        <v>0</v>
      </c>
    </row>
    <row r="274" spans="19:19" x14ac:dyDescent="0.35">
      <c r="S274" s="36">
        <f t="shared" si="5"/>
        <v>0</v>
      </c>
    </row>
    <row r="275" spans="19:19" x14ac:dyDescent="0.35">
      <c r="S275" s="36">
        <f t="shared" si="5"/>
        <v>0</v>
      </c>
    </row>
    <row r="276" spans="19:19" x14ac:dyDescent="0.35">
      <c r="S276" s="36">
        <f t="shared" si="5"/>
        <v>0</v>
      </c>
    </row>
    <row r="277" spans="19:19" x14ac:dyDescent="0.35">
      <c r="S277" s="36">
        <f t="shared" si="5"/>
        <v>0</v>
      </c>
    </row>
    <row r="278" spans="19:19" x14ac:dyDescent="0.35">
      <c r="S278" s="36">
        <f t="shared" si="5"/>
        <v>0</v>
      </c>
    </row>
    <row r="279" spans="19:19" x14ac:dyDescent="0.35">
      <c r="S279" s="36">
        <f t="shared" si="5"/>
        <v>0</v>
      </c>
    </row>
    <row r="280" spans="19:19" x14ac:dyDescent="0.35">
      <c r="S280" s="36">
        <f t="shared" si="5"/>
        <v>0</v>
      </c>
    </row>
    <row r="281" spans="19:19" x14ac:dyDescent="0.35">
      <c r="S281" s="36">
        <f t="shared" si="5"/>
        <v>0</v>
      </c>
    </row>
    <row r="282" spans="19:19" x14ac:dyDescent="0.35">
      <c r="S282" s="36">
        <f t="shared" si="5"/>
        <v>0</v>
      </c>
    </row>
    <row r="283" spans="19:19" x14ac:dyDescent="0.35">
      <c r="S283" s="36">
        <f t="shared" si="5"/>
        <v>0</v>
      </c>
    </row>
    <row r="284" spans="19:19" x14ac:dyDescent="0.35">
      <c r="S284" s="36">
        <f t="shared" si="5"/>
        <v>0</v>
      </c>
    </row>
    <row r="285" spans="19:19" x14ac:dyDescent="0.35">
      <c r="S285" s="36">
        <f t="shared" si="5"/>
        <v>0</v>
      </c>
    </row>
    <row r="286" spans="19:19" x14ac:dyDescent="0.35">
      <c r="S286" s="36">
        <f t="shared" si="5"/>
        <v>0</v>
      </c>
    </row>
    <row r="287" spans="19:19" x14ac:dyDescent="0.35">
      <c r="S287" s="36">
        <f t="shared" si="5"/>
        <v>0</v>
      </c>
    </row>
    <row r="288" spans="19:19" x14ac:dyDescent="0.35">
      <c r="S288" s="36">
        <f t="shared" si="5"/>
        <v>0</v>
      </c>
    </row>
    <row r="289" spans="19:19" x14ac:dyDescent="0.35">
      <c r="S289" s="36">
        <f t="shared" si="5"/>
        <v>0</v>
      </c>
    </row>
    <row r="290" spans="19:19" x14ac:dyDescent="0.35">
      <c r="S290" s="36">
        <f t="shared" si="5"/>
        <v>0</v>
      </c>
    </row>
    <row r="291" spans="19:19" x14ac:dyDescent="0.35">
      <c r="S291" s="36">
        <f t="shared" si="5"/>
        <v>0</v>
      </c>
    </row>
    <row r="292" spans="19:19" x14ac:dyDescent="0.35">
      <c r="S292" s="36">
        <f t="shared" si="5"/>
        <v>0</v>
      </c>
    </row>
    <row r="293" spans="19:19" x14ac:dyDescent="0.35">
      <c r="S293" s="36">
        <f t="shared" si="5"/>
        <v>0</v>
      </c>
    </row>
    <row r="294" spans="19:19" x14ac:dyDescent="0.35">
      <c r="S294" s="36">
        <f t="shared" si="5"/>
        <v>0</v>
      </c>
    </row>
    <row r="295" spans="19:19" x14ac:dyDescent="0.35">
      <c r="S295" s="36">
        <f t="shared" si="5"/>
        <v>0</v>
      </c>
    </row>
    <row r="296" spans="19:19" x14ac:dyDescent="0.35">
      <c r="S296" s="36">
        <f t="shared" si="5"/>
        <v>0</v>
      </c>
    </row>
    <row r="297" spans="19:19" x14ac:dyDescent="0.35">
      <c r="S297" s="36">
        <f t="shared" si="5"/>
        <v>0</v>
      </c>
    </row>
    <row r="298" spans="19:19" x14ac:dyDescent="0.35">
      <c r="S298" s="36">
        <f t="shared" si="5"/>
        <v>0</v>
      </c>
    </row>
    <row r="299" spans="19:19" x14ac:dyDescent="0.35">
      <c r="S299" s="36">
        <f t="shared" si="5"/>
        <v>0</v>
      </c>
    </row>
    <row r="300" spans="19:19" x14ac:dyDescent="0.35">
      <c r="S300" s="36">
        <f t="shared" si="5"/>
        <v>0</v>
      </c>
    </row>
    <row r="301" spans="19:19" x14ac:dyDescent="0.35">
      <c r="S301" s="36">
        <f t="shared" si="5"/>
        <v>0</v>
      </c>
    </row>
    <row r="302" spans="19:19" x14ac:dyDescent="0.35">
      <c r="S302" s="36">
        <f t="shared" si="5"/>
        <v>0</v>
      </c>
    </row>
    <row r="303" spans="19:19" x14ac:dyDescent="0.35">
      <c r="S303" s="36">
        <f t="shared" si="5"/>
        <v>0</v>
      </c>
    </row>
    <row r="304" spans="19:19" x14ac:dyDescent="0.35">
      <c r="S304" s="36">
        <f t="shared" si="5"/>
        <v>0</v>
      </c>
    </row>
    <row r="305" spans="19:19" x14ac:dyDescent="0.35">
      <c r="S305" s="36">
        <f t="shared" si="5"/>
        <v>0</v>
      </c>
    </row>
    <row r="306" spans="19:19" x14ac:dyDescent="0.35">
      <c r="S306" s="36">
        <f t="shared" si="5"/>
        <v>0</v>
      </c>
    </row>
    <row r="307" spans="19:19" x14ac:dyDescent="0.35">
      <c r="S307" s="36">
        <f t="shared" si="5"/>
        <v>0</v>
      </c>
    </row>
    <row r="308" spans="19:19" x14ac:dyDescent="0.35">
      <c r="S308" s="36">
        <f t="shared" si="5"/>
        <v>0</v>
      </c>
    </row>
    <row r="309" spans="19:19" x14ac:dyDescent="0.35">
      <c r="S309" s="36">
        <f t="shared" si="5"/>
        <v>0</v>
      </c>
    </row>
    <row r="310" spans="19:19" x14ac:dyDescent="0.35">
      <c r="S310" s="36">
        <f t="shared" si="5"/>
        <v>0</v>
      </c>
    </row>
    <row r="311" spans="19:19" x14ac:dyDescent="0.35">
      <c r="S311" s="36">
        <f t="shared" si="5"/>
        <v>0</v>
      </c>
    </row>
    <row r="312" spans="19:19" x14ac:dyDescent="0.35">
      <c r="S312" s="36">
        <f t="shared" si="5"/>
        <v>0</v>
      </c>
    </row>
    <row r="313" spans="19:19" x14ac:dyDescent="0.35">
      <c r="S313" s="36">
        <f t="shared" si="5"/>
        <v>0</v>
      </c>
    </row>
    <row r="314" spans="19:19" x14ac:dyDescent="0.35">
      <c r="S314" s="36">
        <f t="shared" si="5"/>
        <v>0</v>
      </c>
    </row>
    <row r="315" spans="19:19" x14ac:dyDescent="0.35">
      <c r="S315" s="36">
        <f t="shared" si="5"/>
        <v>0</v>
      </c>
    </row>
    <row r="316" spans="19:19" x14ac:dyDescent="0.35">
      <c r="S316" s="36">
        <f t="shared" si="5"/>
        <v>0</v>
      </c>
    </row>
    <row r="317" spans="19:19" x14ac:dyDescent="0.35">
      <c r="S317" s="36">
        <f t="shared" si="5"/>
        <v>0</v>
      </c>
    </row>
    <row r="318" spans="19:19" x14ac:dyDescent="0.35">
      <c r="S318" s="36">
        <f t="shared" si="5"/>
        <v>0</v>
      </c>
    </row>
    <row r="319" spans="19:19" x14ac:dyDescent="0.35">
      <c r="S319" s="36">
        <f t="shared" si="5"/>
        <v>0</v>
      </c>
    </row>
    <row r="320" spans="19:19" x14ac:dyDescent="0.35">
      <c r="S320" s="36">
        <f t="shared" si="5"/>
        <v>0</v>
      </c>
    </row>
    <row r="321" spans="19:19" x14ac:dyDescent="0.35">
      <c r="S321" s="36">
        <f t="shared" si="5"/>
        <v>0</v>
      </c>
    </row>
    <row r="322" spans="19:19" x14ac:dyDescent="0.35">
      <c r="S322" s="36">
        <f t="shared" si="5"/>
        <v>0</v>
      </c>
    </row>
    <row r="323" spans="19:19" x14ac:dyDescent="0.35">
      <c r="S323" s="36">
        <f t="shared" si="5"/>
        <v>0</v>
      </c>
    </row>
    <row r="324" spans="19:19" x14ac:dyDescent="0.35">
      <c r="S324" s="36">
        <f t="shared" si="5"/>
        <v>0</v>
      </c>
    </row>
    <row r="325" spans="19:19" x14ac:dyDescent="0.35">
      <c r="S325" s="36">
        <f t="shared" si="5"/>
        <v>0</v>
      </c>
    </row>
    <row r="326" spans="19:19" x14ac:dyDescent="0.35">
      <c r="S326" s="36">
        <f t="shared" ref="S326:S389" si="6">IF(ISTEXT(M:M),1,)</f>
        <v>0</v>
      </c>
    </row>
    <row r="327" spans="19:19" x14ac:dyDescent="0.35">
      <c r="S327" s="36">
        <f t="shared" si="6"/>
        <v>0</v>
      </c>
    </row>
    <row r="328" spans="19:19" x14ac:dyDescent="0.35">
      <c r="S328" s="36">
        <f t="shared" si="6"/>
        <v>0</v>
      </c>
    </row>
    <row r="329" spans="19:19" x14ac:dyDescent="0.35">
      <c r="S329" s="36">
        <f t="shared" si="6"/>
        <v>0</v>
      </c>
    </row>
    <row r="330" spans="19:19" x14ac:dyDescent="0.35">
      <c r="S330" s="36">
        <f t="shared" si="6"/>
        <v>0</v>
      </c>
    </row>
    <row r="331" spans="19:19" x14ac:dyDescent="0.35">
      <c r="S331" s="36">
        <f t="shared" si="6"/>
        <v>0</v>
      </c>
    </row>
    <row r="332" spans="19:19" x14ac:dyDescent="0.35">
      <c r="S332" s="36">
        <f t="shared" si="6"/>
        <v>0</v>
      </c>
    </row>
    <row r="333" spans="19:19" x14ac:dyDescent="0.35">
      <c r="S333" s="36">
        <f t="shared" si="6"/>
        <v>0</v>
      </c>
    </row>
    <row r="334" spans="19:19" x14ac:dyDescent="0.35">
      <c r="S334" s="36">
        <f t="shared" si="6"/>
        <v>0</v>
      </c>
    </row>
    <row r="335" spans="19:19" x14ac:dyDescent="0.35">
      <c r="S335" s="36">
        <f t="shared" si="6"/>
        <v>0</v>
      </c>
    </row>
    <row r="336" spans="19:19" x14ac:dyDescent="0.35">
      <c r="S336" s="36">
        <f t="shared" si="6"/>
        <v>0</v>
      </c>
    </row>
    <row r="337" spans="19:19" x14ac:dyDescent="0.35">
      <c r="S337" s="36">
        <f t="shared" si="6"/>
        <v>0</v>
      </c>
    </row>
    <row r="338" spans="19:19" x14ac:dyDescent="0.35">
      <c r="S338" s="36">
        <f t="shared" si="6"/>
        <v>0</v>
      </c>
    </row>
    <row r="339" spans="19:19" x14ac:dyDescent="0.35">
      <c r="S339" s="36">
        <f t="shared" si="6"/>
        <v>0</v>
      </c>
    </row>
    <row r="340" spans="19:19" x14ac:dyDescent="0.35">
      <c r="S340" s="36">
        <f t="shared" si="6"/>
        <v>0</v>
      </c>
    </row>
    <row r="341" spans="19:19" x14ac:dyDescent="0.35">
      <c r="S341" s="36">
        <f t="shared" si="6"/>
        <v>0</v>
      </c>
    </row>
    <row r="342" spans="19:19" x14ac:dyDescent="0.35">
      <c r="S342" s="36">
        <f t="shared" si="6"/>
        <v>0</v>
      </c>
    </row>
    <row r="343" spans="19:19" x14ac:dyDescent="0.35">
      <c r="S343" s="36">
        <f t="shared" si="6"/>
        <v>0</v>
      </c>
    </row>
    <row r="344" spans="19:19" x14ac:dyDescent="0.35">
      <c r="S344" s="36">
        <f t="shared" si="6"/>
        <v>0</v>
      </c>
    </row>
    <row r="345" spans="19:19" x14ac:dyDescent="0.35">
      <c r="S345" s="36">
        <f t="shared" si="6"/>
        <v>0</v>
      </c>
    </row>
    <row r="346" spans="19:19" x14ac:dyDescent="0.35">
      <c r="S346" s="36">
        <f t="shared" si="6"/>
        <v>0</v>
      </c>
    </row>
    <row r="347" spans="19:19" x14ac:dyDescent="0.35">
      <c r="S347" s="36">
        <f t="shared" si="6"/>
        <v>0</v>
      </c>
    </row>
    <row r="348" spans="19:19" x14ac:dyDescent="0.35">
      <c r="S348" s="36">
        <f t="shared" si="6"/>
        <v>0</v>
      </c>
    </row>
    <row r="349" spans="19:19" x14ac:dyDescent="0.35">
      <c r="S349" s="36">
        <f t="shared" si="6"/>
        <v>0</v>
      </c>
    </row>
    <row r="350" spans="19:19" x14ac:dyDescent="0.35">
      <c r="S350" s="36">
        <f t="shared" si="6"/>
        <v>0</v>
      </c>
    </row>
    <row r="351" spans="19:19" x14ac:dyDescent="0.35">
      <c r="S351" s="36">
        <f t="shared" si="6"/>
        <v>0</v>
      </c>
    </row>
    <row r="352" spans="19:19" x14ac:dyDescent="0.35">
      <c r="S352" s="36">
        <f t="shared" si="6"/>
        <v>0</v>
      </c>
    </row>
    <row r="353" spans="19:19" x14ac:dyDescent="0.35">
      <c r="S353" s="36">
        <f t="shared" si="6"/>
        <v>0</v>
      </c>
    </row>
    <row r="354" spans="19:19" x14ac:dyDescent="0.35">
      <c r="S354" s="36">
        <f t="shared" si="6"/>
        <v>0</v>
      </c>
    </row>
    <row r="355" spans="19:19" x14ac:dyDescent="0.35">
      <c r="S355" s="36">
        <f t="shared" si="6"/>
        <v>0</v>
      </c>
    </row>
    <row r="356" spans="19:19" x14ac:dyDescent="0.35">
      <c r="S356" s="36">
        <f t="shared" si="6"/>
        <v>0</v>
      </c>
    </row>
    <row r="357" spans="19:19" x14ac:dyDescent="0.35">
      <c r="S357" s="36">
        <f t="shared" si="6"/>
        <v>0</v>
      </c>
    </row>
    <row r="358" spans="19:19" x14ac:dyDescent="0.35">
      <c r="S358" s="36">
        <f t="shared" si="6"/>
        <v>0</v>
      </c>
    </row>
    <row r="359" spans="19:19" x14ac:dyDescent="0.35">
      <c r="S359" s="36">
        <f t="shared" si="6"/>
        <v>0</v>
      </c>
    </row>
    <row r="360" spans="19:19" x14ac:dyDescent="0.35">
      <c r="S360" s="36">
        <f t="shared" si="6"/>
        <v>0</v>
      </c>
    </row>
    <row r="361" spans="19:19" x14ac:dyDescent="0.35">
      <c r="S361" s="36">
        <f t="shared" si="6"/>
        <v>0</v>
      </c>
    </row>
    <row r="362" spans="19:19" x14ac:dyDescent="0.35">
      <c r="S362" s="36">
        <f t="shared" si="6"/>
        <v>0</v>
      </c>
    </row>
    <row r="363" spans="19:19" x14ac:dyDescent="0.35">
      <c r="S363" s="36">
        <f t="shared" si="6"/>
        <v>0</v>
      </c>
    </row>
    <row r="364" spans="19:19" x14ac:dyDescent="0.35">
      <c r="S364" s="36">
        <f t="shared" si="6"/>
        <v>0</v>
      </c>
    </row>
    <row r="365" spans="19:19" x14ac:dyDescent="0.35">
      <c r="S365" s="36">
        <f t="shared" si="6"/>
        <v>0</v>
      </c>
    </row>
    <row r="366" spans="19:19" x14ac:dyDescent="0.35">
      <c r="S366" s="36">
        <f t="shared" si="6"/>
        <v>0</v>
      </c>
    </row>
    <row r="367" spans="19:19" x14ac:dyDescent="0.35">
      <c r="S367" s="36">
        <f t="shared" si="6"/>
        <v>0</v>
      </c>
    </row>
    <row r="368" spans="19:19" x14ac:dyDescent="0.35">
      <c r="S368" s="36">
        <f t="shared" si="6"/>
        <v>0</v>
      </c>
    </row>
    <row r="369" spans="19:19" x14ac:dyDescent="0.35">
      <c r="S369" s="36">
        <f t="shared" si="6"/>
        <v>0</v>
      </c>
    </row>
    <row r="370" spans="19:19" x14ac:dyDescent="0.35">
      <c r="S370" s="36">
        <f t="shared" si="6"/>
        <v>0</v>
      </c>
    </row>
    <row r="371" spans="19:19" x14ac:dyDescent="0.35">
      <c r="S371" s="36">
        <f t="shared" si="6"/>
        <v>0</v>
      </c>
    </row>
    <row r="372" spans="19:19" x14ac:dyDescent="0.35">
      <c r="S372" s="36">
        <f t="shared" si="6"/>
        <v>0</v>
      </c>
    </row>
    <row r="373" spans="19:19" x14ac:dyDescent="0.35">
      <c r="S373" s="36">
        <f t="shared" si="6"/>
        <v>0</v>
      </c>
    </row>
    <row r="374" spans="19:19" x14ac:dyDescent="0.35">
      <c r="S374" s="36">
        <f t="shared" si="6"/>
        <v>0</v>
      </c>
    </row>
    <row r="375" spans="19:19" x14ac:dyDescent="0.35">
      <c r="S375" s="36">
        <f t="shared" si="6"/>
        <v>0</v>
      </c>
    </row>
    <row r="376" spans="19:19" x14ac:dyDescent="0.35">
      <c r="S376" s="36">
        <f t="shared" si="6"/>
        <v>0</v>
      </c>
    </row>
    <row r="377" spans="19:19" x14ac:dyDescent="0.35">
      <c r="S377" s="36">
        <f t="shared" si="6"/>
        <v>0</v>
      </c>
    </row>
    <row r="378" spans="19:19" x14ac:dyDescent="0.35">
      <c r="S378" s="36">
        <f t="shared" si="6"/>
        <v>0</v>
      </c>
    </row>
    <row r="379" spans="19:19" x14ac:dyDescent="0.35">
      <c r="S379" s="36">
        <f t="shared" si="6"/>
        <v>0</v>
      </c>
    </row>
    <row r="380" spans="19:19" x14ac:dyDescent="0.35">
      <c r="S380" s="36">
        <f t="shared" si="6"/>
        <v>0</v>
      </c>
    </row>
    <row r="381" spans="19:19" x14ac:dyDescent="0.35">
      <c r="S381" s="36">
        <f t="shared" si="6"/>
        <v>0</v>
      </c>
    </row>
    <row r="382" spans="19:19" x14ac:dyDescent="0.35">
      <c r="S382" s="36">
        <f t="shared" si="6"/>
        <v>0</v>
      </c>
    </row>
    <row r="383" spans="19:19" x14ac:dyDescent="0.35">
      <c r="S383" s="36">
        <f t="shared" si="6"/>
        <v>0</v>
      </c>
    </row>
    <row r="384" spans="19:19" x14ac:dyDescent="0.35">
      <c r="S384" s="36">
        <f t="shared" si="6"/>
        <v>0</v>
      </c>
    </row>
    <row r="385" spans="19:19" x14ac:dyDescent="0.35">
      <c r="S385" s="36">
        <f t="shared" si="6"/>
        <v>0</v>
      </c>
    </row>
    <row r="386" spans="19:19" x14ac:dyDescent="0.35">
      <c r="S386" s="36">
        <f t="shared" si="6"/>
        <v>0</v>
      </c>
    </row>
    <row r="387" spans="19:19" x14ac:dyDescent="0.35">
      <c r="S387" s="36">
        <f t="shared" si="6"/>
        <v>0</v>
      </c>
    </row>
    <row r="388" spans="19:19" x14ac:dyDescent="0.35">
      <c r="S388" s="36">
        <f t="shared" si="6"/>
        <v>0</v>
      </c>
    </row>
    <row r="389" spans="19:19" x14ac:dyDescent="0.35">
      <c r="S389" s="36">
        <f t="shared" si="6"/>
        <v>0</v>
      </c>
    </row>
    <row r="390" spans="19:19" x14ac:dyDescent="0.35">
      <c r="S390" s="36">
        <f t="shared" ref="S390:S453" si="7">IF(ISTEXT(M:M),1,)</f>
        <v>0</v>
      </c>
    </row>
    <row r="391" spans="19:19" x14ac:dyDescent="0.35">
      <c r="S391" s="36">
        <f t="shared" si="7"/>
        <v>0</v>
      </c>
    </row>
    <row r="392" spans="19:19" x14ac:dyDescent="0.35">
      <c r="S392" s="36">
        <f t="shared" si="7"/>
        <v>0</v>
      </c>
    </row>
    <row r="393" spans="19:19" x14ac:dyDescent="0.35">
      <c r="S393" s="36">
        <f t="shared" si="7"/>
        <v>0</v>
      </c>
    </row>
    <row r="394" spans="19:19" x14ac:dyDescent="0.35">
      <c r="S394" s="36">
        <f t="shared" si="7"/>
        <v>0</v>
      </c>
    </row>
    <row r="395" spans="19:19" x14ac:dyDescent="0.35">
      <c r="S395" s="36">
        <f t="shared" si="7"/>
        <v>0</v>
      </c>
    </row>
    <row r="396" spans="19:19" x14ac:dyDescent="0.35">
      <c r="S396" s="36">
        <f t="shared" si="7"/>
        <v>0</v>
      </c>
    </row>
    <row r="397" spans="19:19" x14ac:dyDescent="0.35">
      <c r="S397" s="36">
        <f t="shared" si="7"/>
        <v>0</v>
      </c>
    </row>
    <row r="398" spans="19:19" x14ac:dyDescent="0.35">
      <c r="S398" s="36">
        <f t="shared" si="7"/>
        <v>0</v>
      </c>
    </row>
    <row r="399" spans="19:19" x14ac:dyDescent="0.35">
      <c r="S399" s="36">
        <f t="shared" si="7"/>
        <v>0</v>
      </c>
    </row>
    <row r="400" spans="19:19" x14ac:dyDescent="0.35">
      <c r="S400" s="36">
        <f t="shared" si="7"/>
        <v>0</v>
      </c>
    </row>
    <row r="401" spans="19:19" x14ac:dyDescent="0.35">
      <c r="S401" s="36">
        <f t="shared" si="7"/>
        <v>0</v>
      </c>
    </row>
    <row r="402" spans="19:19" x14ac:dyDescent="0.35">
      <c r="S402" s="36">
        <f t="shared" si="7"/>
        <v>0</v>
      </c>
    </row>
    <row r="403" spans="19:19" x14ac:dyDescent="0.35">
      <c r="S403" s="36">
        <f t="shared" si="7"/>
        <v>0</v>
      </c>
    </row>
    <row r="404" spans="19:19" x14ac:dyDescent="0.35">
      <c r="S404" s="36">
        <f t="shared" si="7"/>
        <v>0</v>
      </c>
    </row>
    <row r="405" spans="19:19" x14ac:dyDescent="0.35">
      <c r="S405" s="36">
        <f t="shared" si="7"/>
        <v>0</v>
      </c>
    </row>
    <row r="406" spans="19:19" x14ac:dyDescent="0.35">
      <c r="S406" s="36">
        <f t="shared" si="7"/>
        <v>0</v>
      </c>
    </row>
    <row r="407" spans="19:19" x14ac:dyDescent="0.35">
      <c r="S407" s="36">
        <f t="shared" si="7"/>
        <v>0</v>
      </c>
    </row>
    <row r="408" spans="19:19" x14ac:dyDescent="0.35">
      <c r="S408" s="36">
        <f t="shared" si="7"/>
        <v>0</v>
      </c>
    </row>
    <row r="409" spans="19:19" x14ac:dyDescent="0.35">
      <c r="S409" s="36">
        <f t="shared" si="7"/>
        <v>0</v>
      </c>
    </row>
    <row r="410" spans="19:19" x14ac:dyDescent="0.35">
      <c r="S410" s="36">
        <f t="shared" si="7"/>
        <v>0</v>
      </c>
    </row>
    <row r="411" spans="19:19" x14ac:dyDescent="0.35">
      <c r="S411" s="36">
        <f t="shared" si="7"/>
        <v>0</v>
      </c>
    </row>
    <row r="412" spans="19:19" x14ac:dyDescent="0.35">
      <c r="S412" s="36">
        <f t="shared" si="7"/>
        <v>0</v>
      </c>
    </row>
    <row r="413" spans="19:19" x14ac:dyDescent="0.35">
      <c r="S413" s="36">
        <f t="shared" si="7"/>
        <v>0</v>
      </c>
    </row>
    <row r="414" spans="19:19" x14ac:dyDescent="0.35">
      <c r="S414" s="36">
        <f t="shared" si="7"/>
        <v>0</v>
      </c>
    </row>
    <row r="415" spans="19:19" x14ac:dyDescent="0.35">
      <c r="S415" s="36">
        <f t="shared" si="7"/>
        <v>0</v>
      </c>
    </row>
    <row r="416" spans="19:19" x14ac:dyDescent="0.35">
      <c r="S416" s="36">
        <f t="shared" si="7"/>
        <v>0</v>
      </c>
    </row>
    <row r="417" spans="19:19" x14ac:dyDescent="0.35">
      <c r="S417" s="36">
        <f t="shared" si="7"/>
        <v>0</v>
      </c>
    </row>
    <row r="418" spans="19:19" x14ac:dyDescent="0.35">
      <c r="S418" s="36">
        <f t="shared" si="7"/>
        <v>0</v>
      </c>
    </row>
    <row r="419" spans="19:19" x14ac:dyDescent="0.35">
      <c r="S419" s="36">
        <f t="shared" si="7"/>
        <v>0</v>
      </c>
    </row>
    <row r="420" spans="19:19" x14ac:dyDescent="0.35">
      <c r="S420" s="36">
        <f t="shared" si="7"/>
        <v>0</v>
      </c>
    </row>
    <row r="421" spans="19:19" x14ac:dyDescent="0.35">
      <c r="S421" s="36">
        <f t="shared" si="7"/>
        <v>0</v>
      </c>
    </row>
    <row r="422" spans="19:19" x14ac:dyDescent="0.35">
      <c r="S422" s="36">
        <f t="shared" si="7"/>
        <v>0</v>
      </c>
    </row>
    <row r="423" spans="19:19" x14ac:dyDescent="0.35">
      <c r="S423" s="36">
        <f t="shared" si="7"/>
        <v>0</v>
      </c>
    </row>
    <row r="424" spans="19:19" x14ac:dyDescent="0.35">
      <c r="S424" s="36">
        <f t="shared" si="7"/>
        <v>0</v>
      </c>
    </row>
    <row r="425" spans="19:19" x14ac:dyDescent="0.35">
      <c r="S425" s="36">
        <f t="shared" si="7"/>
        <v>0</v>
      </c>
    </row>
    <row r="426" spans="19:19" x14ac:dyDescent="0.35">
      <c r="S426" s="36">
        <f t="shared" si="7"/>
        <v>0</v>
      </c>
    </row>
    <row r="427" spans="19:19" x14ac:dyDescent="0.35">
      <c r="S427" s="36">
        <f t="shared" si="7"/>
        <v>0</v>
      </c>
    </row>
    <row r="428" spans="19:19" x14ac:dyDescent="0.35">
      <c r="S428" s="36">
        <f t="shared" si="7"/>
        <v>0</v>
      </c>
    </row>
    <row r="429" spans="19:19" x14ac:dyDescent="0.35">
      <c r="S429" s="36">
        <f t="shared" si="7"/>
        <v>0</v>
      </c>
    </row>
    <row r="430" spans="19:19" x14ac:dyDescent="0.35">
      <c r="S430" s="36">
        <f t="shared" si="7"/>
        <v>0</v>
      </c>
    </row>
    <row r="431" spans="19:19" x14ac:dyDescent="0.35">
      <c r="S431" s="36">
        <f t="shared" si="7"/>
        <v>0</v>
      </c>
    </row>
    <row r="432" spans="19:19" x14ac:dyDescent="0.35">
      <c r="S432" s="36">
        <f t="shared" si="7"/>
        <v>0</v>
      </c>
    </row>
    <row r="433" spans="19:19" x14ac:dyDescent="0.35">
      <c r="S433" s="36">
        <f t="shared" si="7"/>
        <v>0</v>
      </c>
    </row>
    <row r="434" spans="19:19" x14ac:dyDescent="0.35">
      <c r="S434" s="36">
        <f t="shared" si="7"/>
        <v>0</v>
      </c>
    </row>
    <row r="435" spans="19:19" x14ac:dyDescent="0.35">
      <c r="S435" s="36">
        <f t="shared" si="7"/>
        <v>0</v>
      </c>
    </row>
    <row r="436" spans="19:19" x14ac:dyDescent="0.35">
      <c r="S436" s="36">
        <f t="shared" si="7"/>
        <v>0</v>
      </c>
    </row>
    <row r="437" spans="19:19" x14ac:dyDescent="0.35">
      <c r="S437" s="36">
        <f t="shared" si="7"/>
        <v>0</v>
      </c>
    </row>
    <row r="438" spans="19:19" x14ac:dyDescent="0.35">
      <c r="S438" s="36">
        <f t="shared" si="7"/>
        <v>0</v>
      </c>
    </row>
    <row r="439" spans="19:19" x14ac:dyDescent="0.35">
      <c r="S439" s="36">
        <f t="shared" si="7"/>
        <v>0</v>
      </c>
    </row>
    <row r="440" spans="19:19" x14ac:dyDescent="0.35">
      <c r="S440" s="36">
        <f t="shared" si="7"/>
        <v>0</v>
      </c>
    </row>
    <row r="441" spans="19:19" x14ac:dyDescent="0.35">
      <c r="S441" s="36">
        <f t="shared" si="7"/>
        <v>0</v>
      </c>
    </row>
    <row r="442" spans="19:19" x14ac:dyDescent="0.35">
      <c r="S442" s="36">
        <f t="shared" si="7"/>
        <v>0</v>
      </c>
    </row>
    <row r="443" spans="19:19" x14ac:dyDescent="0.35">
      <c r="S443" s="36">
        <f t="shared" si="7"/>
        <v>0</v>
      </c>
    </row>
    <row r="444" spans="19:19" x14ac:dyDescent="0.35">
      <c r="S444" s="36">
        <f t="shared" si="7"/>
        <v>0</v>
      </c>
    </row>
    <row r="445" spans="19:19" x14ac:dyDescent="0.35">
      <c r="S445" s="36">
        <f t="shared" si="7"/>
        <v>0</v>
      </c>
    </row>
    <row r="446" spans="19:19" x14ac:dyDescent="0.35">
      <c r="S446" s="36">
        <f t="shared" si="7"/>
        <v>0</v>
      </c>
    </row>
    <row r="447" spans="19:19" x14ac:dyDescent="0.35">
      <c r="S447" s="36">
        <f t="shared" si="7"/>
        <v>0</v>
      </c>
    </row>
    <row r="448" spans="19:19" x14ac:dyDescent="0.35">
      <c r="S448" s="36">
        <f t="shared" si="7"/>
        <v>0</v>
      </c>
    </row>
    <row r="449" spans="19:19" x14ac:dyDescent="0.35">
      <c r="S449" s="36">
        <f t="shared" si="7"/>
        <v>0</v>
      </c>
    </row>
    <row r="450" spans="19:19" x14ac:dyDescent="0.35">
      <c r="S450" s="36">
        <f t="shared" si="7"/>
        <v>0</v>
      </c>
    </row>
    <row r="451" spans="19:19" x14ac:dyDescent="0.35">
      <c r="S451" s="36">
        <f t="shared" si="7"/>
        <v>0</v>
      </c>
    </row>
    <row r="452" spans="19:19" x14ac:dyDescent="0.35">
      <c r="S452" s="36">
        <f t="shared" si="7"/>
        <v>0</v>
      </c>
    </row>
    <row r="453" spans="19:19" x14ac:dyDescent="0.35">
      <c r="S453" s="36">
        <f t="shared" si="7"/>
        <v>0</v>
      </c>
    </row>
    <row r="454" spans="19:19" x14ac:dyDescent="0.35">
      <c r="S454" s="36">
        <f t="shared" ref="S454:S513" si="8">IF(ISTEXT(M:M),1,)</f>
        <v>0</v>
      </c>
    </row>
    <row r="455" spans="19:19" x14ac:dyDescent="0.35">
      <c r="S455" s="36">
        <f t="shared" si="8"/>
        <v>0</v>
      </c>
    </row>
    <row r="456" spans="19:19" x14ac:dyDescent="0.35">
      <c r="S456" s="36">
        <f t="shared" si="8"/>
        <v>0</v>
      </c>
    </row>
    <row r="457" spans="19:19" x14ac:dyDescent="0.35">
      <c r="S457" s="36">
        <f t="shared" si="8"/>
        <v>0</v>
      </c>
    </row>
    <row r="458" spans="19:19" x14ac:dyDescent="0.35">
      <c r="S458" s="36">
        <f t="shared" si="8"/>
        <v>0</v>
      </c>
    </row>
    <row r="459" spans="19:19" x14ac:dyDescent="0.35">
      <c r="S459" s="36">
        <f t="shared" si="8"/>
        <v>0</v>
      </c>
    </row>
    <row r="460" spans="19:19" x14ac:dyDescent="0.35">
      <c r="S460" s="36">
        <f t="shared" si="8"/>
        <v>0</v>
      </c>
    </row>
    <row r="461" spans="19:19" x14ac:dyDescent="0.35">
      <c r="S461" s="36">
        <f t="shared" si="8"/>
        <v>0</v>
      </c>
    </row>
    <row r="462" spans="19:19" x14ac:dyDescent="0.35">
      <c r="S462" s="36">
        <f t="shared" si="8"/>
        <v>0</v>
      </c>
    </row>
    <row r="463" spans="19:19" x14ac:dyDescent="0.35">
      <c r="S463" s="36">
        <f t="shared" si="8"/>
        <v>0</v>
      </c>
    </row>
    <row r="464" spans="19:19" x14ac:dyDescent="0.35">
      <c r="S464" s="36">
        <f t="shared" si="8"/>
        <v>0</v>
      </c>
    </row>
    <row r="465" spans="19:19" x14ac:dyDescent="0.35">
      <c r="S465" s="36">
        <f t="shared" si="8"/>
        <v>0</v>
      </c>
    </row>
    <row r="466" spans="19:19" x14ac:dyDescent="0.35">
      <c r="S466" s="36">
        <f t="shared" si="8"/>
        <v>0</v>
      </c>
    </row>
    <row r="467" spans="19:19" x14ac:dyDescent="0.35">
      <c r="S467" s="36">
        <f t="shared" si="8"/>
        <v>0</v>
      </c>
    </row>
    <row r="468" spans="19:19" x14ac:dyDescent="0.35">
      <c r="S468" s="36">
        <f t="shared" si="8"/>
        <v>0</v>
      </c>
    </row>
    <row r="469" spans="19:19" x14ac:dyDescent="0.35">
      <c r="S469" s="36">
        <f t="shared" si="8"/>
        <v>0</v>
      </c>
    </row>
    <row r="470" spans="19:19" x14ac:dyDescent="0.35">
      <c r="S470" s="36">
        <f t="shared" si="8"/>
        <v>0</v>
      </c>
    </row>
    <row r="471" spans="19:19" x14ac:dyDescent="0.35">
      <c r="S471" s="36">
        <f t="shared" si="8"/>
        <v>0</v>
      </c>
    </row>
    <row r="472" spans="19:19" x14ac:dyDescent="0.35">
      <c r="S472" s="36">
        <f t="shared" si="8"/>
        <v>0</v>
      </c>
    </row>
    <row r="473" spans="19:19" x14ac:dyDescent="0.35">
      <c r="S473" s="36">
        <f t="shared" si="8"/>
        <v>0</v>
      </c>
    </row>
    <row r="474" spans="19:19" x14ac:dyDescent="0.35">
      <c r="S474" s="36">
        <f t="shared" si="8"/>
        <v>0</v>
      </c>
    </row>
    <row r="475" spans="19:19" x14ac:dyDescent="0.35">
      <c r="S475" s="36">
        <f t="shared" si="8"/>
        <v>0</v>
      </c>
    </row>
    <row r="476" spans="19:19" x14ac:dyDescent="0.35">
      <c r="S476" s="36">
        <f t="shared" si="8"/>
        <v>0</v>
      </c>
    </row>
    <row r="477" spans="19:19" x14ac:dyDescent="0.35">
      <c r="S477" s="36">
        <f t="shared" si="8"/>
        <v>0</v>
      </c>
    </row>
    <row r="478" spans="19:19" x14ac:dyDescent="0.35">
      <c r="S478" s="36">
        <f t="shared" si="8"/>
        <v>0</v>
      </c>
    </row>
    <row r="479" spans="19:19" x14ac:dyDescent="0.35">
      <c r="S479" s="36">
        <f t="shared" si="8"/>
        <v>0</v>
      </c>
    </row>
    <row r="480" spans="19:19" x14ac:dyDescent="0.35">
      <c r="S480" s="36">
        <f t="shared" si="8"/>
        <v>0</v>
      </c>
    </row>
    <row r="481" spans="19:19" x14ac:dyDescent="0.35">
      <c r="S481" s="36">
        <f t="shared" si="8"/>
        <v>0</v>
      </c>
    </row>
    <row r="482" spans="19:19" x14ac:dyDescent="0.35">
      <c r="S482" s="36">
        <f t="shared" si="8"/>
        <v>0</v>
      </c>
    </row>
    <row r="483" spans="19:19" x14ac:dyDescent="0.35">
      <c r="S483" s="36">
        <f t="shared" si="8"/>
        <v>0</v>
      </c>
    </row>
    <row r="484" spans="19:19" x14ac:dyDescent="0.35">
      <c r="S484" s="36">
        <f t="shared" si="8"/>
        <v>0</v>
      </c>
    </row>
    <row r="485" spans="19:19" x14ac:dyDescent="0.35">
      <c r="S485" s="36">
        <f t="shared" si="8"/>
        <v>0</v>
      </c>
    </row>
    <row r="486" spans="19:19" x14ac:dyDescent="0.35">
      <c r="S486" s="36">
        <f t="shared" si="8"/>
        <v>0</v>
      </c>
    </row>
    <row r="487" spans="19:19" x14ac:dyDescent="0.35">
      <c r="S487" s="36">
        <f t="shared" si="8"/>
        <v>0</v>
      </c>
    </row>
    <row r="488" spans="19:19" x14ac:dyDescent="0.35">
      <c r="S488" s="36">
        <f t="shared" si="8"/>
        <v>0</v>
      </c>
    </row>
    <row r="489" spans="19:19" x14ac:dyDescent="0.35">
      <c r="S489" s="36">
        <f t="shared" si="8"/>
        <v>0</v>
      </c>
    </row>
    <row r="490" spans="19:19" x14ac:dyDescent="0.35">
      <c r="S490" s="36">
        <f t="shared" si="8"/>
        <v>0</v>
      </c>
    </row>
    <row r="491" spans="19:19" x14ac:dyDescent="0.35">
      <c r="S491" s="36">
        <f t="shared" si="8"/>
        <v>0</v>
      </c>
    </row>
    <row r="492" spans="19:19" x14ac:dyDescent="0.35">
      <c r="S492" s="36">
        <f t="shared" si="8"/>
        <v>0</v>
      </c>
    </row>
    <row r="493" spans="19:19" x14ac:dyDescent="0.35">
      <c r="S493" s="36">
        <f t="shared" si="8"/>
        <v>0</v>
      </c>
    </row>
    <row r="494" spans="19:19" x14ac:dyDescent="0.35">
      <c r="S494" s="36">
        <f t="shared" si="8"/>
        <v>0</v>
      </c>
    </row>
    <row r="495" spans="19:19" x14ac:dyDescent="0.35">
      <c r="S495" s="36">
        <f t="shared" si="8"/>
        <v>0</v>
      </c>
    </row>
    <row r="496" spans="19:19" x14ac:dyDescent="0.35">
      <c r="S496" s="36">
        <f t="shared" si="8"/>
        <v>0</v>
      </c>
    </row>
    <row r="497" spans="19:19" x14ac:dyDescent="0.35">
      <c r="S497" s="36">
        <f t="shared" si="8"/>
        <v>0</v>
      </c>
    </row>
    <row r="498" spans="19:19" x14ac:dyDescent="0.35">
      <c r="S498" s="36">
        <f t="shared" si="8"/>
        <v>0</v>
      </c>
    </row>
    <row r="499" spans="19:19" x14ac:dyDescent="0.35">
      <c r="S499" s="36">
        <f t="shared" si="8"/>
        <v>0</v>
      </c>
    </row>
    <row r="500" spans="19:19" x14ac:dyDescent="0.35">
      <c r="S500" s="36">
        <f t="shared" si="8"/>
        <v>0</v>
      </c>
    </row>
    <row r="501" spans="19:19" x14ac:dyDescent="0.35">
      <c r="S501" s="36">
        <f t="shared" si="8"/>
        <v>0</v>
      </c>
    </row>
    <row r="502" spans="19:19" x14ac:dyDescent="0.35">
      <c r="S502" s="36">
        <f t="shared" si="8"/>
        <v>0</v>
      </c>
    </row>
    <row r="503" spans="19:19" x14ac:dyDescent="0.35">
      <c r="S503" s="36">
        <f t="shared" si="8"/>
        <v>0</v>
      </c>
    </row>
    <row r="504" spans="19:19" x14ac:dyDescent="0.35">
      <c r="S504" s="36">
        <f t="shared" si="8"/>
        <v>0</v>
      </c>
    </row>
    <row r="505" spans="19:19" x14ac:dyDescent="0.35">
      <c r="S505" s="36">
        <f t="shared" si="8"/>
        <v>0</v>
      </c>
    </row>
    <row r="506" spans="19:19" x14ac:dyDescent="0.35">
      <c r="S506" s="36">
        <f t="shared" si="8"/>
        <v>0</v>
      </c>
    </row>
    <row r="507" spans="19:19" x14ac:dyDescent="0.35">
      <c r="S507" s="36">
        <f t="shared" si="8"/>
        <v>0</v>
      </c>
    </row>
    <row r="508" spans="19:19" x14ac:dyDescent="0.35">
      <c r="S508" s="36">
        <f t="shared" si="8"/>
        <v>0</v>
      </c>
    </row>
    <row r="509" spans="19:19" x14ac:dyDescent="0.35">
      <c r="S509" s="36">
        <f t="shared" si="8"/>
        <v>0</v>
      </c>
    </row>
    <row r="510" spans="19:19" x14ac:dyDescent="0.35">
      <c r="S510" s="36">
        <f t="shared" si="8"/>
        <v>0</v>
      </c>
    </row>
    <row r="511" spans="19:19" x14ac:dyDescent="0.35">
      <c r="S511" s="36">
        <f t="shared" si="8"/>
        <v>0</v>
      </c>
    </row>
    <row r="512" spans="19:19" x14ac:dyDescent="0.35">
      <c r="S512" s="36">
        <f t="shared" si="8"/>
        <v>0</v>
      </c>
    </row>
    <row r="513" spans="19:19" x14ac:dyDescent="0.35">
      <c r="S513" s="36">
        <f t="shared" si="8"/>
        <v>0</v>
      </c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B61"/>
  <sheetViews>
    <sheetView zoomScale="55" zoomScaleNormal="55" workbookViewId="0">
      <selection activeCell="F7" sqref="F7"/>
    </sheetView>
  </sheetViews>
  <sheetFormatPr baseColWidth="10" defaultRowHeight="14.5" x14ac:dyDescent="0.35"/>
  <cols>
    <col min="25" max="25" width="2" customWidth="1"/>
    <col min="26" max="26" width="1.54296875" customWidth="1"/>
    <col min="27" max="27" width="20.453125" customWidth="1"/>
    <col min="28" max="28" width="22.1796875" customWidth="1"/>
  </cols>
  <sheetData>
    <row r="1" spans="1:28" ht="61" customHeight="1" thickBot="1" x14ac:dyDescent="0.4">
      <c r="G1" s="68" t="s">
        <v>60</v>
      </c>
      <c r="H1" s="68"/>
      <c r="I1" s="68"/>
      <c r="J1" s="68"/>
      <c r="K1" s="68"/>
      <c r="L1" s="68"/>
      <c r="M1" s="68"/>
      <c r="N1" s="68"/>
      <c r="O1" s="68"/>
      <c r="P1" s="68"/>
    </row>
    <row r="2" spans="1:28" ht="26.5" customHeight="1" thickBot="1" x14ac:dyDescent="0.4">
      <c r="D2" s="64" t="s">
        <v>62</v>
      </c>
      <c r="E2" s="65"/>
      <c r="F2" s="65"/>
      <c r="G2" s="65"/>
      <c r="H2" s="66"/>
    </row>
    <row r="4" spans="1:28" ht="63" x14ac:dyDescent="0.35">
      <c r="B4" s="14" t="s">
        <v>29</v>
      </c>
      <c r="C4" s="20" t="s">
        <v>25</v>
      </c>
      <c r="D4" s="20" t="s">
        <v>78</v>
      </c>
      <c r="E4" s="20" t="s">
        <v>79</v>
      </c>
      <c r="F4" s="20" t="s">
        <v>77</v>
      </c>
      <c r="G4" s="20"/>
      <c r="H4" s="20"/>
      <c r="I4" s="20"/>
      <c r="J4" s="20" t="s">
        <v>35</v>
      </c>
      <c r="K4" s="20"/>
      <c r="L4" s="20" t="s">
        <v>81</v>
      </c>
      <c r="M4" s="20"/>
      <c r="N4" s="20" t="s">
        <v>39</v>
      </c>
      <c r="O4" s="20" t="s">
        <v>40</v>
      </c>
      <c r="P4" s="20"/>
      <c r="Q4" s="20"/>
      <c r="R4" s="20"/>
      <c r="S4" s="20"/>
      <c r="T4" s="20"/>
      <c r="V4" s="20"/>
      <c r="W4" s="20"/>
      <c r="X4" s="20"/>
      <c r="AA4" s="33" t="s">
        <v>47</v>
      </c>
      <c r="AB4" s="32" t="s">
        <v>46</v>
      </c>
    </row>
    <row r="5" spans="1:28" ht="21" x14ac:dyDescent="0.35">
      <c r="A5" s="67" t="s">
        <v>75</v>
      </c>
      <c r="B5" s="2" t="s">
        <v>70</v>
      </c>
      <c r="C5">
        <f>COUNTIFS('NC Qualité'!E:E,"Blocs",'NC Qualité'!I:I,"Dimensionnement (entraînant un rebut)")</f>
        <v>0</v>
      </c>
      <c r="D5">
        <f>COUNTIFS('NC Qualité'!E:E,"Blocs",'NC Qualité'!I:I,"Perçage du voile de pose")</f>
        <v>0</v>
      </c>
      <c r="E5">
        <f>COUNTIFS('NC Qualité'!E:E,"Blocs",'NC Qualité'!I:I,"Palettisation")</f>
        <v>0</v>
      </c>
      <c r="F5">
        <f>COUNTIFS('NC Qualité'!E:E,"Blocs",'NC Qualité'!I:I,"Aspect béton (Fissures, etc.)")</f>
        <v>1</v>
      </c>
      <c r="J5">
        <f>COUNTIFS('NC Qualité'!E:E,"Blocs",'NC Qualité'!I:I,"Armatures apparentes")</f>
        <v>0</v>
      </c>
      <c r="L5">
        <f>COUNTIFS('NC Qualité'!E:E,"Blocs",'NC Qualité'!I:I,"Non respect du délais de livraison de 14 jours")</f>
        <v>0</v>
      </c>
      <c r="N5">
        <f>COUNTIFS('NC Qualité'!E:E,"Blocs",'NC Qualité'!I:I,"Casse de l'élément")</f>
        <v>1</v>
      </c>
      <c r="O5">
        <f>COUNTIFS('NC Qualité'!E:E,"Blocs",'NC Qualité'!I:I,"Autres :")</f>
        <v>0</v>
      </c>
      <c r="P5" s="21"/>
      <c r="Q5" s="21"/>
      <c r="R5" s="21"/>
      <c r="S5" s="21"/>
      <c r="T5" s="21"/>
      <c r="U5" s="21"/>
      <c r="V5" s="21"/>
      <c r="W5" s="21"/>
      <c r="X5" s="25"/>
      <c r="AA5" s="31">
        <f>COUNTIFS('NC Qualité'!E:E,"Cadres",'NC Qualité'!S:S,1)</f>
        <v>0</v>
      </c>
      <c r="AB5" s="31">
        <f>COUNTIFS('NC Qualité'!E:E,"Cadres",'NC Qualité'!Q:Q,"A")</f>
        <v>0</v>
      </c>
    </row>
    <row r="6" spans="1:28" ht="21" x14ac:dyDescent="0.35">
      <c r="A6" s="67"/>
      <c r="B6" s="2" t="s">
        <v>71</v>
      </c>
      <c r="C6">
        <f>COUNTIFS('NC Qualité'!E:E,"Poutrelles",'NC Qualité'!I:I,"Dimensionnement (entraînant un rebut)")</f>
        <v>0</v>
      </c>
      <c r="D6">
        <f>COUNTIFS('NC Qualité'!E:E,"Poutrelles",'NC Qualité'!I:I,"Perçage du voile de pose")</f>
        <v>0</v>
      </c>
      <c r="E6">
        <f>COUNTIFS('NC Qualité'!E:E,"Poutrelles",'NC Qualité'!I:I,"Palettisation")</f>
        <v>0</v>
      </c>
      <c r="F6">
        <f>COUNTIFS('NC Qualité'!E:E,"Poutrelles",'NC Qualité'!I:I,"Aspect béton (Fissures, etc.)")</f>
        <v>1</v>
      </c>
      <c r="J6">
        <f>COUNTIFS('NC Qualité'!E:E,"Poutrelles",'NC Qualité'!I:I,"Armatures apparentes")</f>
        <v>0</v>
      </c>
      <c r="L6">
        <f>COUNTIFS('NC Qualité'!E:E,"Poutrelles",'NC Qualité'!I:I,"Non respect du délais de livraison de 14 jours")</f>
        <v>0</v>
      </c>
      <c r="N6">
        <f>COUNTIFS('NC Qualité'!E:E,"Poutrelles",'NC Qualité'!I:I,"Casse de l'élément")</f>
        <v>0</v>
      </c>
      <c r="O6">
        <f>COUNTIFS('NC Qualité'!E:E,"Poutrelles",'NC Qualité'!I:I,"Autres :")</f>
        <v>0</v>
      </c>
      <c r="P6" s="21"/>
      <c r="Q6" s="21"/>
      <c r="R6" s="21"/>
      <c r="S6" s="21"/>
      <c r="T6" s="21"/>
      <c r="U6" s="21"/>
      <c r="V6" s="21"/>
      <c r="W6" s="21"/>
      <c r="X6" s="26"/>
      <c r="AA6" s="31">
        <f>COUNTIFS('NC Qualité'!E:E,"Chambres",'NC Qualité'!S:S,1)</f>
        <v>0</v>
      </c>
      <c r="AB6" s="31">
        <f>COUNTIFS('NC Qualité'!E:E,"Chambres",'NC Qualité'!Q:Q,"A")</f>
        <v>0</v>
      </c>
    </row>
    <row r="7" spans="1:28" ht="21" x14ac:dyDescent="0.35">
      <c r="A7" s="67"/>
      <c r="B7" s="2" t="s">
        <v>72</v>
      </c>
      <c r="C7">
        <f>COUNTIFS('NC Qualité'!E:E,"Hourdis",'NC Qualité'!I:I,"Dimensionnement (entraînant un rebut)")</f>
        <v>0</v>
      </c>
      <c r="D7">
        <f>COUNTIFS('NC Qualité'!E:E,"Hourdis",'NC Qualité'!I:I,"Perçage du voile de pose")</f>
        <v>0</v>
      </c>
      <c r="E7">
        <f>COUNTIFS('NC Qualité'!E:E,"Hourdis",'NC Qualité'!I:I,"Palettisation")</f>
        <v>0</v>
      </c>
      <c r="F7">
        <f>COUNTIFS('NC Qualité'!E:E,"Hourdis",'NC Qualité'!I:I,"Aspect béton (Fissures, etc.)")</f>
        <v>0</v>
      </c>
      <c r="J7">
        <f>COUNTIFS('NC Qualité'!E:E,"Hourdis",'NC Qualité'!I:I,"Armatures apparentes")</f>
        <v>0</v>
      </c>
      <c r="L7">
        <f>COUNTIFS('NC Qualité'!E:E,"Hourdis",'NC Qualité'!I:I,"Non respect du délais de livraison de 14 jours")</f>
        <v>0</v>
      </c>
      <c r="N7">
        <f>COUNTIFS('NC Qualité'!E:E,"Hourdis",'NC Qualité'!I:I,"Casse de l'élément")</f>
        <v>0</v>
      </c>
      <c r="O7">
        <f>COUNTIFS('NC Qualité'!E:E,"Hourdis",'NC Qualité'!I:I,"Autres :")</f>
        <v>0</v>
      </c>
      <c r="P7" s="21"/>
      <c r="Q7" s="21"/>
      <c r="R7" s="21"/>
      <c r="S7" s="21"/>
      <c r="T7" s="21"/>
      <c r="U7" s="21"/>
      <c r="V7" s="21"/>
      <c r="W7" s="21"/>
      <c r="X7" s="26"/>
      <c r="AA7" s="31">
        <f>COUNTIFS('NC Qualité'!E:E,"Superflex : Tuyaux Dn 500 à 1600",'NC Qualité'!S:S,1)</f>
        <v>0</v>
      </c>
      <c r="AB7" s="31">
        <f>COUNTIFS('NC Qualité'!E:E,"Superflex : Tuyaux Dn 500 à 1600",'NC Qualité'!Q:Q,"A")</f>
        <v>0</v>
      </c>
    </row>
    <row r="8" spans="1:28" ht="29" x14ac:dyDescent="0.35">
      <c r="A8" s="67"/>
      <c r="B8" s="56" t="s">
        <v>98</v>
      </c>
      <c r="C8">
        <f>COUNTIFS('NC Qualité'!E:E,"Blocs à bancher",'NC Qualité'!I:I,"Dimensionnement (entraînant un rebut)")</f>
        <v>0</v>
      </c>
      <c r="D8">
        <f>COUNTIFS('NC Qualité'!E:E,"Blocs à bancher",'NC Qualité'!I:I,"Perçage du voile de pose")</f>
        <v>0</v>
      </c>
      <c r="E8">
        <f>COUNTIFS('NC Qualité'!E:E,"Blocs à bancher",'NC Qualité'!I:I,"Palettisation")</f>
        <v>0</v>
      </c>
      <c r="F8">
        <f>COUNTIFS('NC Qualité'!E:E,"Blocs à bancher",'NC Qualité'!I:I,"Aspect béton (Fissures, etc.)")</f>
        <v>0</v>
      </c>
      <c r="J8">
        <f>COUNTIFS('NC Qualité'!E:E,"Blocs à bancher",'NC Qualité'!I:I,"Armatures apparentes")</f>
        <v>0</v>
      </c>
      <c r="L8">
        <f>COUNTIFS('NC Qualité'!E:E,"Blocs à bancher",'NC Qualité'!I:I,"Non respect du délais de livraison de 14 jours")</f>
        <v>0</v>
      </c>
      <c r="N8">
        <f>COUNTIFS('NC Qualité'!E:E,"Blocs à bancher",'NC Qualité'!I:I,"Casse de l'élément")</f>
        <v>0</v>
      </c>
      <c r="O8">
        <f>COUNTIFS('NC Qualité'!E:E,"Blocs à bancher",'NC Qualité'!I:I,"Autres :")</f>
        <v>0</v>
      </c>
      <c r="P8" s="21"/>
      <c r="Q8" s="21"/>
      <c r="R8" s="21"/>
      <c r="S8" s="21"/>
      <c r="T8" s="21"/>
      <c r="U8" s="21"/>
      <c r="V8" s="21"/>
      <c r="W8" s="21"/>
      <c r="X8" s="26"/>
      <c r="AA8" s="31">
        <f>COUNTIFS('NC Qualité'!E:E,"éléments de regard",'NC Qualité'!S:S,1)</f>
        <v>0</v>
      </c>
      <c r="AB8" s="31">
        <f>COUNTIFS('NC Qualité'!E:E,"éléments de regard",'NC Qualité'!Q:Q,"A")</f>
        <v>0</v>
      </c>
    </row>
    <row r="9" spans="1:28" ht="21" x14ac:dyDescent="0.35">
      <c r="A9" s="67"/>
      <c r="B9" s="2"/>
      <c r="P9" s="21"/>
      <c r="Q9" s="21"/>
      <c r="R9" s="21"/>
      <c r="S9" s="21"/>
      <c r="T9" s="21"/>
      <c r="U9" s="21"/>
      <c r="V9" s="21"/>
      <c r="W9" s="21"/>
      <c r="X9" s="26"/>
      <c r="AA9" s="31">
        <f>COUNTIFS('NC Qualité'!E:E,"Tuyaux départ cheminée",'NC Qualité'!S:S,1)</f>
        <v>0</v>
      </c>
      <c r="AB9" s="31">
        <f>COUNTIFS('NC Qualité'!E:E,"Tuyaux départ cheminée",'NC Qualité'!Q:Q,"A")</f>
        <v>0</v>
      </c>
    </row>
    <row r="10" spans="1:28" ht="21" x14ac:dyDescent="0.35">
      <c r="A10" s="67"/>
      <c r="B10" s="15"/>
      <c r="P10" s="21"/>
      <c r="Q10" s="21"/>
      <c r="R10" s="21"/>
      <c r="S10" s="21"/>
      <c r="T10" s="21"/>
      <c r="U10" s="21"/>
      <c r="V10" s="21"/>
      <c r="W10" s="21"/>
      <c r="X10" s="26"/>
      <c r="AA10" s="31">
        <f>COUNTIFS('NC Qualité'!E:E,"Fielding : Bordures et Caniveaux",'NC Qualité'!S:S,1)</f>
        <v>0</v>
      </c>
      <c r="AB10" s="31">
        <f>COUNTIFS('NC Qualité'!E:E,"Fielding : Bordures et Caniveaux",'NC Qualité'!Q:Q,"A")</f>
        <v>0</v>
      </c>
    </row>
    <row r="11" spans="1:28" ht="21" x14ac:dyDescent="0.35">
      <c r="A11" s="67"/>
      <c r="B11" s="2"/>
      <c r="P11" s="21"/>
      <c r="Q11" s="21"/>
      <c r="R11" s="21"/>
      <c r="S11" s="21"/>
      <c r="T11" s="21"/>
      <c r="U11" s="21"/>
      <c r="V11" s="21"/>
      <c r="W11" s="21"/>
      <c r="X11" s="26"/>
      <c r="AA11" s="31">
        <f>COUNTIFS('NC Qualité'!E:E,"Modul : Tuyaux Dn 1800 à 2630",'NC Qualité'!S:S,1)</f>
        <v>0</v>
      </c>
      <c r="AB11" s="31">
        <f>COUNTIFS('NC Qualité'!E:E,"Modul : Tuyaux Dn 1800 à 2630",'NC Qualité'!Q:Q,"A")</f>
        <v>0</v>
      </c>
    </row>
    <row r="12" spans="1:28" ht="29" x14ac:dyDescent="0.35">
      <c r="A12" s="67" t="s">
        <v>41</v>
      </c>
      <c r="B12" s="2" t="s">
        <v>6</v>
      </c>
      <c r="C12" s="21"/>
      <c r="D12">
        <f>COUNTIFS('NC Qualité'!E:E,"Panneau coulé à plat",'NC Qualité'!I:I,"Problème d'étiquetage")</f>
        <v>0</v>
      </c>
      <c r="E12" s="21"/>
      <c r="F12">
        <f>COUNTIFS('NC Qualité'!E:E,"Panneau coulé à plat",'NC Qualité'!I:I,"Aspect béton (tâches / nid d'abeilles / granuleux / Fissures etc.)")</f>
        <v>0</v>
      </c>
      <c r="G12" s="21"/>
      <c r="H12">
        <f>COUNTIFS('NC Qualité'!E:E,"Panneau coulé à plat",'NC Qualité'!I:I,"Ancre de levage")</f>
        <v>0</v>
      </c>
      <c r="I12" s="21"/>
      <c r="J12">
        <f>COUNTIFS('NC Qualité'!E:E,"Modul : Tuyaux Dn 1800 à 2630",'NC Qualité'!I:I,"Armatures apparentes")</f>
        <v>0</v>
      </c>
      <c r="K12" s="21"/>
      <c r="L12" s="21"/>
      <c r="M12" s="21"/>
      <c r="N12" s="21"/>
      <c r="O12">
        <f>COUNTIFS('NC Qualité'!E:E,"Panneau coulé à plat",'NC Qualité'!I:I,"Autres :")</f>
        <v>0</v>
      </c>
      <c r="P12">
        <f>COUNTIFS('NC Qualité'!E:E,"Panneau coulé à plat",'NC Qualité'!I:I,"Accessoires (Mauvais positionnement , manquement, etc.)")</f>
        <v>0</v>
      </c>
      <c r="Q12">
        <f>COUNTIFS('NC Qualité'!E:E,"Panneau coulé à plat",'NC Qualité'!I:I,"équerrisage")</f>
        <v>0</v>
      </c>
      <c r="R12">
        <f>COUNTIFS('NC Qualité'!E:E,"Panneau coulé à plat",'NC Qualité'!I:I,"Seuil de porte (réservation)")</f>
        <v>0</v>
      </c>
      <c r="S12">
        <f>COUNTIFS('NC Qualité'!E:E,"Panneau coulé à plat",'NC Qualité'!I:I,"épaisseur")</f>
        <v>0</v>
      </c>
      <c r="T12">
        <f>COUNTIFS('NC Qualité'!E:E,"Panneau coulé à plat",'NC Qualité'!I:I,"Chanfrein")</f>
        <v>0</v>
      </c>
      <c r="U12">
        <f>COUNTIFS('NC Qualité'!E:E,"Panneau coulé à plat",'NC Qualité'!I:I,"Dimensionnement (entraînant un rebut)")</f>
        <v>0</v>
      </c>
      <c r="V12">
        <f>COUNTIFS('NC Qualité'!E:E,"Panneau coulé à plat",'NC Qualité'!I:I,"Cintrage")</f>
        <v>0</v>
      </c>
      <c r="W12">
        <f>COUNTIFS('NC Qualité'!E:E,"Panneau coulé à plat",'NC Qualité'!I:I,"Problème de chargement (sanglage, casse etc.)")</f>
        <v>0</v>
      </c>
      <c r="X12" s="27">
        <f>COUNTIFS('NC Qualité'!E:E,"Panneau coulé à plat",'NC Qualité'!I:I,"Erreur de chargement ")</f>
        <v>0</v>
      </c>
      <c r="AA12" s="31">
        <f>COUNTIFS('NC Qualité'!E:E,"Panneau coulé à plat",'NC Qualité'!S:S,1)</f>
        <v>0</v>
      </c>
      <c r="AB12" s="31">
        <f>COUNTIFS('NC Qualité'!E:E,"Panneau coulé à plat",'NC Qualité'!Q:Q,"A")</f>
        <v>0</v>
      </c>
    </row>
    <row r="13" spans="1:28" ht="21" x14ac:dyDescent="0.35">
      <c r="A13" s="67"/>
      <c r="B13" s="2" t="s">
        <v>0</v>
      </c>
      <c r="C13" s="21"/>
      <c r="D13">
        <f>COUNTIFS('NC Qualité'!E:E,"Bianchi",'NC Qualité'!I:I,"Problème d'étiquetage")</f>
        <v>0</v>
      </c>
      <c r="E13" s="21"/>
      <c r="F13">
        <f>COUNTIFS('NC Qualité'!E:E,"Bianchi",'NC Qualité'!I:I,"Aspect béton (tâches / nid d'abeilles / granuleux / Fissures etc.)")</f>
        <v>0</v>
      </c>
      <c r="G13" s="21"/>
      <c r="H13">
        <f>COUNTIFS('NC Qualité'!E:E,"Bianchi",'NC Qualité'!I:I,"Ancre de levage")</f>
        <v>0</v>
      </c>
      <c r="I13" s="21"/>
      <c r="J13">
        <f>COUNTIFS('NC Qualité'!E:E,"Bianchi",'NC Qualité'!I:I,"Armatures apparentes")</f>
        <v>0</v>
      </c>
      <c r="K13" s="21"/>
      <c r="L13" s="21"/>
      <c r="M13" s="21"/>
      <c r="N13" s="21"/>
      <c r="O13">
        <f>COUNTIFS('NC Qualité'!E:E,"Bianchi",'NC Qualité'!I:I,"Autres :")</f>
        <v>0</v>
      </c>
      <c r="P13">
        <f>COUNTIFS('NC Qualité'!E:E,"Bianchi",'NC Qualité'!I:I,"Accessoires (Mauvais positionnement , manquement, etc.)")</f>
        <v>0</v>
      </c>
      <c r="Q13">
        <f>COUNTIFS('NC Qualité'!E:E,"Bianchi",'NC Qualité'!I:I,"équerrisage")</f>
        <v>0</v>
      </c>
      <c r="R13">
        <f>COUNTIFS('NC Qualité'!E:E,"Bianchi",'NC Qualité'!I:I,"Seuil de porte (réservation)")</f>
        <v>0</v>
      </c>
      <c r="S13">
        <f>COUNTIFS('NC Qualité'!E:E,"Bianchi",'NC Qualité'!I:I,"épaisseur")</f>
        <v>0</v>
      </c>
      <c r="T13">
        <f>COUNTIFS('NC Qualité'!E:E,"Bianchi",'NC Qualité'!I:I,"Chanfrein")</f>
        <v>0</v>
      </c>
      <c r="U13">
        <f>COUNTIFS('NC Qualité'!E:E,"Bianchi",'NC Qualité'!I:I,"Dimensionnement (entraînant un rebut)")</f>
        <v>0</v>
      </c>
      <c r="V13">
        <f>COUNTIFS('NC Qualité'!E:E,"Bianchi",'NC Qualité'!I:I,"Cintrage")</f>
        <v>0</v>
      </c>
      <c r="W13">
        <f>COUNTIFS('NC Qualité'!E:E,"Bianchi",'NC Qualité'!I:I,"Problème de chargement (sanglage, casse etc.)")</f>
        <v>0</v>
      </c>
      <c r="X13" s="27">
        <f>COUNTIFS('NC Qualité'!E:E,"Bianchi",'NC Qualité'!I:I,"Erreur de chargement ")</f>
        <v>0</v>
      </c>
      <c r="AA13" s="31">
        <f>COUNTIFS('NC Qualité'!E:E,"Bianchi",'NC Qualité'!S:S,1)</f>
        <v>0</v>
      </c>
      <c r="AB13" s="31">
        <f>COUNTIFS('NC Qualité'!E:E,"Bianchi",'NC Qualité'!Q:Q,"A")</f>
        <v>0</v>
      </c>
    </row>
    <row r="14" spans="1:28" ht="29" x14ac:dyDescent="0.35">
      <c r="A14" s="67"/>
      <c r="B14" s="2" t="s">
        <v>3</v>
      </c>
      <c r="C14" s="21"/>
      <c r="D14">
        <f>COUNTIFS('NC Qualité'!E:E,"Préfabrication",'NC Qualité'!I:I,"Problème d'étiquetage")</f>
        <v>0</v>
      </c>
      <c r="E14" s="21"/>
      <c r="F14">
        <f>COUNTIFS('NC Qualité'!E:E,"Préfabrication",'NC Qualité'!I:I,"Aspect béton (tâches / nid d'abeilles / granuleux / Fissures etc.)")</f>
        <v>0</v>
      </c>
      <c r="G14" s="21"/>
      <c r="H14">
        <f>COUNTIFS('NC Qualité'!E:E,"Préfabrication",'NC Qualité'!I:I,"Ancre de levage")</f>
        <v>0</v>
      </c>
      <c r="I14" s="21"/>
      <c r="J14">
        <f>COUNTIFS('NC Qualité'!E:E,"Préfabrication",'NC Qualité'!I:I,"Armatures apparentes")</f>
        <v>0</v>
      </c>
      <c r="K14" s="21"/>
      <c r="L14" s="21"/>
      <c r="M14" s="21"/>
      <c r="N14" s="21"/>
      <c r="O14">
        <f>COUNTIFS('NC Qualité'!E:E,"Préfabrication",'NC Qualité'!I:I,"Autres :")</f>
        <v>0</v>
      </c>
      <c r="P14">
        <f>COUNTIFS('NC Qualité'!E:E,"Préfabrication",'NC Qualité'!I:I,"Accessoires (Mauvais positionnement , manquement, etc.)")</f>
        <v>0</v>
      </c>
      <c r="Q14">
        <f>COUNTIFS('NC Qualité'!E:E,"Préfabrication",'NC Qualité'!I:I,"équerrisage")</f>
        <v>0</v>
      </c>
      <c r="R14">
        <f>COUNTIFS('NC Qualité'!E:E,"Préfabrication",'NC Qualité'!I:I,"Seuil de porte (réservation)")</f>
        <v>0</v>
      </c>
      <c r="S14">
        <f>COUNTIFS('NC Qualité'!E:E,"Préfabrication",'NC Qualité'!I:I,"épaisseur")</f>
        <v>0</v>
      </c>
      <c r="T14">
        <f>COUNTIFS('NC Qualité'!E:E,"Préfabrication",'NC Qualité'!I:I,"Chanfrein")</f>
        <v>0</v>
      </c>
      <c r="U14">
        <f>COUNTIFS('NC Qualité'!E:E,"Préfabrication",'NC Qualité'!I:I,"Dimensionnement (entraînant un rebut)")</f>
        <v>0</v>
      </c>
      <c r="V14">
        <f>COUNTIFS('NC Qualité'!E:E,"Préfabrication",'NC Qualité'!I:I,"Cintrage")</f>
        <v>0</v>
      </c>
      <c r="W14">
        <f>COUNTIFS('NC Qualité'!E:E,"Préfabrication",'NC Qualité'!I:I,"Problème de chargement (sanglage, casse etc.)")</f>
        <v>0</v>
      </c>
      <c r="X14" s="27">
        <f>COUNTIFS('NC Qualité'!E:E,"Préfabrication",'NC Qualité'!I:I,"Erreur de chargement ")</f>
        <v>0</v>
      </c>
      <c r="AA14" s="31">
        <f>COUNTIFS('NC Qualité'!E:E,"Préfabrication",'NC Qualité'!S:S,1)</f>
        <v>0</v>
      </c>
      <c r="AB14" s="31">
        <f>COUNTIFS('NC Qualité'!E:E,"Préfabrication",'NC Qualité'!Q:Q,"A")</f>
        <v>0</v>
      </c>
    </row>
    <row r="15" spans="1:28" ht="29" x14ac:dyDescent="0.35">
      <c r="A15" s="67"/>
      <c r="B15" s="16" t="s">
        <v>2</v>
      </c>
      <c r="C15" s="21"/>
      <c r="D15">
        <f>COUNTIFS('NC Qualité'!E:E,"Précontraint",'NC Qualité'!I:I,"Problème d'étiquetage")</f>
        <v>0</v>
      </c>
      <c r="E15" s="21"/>
      <c r="F15">
        <f>COUNTIFS('NC Qualité'!E:E,"Précontraint",'NC Qualité'!I:I,"Aspect béton (tâches / nid d'abeilles / granuleux / Fissures etc.)")</f>
        <v>0</v>
      </c>
      <c r="G15" s="21"/>
      <c r="H15">
        <f>COUNTIFS('NC Qualité'!E:E,"Précontraint",'NC Qualité'!I:I,"Ancre de levage")</f>
        <v>0</v>
      </c>
      <c r="I15" s="21"/>
      <c r="J15">
        <f>COUNTIFS('NC Qualité'!E:E,"Précontraint",'NC Qualité'!I:I,"Armatures apparentes")</f>
        <v>0</v>
      </c>
      <c r="K15" s="21"/>
      <c r="L15" s="21"/>
      <c r="M15" s="21"/>
      <c r="N15" s="21"/>
      <c r="O15">
        <f>COUNTIFS('NC Qualité'!E:E,"Précontraint",'NC Qualité'!I:I,"Autres :")</f>
        <v>0</v>
      </c>
      <c r="P15">
        <f>COUNTIFS('NC Qualité'!E:E,"Précontraint",'NC Qualité'!I:I,"Accessoires (Mauvais positionnement , manquement, etc.)")</f>
        <v>0</v>
      </c>
      <c r="Q15">
        <f>COUNTIFS('NC Qualité'!E:E,"Précontraint",'NC Qualité'!I:I,"équerrisage")</f>
        <v>0</v>
      </c>
      <c r="R15">
        <f>COUNTIFS('NC Qualité'!E:E,"Précontraint",'NC Qualité'!I:I,"Seuil de porte (réservation)")</f>
        <v>0</v>
      </c>
      <c r="S15">
        <f>COUNTIFS('NC Qualité'!E:E,"Précontraint",'NC Qualité'!I:I,"épaisseur")</f>
        <v>0</v>
      </c>
      <c r="T15">
        <f>COUNTIFS('NC Qualité'!E:E,"Précontraint",'NC Qualité'!I:I,"Chanfrein")</f>
        <v>0</v>
      </c>
      <c r="U15">
        <f>COUNTIFS('NC Qualité'!E:E,"Précontraint",'NC Qualité'!I:I,"Dimensionnement (entraînant un rebut)")</f>
        <v>0</v>
      </c>
      <c r="V15">
        <f>COUNTIFS('NC Qualité'!E:E,"Précontraint",'NC Qualité'!I:I,"Cintrage")</f>
        <v>0</v>
      </c>
      <c r="W15">
        <f>COUNTIFS('NC Qualité'!E:E,"Précontraint",'NC Qualité'!I:I,"Problème de chargement (sanglage, casse etc.)")</f>
        <v>0</v>
      </c>
      <c r="X15" s="27">
        <f>COUNTIFS('NC Qualité'!E:E,"Précontraint",'NC Qualité'!I:I,"Erreur de chargement ")</f>
        <v>0</v>
      </c>
      <c r="AA15" s="31">
        <f>COUNTIFS('NC Qualité'!E:E,"Précontraint",'NC Qualité'!S:S,1)</f>
        <v>0</v>
      </c>
      <c r="AB15" s="31">
        <f>COUNTIFS('NC Qualité'!E:E,"Précontraint",'NC Qualité'!Q:Q,"A")</f>
        <v>0</v>
      </c>
    </row>
    <row r="16" spans="1:28" ht="21" x14ac:dyDescent="0.35">
      <c r="A16" s="67"/>
      <c r="B16" s="2" t="s">
        <v>1</v>
      </c>
      <c r="C16" s="22"/>
      <c r="D16" s="23">
        <f>COUNTIFS('NC Qualité'!E:E,"Parc",'NC Qualité'!I:I,"Problème d'étiquetage")</f>
        <v>0</v>
      </c>
      <c r="E16" s="24"/>
      <c r="F16" s="23">
        <f>COUNTIFS('NC Qualité'!E:E,"Parc",'NC Qualité'!I:I,"Aspect béton (tâches / nid d'abeilles / granuleux / Fissures etc.)")</f>
        <v>0</v>
      </c>
      <c r="G16" s="24"/>
      <c r="H16" s="23">
        <f>COUNTIFS('NC Qualité'!E:E,"Parc",'NC Qualité'!I:I,"Ancre de levage")</f>
        <v>0</v>
      </c>
      <c r="I16" s="24"/>
      <c r="J16" s="23">
        <f>COUNTIFS('NC Qualité'!E:E,"Parc",'NC Qualité'!I:I,"Armatures apparentes")</f>
        <v>0</v>
      </c>
      <c r="K16" s="24"/>
      <c r="L16" s="24"/>
      <c r="M16" s="24"/>
      <c r="N16" s="24"/>
      <c r="O16" s="23">
        <f>COUNTIFS('NC Qualité'!E:E,"Parc",'NC Qualité'!I:I,"Autres :")</f>
        <v>0</v>
      </c>
      <c r="P16" s="23">
        <f>COUNTIFS('NC Qualité'!E:E,"Parc",'NC Qualité'!I:I,"Accessoires (Mauvais positionnement , manquement, etc.)")</f>
        <v>0</v>
      </c>
      <c r="Q16" s="23">
        <f>COUNTIFS('NC Qualité'!E:E,"Parc",'NC Qualité'!I:I,"équerrisage")</f>
        <v>0</v>
      </c>
      <c r="R16" s="23">
        <f>COUNTIFS('NC Qualité'!E:E,"Parc",'NC Qualité'!I:I,"Seuil de porte (réservation)")</f>
        <v>0</v>
      </c>
      <c r="S16" s="23">
        <f>COUNTIFS('NC Qualité'!E:E,"Parc",'NC Qualité'!I:I,"épaisseur")</f>
        <v>0</v>
      </c>
      <c r="T16" s="23">
        <f>COUNTIFS('NC Qualité'!E:E,"Parc",'NC Qualité'!I:I,"Chanfrein")</f>
        <v>0</v>
      </c>
      <c r="U16" s="23">
        <f>COUNTIFS('NC Qualité'!E:E,"Parc",'NC Qualité'!I:I,"Dimensionnement (entraînant un rebut)")</f>
        <v>0</v>
      </c>
      <c r="V16" s="23">
        <f>COUNTIFS('NC Qualité'!E:E,"Parc",'NC Qualité'!I:I,"Cintrage")</f>
        <v>0</v>
      </c>
      <c r="W16" s="23">
        <f>COUNTIFS('NC Qualité'!E:E,"Parc",'NC Qualité'!I:I,"Problème de chargement (sanglage, casse etc.)")</f>
        <v>0</v>
      </c>
      <c r="X16" s="28">
        <f>COUNTIFS('NC Qualité'!E:E,"Parc",'NC Qualité'!I:I,"Erreur de chargement ")</f>
        <v>0</v>
      </c>
      <c r="AA16" s="31">
        <f>COUNTIFS('NC Qualité'!E:E,"Parc",'NC Qualité'!S:S,1)</f>
        <v>0</v>
      </c>
      <c r="AB16" s="31">
        <f>COUNTIFS('NC Qualité'!E:E,"Parc",'NC Qualité'!Q:Q,"A")</f>
        <v>0</v>
      </c>
    </row>
    <row r="17" spans="1:28" ht="37" customHeight="1" x14ac:dyDescent="0.35">
      <c r="AA17" s="34">
        <f>SUM(AA5:AA16)</f>
        <v>0</v>
      </c>
      <c r="AB17" s="34">
        <f>SUM(AB5:AB16)</f>
        <v>0</v>
      </c>
    </row>
    <row r="19" spans="1:28" ht="15" thickBot="1" x14ac:dyDescent="0.4"/>
    <row r="20" spans="1:28" ht="34.5" customHeight="1" thickBot="1" x14ac:dyDescent="0.4">
      <c r="B20" s="64" t="s">
        <v>61</v>
      </c>
      <c r="C20" s="72"/>
      <c r="D20" s="72"/>
      <c r="E20" s="72"/>
      <c r="F20" s="72"/>
      <c r="G20" s="72"/>
      <c r="H20" s="72"/>
      <c r="I20" s="72"/>
      <c r="J20" s="73"/>
    </row>
    <row r="22" spans="1:28" ht="63" x14ac:dyDescent="0.35">
      <c r="B22" s="14" t="s">
        <v>29</v>
      </c>
      <c r="C22" s="20" t="s">
        <v>25</v>
      </c>
      <c r="D22" s="20" t="s">
        <v>78</v>
      </c>
      <c r="E22" s="20" t="s">
        <v>79</v>
      </c>
      <c r="F22" s="20" t="s">
        <v>77</v>
      </c>
      <c r="G22" s="20"/>
      <c r="H22" s="20"/>
      <c r="I22" s="20"/>
      <c r="J22" s="20" t="s">
        <v>35</v>
      </c>
      <c r="K22" s="20"/>
      <c r="L22" s="20" t="s">
        <v>80</v>
      </c>
      <c r="M22" s="20"/>
      <c r="N22" s="20" t="s">
        <v>39</v>
      </c>
      <c r="O22" s="20" t="s">
        <v>40</v>
      </c>
      <c r="P22" s="20"/>
      <c r="Q22" s="20"/>
      <c r="R22" s="20"/>
      <c r="S22" s="20"/>
      <c r="T22" s="20"/>
      <c r="U22" s="20"/>
      <c r="V22" s="20"/>
      <c r="W22" s="20"/>
      <c r="X22" s="20"/>
      <c r="AA22" s="33" t="s">
        <v>47</v>
      </c>
      <c r="AB22" s="32" t="s">
        <v>46</v>
      </c>
    </row>
    <row r="23" spans="1:28" ht="21" customHeight="1" x14ac:dyDescent="0.35">
      <c r="A23" s="69" t="s">
        <v>42</v>
      </c>
      <c r="B23" s="2" t="s">
        <v>70</v>
      </c>
      <c r="C23">
        <v>0</v>
      </c>
      <c r="D23">
        <v>0</v>
      </c>
      <c r="E23">
        <v>0</v>
      </c>
      <c r="F23">
        <v>1</v>
      </c>
      <c r="J23">
        <v>0</v>
      </c>
      <c r="L23">
        <v>0</v>
      </c>
      <c r="N23">
        <v>0</v>
      </c>
      <c r="O23">
        <v>0</v>
      </c>
      <c r="P23" s="21"/>
      <c r="Q23" s="21"/>
      <c r="R23" s="21"/>
      <c r="S23" s="21"/>
      <c r="T23" s="21"/>
      <c r="U23" s="21"/>
      <c r="V23" s="21"/>
      <c r="W23" s="21"/>
      <c r="X23" s="25"/>
      <c r="AA23" s="31">
        <v>0</v>
      </c>
      <c r="AB23" s="31">
        <v>0</v>
      </c>
    </row>
    <row r="24" spans="1:28" ht="21" x14ac:dyDescent="0.35">
      <c r="A24" s="70"/>
      <c r="B24" s="2" t="s">
        <v>71</v>
      </c>
      <c r="C24">
        <v>0</v>
      </c>
      <c r="D24">
        <v>0</v>
      </c>
      <c r="E24">
        <v>0</v>
      </c>
      <c r="F24">
        <v>0</v>
      </c>
      <c r="J24">
        <v>0</v>
      </c>
      <c r="L24">
        <v>0</v>
      </c>
      <c r="N24">
        <v>0</v>
      </c>
      <c r="O24">
        <v>0</v>
      </c>
      <c r="P24" s="21"/>
      <c r="Q24" s="21"/>
      <c r="R24" s="21"/>
      <c r="S24" s="21"/>
      <c r="T24" s="21"/>
      <c r="U24" s="21"/>
      <c r="V24" s="21"/>
      <c r="W24" s="21"/>
      <c r="X24" s="26"/>
      <c r="AA24" s="31">
        <v>0</v>
      </c>
      <c r="AB24" s="31">
        <v>0</v>
      </c>
    </row>
    <row r="25" spans="1:28" ht="21" x14ac:dyDescent="0.35">
      <c r="A25" s="70"/>
      <c r="B25" s="2" t="s">
        <v>72</v>
      </c>
      <c r="C25">
        <v>0</v>
      </c>
      <c r="D25">
        <v>0</v>
      </c>
      <c r="E25">
        <v>0</v>
      </c>
      <c r="F25">
        <v>0</v>
      </c>
      <c r="J25">
        <v>0</v>
      </c>
      <c r="L25">
        <v>0</v>
      </c>
      <c r="N25">
        <v>0</v>
      </c>
      <c r="O25">
        <v>0</v>
      </c>
      <c r="P25" s="21"/>
      <c r="Q25" s="21"/>
      <c r="R25" s="21"/>
      <c r="S25" s="21"/>
      <c r="T25" s="21"/>
      <c r="U25" s="21"/>
      <c r="V25" s="21"/>
      <c r="W25" s="21"/>
      <c r="X25" s="26"/>
      <c r="AA25" s="31">
        <v>0</v>
      </c>
      <c r="AB25" s="31">
        <v>0</v>
      </c>
    </row>
    <row r="26" spans="1:28" ht="21" x14ac:dyDescent="0.35">
      <c r="A26" s="70"/>
      <c r="B26" s="56" t="s">
        <v>73</v>
      </c>
      <c r="C26">
        <v>0</v>
      </c>
      <c r="D26">
        <v>0</v>
      </c>
      <c r="E26">
        <v>0</v>
      </c>
      <c r="F26">
        <v>0</v>
      </c>
      <c r="J26">
        <v>0</v>
      </c>
      <c r="L26">
        <v>0</v>
      </c>
      <c r="N26">
        <v>0</v>
      </c>
      <c r="O26">
        <v>0</v>
      </c>
      <c r="P26" s="21"/>
      <c r="Q26" s="21"/>
      <c r="R26" s="21"/>
      <c r="S26" s="21"/>
      <c r="T26" s="21"/>
      <c r="U26" s="21"/>
      <c r="V26" s="21"/>
      <c r="W26" s="21"/>
      <c r="X26" s="26"/>
      <c r="AA26" s="31">
        <v>0</v>
      </c>
      <c r="AB26" s="31">
        <v>0</v>
      </c>
    </row>
    <row r="27" spans="1:28" ht="21" x14ac:dyDescent="0.35">
      <c r="A27" s="70"/>
      <c r="B27" s="2" t="s">
        <v>74</v>
      </c>
      <c r="P27" s="21"/>
      <c r="Q27" s="21"/>
      <c r="R27" s="21"/>
      <c r="S27" s="21"/>
      <c r="T27" s="21"/>
      <c r="U27" s="21"/>
      <c r="V27" s="21"/>
      <c r="W27" s="21"/>
      <c r="X27" s="26"/>
      <c r="AA27" s="31">
        <v>0</v>
      </c>
      <c r="AB27" s="31">
        <v>0</v>
      </c>
    </row>
    <row r="28" spans="1:28" ht="21" x14ac:dyDescent="0.35">
      <c r="A28" s="70"/>
      <c r="B28" s="15"/>
      <c r="P28" s="21"/>
      <c r="Q28" s="21"/>
      <c r="R28" s="21"/>
      <c r="S28" s="21"/>
      <c r="T28" s="21"/>
      <c r="U28" s="21"/>
      <c r="V28" s="21"/>
      <c r="W28" s="21"/>
      <c r="X28" s="26"/>
      <c r="AA28" s="31">
        <v>0</v>
      </c>
      <c r="AB28" s="31">
        <v>0</v>
      </c>
    </row>
    <row r="29" spans="1:28" ht="21" x14ac:dyDescent="0.35">
      <c r="A29" s="71"/>
      <c r="B29" s="2"/>
      <c r="P29" s="21"/>
      <c r="Q29" s="21"/>
      <c r="R29" s="21"/>
      <c r="S29" s="21"/>
      <c r="T29" s="21"/>
      <c r="U29" s="21"/>
      <c r="V29" s="21"/>
      <c r="W29" s="21"/>
      <c r="X29" s="26"/>
      <c r="AA29" s="31">
        <v>0</v>
      </c>
      <c r="AB29" s="31">
        <v>0</v>
      </c>
    </row>
    <row r="30" spans="1:28" ht="29" x14ac:dyDescent="0.35">
      <c r="A30" s="67" t="s">
        <v>41</v>
      </c>
      <c r="B30" s="2" t="s">
        <v>6</v>
      </c>
      <c r="C30" s="21"/>
      <c r="D30">
        <v>0</v>
      </c>
      <c r="E30" s="21"/>
      <c r="F30">
        <v>0</v>
      </c>
      <c r="G30" s="21"/>
      <c r="H30">
        <v>0</v>
      </c>
      <c r="I30" s="21"/>
      <c r="J30">
        <v>0</v>
      </c>
      <c r="K30" s="21"/>
      <c r="L30" s="21"/>
      <c r="M30" s="21"/>
      <c r="N30" s="21"/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 s="27">
        <v>0</v>
      </c>
      <c r="AA30" s="31">
        <v>0</v>
      </c>
      <c r="AB30" s="31">
        <v>0</v>
      </c>
    </row>
    <row r="31" spans="1:28" ht="21" x14ac:dyDescent="0.35">
      <c r="A31" s="67"/>
      <c r="B31" s="2" t="s">
        <v>0</v>
      </c>
      <c r="C31" s="21"/>
      <c r="D31">
        <v>0</v>
      </c>
      <c r="E31" s="21"/>
      <c r="F31">
        <v>0</v>
      </c>
      <c r="G31" s="21"/>
      <c r="H31">
        <v>0</v>
      </c>
      <c r="I31" s="21"/>
      <c r="J31">
        <v>0</v>
      </c>
      <c r="K31" s="21"/>
      <c r="L31" s="21"/>
      <c r="M31" s="21"/>
      <c r="N31" s="21"/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 s="27">
        <v>0</v>
      </c>
      <c r="AA31" s="31">
        <v>0</v>
      </c>
      <c r="AB31" s="31">
        <v>0</v>
      </c>
    </row>
    <row r="32" spans="1:28" ht="29" x14ac:dyDescent="0.35">
      <c r="A32" s="67"/>
      <c r="B32" s="2" t="s">
        <v>3</v>
      </c>
      <c r="C32" s="21"/>
      <c r="D32">
        <v>0</v>
      </c>
      <c r="E32" s="21"/>
      <c r="F32">
        <v>0</v>
      </c>
      <c r="G32" s="21"/>
      <c r="H32">
        <v>0</v>
      </c>
      <c r="I32" s="21"/>
      <c r="J32">
        <v>0</v>
      </c>
      <c r="K32" s="21"/>
      <c r="L32" s="21"/>
      <c r="M32" s="21"/>
      <c r="N32" s="21"/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 s="27">
        <v>0</v>
      </c>
      <c r="AA32" s="31">
        <v>0</v>
      </c>
      <c r="AB32" s="31">
        <v>0</v>
      </c>
    </row>
    <row r="33" spans="1:28" ht="29" x14ac:dyDescent="0.35">
      <c r="A33" s="67"/>
      <c r="B33" s="16" t="s">
        <v>2</v>
      </c>
      <c r="C33" s="21"/>
      <c r="D33">
        <v>0</v>
      </c>
      <c r="E33" s="21"/>
      <c r="F33">
        <v>0</v>
      </c>
      <c r="G33" s="21"/>
      <c r="H33">
        <v>0</v>
      </c>
      <c r="I33" s="21"/>
      <c r="J33">
        <v>0</v>
      </c>
      <c r="K33" s="21"/>
      <c r="L33" s="21"/>
      <c r="M33" s="21"/>
      <c r="N33" s="21"/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 s="27">
        <v>0</v>
      </c>
      <c r="AA33" s="31">
        <v>0</v>
      </c>
      <c r="AB33" s="31">
        <v>0</v>
      </c>
    </row>
    <row r="34" spans="1:28" ht="21" x14ac:dyDescent="0.35">
      <c r="A34" s="67"/>
      <c r="B34" s="2" t="s">
        <v>1</v>
      </c>
      <c r="C34" s="22"/>
      <c r="D34" s="23">
        <v>0</v>
      </c>
      <c r="E34" s="24"/>
      <c r="F34" s="23">
        <v>0</v>
      </c>
      <c r="G34" s="24"/>
      <c r="H34" s="23">
        <v>0</v>
      </c>
      <c r="I34" s="24"/>
      <c r="J34" s="23">
        <v>0</v>
      </c>
      <c r="K34" s="24"/>
      <c r="L34" s="24"/>
      <c r="M34" s="24"/>
      <c r="N34" s="24"/>
      <c r="O34" s="23">
        <v>0</v>
      </c>
      <c r="P34" s="23">
        <v>0</v>
      </c>
      <c r="Q34" s="23">
        <v>0</v>
      </c>
      <c r="R34" s="23">
        <v>0</v>
      </c>
      <c r="S34" s="23">
        <v>0</v>
      </c>
      <c r="T34" s="23">
        <v>0</v>
      </c>
      <c r="U34" s="23">
        <v>0</v>
      </c>
      <c r="V34" s="23">
        <v>0</v>
      </c>
      <c r="W34" s="23">
        <v>0</v>
      </c>
      <c r="X34" s="28">
        <v>0</v>
      </c>
      <c r="AA34" s="31">
        <v>0</v>
      </c>
      <c r="AB34" s="31">
        <v>0</v>
      </c>
    </row>
    <row r="35" spans="1:28" ht="23.5" x14ac:dyDescent="0.35">
      <c r="AA35" s="34">
        <v>0</v>
      </c>
      <c r="AB35" s="34">
        <v>0</v>
      </c>
    </row>
    <row r="38" spans="1:28" ht="15" thickBot="1" x14ac:dyDescent="0.4"/>
    <row r="39" spans="1:28" ht="26.5" thickBot="1" x14ac:dyDescent="0.4">
      <c r="C39" s="64" t="s">
        <v>62</v>
      </c>
      <c r="D39" s="65"/>
      <c r="E39" s="65"/>
      <c r="F39" s="65"/>
      <c r="G39" s="66"/>
    </row>
    <row r="44" spans="1:28" ht="78" x14ac:dyDescent="0.35">
      <c r="C44" s="20" t="s">
        <v>30</v>
      </c>
      <c r="D44" s="20" t="s">
        <v>4</v>
      </c>
      <c r="E44" s="20" t="s">
        <v>31</v>
      </c>
      <c r="F44" s="20" t="s">
        <v>26</v>
      </c>
      <c r="G44" s="20" t="s">
        <v>32</v>
      </c>
      <c r="H44" s="20" t="s">
        <v>33</v>
      </c>
      <c r="I44" s="20" t="s">
        <v>34</v>
      </c>
      <c r="J44" s="20" t="s">
        <v>35</v>
      </c>
      <c r="K44" s="20" t="s">
        <v>36</v>
      </c>
      <c r="L44" s="20" t="s">
        <v>80</v>
      </c>
      <c r="M44" s="20" t="s">
        <v>38</v>
      </c>
      <c r="N44" s="20" t="s">
        <v>39</v>
      </c>
      <c r="O44" s="20" t="s">
        <v>40</v>
      </c>
    </row>
    <row r="45" spans="1:28" ht="124.5" customHeight="1" x14ac:dyDescent="0.35">
      <c r="B45" s="47" t="s">
        <v>42</v>
      </c>
      <c r="C45">
        <f>SUM(C5:C11)</f>
        <v>0</v>
      </c>
      <c r="D45">
        <f t="shared" ref="D45:O45" si="0">SUM(D5:D11)</f>
        <v>0</v>
      </c>
      <c r="E45">
        <f t="shared" si="0"/>
        <v>0</v>
      </c>
      <c r="F45">
        <f t="shared" si="0"/>
        <v>2</v>
      </c>
      <c r="G45">
        <f t="shared" si="0"/>
        <v>0</v>
      </c>
      <c r="H45">
        <f t="shared" si="0"/>
        <v>0</v>
      </c>
      <c r="I45">
        <f t="shared" si="0"/>
        <v>0</v>
      </c>
      <c r="J45">
        <f t="shared" si="0"/>
        <v>0</v>
      </c>
      <c r="K45">
        <f t="shared" si="0"/>
        <v>0</v>
      </c>
      <c r="L45">
        <f t="shared" si="0"/>
        <v>0</v>
      </c>
      <c r="M45">
        <f t="shared" si="0"/>
        <v>0</v>
      </c>
      <c r="N45">
        <f t="shared" si="0"/>
        <v>1</v>
      </c>
      <c r="O45">
        <f t="shared" si="0"/>
        <v>0</v>
      </c>
    </row>
    <row r="49" spans="2:16" ht="78" x14ac:dyDescent="0.35">
      <c r="C49" s="20" t="s">
        <v>4</v>
      </c>
      <c r="D49" s="20" t="s">
        <v>26</v>
      </c>
      <c r="E49" s="20" t="s">
        <v>33</v>
      </c>
      <c r="F49" s="20" t="s">
        <v>35</v>
      </c>
      <c r="G49" s="20" t="s">
        <v>40</v>
      </c>
      <c r="H49" s="20" t="s">
        <v>24</v>
      </c>
      <c r="I49" s="20" t="s">
        <v>43</v>
      </c>
      <c r="J49" s="20" t="s">
        <v>27</v>
      </c>
      <c r="K49" s="20" t="s">
        <v>44</v>
      </c>
      <c r="L49" s="20" t="s">
        <v>5</v>
      </c>
      <c r="M49" s="20" t="s">
        <v>25</v>
      </c>
      <c r="N49" s="20" t="s">
        <v>7</v>
      </c>
      <c r="O49" s="20" t="s">
        <v>28</v>
      </c>
      <c r="P49" s="20" t="s">
        <v>45</v>
      </c>
    </row>
    <row r="50" spans="2:16" ht="93" customHeight="1" x14ac:dyDescent="0.35">
      <c r="B50" s="48" t="s">
        <v>41</v>
      </c>
      <c r="C50">
        <f>SUM(D12:D16)</f>
        <v>0</v>
      </c>
      <c r="D50">
        <f>SUM(F12:F16)</f>
        <v>0</v>
      </c>
      <c r="E50">
        <f>SUM(H12:H16)</f>
        <v>0</v>
      </c>
      <c r="F50">
        <f>SUM(J12:J16)</f>
        <v>0</v>
      </c>
      <c r="G50">
        <f>SUM(O12:O16)</f>
        <v>0</v>
      </c>
      <c r="H50">
        <f t="shared" ref="H50:P50" si="1">SUM(P12:P16)</f>
        <v>0</v>
      </c>
      <c r="I50">
        <f t="shared" si="1"/>
        <v>0</v>
      </c>
      <c r="J50">
        <f t="shared" si="1"/>
        <v>0</v>
      </c>
      <c r="K50">
        <f t="shared" si="1"/>
        <v>0</v>
      </c>
      <c r="L50">
        <f t="shared" si="1"/>
        <v>0</v>
      </c>
      <c r="M50">
        <f t="shared" si="1"/>
        <v>0</v>
      </c>
      <c r="N50">
        <f t="shared" si="1"/>
        <v>0</v>
      </c>
      <c r="O50">
        <f t="shared" si="1"/>
        <v>0</v>
      </c>
      <c r="P50">
        <f t="shared" si="1"/>
        <v>0</v>
      </c>
    </row>
    <row r="54" spans="2:16" ht="69" customHeight="1" x14ac:dyDescent="0.35">
      <c r="C54" s="20" t="s">
        <v>25</v>
      </c>
      <c r="D54" s="20" t="s">
        <v>78</v>
      </c>
      <c r="E54" s="20" t="s">
        <v>79</v>
      </c>
      <c r="F54" s="20" t="s">
        <v>77</v>
      </c>
      <c r="G54" s="20" t="s">
        <v>35</v>
      </c>
      <c r="H54" s="20" t="s">
        <v>37</v>
      </c>
      <c r="I54" s="20" t="s">
        <v>39</v>
      </c>
      <c r="J54" s="20" t="s">
        <v>40</v>
      </c>
      <c r="K54" s="60"/>
      <c r="L54" s="29"/>
      <c r="M54" s="60"/>
    </row>
    <row r="55" spans="2:16" ht="94.5" customHeight="1" x14ac:dyDescent="0.35">
      <c r="B55" s="55" t="s">
        <v>75</v>
      </c>
      <c r="C55">
        <f>SUM(C5:C9)</f>
        <v>0</v>
      </c>
      <c r="D55">
        <f>SUM(D5:D9)</f>
        <v>0</v>
      </c>
      <c r="E55">
        <f>SUM(E5:E9)</f>
        <v>0</v>
      </c>
      <c r="F55">
        <f>SUM(F5:F9)</f>
        <v>2</v>
      </c>
      <c r="G55">
        <f>SUM(J5:J9)</f>
        <v>0</v>
      </c>
      <c r="H55">
        <f>SUM(L5:L9)</f>
        <v>0</v>
      </c>
      <c r="I55">
        <f>SUM(N5:N9)</f>
        <v>1</v>
      </c>
      <c r="J55">
        <f>SUM(O5:O9)</f>
        <v>0</v>
      </c>
    </row>
    <row r="56" spans="2:16" x14ac:dyDescent="0.35">
      <c r="B56" s="59"/>
    </row>
    <row r="57" spans="2:16" x14ac:dyDescent="0.35">
      <c r="B57" s="59"/>
    </row>
    <row r="58" spans="2:16" x14ac:dyDescent="0.35">
      <c r="B58" s="59"/>
    </row>
    <row r="59" spans="2:16" x14ac:dyDescent="0.35">
      <c r="B59" s="59"/>
    </row>
    <row r="60" spans="2:16" x14ac:dyDescent="0.35">
      <c r="B60" s="59"/>
    </row>
    <row r="61" spans="2:16" x14ac:dyDescent="0.35">
      <c r="B61" s="59"/>
    </row>
  </sheetData>
  <mergeCells count="8">
    <mergeCell ref="C39:G39"/>
    <mergeCell ref="A5:A11"/>
    <mergeCell ref="A12:A16"/>
    <mergeCell ref="G1:P1"/>
    <mergeCell ref="A23:A29"/>
    <mergeCell ref="A30:A34"/>
    <mergeCell ref="B20:J20"/>
    <mergeCell ref="D2:H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B252"/>
  <sheetViews>
    <sheetView tabSelected="1" zoomScale="55" zoomScaleNormal="55" workbookViewId="0">
      <selection activeCell="R7" sqref="R7"/>
    </sheetView>
  </sheetViews>
  <sheetFormatPr baseColWidth="10" defaultRowHeight="14.5" x14ac:dyDescent="0.35"/>
  <cols>
    <col min="1" max="1" width="13.453125" customWidth="1"/>
  </cols>
  <sheetData>
    <row r="1" spans="1:25" ht="39" customHeight="1" x14ac:dyDescent="0.35">
      <c r="C1" s="74" t="s">
        <v>64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</row>
    <row r="2" spans="1:25" x14ac:dyDescent="0.35">
      <c r="B2" s="38" t="s">
        <v>48</v>
      </c>
      <c r="C2" s="38" t="s">
        <v>49</v>
      </c>
      <c r="D2" s="38" t="s">
        <v>50</v>
      </c>
      <c r="E2" s="38" t="s">
        <v>51</v>
      </c>
      <c r="F2" s="38" t="s">
        <v>52</v>
      </c>
      <c r="G2" s="38" t="s">
        <v>53</v>
      </c>
      <c r="H2" s="38" t="s">
        <v>54</v>
      </c>
      <c r="I2" s="38" t="s">
        <v>55</v>
      </c>
      <c r="J2" s="38" t="s">
        <v>56</v>
      </c>
      <c r="K2" s="38" t="s">
        <v>57</v>
      </c>
      <c r="L2" s="38" t="s">
        <v>58</v>
      </c>
      <c r="M2" s="38" t="s">
        <v>59</v>
      </c>
    </row>
    <row r="3" spans="1:25" ht="15.5" x14ac:dyDescent="0.35">
      <c r="A3" s="57" t="s">
        <v>70</v>
      </c>
      <c r="B3" s="11">
        <f>COUNTIFS('NC Qualité'!A:A,"&gt;=01/08/2020",'NC Qualité'!A:A,"&lt;=31/08/2020",'NC Qualité'!E:E,"Blocs")</f>
        <v>0</v>
      </c>
      <c r="C3" s="11">
        <f>COUNTIFS('NC Qualité'!A:A,"&gt;=01/09/2020",'NC Qualité'!A:A,"&lt;=30/09/2020",'NC Qualité'!E:E,"Blocs")</f>
        <v>0</v>
      </c>
      <c r="D3" s="11">
        <f>COUNTIFS('NC Qualité'!A:A,"&gt;=01/10/2020",'NC Qualité'!A:A,"&lt;=31/10/2020",'NC Qualité'!E:E,"Blocs")</f>
        <v>0</v>
      </c>
      <c r="E3" s="11">
        <f>COUNTIFS('NC Qualité'!A:A,"&gt;=01/11/2020",'NC Qualité'!A:A,"&lt;=30/11/2020",'NC Qualité'!E:E,"Blocs")</f>
        <v>0</v>
      </c>
      <c r="F3" s="11">
        <f>COUNTIFS('NC Qualité'!A:A,"&gt;=01/12/2020",'NC Qualité'!A:A,"&lt;=31/12/2020",'NC Qualité'!E:E,"Blocs")</f>
        <v>0</v>
      </c>
      <c r="G3" s="11">
        <f>COUNTIFS('NC Qualité'!A:A,"&gt;=01/01/2020",'NC Qualité'!A:A,"&lt;=31/01/2020",'NC Qualité'!E:E,"Blocs")</f>
        <v>0</v>
      </c>
      <c r="H3" s="11">
        <f>COUNTIFS('NC Qualité'!A:A,"&gt;=01/02/2020",'NC Qualité'!A:A,"&lt;=29/02/2020",'NC Qualité'!E:E,"Blocs")</f>
        <v>1</v>
      </c>
      <c r="I3" s="11">
        <f>COUNTIFS('NC Qualité'!A:A,"&gt;=01/03/2020",'NC Qualité'!A:A,"&lt;=31/03/2020",'NC Qualité'!E:E,"Blocs")</f>
        <v>0</v>
      </c>
      <c r="J3" s="11">
        <f>COUNTIFS('NC Qualité'!A:A,"&gt;=01/04/2020",'NC Qualité'!A:A,"&lt;=30/04/2021",'NC Qualité'!E:E,"Blocs")</f>
        <v>1</v>
      </c>
      <c r="K3" s="11">
        <f>COUNTIFS('NC Qualité'!A:A,"&gt;=01/05/2020",'NC Qualité'!A:A,"&lt;=31/05/2021",'NC Qualité'!E:E,"Blocs")</f>
        <v>0</v>
      </c>
      <c r="L3" s="11">
        <f>COUNTIFS('NC Qualité'!A:A,"&gt;=01/06/2020",'NC Qualité'!A:A,"&lt;=30/06/2021",'NC Qualité'!E:E,"Blocs")</f>
        <v>0</v>
      </c>
      <c r="M3" s="11">
        <f>COUNTIFS('NC Qualité'!A:A,"&gt;=01/07/2020",'NC Qualité'!A:A,"&lt;=31/07/2021",'NC Qualité'!E:E,"Blocs")</f>
        <v>0</v>
      </c>
    </row>
    <row r="4" spans="1:25" ht="15.5" x14ac:dyDescent="0.35">
      <c r="A4" s="57" t="s">
        <v>71</v>
      </c>
      <c r="B4" s="39">
        <f>COUNTIFS('NC Qualité'!A:A,"&gt;=01/08/2020",'NC Qualité'!A:A,"&lt;=31/08/2020",'NC Qualité'!E:E,"Poutrelles")</f>
        <v>0</v>
      </c>
      <c r="C4" s="11">
        <f>COUNTIFS('NC Qualité'!A:A,"&gt;=01/09/2020",'NC Qualité'!A:A,"&lt;=30/09/2020",'NC Qualité'!E:E,"Poutrelles")</f>
        <v>0</v>
      </c>
      <c r="D4" s="11">
        <f>COUNTIFS('NC Qualité'!A:A,"&gt;=01/10/2020",'NC Qualité'!A:A,"&lt;=31/10/2020",'NC Qualité'!E:E,"Poutrelles")</f>
        <v>0</v>
      </c>
      <c r="E4" s="11">
        <f>COUNTIFS('NC Qualité'!A:A,"&gt;=01/11/2020",'NC Qualité'!A:A,"&lt;=30/11/2020",'NC Qualité'!E:E,"Poutrelles")</f>
        <v>0</v>
      </c>
      <c r="F4" s="11">
        <f>COUNTIFS('NC Qualité'!A:A,"&gt;=01/12/2020",'NC Qualité'!A:A,"&lt;=31/12/2020",'NC Qualité'!E:E,"Poutrelles")</f>
        <v>0</v>
      </c>
      <c r="G4" s="11">
        <f>COUNTIFS('NC Qualité'!A:A,"&gt;=01/01/2020",'NC Qualité'!A:A,"&lt;=31/01/2020",'NC Qualité'!E:E,"Poutrelles")</f>
        <v>0</v>
      </c>
      <c r="H4" s="11">
        <f>COUNTIFS('NC Qualité'!A:A,"&gt;=01/02/2020",'NC Qualité'!A:A,"&lt;=29/02/2020",'NC Qualité'!E:E,"Poutrelles")</f>
        <v>0</v>
      </c>
      <c r="I4" s="11">
        <f>COUNTIFS('NC Qualité'!A:A,"&gt;=01/03/2020",'NC Qualité'!A:A,"&lt;=31/03/2020",'NC Qualité'!E:E,"Poutrelles")</f>
        <v>0</v>
      </c>
      <c r="J4" s="11">
        <f>COUNTIFS('NC Qualité'!A:A,"&gt;=01/04/2020",'NC Qualité'!A:A,"&lt;=30/04/2021",'NC Qualité'!E:E,"Poutrelles")</f>
        <v>0</v>
      </c>
      <c r="K4" s="11">
        <f>COUNTIFS('NC Qualité'!A:A,"&gt;=01/05/2020",'NC Qualité'!A:A,"&lt;=31/05/2021",'NC Qualité'!E:E,"Poutrelles")</f>
        <v>0</v>
      </c>
      <c r="L4" s="11">
        <f>COUNTIFS('NC Qualité'!A:A,"&gt;=01/06/2020",'NC Qualité'!A:A,"&lt;=30/06/2021",'NC Qualité'!E:E,"Poutrelles")</f>
        <v>0</v>
      </c>
      <c r="M4" s="11">
        <f>COUNTIFS('NC Qualité'!A:A,"&gt;=01/07/2020",'NC Qualité'!A:A,"&lt;=31/07/2021",'NC Qualité'!E:E,"Poutrelles")</f>
        <v>0</v>
      </c>
    </row>
    <row r="5" spans="1:25" ht="15.5" x14ac:dyDescent="0.35">
      <c r="A5" s="57" t="s">
        <v>72</v>
      </c>
      <c r="B5">
        <f>COUNTIFS('NC Qualité'!A:A,"&gt;=01/08/2020",'NC Qualité'!A:A,"&lt;=31/08/2020",'NC Qualité'!E:E,"Hourdis")</f>
        <v>0</v>
      </c>
      <c r="C5" s="11">
        <f>COUNTIFS('NC Qualité'!A:A,"&gt;=01/09/2020",'NC Qualité'!A:A,"&lt;=30/09/2020",'NC Qualité'!E:E,"Hourdis")</f>
        <v>0</v>
      </c>
      <c r="D5" s="11">
        <f>COUNTIFS('NC Qualité'!A:A,"&gt;=01/10/2020",'NC Qualité'!A:A,"&lt;=31/10/2020",'NC Qualité'!E:E,"Hourdis")</f>
        <v>0</v>
      </c>
      <c r="E5" s="11">
        <f>COUNTIFS('NC Qualité'!A:A,"&gt;=01/11/2020",'NC Qualité'!A:A,"&lt;=30/11/2020",'NC Qualité'!E:E,"Hourdis")</f>
        <v>0</v>
      </c>
      <c r="F5" s="11">
        <f>COUNTIFS('NC Qualité'!A:A,"&gt;=01/12/2020",'NC Qualité'!A:A,"&lt;=31/12/2020",'NC Qualité'!E:E,"Hourdis")</f>
        <v>0</v>
      </c>
      <c r="G5" s="11">
        <f>COUNTIFS('NC Qualité'!A:A,"&gt;=01/01/2020",'NC Qualité'!A:A,"&lt;=31/01/2020",'NC Qualité'!E:E,"Hourdis")</f>
        <v>0</v>
      </c>
      <c r="H5" s="11">
        <f>COUNTIFS('NC Qualité'!A:A,"&gt;=01/02/2020",'NC Qualité'!A:A,"&lt;=29/02/2020",'NC Qualité'!E:E,"Hourdis")</f>
        <v>0</v>
      </c>
      <c r="I5" s="11">
        <f>COUNTIFS('NC Qualité'!A:A,"&gt;=01/03/2020",'NC Qualité'!A:A,"&lt;=31/03/2020",'NC Qualité'!E:E,"Hourdis")</f>
        <v>0</v>
      </c>
      <c r="J5" s="11">
        <f>COUNTIFS('NC Qualité'!A:A,"&gt;=01/04/2020",'NC Qualité'!A:A,"&lt;=30/04/2021",'NC Qualité'!E:E,"Hourdis")</f>
        <v>0</v>
      </c>
      <c r="K5" s="11">
        <f>COUNTIFS('NC Qualité'!A:A,"&gt;=01/05/2020",'NC Qualité'!A:A,"&lt;=31/05/2021",'NC Qualité'!E:E,"Hourdis")</f>
        <v>0</v>
      </c>
      <c r="L5" s="11">
        <f>COUNTIFS('NC Qualité'!A:A,"&gt;=01/06/2020",'NC Qualité'!A:A,"&lt;=30/06/2021",'NC Qualité'!E:E,"Hourdis")</f>
        <v>0</v>
      </c>
      <c r="M5" s="11">
        <f>COUNTIFS('NC Qualité'!A:A,"&gt;=01/07/2020",'NC Qualité'!A:A,"&lt;=31/07/2021",'NC Qualité'!E:E,"Hourdis")</f>
        <v>0</v>
      </c>
    </row>
    <row r="6" spans="1:25" ht="31" x14ac:dyDescent="0.35">
      <c r="A6" s="58" t="s">
        <v>98</v>
      </c>
      <c r="B6" s="11">
        <f>COUNTIFS('NC Qualité'!A:A,"&gt;=01/08/2020",'NC Qualité'!A:A,"&lt;=31/08/2020",'NC Qualité'!E:E,"Blocs à bancher")</f>
        <v>0</v>
      </c>
      <c r="C6" s="11">
        <f>COUNTIFS('NC Qualité'!A:A,"&gt;=01/09/2020",'NC Qualité'!A:A,"&lt;=30/09/2020",'NC Qualité'!E:E,"Blocs à bancher")</f>
        <v>0</v>
      </c>
      <c r="D6" s="11">
        <f>COUNTIFS('NC Qualité'!A:A,"&gt;=01/10/2020",'NC Qualité'!A:A,"&lt;=31/10/2020",'NC Qualité'!E:E,"Blocs à bancher")</f>
        <v>0</v>
      </c>
      <c r="E6" s="11">
        <f>COUNTIFS('NC Qualité'!A:A,"&gt;=01/11/2020",'NC Qualité'!A:A,"&lt;=30/11/2020",'NC Qualité'!E:E,"Blocs à bancher")</f>
        <v>0</v>
      </c>
      <c r="F6" s="11">
        <f>COUNTIFS('NC Qualité'!A:A,"&gt;=01/12/2020",'NC Qualité'!A:A,"&lt;=31/12/2020",'NC Qualité'!E:E,"Blocs à bancher")</f>
        <v>0</v>
      </c>
      <c r="G6" s="11">
        <f>COUNTIFS('NC Qualité'!A:A,"&gt;=01/01/2020",'NC Qualité'!A:A,"&lt;=31/01/2020",'NC Qualité'!E:E,"Blocs à bancher")</f>
        <v>0</v>
      </c>
      <c r="H6" s="11">
        <f>COUNTIFS('NC Qualité'!A:A,"&gt;=01/02/2020",'NC Qualité'!A:A,"&lt;=29/02/2020",'NC Qualité'!E:E,"Blocs à bancher")</f>
        <v>0</v>
      </c>
      <c r="I6" s="11">
        <f>COUNTIFS('NC Qualité'!A:A,"&gt;=01/03/2020",'NC Qualité'!A:A,"&lt;=31/03/2020",'NC Qualité'!E:E,"Blocs à bancher")</f>
        <v>0</v>
      </c>
      <c r="J6" s="11">
        <f>COUNTIFS('NC Qualité'!A:A,"&gt;=01/04/2020",'NC Qualité'!A:A,"&lt;=30/04/2021",'NC Qualité'!E:E,"Blocs à bancher")</f>
        <v>0</v>
      </c>
      <c r="K6" s="11">
        <f>COUNTIFS('NC Qualité'!A:A,"&gt;=01/05/2020",'NC Qualité'!A:A,"&lt;=31/05/2021",'NC Qualité'!E:E,"Blocs à bancher")</f>
        <v>0</v>
      </c>
      <c r="L6" s="11">
        <f>COUNTIFS('NC Qualité'!A:A,"&gt;=01/06/2020",'NC Qualité'!A:A,"&lt;=30/06/2021",'NC Qualité'!E:E,"Blocs à bancher")</f>
        <v>0</v>
      </c>
      <c r="M6" s="11">
        <f>COUNTIFS('NC Qualité'!A:A,"&gt;=01/07/2020",'NC Qualité'!A:A,"&lt;=31/07/2021",'NC Qualité'!E:E,"Blocs à bancher")</f>
        <v>0</v>
      </c>
    </row>
    <row r="7" spans="1:25" ht="15.5" x14ac:dyDescent="0.35">
      <c r="A7" s="57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</row>
    <row r="8" spans="1:25" x14ac:dyDescent="0.35">
      <c r="A8" s="15"/>
      <c r="B8" s="39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1:25" x14ac:dyDescent="0.35">
      <c r="A9" s="2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25" x14ac:dyDescent="0.35">
      <c r="A10" s="2"/>
      <c r="B10" s="39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1:25" x14ac:dyDescent="0.35">
      <c r="A11" s="2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</row>
    <row r="12" spans="1:25" x14ac:dyDescent="0.35">
      <c r="A12" s="2"/>
      <c r="B12" s="39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1:25" x14ac:dyDescent="0.35">
      <c r="A13" s="16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</row>
    <row r="14" spans="1:25" x14ac:dyDescent="0.35">
      <c r="A14" s="2"/>
      <c r="B14" s="3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1:25" x14ac:dyDescent="0.35">
      <c r="B15" s="38">
        <f>SUM(B3:B14)</f>
        <v>0</v>
      </c>
      <c r="C15" s="38">
        <f>SUM(C3:C14)</f>
        <v>0</v>
      </c>
      <c r="D15" s="38">
        <f>SUM(D3:D14)</f>
        <v>0</v>
      </c>
      <c r="E15" s="38">
        <f t="shared" ref="E15:M15" si="0">SUM(E3:E14)</f>
        <v>0</v>
      </c>
      <c r="F15" s="38">
        <f t="shared" si="0"/>
        <v>0</v>
      </c>
      <c r="G15" s="38">
        <f t="shared" si="0"/>
        <v>0</v>
      </c>
      <c r="H15" s="38">
        <f t="shared" si="0"/>
        <v>1</v>
      </c>
      <c r="I15" s="38">
        <f t="shared" si="0"/>
        <v>0</v>
      </c>
      <c r="J15" s="38">
        <f t="shared" si="0"/>
        <v>1</v>
      </c>
      <c r="K15" s="38">
        <f t="shared" si="0"/>
        <v>0</v>
      </c>
      <c r="L15" s="38">
        <f t="shared" si="0"/>
        <v>0</v>
      </c>
      <c r="M15" s="38">
        <f t="shared" si="0"/>
        <v>0</v>
      </c>
    </row>
    <row r="17" spans="1:28" x14ac:dyDescent="0.35">
      <c r="B17" t="s">
        <v>48</v>
      </c>
    </row>
    <row r="18" spans="1:28" ht="105" x14ac:dyDescent="0.35">
      <c r="B18" s="14" t="s">
        <v>29</v>
      </c>
      <c r="C18" s="20" t="s">
        <v>25</v>
      </c>
      <c r="D18" s="20" t="s">
        <v>78</v>
      </c>
      <c r="E18" s="20" t="s">
        <v>79</v>
      </c>
      <c r="F18" s="20" t="s">
        <v>77</v>
      </c>
      <c r="G18" s="20"/>
      <c r="H18" s="20"/>
      <c r="I18" s="20"/>
      <c r="J18" s="20" t="s">
        <v>35</v>
      </c>
      <c r="K18" s="20"/>
      <c r="L18" s="20" t="s">
        <v>82</v>
      </c>
      <c r="M18" s="20"/>
      <c r="N18" s="20" t="s">
        <v>39</v>
      </c>
      <c r="O18" s="20" t="s">
        <v>40</v>
      </c>
      <c r="P18" s="20" t="s">
        <v>24</v>
      </c>
      <c r="Q18" s="20" t="s">
        <v>43</v>
      </c>
      <c r="R18" s="20" t="s">
        <v>27</v>
      </c>
      <c r="S18" s="20" t="s">
        <v>44</v>
      </c>
      <c r="T18" s="20" t="s">
        <v>5</v>
      </c>
      <c r="U18" s="20" t="s">
        <v>25</v>
      </c>
      <c r="V18" s="20" t="s">
        <v>7</v>
      </c>
      <c r="W18" s="20" t="s">
        <v>28</v>
      </c>
      <c r="X18" s="20" t="s">
        <v>45</v>
      </c>
      <c r="AA18" s="33" t="s">
        <v>47</v>
      </c>
      <c r="AB18" s="32" t="s">
        <v>46</v>
      </c>
    </row>
    <row r="19" spans="1:28" ht="21" customHeight="1" x14ac:dyDescent="0.35">
      <c r="A19" s="67" t="s">
        <v>42</v>
      </c>
      <c r="B19" s="2" t="s">
        <v>70</v>
      </c>
      <c r="C19">
        <f>COUNTIFS('NC Qualité'!A:A,"&gt;=01/08/2020",'NC Qualité'!A:A,"&lt;=31/08/2020",'NC Qualité'!E:E,"Blocs",'NC Qualité'!I:I,"Dimensionnement (entraînant un rebut)")</f>
        <v>0</v>
      </c>
      <c r="D19">
        <f>COUNTIFS('NC Qualité'!A:A,"&gt;=01/08/2020",'NC Qualité'!A:A,"&lt;=31/08/2020",'NC Qualité'!E:E,"Blocs",'NC Qualité'!I:I,"Perçage du voile de pose")</f>
        <v>0</v>
      </c>
      <c r="E19">
        <f>COUNTIFS('NC Qualité'!A:A,"&gt;=01/08/2020",'NC Qualité'!A:A,"&lt;=31/08/2020",'NC Qualité'!E:E,"Blocs",'NC Qualité'!I:I,"étanchéité")</f>
        <v>0</v>
      </c>
      <c r="F19">
        <f>COUNTIFS('NC Qualité'!A:A,"&gt;=01/08/2020",'NC Qualité'!A:A,"&lt;=31/08/2020",'NC Qualité'!E:E,"Blocs",'NC Qualité'!I:I,"Aspect béton (Fissures, etc.)")</f>
        <v>0</v>
      </c>
      <c r="J19">
        <f>COUNTIFS('NC Qualité'!A:A,"&gt;=01/08/2020",'NC Qualité'!A:A,"&lt;=31/08/2020",'NC Qualité'!E:E,"Blocs",'NC Qualité'!I:I,"Armatures apparentes")</f>
        <v>0</v>
      </c>
      <c r="L19">
        <f>COUNTIFS('NC Qualité'!A:A,"&gt;=01/08/2020",'NC Qualité'!A:A,"&lt;=31/08/2020",'NC Qualité'!E:E,"Blocs",'NC Qualité'!I:I,"Délais de livraison")</f>
        <v>0</v>
      </c>
      <c r="N19">
        <f>COUNTIFS('NC Qualité'!A:A,"&gt;=01/08/2020",'NC Qualité'!A:A,"&lt;=31/08/2020",'NC Qualité'!E:E,"Blocs",'NC Qualité'!I:I,"Casse de l'élément")</f>
        <v>0</v>
      </c>
      <c r="O19">
        <f>COUNTIFS('NC Qualité'!A:A,"&gt;=01/08/2020",'NC Qualité'!A:A,"&lt;=31/08/2020",'NC Qualité'!E:E,"Blocs",'NC Qualité'!I:I,"Autres :")</f>
        <v>0</v>
      </c>
      <c r="P19" s="21"/>
      <c r="Q19" s="21"/>
      <c r="R19" s="21"/>
      <c r="S19" s="21"/>
      <c r="T19" s="21"/>
      <c r="U19" s="21"/>
      <c r="V19" s="21"/>
      <c r="W19" s="21"/>
      <c r="X19" s="25"/>
      <c r="AA19" s="31">
        <f>COUNTIFS('NC Qualité'!A:A,"&gt;=01/08/2020",'NC Qualité'!A:A,"&lt;=31/08/2020",'NC Qualité'!E:E,"Blocs",'NC Qualité'!S:S,1)</f>
        <v>0</v>
      </c>
      <c r="AB19" s="31">
        <f>COUNTIFS('NC Qualité'!A:A,"&gt;=01/08/2020",'NC Qualité'!A:A,"&lt;=31/08/2020",'NC Qualité'!E:E,"Blocs",'NC Qualité'!Q:Q,"A")</f>
        <v>0</v>
      </c>
    </row>
    <row r="20" spans="1:28" ht="21" x14ac:dyDescent="0.35">
      <c r="A20" s="67"/>
      <c r="B20" s="2" t="s">
        <v>71</v>
      </c>
      <c r="C20">
        <f>COUNTIFS('NC Qualité'!A:A,"&gt;=01/08/2020",'NC Qualité'!A:A,"&lt;=31/08/2020",'NC Qualité'!E:E,"Poutrelles",'NC Qualité'!I:I,"Dimensionnement (entraînant un rebut)")</f>
        <v>0</v>
      </c>
      <c r="D20">
        <f>COUNTIFS('NC Qualité'!A:A,"&gt;=01/08/2020",'NC Qualité'!A:A,"&lt;=31/08/2020",'NC Qualité'!E:E,"Poutrelles",'NC Qualité'!I:I,"Perçage du voile de pose")</f>
        <v>0</v>
      </c>
      <c r="E20">
        <f>COUNTIFS('NC Qualité'!A:A,"&gt;=01/08/2020",'NC Qualité'!A:A,"&lt;=31/08/2020",'NC Qualité'!E:E,"Poutrelles",'NC Qualité'!I:I,"Palettisation")</f>
        <v>0</v>
      </c>
      <c r="F20">
        <f>COUNTIFS('NC Qualité'!A:A,"&gt;=01/08/2020",'NC Qualité'!A:A,"&lt;=31/08/2020",'NC Qualité'!E:E,"Poutrelles",'NC Qualité'!I:I,"Aspect béton (Fissures, etc.)")</f>
        <v>0</v>
      </c>
      <c r="J20">
        <f>COUNTIFS('NC Qualité'!A:A,"&gt;=01/08/2020",'NC Qualité'!A:A,"&lt;=31/08/2020",'NC Qualité'!E:E,"Poutrelles",'NC Qualité'!I:I,"Armatures apparentes")</f>
        <v>0</v>
      </c>
      <c r="L20">
        <f>COUNTIFS('NC Qualité'!A:A,"&gt;=01/08/2020",'NC Qualité'!A:A,"&lt;=31/08/2020",'NC Qualité'!E:E,"Poutrelles",'NC Qualité'!I:I,"Délais de livraison")</f>
        <v>0</v>
      </c>
      <c r="N20">
        <f>COUNTIFS('NC Qualité'!A:A,"&gt;=01/08/2020",'NC Qualité'!A:A,"&lt;=31/08/2020",'NC Qualité'!E:E,"Poutrelles",'NC Qualité'!I:I,"Casse de l'élément")</f>
        <v>0</v>
      </c>
      <c r="O20">
        <f>COUNTIFS('NC Qualité'!A:A,"&gt;=01/08/2020",'NC Qualité'!A:A,"&lt;=31/08/2020",'NC Qualité'!E:E,"Poutrelles",'NC Qualité'!I:I,"Autres :")</f>
        <v>0</v>
      </c>
      <c r="P20" s="21"/>
      <c r="Q20" s="21"/>
      <c r="R20" s="21"/>
      <c r="S20" s="21"/>
      <c r="T20" s="21"/>
      <c r="U20" s="21"/>
      <c r="V20" s="21"/>
      <c r="W20" s="21"/>
      <c r="X20" s="26"/>
      <c r="AA20" s="31">
        <f>COUNTIFS('NC Qualité'!A:A,"&gt;=01/08/2020",'NC Qualité'!A:A,"&lt;=31/08/2020",'NC Qualité'!E:E,"Poutrelles",'NC Qualité'!S:S,1)</f>
        <v>0</v>
      </c>
      <c r="AB20" s="31">
        <f>COUNTIFS('NC Qualité'!A:A,"&gt;=01/08/2020",'NC Qualité'!A:A,"&lt;=31/08/2020",'NC Qualité'!E:E,"Poutrelles",'NC Qualité'!Q:Q,"A")</f>
        <v>0</v>
      </c>
    </row>
    <row r="21" spans="1:28" ht="21" x14ac:dyDescent="0.35">
      <c r="A21" s="67"/>
      <c r="B21" s="2" t="s">
        <v>72</v>
      </c>
      <c r="C21">
        <f>COUNTIFS('NC Qualité'!A:A,"&gt;=01/08/2020",'NC Qualité'!A:A,"&lt;=31/08/2020",'NC Qualité'!E:E,"Hourdis",'NC Qualité'!I:I,"Dimensionnement (entraînant un rebut)")</f>
        <v>0</v>
      </c>
      <c r="D21">
        <f>COUNTIFS('NC Qualité'!A:A,"&gt;=01/08/2020",'NC Qualité'!A:A,"&lt;=31/08/2020",'NC Qualité'!E:E,"Hourdis",'NC Qualité'!I:I,"Problème d'étiquetage")</f>
        <v>0</v>
      </c>
      <c r="E21">
        <f>COUNTIFS('NC Qualité'!A:A,"&gt;=01/08/2020",'NC Qualité'!A:A,"&lt;=31/08/2020",'NC Qualité'!E:E,"Hourdis",'NC Qualité'!I:I,"Palettisation")</f>
        <v>0</v>
      </c>
      <c r="F21">
        <f>COUNTIFS('NC Qualité'!A:A,"&gt;=01/08/2020",'NC Qualité'!A:A,"&lt;=31/08/2020",'NC Qualité'!E:E,"Hourdis",'NC Qualité'!I:I,"Aspect béton (Fissures, etc.)")</f>
        <v>0</v>
      </c>
      <c r="J21">
        <f>COUNTIFS('NC Qualité'!A:A,"&gt;=01/08/2020",'NC Qualité'!A:A,"&lt;=31/08/2020",'NC Qualité'!E:E,"Hourdis",'NC Qualité'!I:I,"Armatures apparentes")</f>
        <v>0</v>
      </c>
      <c r="L21">
        <f>COUNTIFS('NC Qualité'!A:A,"&gt;=01/08/2020",'NC Qualité'!A:A,"&lt;=31/08/2020",'NC Qualité'!E:E,"Hourdis",'NC Qualité'!I:I,"Délais de livraison")</f>
        <v>0</v>
      </c>
      <c r="N21">
        <f>COUNTIFS('NC Qualité'!A:A,"&gt;=01/08/2020",'NC Qualité'!A:A,"&lt;=31/08/2020",'NC Qualité'!E:E,"Hourdis",'NC Qualité'!I:I,"Casse de l'élément")</f>
        <v>0</v>
      </c>
      <c r="O21">
        <f>COUNTIFS('NC Qualité'!A:A,"&gt;=01/08/2020",'NC Qualité'!A:A,"&lt;=31/08/2020",'NC Qualité'!E:E,"Hourdis",'NC Qualité'!I:I,"Autres :")</f>
        <v>0</v>
      </c>
      <c r="P21" s="21"/>
      <c r="Q21" s="21"/>
      <c r="R21" s="21"/>
      <c r="S21" s="21"/>
      <c r="T21" s="21"/>
      <c r="U21" s="21"/>
      <c r="V21" s="21"/>
      <c r="W21" s="21"/>
      <c r="X21" s="26"/>
      <c r="AA21" s="31">
        <f>COUNTIFS('NC Qualité'!A:A,"&gt;=01/08/2020",'NC Qualité'!A:A,"&lt;=31/08/2020",'NC Qualité'!E:E,"Hourdis",'NC Qualité'!S:S,1)</f>
        <v>0</v>
      </c>
      <c r="AB21" s="31">
        <f>COUNTIFS('NC Qualité'!A:A,"&gt;=01/08/2020",'NC Qualité'!A:A,"&lt;=31/08/2020",'NC Qualité'!E:E,"Hourdis",'NC Qualité'!Q:Q,"A")</f>
        <v>0</v>
      </c>
    </row>
    <row r="22" spans="1:28" ht="29" x14ac:dyDescent="0.35">
      <c r="A22" s="67"/>
      <c r="B22" s="56" t="s">
        <v>98</v>
      </c>
      <c r="C22">
        <f>COUNTIFS('NC Qualité'!A:A,"&gt;=01/08/2020",'NC Qualité'!A:A,"&lt;=31/08/2020",'NC Qualité'!E:E,"Blocs à bancher",'NC Qualité'!I:I,"Dimensionnement (entraînant un rebut)")</f>
        <v>0</v>
      </c>
      <c r="D22">
        <f>COUNTIFS('NC Qualité'!A:A,"&gt;=01/08/2020",'NC Qualité'!A:A,"&lt;=31/08/2020",'NC Qualité'!E:E,"Blocs à bancher",'NC Qualité'!I:I,"Perçage du voile de pose")</f>
        <v>0</v>
      </c>
      <c r="E22">
        <f>COUNTIFS('NC Qualité'!A:A,"&gt;=01/08/2020",'NC Qualité'!A:A,"&lt;=31/08/2020",'NC Qualité'!E:E,"Blocs à bancher",'NC Qualité'!I:I,"Palettisation")</f>
        <v>0</v>
      </c>
      <c r="F22">
        <f>COUNTIFS('NC Qualité'!A:A,"&gt;=01/08/2020",'NC Qualité'!A:A,"&lt;=31/08/2020",'NC Qualité'!E:E,"Blocs à bancher",'NC Qualité'!I:I,"Aspect béton (Fissures, etc.)")</f>
        <v>0</v>
      </c>
      <c r="J22">
        <f>COUNTIFS('NC Qualité'!A:A,"&gt;=01/08/2020",'NC Qualité'!A:A,"&lt;=31/08/2020",'NC Qualité'!E:E,"Blocs à bancher",'NC Qualité'!I:I,"Armatures apparentes")</f>
        <v>0</v>
      </c>
      <c r="L22">
        <f>COUNTIFS('NC Qualité'!A:A,"&gt;=01/08/2020",'NC Qualité'!A:A,"&lt;=31/08/2020",'NC Qualité'!E:E,"Blocs à bancher",'NC Qualité'!I:I,"Non respect du délais de livraison de 14 jours")</f>
        <v>0</v>
      </c>
      <c r="N22">
        <f>COUNTIFS('NC Qualité'!A:A,"&gt;=01/08/2020",'NC Qualité'!A:A,"&lt;=31/08/2020",'NC Qualité'!E:E,"Blocs à bancher",'NC Qualité'!I:I,"Casse de l'élément")</f>
        <v>0</v>
      </c>
      <c r="O22">
        <f>COUNTIFS('NC Qualité'!A:A,"&gt;=01/08/2020",'NC Qualité'!A:A,"&lt;=31/08/2020",'NC Qualité'!E:E,"Blocs à bancher",'NC Qualité'!I:I,"Autres :")</f>
        <v>0</v>
      </c>
      <c r="P22" s="21"/>
      <c r="Q22" s="21"/>
      <c r="R22" s="21"/>
      <c r="S22" s="21"/>
      <c r="T22" s="21"/>
      <c r="U22" s="21"/>
      <c r="V22" s="21"/>
      <c r="W22" s="21"/>
      <c r="X22" s="26"/>
      <c r="AA22" s="31">
        <f>COUNTIFS('NC Qualité'!A:A,"&gt;=01/08/2020",'NC Qualité'!A:A,"&lt;=31/08/2020",'NC Qualité'!E:E,"Bordures",'NC Qualité'!S:S,1)</f>
        <v>0</v>
      </c>
      <c r="AB22" s="31">
        <f>COUNTIFS('NC Qualité'!A:A,"&gt;=01/08/2020",'NC Qualité'!A:A,"&lt;=31/08/2020",'NC Qualité'!E:E,"Bordures",'NC Qualité'!Q:Q,"A")</f>
        <v>0</v>
      </c>
    </row>
    <row r="23" spans="1:28" ht="21" x14ac:dyDescent="0.35">
      <c r="A23" s="67"/>
      <c r="B23" s="2"/>
      <c r="P23" s="21"/>
      <c r="Q23" s="21"/>
      <c r="R23" s="21"/>
      <c r="S23" s="21"/>
      <c r="T23" s="21"/>
      <c r="U23" s="21"/>
      <c r="V23" s="21"/>
      <c r="W23" s="21"/>
      <c r="X23" s="26"/>
      <c r="AA23" s="31">
        <f>COUNTIFS('NC Qualité'!A:A,"&gt;=01/08/2020",'NC Qualité'!A:A,"&lt;=31/08/2020",'NC Qualité'!E:E,"Caniveaux",'NC Qualité'!S:S,1)</f>
        <v>0</v>
      </c>
      <c r="AB23" s="31">
        <f>COUNTIFS('NC Qualité'!A:A,"&gt;=01/08/2020",'NC Qualité'!A:A,"&lt;=31/08/2020",'NC Qualité'!E:E,"Caniveaux",'NC Qualité'!Q:Q,"A")</f>
        <v>0</v>
      </c>
    </row>
    <row r="24" spans="1:28" ht="21" x14ac:dyDescent="0.35">
      <c r="A24" s="67"/>
      <c r="B24" s="15"/>
      <c r="P24" s="21"/>
      <c r="Q24" s="21"/>
      <c r="R24" s="21"/>
      <c r="S24" s="21"/>
      <c r="T24" s="21"/>
      <c r="U24" s="21"/>
      <c r="V24" s="21"/>
      <c r="W24" s="21"/>
      <c r="X24" s="26"/>
      <c r="AA24" s="31">
        <f>COUNTIFS('NC Qualité'!A:A,"&gt;=01/08/2020",'NC Qualité'!A:A,"&lt;=31/08/2020",'NC Qualité'!E:E,"Fielding : Bordures et Caniveaux",'NC Qualité'!S:S,1)</f>
        <v>0</v>
      </c>
      <c r="AB24" s="31">
        <f>COUNTIFS('NC Qualité'!A:A,"&gt;=01/08/2020",'NC Qualité'!A:A,"&lt;=31/08/2020",'NC Qualité'!E:E,"Fielding : Bordures et Caniveaux",'NC Qualité'!Q:Q,"A")</f>
        <v>0</v>
      </c>
    </row>
    <row r="25" spans="1:28" ht="21" x14ac:dyDescent="0.35">
      <c r="A25" s="67"/>
      <c r="B25" s="2"/>
      <c r="P25" s="21"/>
      <c r="Q25" s="21"/>
      <c r="R25" s="21"/>
      <c r="S25" s="21"/>
      <c r="T25" s="21"/>
      <c r="U25" s="21"/>
      <c r="V25" s="21"/>
      <c r="W25" s="21"/>
      <c r="X25" s="26"/>
      <c r="AA25" s="31">
        <f>COUNTIFS('NC Qualité'!A:A,"&gt;=01/08/2020",'NC Qualité'!A:A,"&lt;=31/08/2020",'NC Qualité'!E:E,"Modul : Tuyaux Dn 1800 à 2630",'NC Qualité'!S:S,1)</f>
        <v>0</v>
      </c>
      <c r="AB25" s="31">
        <f>COUNTIFS('NC Qualité'!A:A,"&gt;=01/08/2020",'NC Qualité'!A:A,"&lt;=31/08/2020",'NC Qualité'!E:E,"Modul : Tuyaux Dn 1800 à 2630",'NC Qualité'!Q:Q,"A")</f>
        <v>0</v>
      </c>
    </row>
    <row r="26" spans="1:28" ht="29" x14ac:dyDescent="0.35">
      <c r="A26" s="67" t="s">
        <v>41</v>
      </c>
      <c r="B26" s="2" t="s">
        <v>6</v>
      </c>
      <c r="C26" s="21"/>
      <c r="D26">
        <f>COUNTIFS('NC Qualité'!A:A,"&gt;=01/08/2020",'NC Qualité'!A:A,"&lt;=31/08/2020",'NC Qualité'!E:E,"Panneau coulé à plat",'NC Qualité'!I:I,"Problème d'étiquetage")</f>
        <v>0</v>
      </c>
      <c r="E26" s="21"/>
      <c r="F26">
        <f>COUNTIFS('NC Qualité'!A:A,"&gt;=01/08/2020",'NC Qualité'!A:A,"&lt;=31/08/2020",'NC Qualité'!E:E,"Panneau coulé à plat",'NC Qualité'!I:I,"Aspect béton (tâches / nid d'abeilles / granuleux / Fissures etc.)")</f>
        <v>0</v>
      </c>
      <c r="G26" s="21"/>
      <c r="H26">
        <f>COUNTIFS('NC Qualité'!A:A,"&gt;=01/08/2020",'NC Qualité'!A:A,"&lt;=31/08/2020",'NC Qualité'!E:E,"Panneau coulé à plat",'NC Qualité'!I:I,"Ancre de levage")</f>
        <v>0</v>
      </c>
      <c r="I26" s="21"/>
      <c r="J26">
        <f>COUNTIFS('NC Qualité'!A:A,"&gt;=01/08/2020",'NC Qualité'!A:A,"&lt;=31/08/2020",'NC Qualité'!E:E,"Modul : Tuyaux Dn 1800 à 2630",'NC Qualité'!I:I,"Armatures apparentes")</f>
        <v>0</v>
      </c>
      <c r="K26" s="21"/>
      <c r="L26" s="21"/>
      <c r="M26" s="21"/>
      <c r="N26" s="21"/>
      <c r="O26">
        <f>COUNTIFS('NC Qualité'!A:A,"&gt;=01/08/2020",'NC Qualité'!A:A,"&lt;=31/08/2020",'NC Qualité'!E:E,"Panneau coulé à plat",'NC Qualité'!I:I,"Autres :")</f>
        <v>0</v>
      </c>
      <c r="P26">
        <f>COUNTIFS('NC Qualité'!A:A,"&gt;=01/08/2020",'NC Qualité'!A:A,"&lt;=31/08/2020",'NC Qualité'!E:E,"Panneau coulé à plat",'NC Qualité'!I:I,"Accessoires (Mauvais positionnement , manquement, etc.)")</f>
        <v>0</v>
      </c>
      <c r="Q26">
        <f>COUNTIFS('NC Qualité'!A:A,"&gt;=01/08/2020",'NC Qualité'!A:A,"&lt;=31/08/2020",'NC Qualité'!E:E,"Panneau coulé à plat",'NC Qualité'!I:I,"équerrisage")</f>
        <v>0</v>
      </c>
      <c r="R26">
        <f>COUNTIFS('NC Qualité'!A:A,"&gt;=01/08/2020",'NC Qualité'!A:A,"&lt;=31/08/2020",'NC Qualité'!E:E,"Panneau coulé à plat",'NC Qualité'!I:I,"Seuil de porte (réservation)")</f>
        <v>0</v>
      </c>
      <c r="S26">
        <f>COUNTIFS('NC Qualité'!A:A,"&gt;=01/08/2020",'NC Qualité'!A:A,"&lt;=31/08/2020",'NC Qualité'!E:E,"Panneau coulé à plat",'NC Qualité'!I:I,"épaisseur")</f>
        <v>0</v>
      </c>
      <c r="T26">
        <f>COUNTIFS('NC Qualité'!A:A,"&gt;=01/08/2020",'NC Qualité'!A:A,"&lt;=31/08/2020",'NC Qualité'!E:E,"Panneau coulé à plat",'NC Qualité'!I:I,"Chanfrein")</f>
        <v>0</v>
      </c>
      <c r="U26">
        <f>COUNTIFS('NC Qualité'!A:A,"&gt;=01/08/2020",'NC Qualité'!A:A,"&lt;=31/08/2020",'NC Qualité'!E:E,"Panneau coulé à plat",'NC Qualité'!I:I,"Dimensionnement (entraînant un rebut)")</f>
        <v>0</v>
      </c>
      <c r="V26">
        <f>COUNTIFS('NC Qualité'!A:A,"&gt;=01/08/2020",'NC Qualité'!A:A,"&lt;=31/08/2020",'NC Qualité'!E:E,"Panneau coulé à plat",'NC Qualité'!I:I,"Cintrage")</f>
        <v>0</v>
      </c>
      <c r="W26">
        <f>COUNTIFS('NC Qualité'!A:A,"&gt;=01/08/2020",'NC Qualité'!A:A,"&lt;=31/08/2020",'NC Qualité'!E:E,"Panneau coulé à plat",'NC Qualité'!I:I,"Problème de chargement (sanglage, casse etc.)")</f>
        <v>0</v>
      </c>
      <c r="X26" s="27">
        <f>COUNTIFS('NC Qualité'!A:A,"&gt;=01/08/2020",'NC Qualité'!A:A,"&lt;=31/08/2020",'NC Qualité'!E:E,"Panneau coulé à plat",'NC Qualité'!I:I,"Erreur de chargement ")</f>
        <v>0</v>
      </c>
      <c r="AA26" s="31">
        <f>COUNTIFS('NC Qualité'!A:A,"&gt;=01/08/2020",'NC Qualité'!A:A,"&lt;=31/08/2020",'NC Qualité'!E:E,"Panneau coulé à plat",'NC Qualité'!S:S,1)</f>
        <v>0</v>
      </c>
      <c r="AB26" s="31">
        <f>COUNTIFS('NC Qualité'!A:A,"&gt;=01/08/2020",'NC Qualité'!A:A,"&lt;=31/08/2020",'NC Qualité'!E:E,"Panneau coulé à plat",'NC Qualité'!Q:Q,"A")</f>
        <v>0</v>
      </c>
    </row>
    <row r="27" spans="1:28" ht="21" x14ac:dyDescent="0.35">
      <c r="A27" s="67"/>
      <c r="B27" s="2" t="s">
        <v>0</v>
      </c>
      <c r="C27" s="21"/>
      <c r="D27">
        <f>COUNTIFS('NC Qualité'!A:A,"&gt;=01/08/2020",'NC Qualité'!A:A,"&lt;=31/08/2020",'NC Qualité'!E:E,"Bianchi",'NC Qualité'!I:I,"Problème d'étiquetage")</f>
        <v>0</v>
      </c>
      <c r="E27" s="21"/>
      <c r="F27">
        <f>COUNTIFS('NC Qualité'!A:A,"&gt;=01/08/2020",'NC Qualité'!A:A,"&lt;=31/08/2020",'NC Qualité'!E:E,"Bianchi",'NC Qualité'!I:I,"Aspect béton (tâches / nid d'abeilles / granuleux / Fissures etc.)")</f>
        <v>0</v>
      </c>
      <c r="G27" s="21"/>
      <c r="H27">
        <f>COUNTIFS('NC Qualité'!A:A,"&gt;=01/08/2020",'NC Qualité'!A:A,"&lt;=31/08/2020",'NC Qualité'!E:E,"Bianchi",'NC Qualité'!I:I,"Ancre de levage")</f>
        <v>0</v>
      </c>
      <c r="I27" s="21"/>
      <c r="J27">
        <f>COUNTIFS('NC Qualité'!A:A,"&gt;=01/08/2020",'NC Qualité'!A:A,"&lt;=31/08/2020",'NC Qualité'!E:E,"Bianchi",'NC Qualité'!I:I,"Armatures apparentes")</f>
        <v>0</v>
      </c>
      <c r="K27" s="21"/>
      <c r="L27" s="21"/>
      <c r="M27" s="21"/>
      <c r="N27" s="21"/>
      <c r="O27">
        <f>COUNTIFS('NC Qualité'!A:A,"&gt;=01/08/2020",'NC Qualité'!A:A,"&lt;=31/08/2020",'NC Qualité'!E:E,"Bianchi",'NC Qualité'!I:I,"Autres :")</f>
        <v>0</v>
      </c>
      <c r="P27">
        <f>COUNTIFS('NC Qualité'!A:A,"&gt;=01/08/2020",'NC Qualité'!A:A,"&lt;=31/08/2020",'NC Qualité'!E:E,"Bianchi",'NC Qualité'!I:I,"Accessoires (Mauvais positionnement , manquement, etc.)")</f>
        <v>0</v>
      </c>
      <c r="Q27">
        <f>COUNTIFS('NC Qualité'!A:A,"&gt;=01/08/2020",'NC Qualité'!A:A,"&lt;=31/08/2020",'NC Qualité'!E:E,"Bianchi",'NC Qualité'!I:I,"équerrisage")</f>
        <v>0</v>
      </c>
      <c r="R27">
        <f>COUNTIFS('NC Qualité'!A:A,"&gt;=01/08/2020",'NC Qualité'!A:A,"&lt;=31/08/2020",'NC Qualité'!E:E,"Bianchi",'NC Qualité'!I:I,"Seuil de porte (réservation)")</f>
        <v>0</v>
      </c>
      <c r="S27">
        <f>COUNTIFS('NC Qualité'!A:A,"&gt;=01/08/2020",'NC Qualité'!A:A,"&lt;=31/08/2020",'NC Qualité'!E:E,"Bianchi",'NC Qualité'!I:I,"épaisseur")</f>
        <v>0</v>
      </c>
      <c r="T27">
        <f>COUNTIFS('NC Qualité'!A:A,"&gt;=01/08/2020",'NC Qualité'!A:A,"&lt;=31/08/2020",'NC Qualité'!E:E,"Bianchi",'NC Qualité'!I:I,"Chanfrein")</f>
        <v>0</v>
      </c>
      <c r="U27">
        <f>COUNTIFS('NC Qualité'!A:A,"&gt;=01/08/2020",'NC Qualité'!A:A,"&lt;=31/08/2020",'NC Qualité'!E:E,"Bianchi",'NC Qualité'!I:I,"Dimensionnement (entraînant un rebut)")</f>
        <v>0</v>
      </c>
      <c r="V27">
        <f>COUNTIFS('NC Qualité'!A:A,"&gt;=01/08/2020",'NC Qualité'!A:A,"&lt;=31/08/2020",'NC Qualité'!E:E,"Bianchi",'NC Qualité'!I:I,"Cintrage")</f>
        <v>0</v>
      </c>
      <c r="W27">
        <f>COUNTIFS('NC Qualité'!A:A,"&gt;=01/08/2020",'NC Qualité'!A:A,"&lt;=31/08/2020",'NC Qualité'!E:E,"Bianchi",'NC Qualité'!I:I,"Problème de chargement (sanglage, casse etc.)")</f>
        <v>0</v>
      </c>
      <c r="X27" s="27">
        <f>COUNTIFS('NC Qualité'!A:A,"&gt;=01/08/2020",'NC Qualité'!A:A,"&lt;=31/08/2020",'NC Qualité'!E:E,"Bianchi",'NC Qualité'!I:I,"Erreur de chargement ")</f>
        <v>0</v>
      </c>
      <c r="AA27" s="31">
        <f>COUNTIFS('NC Qualité'!A:A,"&gt;=01/08/2020",'NC Qualité'!A:A,"&lt;=31/08/2020",'NC Qualité'!E:E,"Bianchi",'NC Qualité'!S:S,1)</f>
        <v>0</v>
      </c>
      <c r="AB27" s="31">
        <f>COUNTIFS('NC Qualité'!A:A,"&gt;=01/08/2020",'NC Qualité'!A:A,"&lt;=31/08/2020",'NC Qualité'!E:E,"Bianchi",'NC Qualité'!Q:Q,"A")</f>
        <v>0</v>
      </c>
    </row>
    <row r="28" spans="1:28" ht="29" x14ac:dyDescent="0.35">
      <c r="A28" s="67"/>
      <c r="B28" s="2" t="s">
        <v>3</v>
      </c>
      <c r="C28" s="21"/>
      <c r="D28">
        <f>COUNTIFS('NC Qualité'!A:A,"&gt;=01/08/2020",'NC Qualité'!A:A,"&lt;=31/08/2020",'NC Qualité'!E:E,"Préfabrication",'NC Qualité'!I:I,"Problème d'étiquetage")</f>
        <v>0</v>
      </c>
      <c r="E28" s="21"/>
      <c r="F28">
        <f>COUNTIFS('NC Qualité'!A:A,"&gt;=01/08/2020",'NC Qualité'!A:A,"&lt;=31/08/2020",'NC Qualité'!E:E,"Préfabrication",'NC Qualité'!I:I,"Aspect béton (tâches / nid d'abeilles / granuleux / Fissures etc.)")</f>
        <v>0</v>
      </c>
      <c r="G28" s="21"/>
      <c r="H28">
        <f>COUNTIFS('NC Qualité'!A:A,"&gt;=01/08/2020",'NC Qualité'!A:A,"&lt;=31/08/2020",'NC Qualité'!E:E,"Préfabrication",'NC Qualité'!I:I,"Ancre de levage")</f>
        <v>0</v>
      </c>
      <c r="I28" s="21"/>
      <c r="J28">
        <f>COUNTIFS('NC Qualité'!A:A,"&gt;=01/08/2020",'NC Qualité'!A:A,"&lt;=31/08/2020",'NC Qualité'!E:E,"Préfabrication",'NC Qualité'!I:I,"Armatures apparentes")</f>
        <v>0</v>
      </c>
      <c r="K28" s="21"/>
      <c r="L28" s="21"/>
      <c r="M28" s="21"/>
      <c r="N28" s="21"/>
      <c r="O28">
        <f>COUNTIFS('NC Qualité'!A:A,"&gt;=01/08/2020",'NC Qualité'!A:A,"&lt;=31/08/2020",'NC Qualité'!E:E,"Préfabrication",'NC Qualité'!I:I,"Autres :")</f>
        <v>0</v>
      </c>
      <c r="P28">
        <f>COUNTIFS('NC Qualité'!A:A,"&gt;=01/08/2020",'NC Qualité'!A:A,"&lt;=31/08/2020",'NC Qualité'!E:E,"Préfabrication",'NC Qualité'!I:I,"Accessoires (Mauvais positionnement , manquement, etc.)")</f>
        <v>0</v>
      </c>
      <c r="Q28">
        <f>COUNTIFS('NC Qualité'!A:A,"&gt;=01/08/2020",'NC Qualité'!A:A,"&lt;=31/08/2020",'NC Qualité'!E:E,"Préfabrication",'NC Qualité'!I:I,"équerrisage")</f>
        <v>0</v>
      </c>
      <c r="R28">
        <f>COUNTIFS('NC Qualité'!A:A,"&gt;=01/08/2020",'NC Qualité'!A:A,"&lt;=31/08/2020",'NC Qualité'!E:E,"Préfabrication",'NC Qualité'!I:I,"Seuil de porte (réservation)")</f>
        <v>0</v>
      </c>
      <c r="S28">
        <f>COUNTIFS('NC Qualité'!A:A,"&gt;=01/08/2020",'NC Qualité'!A:A,"&lt;=31/08/2020",'NC Qualité'!E:E,"Préfabrication",'NC Qualité'!I:I,"épaisseur")</f>
        <v>0</v>
      </c>
      <c r="T28">
        <f>COUNTIFS('NC Qualité'!A:A,"&gt;=01/08/2020",'NC Qualité'!A:A,"&lt;=31/08/2020",'NC Qualité'!E:E,"Préfabrication",'NC Qualité'!I:I,"Chanfrein")</f>
        <v>0</v>
      </c>
      <c r="U28">
        <f>COUNTIFS('NC Qualité'!A:A,"&gt;=01/08/2020",'NC Qualité'!A:A,"&lt;=31/08/2020",'NC Qualité'!E:E,"Préfabrication",'NC Qualité'!I:I,"Dimensionnement (entraînant un rebut)")</f>
        <v>0</v>
      </c>
      <c r="V28">
        <f>COUNTIFS('NC Qualité'!A:A,"&gt;=01/08/2020",'NC Qualité'!A:A,"&lt;=31/08/2020",'NC Qualité'!E:E,"Préfabrication",'NC Qualité'!I:I,"Cintrage")</f>
        <v>0</v>
      </c>
      <c r="W28">
        <f>COUNTIFS('NC Qualité'!A:A,"&gt;=01/08/2020",'NC Qualité'!A:A,"&lt;=31/08/2020",'NC Qualité'!E:E,"Préfabrication",'NC Qualité'!I:I,"Problème de chargement (sanglage, casse etc.)")</f>
        <v>0</v>
      </c>
      <c r="X28" s="27">
        <f>COUNTIFS('NC Qualité'!A:A,"&gt;=01/08/2020",'NC Qualité'!A:A,"&lt;=31/08/2020",'NC Qualité'!E:E,"Préfabrication",'NC Qualité'!I:I,"Erreur de chargement ")</f>
        <v>0</v>
      </c>
      <c r="AA28" s="31">
        <f>COUNTIFS('NC Qualité'!A:A,"&gt;=01/08/2020",'NC Qualité'!A:A,"&lt;=31/08/2020",'NC Qualité'!E:E,"Préfabrication",'NC Qualité'!S:S,1)</f>
        <v>0</v>
      </c>
      <c r="AB28" s="31">
        <f>COUNTIFS('NC Qualité'!A:A,"&gt;=01/08/2020",'NC Qualité'!A:A,"&lt;=31/08/2020",'NC Qualité'!E:E,"Préfabrication",'NC Qualité'!Q:Q,"A")</f>
        <v>0</v>
      </c>
    </row>
    <row r="29" spans="1:28" ht="29" x14ac:dyDescent="0.35">
      <c r="A29" s="67"/>
      <c r="B29" s="16" t="s">
        <v>2</v>
      </c>
      <c r="C29" s="21"/>
      <c r="D29">
        <f>COUNTIFS('NC Qualité'!A:A,"&gt;=01/08/2020",'NC Qualité'!A:A,"&lt;=31/08/2020",'NC Qualité'!E:E,"Précontraint",'NC Qualité'!I:I,"Problème d'étiquetage")</f>
        <v>0</v>
      </c>
      <c r="E29" s="21"/>
      <c r="F29">
        <f>COUNTIFS('NC Qualité'!A:A,"&gt;=01/08/2020",'NC Qualité'!A:A,"&lt;=31/08/2020",'NC Qualité'!E:E,"Précontraint",'NC Qualité'!I:I,"Aspect béton (tâches / nid d'abeilles / granuleux / Fissures etc.)")</f>
        <v>0</v>
      </c>
      <c r="G29" s="21"/>
      <c r="H29">
        <f>COUNTIFS('NC Qualité'!A:A,"&gt;=01/08/2020",'NC Qualité'!A:A,"&lt;=31/08/2020",'NC Qualité'!E:E,"Précontraint",'NC Qualité'!I:I,"Ancre de levage")</f>
        <v>0</v>
      </c>
      <c r="I29" s="21"/>
      <c r="J29">
        <f>COUNTIFS('NC Qualité'!A:A,"&gt;=01/08/2020",'NC Qualité'!A:A,"&lt;=31/08/2020",'NC Qualité'!E:E,"Précontraint",'NC Qualité'!I:I,"Armatures apparentes")</f>
        <v>0</v>
      </c>
      <c r="K29" s="21"/>
      <c r="L29" s="21"/>
      <c r="M29" s="21"/>
      <c r="N29" s="21"/>
      <c r="O29">
        <f>COUNTIFS('NC Qualité'!A:A,"&gt;=01/08/2020",'NC Qualité'!A:A,"&lt;=31/08/2020",'NC Qualité'!E:E,"Précontraint",'NC Qualité'!I:I,"Autres :")</f>
        <v>0</v>
      </c>
      <c r="P29">
        <f>COUNTIFS('NC Qualité'!A:A,"&gt;=01/08/2020",'NC Qualité'!A:A,"&lt;=31/08/2020",'NC Qualité'!E:E,"Précontraint",'NC Qualité'!I:I,"Accessoires (Mauvais positionnement , manquement, etc.)")</f>
        <v>0</v>
      </c>
      <c r="Q29">
        <f>COUNTIFS('NC Qualité'!A:A,"&gt;=01/08/2020",'NC Qualité'!A:A,"&lt;=31/08/2020",'NC Qualité'!E:E,"Précontraint",'NC Qualité'!I:I,"équerrisage")</f>
        <v>0</v>
      </c>
      <c r="R29">
        <f>COUNTIFS('NC Qualité'!A:A,"&gt;=01/08/2020",'NC Qualité'!A:A,"&lt;=31/08/2020",'NC Qualité'!E:E,"Précontraint",'NC Qualité'!I:I,"Seuil de porte (réservation)")</f>
        <v>0</v>
      </c>
      <c r="S29">
        <f>COUNTIFS('NC Qualité'!A:A,"&gt;=01/08/2020",'NC Qualité'!A:A,"&lt;=31/08/2020",'NC Qualité'!E:E,"Précontraint",'NC Qualité'!I:I,"épaisseur")</f>
        <v>0</v>
      </c>
      <c r="T29">
        <f>COUNTIFS('NC Qualité'!A:A,"&gt;=01/08/2020",'NC Qualité'!A:A,"&lt;=31/08/2020",'NC Qualité'!E:E,"Précontraint",'NC Qualité'!I:I,"Chanfrein")</f>
        <v>0</v>
      </c>
      <c r="U29">
        <f>COUNTIFS('NC Qualité'!A:A,"&gt;=01/08/2020",'NC Qualité'!A:A,"&lt;=31/08/2020",'NC Qualité'!E:E,"Précontraint",'NC Qualité'!I:I,"Dimensionnement (entraînant un rebut)")</f>
        <v>0</v>
      </c>
      <c r="V29">
        <f>COUNTIFS('NC Qualité'!A:A,"&gt;=01/08/2020",'NC Qualité'!A:A,"&lt;=31/08/2020",'NC Qualité'!E:E,"Précontraint",'NC Qualité'!I:I,"Cintrage")</f>
        <v>0</v>
      </c>
      <c r="W29">
        <f>COUNTIFS('NC Qualité'!A:A,"&gt;=01/08/2020",'NC Qualité'!A:A,"&lt;=31/08/2020",'NC Qualité'!E:E,"Précontraint",'NC Qualité'!I:I,"Problème de chargement (sanglage, casse etc.)")</f>
        <v>0</v>
      </c>
      <c r="X29" s="27">
        <f>COUNTIFS('NC Qualité'!A:A,"&gt;=01/08/2020",'NC Qualité'!A:A,"&lt;=31/08/2020",'NC Qualité'!E:E,"Précontraint",'NC Qualité'!I:I,"Erreur de chargement ")</f>
        <v>0</v>
      </c>
      <c r="AA29" s="31">
        <f>COUNTIFS('NC Qualité'!A:A,"&gt;=01/08/2020",'NC Qualité'!A:A,"&lt;=31/08/2020",'NC Qualité'!E:E,"Précontraint",'NC Qualité'!S:S,1)</f>
        <v>0</v>
      </c>
      <c r="AB29" s="31">
        <f>COUNTIFS('NC Qualité'!A:A,"&gt;=01/08/2020",'NC Qualité'!A:A,"&lt;=31/08/2020",'NC Qualité'!E:E,"Précontraint",'NC Qualité'!Q:Q,"A")</f>
        <v>0</v>
      </c>
    </row>
    <row r="30" spans="1:28" ht="21" x14ac:dyDescent="0.35">
      <c r="A30" s="67"/>
      <c r="B30" s="2" t="s">
        <v>1</v>
      </c>
      <c r="C30" s="22"/>
      <c r="D30" s="23">
        <f>COUNTIFS('NC Qualité'!A:A,"&gt;=01/08/2020",'NC Qualité'!A:A,"&lt;=31/08/2020",'NC Qualité'!E:E,"Parc",'NC Qualité'!I:I,"Problème d'étiquetage")</f>
        <v>0</v>
      </c>
      <c r="E30" s="24"/>
      <c r="F30" s="23">
        <f>COUNTIFS('NC Qualité'!A:A,"&gt;=01/08/2020",'NC Qualité'!A:A,"&lt;=31/08/2020",'NC Qualité'!E:E,"Parc",'NC Qualité'!I:I,"Aspect béton (tâches / nid d'abeilles / granuleux / Fissures etc.)")</f>
        <v>0</v>
      </c>
      <c r="G30" s="24"/>
      <c r="H30" s="23">
        <f>COUNTIFS('NC Qualité'!A:A,"&gt;=01/08/2020",'NC Qualité'!A:A,"&lt;=31/08/2020",'NC Qualité'!E:E,"Parc",'NC Qualité'!I:I,"Ancre de levage")</f>
        <v>0</v>
      </c>
      <c r="I30" s="24"/>
      <c r="J30" s="23">
        <f>COUNTIFS('NC Qualité'!A:A,"&gt;=01/08/2020",'NC Qualité'!A:A,"&lt;=31/08/2020",'NC Qualité'!E:E,"Parc",'NC Qualité'!I:I,"Armatures apparentes")</f>
        <v>0</v>
      </c>
      <c r="K30" s="24"/>
      <c r="L30" s="24"/>
      <c r="M30" s="24"/>
      <c r="N30" s="24"/>
      <c r="O30" s="23">
        <f>COUNTIFS('NC Qualité'!A:A,"&gt;=01/08/2020",'NC Qualité'!A:A,"&lt;=31/08/2020",'NC Qualité'!E:E,"Parc",'NC Qualité'!I:I,"Autres :")</f>
        <v>0</v>
      </c>
      <c r="P30" s="23">
        <f>COUNTIFS('NC Qualité'!A:A,"&gt;=01/08/2020",'NC Qualité'!A:A,"&lt;=31/08/2020",'NC Qualité'!E:E,"Parc",'NC Qualité'!I:I,"Accessoires (Mauvais positionnement , manquement, etc.)")</f>
        <v>0</v>
      </c>
      <c r="Q30" s="23">
        <f>COUNTIFS('NC Qualité'!A:A,"&gt;=01/08/2020",'NC Qualité'!A:A,"&lt;=31/08/2020",'NC Qualité'!E:E,"Parc",'NC Qualité'!I:I,"équerrisage")</f>
        <v>0</v>
      </c>
      <c r="R30" s="23">
        <f>COUNTIFS('NC Qualité'!A:A,"&gt;=01/08/2020",'NC Qualité'!A:A,"&lt;=31/08/2020",'NC Qualité'!E:E,"Parc",'NC Qualité'!I:I,"Seuil de porte (réservation)")</f>
        <v>0</v>
      </c>
      <c r="S30" s="23">
        <f>COUNTIFS('NC Qualité'!A:A,"&gt;=01/08/2020",'NC Qualité'!A:A,"&lt;=31/08/2020",'NC Qualité'!E:E,"Parc",'NC Qualité'!I:I,"épaisseur")</f>
        <v>0</v>
      </c>
      <c r="T30" s="23">
        <f>COUNTIFS('NC Qualité'!A:A,"&gt;=01/08/2020",'NC Qualité'!A:A,"&lt;=31/08/2020",'NC Qualité'!E:E,"Parc",'NC Qualité'!I:I,"Chanfrein")</f>
        <v>0</v>
      </c>
      <c r="U30" s="23">
        <f>COUNTIFS('NC Qualité'!A:A,"&gt;=01/08/2020",'NC Qualité'!A:A,"&lt;=31/08/2020",'NC Qualité'!E:E,"Parc",'NC Qualité'!I:I,"Dimensionnement (entraînant un rebut)")</f>
        <v>0</v>
      </c>
      <c r="V30" s="23">
        <f>COUNTIFS('NC Qualité'!A:A,"&gt;=01/08/2020",'NC Qualité'!A:A,"&lt;=31/08/2020",'NC Qualité'!E:E,"Parc",'NC Qualité'!I:I,"Cintrage")</f>
        <v>0</v>
      </c>
      <c r="W30" s="23">
        <f>COUNTIFS('NC Qualité'!A:A,"&gt;=01/08/2020",'NC Qualité'!A:A,"&lt;=31/08/2020",'NC Qualité'!E:E,"Parc",'NC Qualité'!I:I,"Problème de chargement (sanglage, casse etc.)")</f>
        <v>0</v>
      </c>
      <c r="X30" s="28">
        <f>COUNTIFS('NC Qualité'!A:A,"&gt;=01/08/2020",'NC Qualité'!A:A,"&lt;=31/08/2020",'NC Qualité'!E:E,"Parc",'NC Qualité'!I:I,"Erreur de chargement ")</f>
        <v>0</v>
      </c>
      <c r="AA30" s="31">
        <f>COUNTIFS('NC Qualité'!A:A,"&gt;=01/08/2020",'NC Qualité'!A:A,"&lt;=31/08/2020",'NC Qualité'!E:E,"Parc",'NC Qualité'!S:S,1)</f>
        <v>0</v>
      </c>
      <c r="AB30" s="31">
        <f>COUNTIFS('NC Qualité'!A:A,"&gt;=01/08/2020",'NC Qualité'!A:A,"&lt;=31/08/2020",'NC Qualité'!E:E,"Parc",'NC Qualité'!Q:Q,"A")</f>
        <v>0</v>
      </c>
    </row>
    <row r="31" spans="1:28" ht="23.5" x14ac:dyDescent="0.35">
      <c r="AA31" s="34">
        <f>SUM(AA19:AA30)</f>
        <v>0</v>
      </c>
      <c r="AB31" s="34">
        <f>SUM(AB19:AB30)</f>
        <v>0</v>
      </c>
    </row>
    <row r="32" spans="1:28" ht="15" thickBot="1" x14ac:dyDescent="0.4"/>
    <row r="33" spans="1:28" ht="15" thickBot="1" x14ac:dyDescent="0.4">
      <c r="A33" s="42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4"/>
    </row>
    <row r="34" spans="1:28" x14ac:dyDescent="0.35">
      <c r="B34" t="s">
        <v>63</v>
      </c>
    </row>
    <row r="35" spans="1:28" ht="105" x14ac:dyDescent="0.35">
      <c r="B35" s="14" t="s">
        <v>29</v>
      </c>
      <c r="C35" s="20" t="s">
        <v>25</v>
      </c>
      <c r="D35" s="20" t="s">
        <v>78</v>
      </c>
      <c r="E35" s="20" t="s">
        <v>79</v>
      </c>
      <c r="F35" s="20" t="s">
        <v>77</v>
      </c>
      <c r="G35" s="20"/>
      <c r="H35" s="20"/>
      <c r="I35" s="20"/>
      <c r="J35" s="20" t="s">
        <v>35</v>
      </c>
      <c r="K35" s="20"/>
      <c r="L35" s="20" t="s">
        <v>82</v>
      </c>
      <c r="M35" s="20"/>
      <c r="N35" s="20" t="s">
        <v>39</v>
      </c>
      <c r="O35" s="20" t="s">
        <v>40</v>
      </c>
      <c r="P35" s="20" t="s">
        <v>24</v>
      </c>
      <c r="Q35" s="20" t="s">
        <v>43</v>
      </c>
      <c r="R35" s="20" t="s">
        <v>27</v>
      </c>
      <c r="S35" s="20" t="s">
        <v>44</v>
      </c>
      <c r="T35" s="20" t="s">
        <v>5</v>
      </c>
      <c r="U35" s="20" t="s">
        <v>25</v>
      </c>
      <c r="V35" s="20" t="s">
        <v>7</v>
      </c>
      <c r="W35" s="20" t="s">
        <v>28</v>
      </c>
      <c r="X35" s="20" t="s">
        <v>45</v>
      </c>
      <c r="AA35" s="33" t="s">
        <v>47</v>
      </c>
      <c r="AB35" s="32" t="s">
        <v>46</v>
      </c>
    </row>
    <row r="36" spans="1:28" ht="21" customHeight="1" x14ac:dyDescent="0.35">
      <c r="A36" s="67" t="s">
        <v>42</v>
      </c>
      <c r="B36" s="2" t="s">
        <v>70</v>
      </c>
      <c r="C36">
        <f>COUNTIFS('NC Qualité'!A:A,"&gt;=01/09/2020",'NC Qualité'!A:A,"&lt;=31/09/2020",'NC Qualité'!E:E,"Blocs",'NC Qualité'!I:I,"Dimensionnement (entraînant un rebut)")</f>
        <v>0</v>
      </c>
      <c r="D36">
        <f>COUNTIFS('NC Qualité'!A:A,"&gt;=01/09/2020",'NC Qualité'!A:A,"&lt;=31/09/2020",'NC Qualité'!E:E,"Blocs",'NC Qualité'!I:I,"Perçage du voile de pose")</f>
        <v>0</v>
      </c>
      <c r="E36">
        <f>COUNTIFS('NC Qualité'!A:A,"&gt;=01/09/2020",'NC Qualité'!A:A,"&lt;=31/09/2020",'NC Qualité'!E:E,"Blocs",'NC Qualité'!I:I,"étanchéité")</f>
        <v>0</v>
      </c>
      <c r="F36">
        <f>COUNTIFS('NC Qualité'!A:A,"&gt;=01/09/2020",'NC Qualité'!A:A,"&lt;=31/09/2020",'NC Qualité'!E:E,"Blocs",'NC Qualité'!I:I,"Aspect béton (Fissures, etc.)")</f>
        <v>0</v>
      </c>
      <c r="J36">
        <f>COUNTIFS('NC Qualité'!A:A,"&gt;=01/09/2020",'NC Qualité'!A:A,"&lt;=31/09/2020",'NC Qualité'!E:E,"Blocs",'NC Qualité'!I:I,"Armatures apparentes")</f>
        <v>0</v>
      </c>
      <c r="L36">
        <f>COUNTIFS('NC Qualité'!A:A,"&gt;=01/09/2020",'NC Qualité'!A:A,"&lt;=31/09/2020",'NC Qualité'!E:E,"Blocs",'NC Qualité'!I:I,"Délais de livraison")</f>
        <v>0</v>
      </c>
      <c r="N36">
        <f>COUNTIFS('NC Qualité'!A:A,"&gt;=01/09/2020",'NC Qualité'!A:A,"&lt;=31/09/2020",'NC Qualité'!E:E,"Blocs",'NC Qualité'!I:I,"Casse de l'élément")</f>
        <v>0</v>
      </c>
      <c r="O36">
        <f>COUNTIFS('NC Qualité'!A:A,"&gt;=01/09/2020",'NC Qualité'!A:A,"&lt;=31/09/2020",'NC Qualité'!E:E,"Blocs",'NC Qualité'!I:I,"Autres :")</f>
        <v>0</v>
      </c>
      <c r="P36" s="21"/>
      <c r="Q36" s="21"/>
      <c r="R36" s="21"/>
      <c r="S36" s="21"/>
      <c r="T36" s="21"/>
      <c r="U36" s="21"/>
      <c r="V36" s="21"/>
      <c r="W36" s="21"/>
      <c r="X36" s="25"/>
      <c r="AA36" s="31">
        <f>COUNTIFS('NC Qualité'!A:A,"&gt;=01/09/2020",'NC Qualité'!A:A,"&lt;=30/09/2020",'NC Qualité'!E:E,"Blocs",'NC Qualité'!S:S,1)</f>
        <v>0</v>
      </c>
      <c r="AB36" s="31">
        <f>COUNTIFS('NC Qualité'!A:A,"&gt;=01/09/2020",'NC Qualité'!A:A,"&lt;=30/09/2020",'NC Qualité'!E:E,"Blocs",'NC Qualité'!Q:Q,"A")</f>
        <v>0</v>
      </c>
    </row>
    <row r="37" spans="1:28" ht="21" x14ac:dyDescent="0.35">
      <c r="A37" s="67"/>
      <c r="B37" s="2" t="s">
        <v>71</v>
      </c>
      <c r="C37">
        <f>COUNTIFS('NC Qualité'!A:A,"&gt;=01/09/2020",'NC Qualité'!A:A,"&lt;=31/09/2020",'NC Qualité'!E:E,"Poutrelles",'NC Qualité'!I:I,"Dimensionnement (entraînant un rebut)")</f>
        <v>0</v>
      </c>
      <c r="D37">
        <f>COUNTIFS('NC Qualité'!A:A,"&gt;=01/09/2020",'NC Qualité'!A:A,"&lt;=31/09/2020",'NC Qualité'!E:E,"Poutrelles",'NC Qualité'!I:I,"Perçage du voile de pose")</f>
        <v>0</v>
      </c>
      <c r="E37">
        <f>COUNTIFS('NC Qualité'!A:A,"&gt;=01/09/2020",'NC Qualité'!A:A,"&lt;=31/09/2020",'NC Qualité'!E:E,"Poutrelles",'NC Qualité'!I:I,"Palettisation")</f>
        <v>0</v>
      </c>
      <c r="F37">
        <f>COUNTIFS('NC Qualité'!A:A,"&gt;=01/09/2020",'NC Qualité'!A:A,"&lt;=31/09/2020",'NC Qualité'!E:E,"Poutrelles",'NC Qualité'!I:I,"Aspect béton (Fissures, etc.)")</f>
        <v>0</v>
      </c>
      <c r="J37">
        <f>COUNTIFS('NC Qualité'!A:A,"&gt;=01/09/2020",'NC Qualité'!A:A,"&lt;=31/09/2020",'NC Qualité'!E:E,"Poutrelles",'NC Qualité'!I:I,"Armatures apparentes")</f>
        <v>0</v>
      </c>
      <c r="L37">
        <f>COUNTIFS('NC Qualité'!A:A,"&gt;=01/09/2020",'NC Qualité'!A:A,"&lt;=31/09/2020",'NC Qualité'!E:E,"Poutrelles",'NC Qualité'!I:I,"Délais de livraison")</f>
        <v>0</v>
      </c>
      <c r="N37">
        <f>COUNTIFS('NC Qualité'!A:A,"&gt;=01/09/2020",'NC Qualité'!A:A,"&lt;=31/09/2020",'NC Qualité'!E:E,"Poutrelles",'NC Qualité'!I:I,"Casse de l'élément")</f>
        <v>0</v>
      </c>
      <c r="O37">
        <f>COUNTIFS('NC Qualité'!A:A,"&gt;=01/09/2020",'NC Qualité'!A:A,"&lt;=31/09/2020",'NC Qualité'!E:E,"Poutrelles",'NC Qualité'!I:I,"Autres :")</f>
        <v>0</v>
      </c>
      <c r="P37" s="21"/>
      <c r="Q37" s="21"/>
      <c r="R37" s="21"/>
      <c r="S37" s="21"/>
      <c r="T37" s="21"/>
      <c r="U37" s="21"/>
      <c r="V37" s="21"/>
      <c r="W37" s="21"/>
      <c r="X37" s="26"/>
      <c r="AA37" s="31">
        <f>COUNTIFS('NC Qualité'!A:A,"&gt;=01/09/2020",'NC Qualité'!A:A,"&lt;=30/09/2020",'NC Qualité'!E:E,"Poutrelles",'NC Qualité'!S:S,1)</f>
        <v>0</v>
      </c>
      <c r="AB37" s="31">
        <f>COUNTIFS('NC Qualité'!A:A,"&gt;=01/09/2020",'NC Qualité'!A:A,"&lt;=30/09/2020",'NC Qualité'!E:E,"Poutrelles",'NC Qualité'!Q:Q,"A")</f>
        <v>0</v>
      </c>
    </row>
    <row r="38" spans="1:28" ht="21" x14ac:dyDescent="0.35">
      <c r="A38" s="67"/>
      <c r="B38" s="2" t="s">
        <v>72</v>
      </c>
      <c r="C38">
        <f>COUNTIFS('NC Qualité'!A:A,"&gt;=01/09/2020",'NC Qualité'!A:A,"&lt;=31/09/2020",'NC Qualité'!E:E,"Hourdis",'NC Qualité'!I:I,"Dimensionnement (entraînant un rebut)")</f>
        <v>0</v>
      </c>
      <c r="D38">
        <f>COUNTIFS('NC Qualité'!A:A,"&gt;=01/09/2020",'NC Qualité'!A:A,"&lt;=31/09/2020",'NC Qualité'!E:E,"Hourdis",'NC Qualité'!I:I,"Problème d'étiquetage")</f>
        <v>0</v>
      </c>
      <c r="E38">
        <f>COUNTIFS('NC Qualité'!A:A,"&gt;=01/09/2020",'NC Qualité'!A:A,"&lt;=31/09/2020",'NC Qualité'!E:E,"Hourdis",'NC Qualité'!I:I,"Palettisation")</f>
        <v>0</v>
      </c>
      <c r="F38">
        <f>COUNTIFS('NC Qualité'!A:A,"&gt;=01/09/2020",'NC Qualité'!A:A,"&lt;=31/09/2020",'NC Qualité'!E:E,"Hourdis",'NC Qualité'!I:I,"Aspect béton (Fissures, etc.)")</f>
        <v>0</v>
      </c>
      <c r="J38">
        <f>COUNTIFS('NC Qualité'!A:A,"&gt;=01/09/2020",'NC Qualité'!A:A,"&lt;=31/09/2020",'NC Qualité'!E:E,"Hourdis",'NC Qualité'!I:I,"Armatures apparentes")</f>
        <v>0</v>
      </c>
      <c r="L38">
        <f>COUNTIFS('NC Qualité'!A:A,"&gt;=01/09/2020",'NC Qualité'!A:A,"&lt;=31/09/2020",'NC Qualité'!E:E,"Hourdis",'NC Qualité'!I:I,"Délais de livraison")</f>
        <v>0</v>
      </c>
      <c r="N38">
        <f>COUNTIFS('NC Qualité'!A:A,"&gt;=01/09/2020",'NC Qualité'!A:A,"&lt;=31/09/2020",'NC Qualité'!E:E,"Hourdis",'NC Qualité'!I:I,"Casse de l'élément")</f>
        <v>0</v>
      </c>
      <c r="O38">
        <f>COUNTIFS('NC Qualité'!A:A,"&gt;=01/09/2020",'NC Qualité'!A:A,"&lt;=31/09/2020",'NC Qualité'!E:E,"Hourdis",'NC Qualité'!I:I,"Autres :")</f>
        <v>0</v>
      </c>
      <c r="P38" s="21"/>
      <c r="Q38" s="21"/>
      <c r="R38" s="21"/>
      <c r="S38" s="21"/>
      <c r="T38" s="21"/>
      <c r="U38" s="21"/>
      <c r="V38" s="21"/>
      <c r="W38" s="21"/>
      <c r="X38" s="26"/>
      <c r="AA38" s="31">
        <f>COUNTIFS('NC Qualité'!A:A,"&gt;=01/09/2020",'NC Qualité'!A:A,"&lt;=30/09/2020",'NC Qualité'!E:E,"Hourdis",'NC Qualité'!S:S,1)</f>
        <v>0</v>
      </c>
      <c r="AB38" s="31">
        <f>COUNTIFS('NC Qualité'!A:A,"&gt;=01/09/2020",'NC Qualité'!A:A,"&lt;=30/09/2020",'NC Qualité'!E:E,"Hourdis",'NC Qualité'!Q:Q,"A")</f>
        <v>0</v>
      </c>
    </row>
    <row r="39" spans="1:28" ht="29" x14ac:dyDescent="0.35">
      <c r="A39" s="67"/>
      <c r="B39" s="56" t="s">
        <v>98</v>
      </c>
      <c r="C39">
        <f>COUNTIFS('NC Qualité'!A:A,"&gt;=01/09/2020",'NC Qualité'!A:A,"&lt;=31/09/2020",'NC Qualité'!E:E,"Blocs à bancher",'NC Qualité'!I:I,"Dimensionnement (entraînant un rebut)")</f>
        <v>0</v>
      </c>
      <c r="D39">
        <f>COUNTIFS('NC Qualité'!A:A,"&gt;=01/09/2020",'NC Qualité'!A:A,"&lt;=31/09/2020",'NC Qualité'!E:E,"Blocs à bancher",'NC Qualité'!I:I,"Perçage du voile de pose")</f>
        <v>0</v>
      </c>
      <c r="E39">
        <f>COUNTIFS('NC Qualité'!A:A,"&gt;=01/09/2020",'NC Qualité'!A:A,"&lt;=31/09/2020",'NC Qualité'!E:E,"Blocs à bancher",'NC Qualité'!I:I,"Palettisation")</f>
        <v>0</v>
      </c>
      <c r="F39">
        <f>COUNTIFS('NC Qualité'!A:A,"&gt;=01/09/2020",'NC Qualité'!A:A,"&lt;=31/09/2020",'NC Qualité'!E:E,"Blocs à bancher",'NC Qualité'!I:I,"Aspect béton (Fissures, etc.)")</f>
        <v>0</v>
      </c>
      <c r="J39">
        <f>COUNTIFS('NC Qualité'!A:A,"&gt;=01/09/2020",'NC Qualité'!A:A,"&lt;=31/09/2020",'NC Qualité'!E:E,"Blocs à bancher",'NC Qualité'!I:I,"Armatures apparentes")</f>
        <v>0</v>
      </c>
      <c r="L39">
        <f>COUNTIFS('NC Qualité'!A:A,"&gt;=01/09/2020",'NC Qualité'!A:A,"&lt;=31/09/2020",'NC Qualité'!E:E,"Blocs à bancher",'NC Qualité'!I:I,"Non respect du délais de livraison de 14 jours")</f>
        <v>0</v>
      </c>
      <c r="N39">
        <f>COUNTIFS('NC Qualité'!A:A,"&gt;=01/09/2020",'NC Qualité'!A:A,"&lt;=31/09/2020",'NC Qualité'!E:E,"Blocs à bancher",'NC Qualité'!I:I,"Casse de l'élément")</f>
        <v>0</v>
      </c>
      <c r="O39">
        <f>COUNTIFS('NC Qualité'!A:A,"&gt;=01/09/2020",'NC Qualité'!A:A,"&lt;=31/09/2020",'NC Qualité'!E:E,"Blocs à bancher",'NC Qualité'!I:I,"Autres :")</f>
        <v>0</v>
      </c>
      <c r="P39" s="21"/>
      <c r="Q39" s="21"/>
      <c r="R39" s="21"/>
      <c r="S39" s="21"/>
      <c r="T39" s="21"/>
      <c r="U39" s="21"/>
      <c r="V39" s="21"/>
      <c r="W39" s="21"/>
      <c r="X39" s="26"/>
      <c r="AA39" s="31">
        <f>COUNTIFS('NC Qualité'!A:A,"&gt;=01/09/2020",'NC Qualité'!A:A,"&lt;=30/09/2020",'NC Qualité'!E:E,"Bordures",'NC Qualité'!S:S,1)</f>
        <v>0</v>
      </c>
      <c r="AB39" s="31">
        <f>COUNTIFS('NC Qualité'!A:A,"&gt;=01/09/2020",'NC Qualité'!A:A,"&lt;=30/09/2020",'NC Qualité'!E:E,"Bordures",'NC Qualité'!Q:Q,"A")</f>
        <v>0</v>
      </c>
    </row>
    <row r="40" spans="1:28" ht="21" x14ac:dyDescent="0.35">
      <c r="A40" s="67"/>
      <c r="B40" s="2"/>
      <c r="P40" s="21"/>
      <c r="Q40" s="21"/>
      <c r="R40" s="21"/>
      <c r="S40" s="21"/>
      <c r="T40" s="21"/>
      <c r="U40" s="21"/>
      <c r="V40" s="21"/>
      <c r="W40" s="21"/>
      <c r="X40" s="26"/>
      <c r="AA40" s="31">
        <f>COUNTIFS('NC Qualité'!A:A,"&gt;=01/09/2020",'NC Qualité'!A:A,"&lt;=30/09/2020",'NC Qualité'!E:E,"Caniveaux",'NC Qualité'!S:S,1)</f>
        <v>0</v>
      </c>
      <c r="AB40" s="31">
        <f>COUNTIFS('NC Qualité'!A:A,"&gt;=01/09/2020",'NC Qualité'!A:A,"&lt;=30/09/2020",'NC Qualité'!E:E,"Caniveaux",'NC Qualité'!Q:Q,"A")</f>
        <v>0</v>
      </c>
    </row>
    <row r="41" spans="1:28" ht="21" x14ac:dyDescent="0.35">
      <c r="A41" s="67"/>
      <c r="B41" s="15"/>
      <c r="P41" s="21"/>
      <c r="Q41" s="21"/>
      <c r="R41" s="21"/>
      <c r="S41" s="21"/>
      <c r="T41" s="21"/>
      <c r="U41" s="21"/>
      <c r="V41" s="21"/>
      <c r="W41" s="21"/>
      <c r="X41" s="26"/>
      <c r="AA41" s="31">
        <f>COUNTIFS('NC Qualité'!A:A,"&gt;=01/09/2020",'NC Qualité'!A:A,"&lt;=30/09/2020",'NC Qualité'!E:E,"Fielding : Bordures et Caniveaux",'NC Qualité'!S:S,1)</f>
        <v>0</v>
      </c>
      <c r="AB41" s="31">
        <f>COUNTIFS('NC Qualité'!A:A,"&gt;=01/09/2020",'NC Qualité'!A:A,"&lt;=30/09/2020",'NC Qualité'!E:E,"Fielding : Bordures et Caniveaux",'NC Qualité'!Q:Q,"A")</f>
        <v>0</v>
      </c>
    </row>
    <row r="42" spans="1:28" ht="21" x14ac:dyDescent="0.35">
      <c r="A42" s="67"/>
      <c r="B42" s="2"/>
      <c r="P42" s="21"/>
      <c r="Q42" s="21"/>
      <c r="R42" s="21"/>
      <c r="S42" s="21"/>
      <c r="T42" s="21"/>
      <c r="U42" s="21"/>
      <c r="V42" s="21"/>
      <c r="W42" s="21"/>
      <c r="X42" s="26"/>
      <c r="AA42" s="31">
        <f>COUNTIFS('NC Qualité'!A:A,"&gt;=01/09/2020",'NC Qualité'!A:A,"&lt;=30/09/2020",'NC Qualité'!E:E,"Modul : Tuyaux Dn 1800 à 2630",'NC Qualité'!S:S,1)</f>
        <v>0</v>
      </c>
      <c r="AB42" s="31">
        <f>COUNTIFS('NC Qualité'!A:A,"&gt;=01/09/2020",'NC Qualité'!A:A,"&lt;=30/09/2020",'NC Qualité'!E:E,"Modul : Tuyaux Dn 1800 à 2630",'NC Qualité'!Q:Q,"A")</f>
        <v>0</v>
      </c>
    </row>
    <row r="43" spans="1:28" ht="29" x14ac:dyDescent="0.35">
      <c r="A43" s="67" t="s">
        <v>41</v>
      </c>
      <c r="B43" s="2" t="s">
        <v>6</v>
      </c>
      <c r="C43" s="21"/>
      <c r="D43">
        <f>COUNTIFS('NC Qualité'!A:A,"&gt;=01/09/2020",'NC Qualité'!A:A,"&lt;=30/09/2020",'NC Qualité'!E:E,"Panneau coulé à plat",'NC Qualité'!I:I,"Problème d'étiquetage")</f>
        <v>0</v>
      </c>
      <c r="E43" s="21"/>
      <c r="F43">
        <f>COUNTIFS('NC Qualité'!A:A,"&gt;=01/09/2020",'NC Qualité'!A:A,"&lt;=30/09/2020",'NC Qualité'!E:E,"Panneau coulé à plat",'NC Qualité'!I:I,"Aspect béton (tâches / nid d'abeilles / granuleux / Fissures etc.)")</f>
        <v>0</v>
      </c>
      <c r="G43" s="21"/>
      <c r="H43">
        <f>COUNTIFS('NC Qualité'!A:A,"&gt;=01/09/2020",'NC Qualité'!A:A,"&lt;=30/09/2020",'NC Qualité'!E:E,"Panneau coulé à plat",'NC Qualité'!I:I,"Ancre de levage")</f>
        <v>0</v>
      </c>
      <c r="I43" s="21"/>
      <c r="J43">
        <f>COUNTIFS('NC Qualité'!A:A,"&gt;=01/09/2020",'NC Qualité'!A:A,"&lt;=30/09/2020",'NC Qualité'!E:E,"Modul : Tuyaux Dn 1800 à 2630",'NC Qualité'!I:I,"Armatures apparentes")</f>
        <v>0</v>
      </c>
      <c r="K43" s="21"/>
      <c r="L43" s="21"/>
      <c r="M43" s="21"/>
      <c r="N43" s="21"/>
      <c r="O43">
        <f>COUNTIFS('NC Qualité'!A:A,"&gt;=01/09/2020",'NC Qualité'!A:A,"&lt;=30/09/2020",'NC Qualité'!E:E,"Panneau coulé à plat",'NC Qualité'!I:I,"Autres :")</f>
        <v>0</v>
      </c>
      <c r="P43">
        <f>COUNTIFS('NC Qualité'!A:A,"&gt;=01/09/2020",'NC Qualité'!A:A,"&lt;=30/09/2020",'NC Qualité'!E:E,"Panneau coulé à plat",'NC Qualité'!I:I,"Accessoires (Mauvais positionnement , manquement, etc.)")</f>
        <v>0</v>
      </c>
      <c r="Q43">
        <f>COUNTIFS('NC Qualité'!A:A,"&gt;=01/09/2020",'NC Qualité'!A:A,"&lt;=30/09/2020",'NC Qualité'!E:E,"Panneau coulé à plat",'NC Qualité'!I:I,"équerrisage")</f>
        <v>0</v>
      </c>
      <c r="R43">
        <f>COUNTIFS('NC Qualité'!A:A,"&gt;=01/09/2020",'NC Qualité'!A:A,"&lt;=30/09/2020",'NC Qualité'!E:E,"Panneau coulé à plat",'NC Qualité'!I:I,"Seuil de porte (réservation)")</f>
        <v>0</v>
      </c>
      <c r="S43">
        <f>COUNTIFS('NC Qualité'!A:A,"&gt;=01/09/2020",'NC Qualité'!A:A,"&lt;=30/09/2020",'NC Qualité'!E:E,"Panneau coulé à plat",'NC Qualité'!I:I,"épaisseur")</f>
        <v>0</v>
      </c>
      <c r="T43">
        <f>COUNTIFS('NC Qualité'!A:A,"&gt;=01/09/2020",'NC Qualité'!A:A,"&lt;=30/09/2020",'NC Qualité'!E:E,"Panneau coulé à plat",'NC Qualité'!I:I,"Chanfrein")</f>
        <v>0</v>
      </c>
      <c r="U43">
        <f>COUNTIFS('NC Qualité'!A:A,"&gt;=01/09/2020",'NC Qualité'!A:A,"&lt;=30/09/2020",'NC Qualité'!E:E,"Panneau coulé à plat",'NC Qualité'!I:I,"Dimensionnement (entraînant un rebut)")</f>
        <v>0</v>
      </c>
      <c r="V43">
        <f>COUNTIFS('NC Qualité'!A:A,"&gt;=01/09/2020",'NC Qualité'!A:A,"&lt;=30/09/2020",'NC Qualité'!E:E,"Panneau coulé à plat",'NC Qualité'!I:I,"Cintrage")</f>
        <v>0</v>
      </c>
      <c r="W43">
        <f>COUNTIFS('NC Qualité'!A:A,"&gt;=01/09/2020",'NC Qualité'!A:A,"&lt;=30/09/2020",'NC Qualité'!E:E,"Panneau coulé à plat",'NC Qualité'!I:I,"Problème de chargement (sanglage, casse etc.)")</f>
        <v>0</v>
      </c>
      <c r="X43" s="27">
        <f>COUNTIFS('NC Qualité'!A:A,"&gt;=01/09/2020",'NC Qualité'!A:A,"&lt;=30/09/2020",'NC Qualité'!E:E,"Panneau coulé à plat",'NC Qualité'!I:I,"Erreur de chargement ")</f>
        <v>0</v>
      </c>
      <c r="AA43" s="31">
        <f>COUNTIFS('NC Qualité'!A:A,"&gt;=01/09/2020",'NC Qualité'!A:A,"&lt;=30/09/2020",'NC Qualité'!E:E,"Panneau coulé à plat",'NC Qualité'!S:S,1)</f>
        <v>0</v>
      </c>
      <c r="AB43" s="31">
        <f>COUNTIFS('NC Qualité'!A:A,"&gt;=01/09/2020",'NC Qualité'!A:A,"&lt;=30/09/2020",'NC Qualité'!E:E,"Panneau coulé à plat",'NC Qualité'!Q:Q,"A")</f>
        <v>0</v>
      </c>
    </row>
    <row r="44" spans="1:28" ht="21" x14ac:dyDescent="0.35">
      <c r="A44" s="67"/>
      <c r="B44" s="2" t="s">
        <v>0</v>
      </c>
      <c r="C44" s="21"/>
      <c r="D44">
        <f>COUNTIFS('NC Qualité'!A:A,"&gt;=01/09/2020",'NC Qualité'!A:A,"&lt;=30/09/2020",'NC Qualité'!E:E,"Bianchi",'NC Qualité'!I:I,"Problème d'étiquetage")</f>
        <v>0</v>
      </c>
      <c r="E44" s="21"/>
      <c r="F44">
        <f>COUNTIFS('NC Qualité'!A:A,"&gt;=01/09/2020",'NC Qualité'!A:A,"&lt;=30/09/2020",'NC Qualité'!E:E,"Bianchi",'NC Qualité'!I:I,"Aspect béton (tâches / nid d'abeilles / granuleux / Fissures etc.)")</f>
        <v>0</v>
      </c>
      <c r="G44" s="21"/>
      <c r="H44">
        <f>COUNTIFS('NC Qualité'!A:A,"&gt;=01/09/2020",'NC Qualité'!A:A,"&lt;=30/09/2020",'NC Qualité'!E:E,"Bianchi",'NC Qualité'!I:I,"Ancre de levage")</f>
        <v>0</v>
      </c>
      <c r="I44" s="21"/>
      <c r="J44">
        <f>COUNTIFS('NC Qualité'!A:A,"&gt;=01/09/2020",'NC Qualité'!A:A,"&lt;=30/09/2020",'NC Qualité'!E:E,"Bianchi",'NC Qualité'!I:I,"Armatures apparentes")</f>
        <v>0</v>
      </c>
      <c r="K44" s="21"/>
      <c r="L44" s="21"/>
      <c r="M44" s="21"/>
      <c r="N44" s="21"/>
      <c r="O44">
        <f>COUNTIFS('NC Qualité'!A:A,"&gt;=01/09/2020",'NC Qualité'!A:A,"&lt;=30/09/2020",'NC Qualité'!E:E,"Bianchi",'NC Qualité'!I:I,"Autres :")</f>
        <v>0</v>
      </c>
      <c r="P44">
        <f>COUNTIFS('NC Qualité'!A:A,"&gt;=01/09/2020",'NC Qualité'!A:A,"&lt;=30/09/2020",'NC Qualité'!E:E,"Bianchi",'NC Qualité'!I:I,"Accessoires (Mauvais positionnement , manquement, etc.)")</f>
        <v>0</v>
      </c>
      <c r="Q44">
        <f>COUNTIFS('NC Qualité'!A:A,"&gt;=01/09/2020",'NC Qualité'!A:A,"&lt;=30/09/2020",'NC Qualité'!E:E,"Bianchi",'NC Qualité'!I:I,"équerrisage")</f>
        <v>0</v>
      </c>
      <c r="R44">
        <f>COUNTIFS('NC Qualité'!A:A,"&gt;=01/09/2020",'NC Qualité'!A:A,"&lt;=30/09/2020",'NC Qualité'!E:E,"Bianchi",'NC Qualité'!I:I,"Seuil de porte (réservation)")</f>
        <v>0</v>
      </c>
      <c r="S44">
        <f>COUNTIFS('NC Qualité'!A:A,"&gt;=01/09/2020",'NC Qualité'!A:A,"&lt;=30/09/2020",'NC Qualité'!E:E,"Bianchi",'NC Qualité'!I:I,"épaisseur")</f>
        <v>0</v>
      </c>
      <c r="T44">
        <f>COUNTIFS('NC Qualité'!A:A,"&gt;=01/09/2020",'NC Qualité'!A:A,"&lt;=30/09/2020",'NC Qualité'!E:E,"Bianchi",'NC Qualité'!I:I,"Chanfrein")</f>
        <v>0</v>
      </c>
      <c r="U44">
        <f>COUNTIFS('NC Qualité'!A:A,"&gt;=01/09/2020",'NC Qualité'!A:A,"&lt;=30/09/2020",'NC Qualité'!E:E,"Bianchi",'NC Qualité'!I:I,"Dimensionnement (entraînant un rebut)")</f>
        <v>0</v>
      </c>
      <c r="V44">
        <f>COUNTIFS('NC Qualité'!A:A,"&gt;=01/09/2020",'NC Qualité'!A:A,"&lt;=30/09/2020",'NC Qualité'!E:E,"Bianchi",'NC Qualité'!I:I,"Cintrage")</f>
        <v>0</v>
      </c>
      <c r="W44">
        <f>COUNTIFS('NC Qualité'!A:A,"&gt;=01/09/2020",'NC Qualité'!A:A,"&lt;=30/09/2020",'NC Qualité'!E:E,"Bianchi",'NC Qualité'!I:I,"Problème de chargement (sanglage, casse etc.)")</f>
        <v>0</v>
      </c>
      <c r="X44" s="27">
        <f>COUNTIFS('NC Qualité'!A:A,"&gt;=01/09/2020",'NC Qualité'!A:A,"&lt;=30/09/2020",'NC Qualité'!E:E,"Bianchi",'NC Qualité'!I:I,"Erreur de chargement ")</f>
        <v>0</v>
      </c>
      <c r="AA44" s="31">
        <f>COUNTIFS('NC Qualité'!A:A,"&gt;=01/09/2020",'NC Qualité'!A:A,"&lt;=30/09/2020",'NC Qualité'!E:E,"Bianchi",'NC Qualité'!S:S,1)</f>
        <v>0</v>
      </c>
      <c r="AB44" s="31">
        <f>COUNTIFS('NC Qualité'!A:A,"&gt;=01/09/2020",'NC Qualité'!A:A,"&lt;=30/09/2020",'NC Qualité'!E:E,"Bianchi",'NC Qualité'!Q:Q,"A")</f>
        <v>0</v>
      </c>
    </row>
    <row r="45" spans="1:28" ht="29" x14ac:dyDescent="0.35">
      <c r="A45" s="67"/>
      <c r="B45" s="2" t="s">
        <v>3</v>
      </c>
      <c r="C45" s="21"/>
      <c r="D45">
        <f>COUNTIFS('NC Qualité'!A:A,"&gt;=01/09/2020",'NC Qualité'!A:A,"&lt;=30/09/2020",'NC Qualité'!E:E,"Préfabrication",'NC Qualité'!I:I,"Problème d'étiquetage")</f>
        <v>0</v>
      </c>
      <c r="E45" s="21"/>
      <c r="F45">
        <f>COUNTIFS('NC Qualité'!A:A,"&gt;=01/09/2020",'NC Qualité'!A:A,"&lt;=30/09/2020",'NC Qualité'!E:E,"Préfabrication",'NC Qualité'!I:I,"Aspect béton (tâches / nid d'abeilles / granuleux / Fissures etc.)")</f>
        <v>0</v>
      </c>
      <c r="G45" s="21"/>
      <c r="H45">
        <f>COUNTIFS('NC Qualité'!A:A,"&gt;=01/09/2020",'NC Qualité'!A:A,"&lt;=30/09/2020",'NC Qualité'!E:E,"Préfabrication",'NC Qualité'!I:I,"Ancre de levage")</f>
        <v>0</v>
      </c>
      <c r="I45" s="21"/>
      <c r="J45">
        <f>COUNTIFS('NC Qualité'!A:A,"&gt;=01/09/2020",'NC Qualité'!A:A,"&lt;=30/09/2020",'NC Qualité'!E:E,"Préfabrication",'NC Qualité'!I:I,"Armatures apparentes")</f>
        <v>0</v>
      </c>
      <c r="K45" s="21"/>
      <c r="L45" s="21"/>
      <c r="M45" s="21"/>
      <c r="N45" s="21"/>
      <c r="O45">
        <f>COUNTIFS('NC Qualité'!A:A,"&gt;=01/09/2020",'NC Qualité'!A:A,"&lt;=30/09/2020",'NC Qualité'!E:E,"Préfabrication",'NC Qualité'!I:I,"Autres :")</f>
        <v>0</v>
      </c>
      <c r="P45">
        <f>COUNTIFS('NC Qualité'!A:A,"&gt;=01/09/2020",'NC Qualité'!A:A,"&lt;=30/09/2020",'NC Qualité'!E:E,"Préfabrication",'NC Qualité'!I:I,"Accessoires (Mauvais positionnement , manquement, etc.)")</f>
        <v>0</v>
      </c>
      <c r="Q45">
        <f>COUNTIFS('NC Qualité'!A:A,"&gt;=01/09/2020",'NC Qualité'!A:A,"&lt;=30/09/2020",'NC Qualité'!E:E,"Préfabrication",'NC Qualité'!I:I,"équerrisage")</f>
        <v>0</v>
      </c>
      <c r="R45">
        <f>COUNTIFS('NC Qualité'!A:A,"&gt;=01/09/2020",'NC Qualité'!A:A,"&lt;=30/09/2020",'NC Qualité'!E:E,"Préfabrication",'NC Qualité'!I:I,"Seuil de porte (réservation)")</f>
        <v>0</v>
      </c>
      <c r="S45">
        <f>COUNTIFS('NC Qualité'!A:A,"&gt;=01/09/2020",'NC Qualité'!A:A,"&lt;=30/09/2020",'NC Qualité'!E:E,"Préfabrication",'NC Qualité'!I:I,"épaisseur")</f>
        <v>0</v>
      </c>
      <c r="T45">
        <f>COUNTIFS('NC Qualité'!A:A,"&gt;=01/09/2020",'NC Qualité'!A:A,"&lt;=30/09/2020",'NC Qualité'!E:E,"Préfabrication",'NC Qualité'!I:I,"Chanfrein")</f>
        <v>0</v>
      </c>
      <c r="U45">
        <f>COUNTIFS('NC Qualité'!A:A,"&gt;=01/09/2020",'NC Qualité'!A:A,"&lt;=30/09/2020",'NC Qualité'!E:E,"Préfabrication",'NC Qualité'!I:I,"Dimensionnement (entraînant un rebut)")</f>
        <v>0</v>
      </c>
      <c r="V45">
        <f>COUNTIFS('NC Qualité'!A:A,"&gt;=01/09/2020",'NC Qualité'!A:A,"&lt;=30/09/2020",'NC Qualité'!E:E,"Préfabrication",'NC Qualité'!I:I,"Cintrage")</f>
        <v>0</v>
      </c>
      <c r="W45">
        <f>COUNTIFS('NC Qualité'!A:A,"&gt;=01/09/2020",'NC Qualité'!A:A,"&lt;=30/09/2020",'NC Qualité'!E:E,"Préfabrication",'NC Qualité'!I:I,"Problème de chargement (sanglage, casse etc.)")</f>
        <v>0</v>
      </c>
      <c r="X45" s="27">
        <f>COUNTIFS('NC Qualité'!A:A,"&gt;=01/09/2020",'NC Qualité'!A:A,"&lt;=30/09/2020",'NC Qualité'!E:E,"Préfabrication",'NC Qualité'!I:I,"Erreur de chargement ")</f>
        <v>0</v>
      </c>
      <c r="AA45" s="31">
        <f>COUNTIFS('NC Qualité'!A:A,"&gt;=01/09/2020",'NC Qualité'!A:A,"&lt;=30/09/2020",'NC Qualité'!E:E,"Préfabrication",'NC Qualité'!S:S,1)</f>
        <v>0</v>
      </c>
      <c r="AB45" s="31">
        <f>COUNTIFS('NC Qualité'!A:A,"&gt;=01/09/2020",'NC Qualité'!A:A,"&lt;=30/09/2020",'NC Qualité'!E:E,"Préfabrication",'NC Qualité'!Q:Q,"A")</f>
        <v>0</v>
      </c>
    </row>
    <row r="46" spans="1:28" ht="29" x14ac:dyDescent="0.35">
      <c r="A46" s="67"/>
      <c r="B46" s="16" t="s">
        <v>2</v>
      </c>
      <c r="C46" s="21"/>
      <c r="D46">
        <f>COUNTIFS('NC Qualité'!A:A,"&gt;=01/09/2020",'NC Qualité'!A:A,"&lt;=30/09/2020",'NC Qualité'!E:E,"Précontraint",'NC Qualité'!I:I,"Problème d'étiquetage")</f>
        <v>0</v>
      </c>
      <c r="E46" s="21"/>
      <c r="F46">
        <f>COUNTIFS('NC Qualité'!A:A,"&gt;=01/09/2020",'NC Qualité'!A:A,"&lt;=30/09/2020",'NC Qualité'!E:E,"Précontraint",'NC Qualité'!I:I,"Aspect béton (tâches / nid d'abeilles / granuleux / Fissures etc.)")</f>
        <v>0</v>
      </c>
      <c r="G46" s="21"/>
      <c r="H46">
        <f>COUNTIFS('NC Qualité'!A:A,"&gt;=01/09/2020",'NC Qualité'!A:A,"&lt;=30/09/2020",'NC Qualité'!E:E,"Précontraint",'NC Qualité'!I:I,"Ancre de levage")</f>
        <v>0</v>
      </c>
      <c r="I46" s="21"/>
      <c r="J46">
        <f>COUNTIFS('NC Qualité'!A:A,"&gt;=01/09/2020",'NC Qualité'!A:A,"&lt;=30/09/2020",'NC Qualité'!E:E,"Précontraint",'NC Qualité'!I:I,"Armatures apparentes")</f>
        <v>0</v>
      </c>
      <c r="K46" s="21"/>
      <c r="L46" s="21"/>
      <c r="M46" s="21"/>
      <c r="N46" s="21"/>
      <c r="O46">
        <f>COUNTIFS('NC Qualité'!A:A,"&gt;=01/09/2020",'NC Qualité'!A:A,"&lt;=30/09/2020",'NC Qualité'!E:E,"Précontraint",'NC Qualité'!I:I,"Autres :")</f>
        <v>0</v>
      </c>
      <c r="P46">
        <f>COUNTIFS('NC Qualité'!A:A,"&gt;=01/09/2020",'NC Qualité'!A:A,"&lt;=30/09/2020",'NC Qualité'!E:E,"Précontraint",'NC Qualité'!I:I,"Accessoires (Mauvais positionnement , manquement, etc.)")</f>
        <v>0</v>
      </c>
      <c r="Q46">
        <f>COUNTIFS('NC Qualité'!A:A,"&gt;=01/09/2020",'NC Qualité'!A:A,"&lt;=30/09/2020",'NC Qualité'!E:E,"Précontraint",'NC Qualité'!I:I,"équerrisage")</f>
        <v>0</v>
      </c>
      <c r="R46">
        <f>COUNTIFS('NC Qualité'!A:A,"&gt;=01/09/2020",'NC Qualité'!A:A,"&lt;=30/09/2020",'NC Qualité'!E:E,"Précontraint",'NC Qualité'!I:I,"Seuil de porte (réservation)")</f>
        <v>0</v>
      </c>
      <c r="S46">
        <f>COUNTIFS('NC Qualité'!A:A,"&gt;=01/09/2020",'NC Qualité'!A:A,"&lt;=30/09/2020",'NC Qualité'!E:E,"Précontraint",'NC Qualité'!I:I,"épaisseur")</f>
        <v>0</v>
      </c>
      <c r="T46">
        <f>COUNTIFS('NC Qualité'!A:A,"&gt;=01/09/2020",'NC Qualité'!A:A,"&lt;=30/09/2020",'NC Qualité'!E:E,"Précontraint",'NC Qualité'!I:I,"Chanfrein")</f>
        <v>0</v>
      </c>
      <c r="U46">
        <f>COUNTIFS('NC Qualité'!A:A,"&gt;=01/09/2020",'NC Qualité'!A:A,"&lt;=30/09/2020",'NC Qualité'!E:E,"Précontraint",'NC Qualité'!I:I,"Dimensionnement (entraînant un rebut)")</f>
        <v>0</v>
      </c>
      <c r="V46">
        <f>COUNTIFS('NC Qualité'!A:A,"&gt;=01/09/2020",'NC Qualité'!A:A,"&lt;=30/09/2020",'NC Qualité'!E:E,"Précontraint",'NC Qualité'!I:I,"Cintrage")</f>
        <v>0</v>
      </c>
      <c r="W46">
        <f>COUNTIFS('NC Qualité'!A:A,"&gt;=01/09/2020",'NC Qualité'!A:A,"&lt;=30/09/2020",'NC Qualité'!E:E,"Précontraint",'NC Qualité'!I:I,"Problème de chargement (sanglage, casse etc.)")</f>
        <v>0</v>
      </c>
      <c r="X46" s="27">
        <f>COUNTIFS('NC Qualité'!A:A,"&gt;=01/09/2020",'NC Qualité'!A:A,"&lt;=30/09/2020",'NC Qualité'!E:E,"Précontraint",'NC Qualité'!I:I,"Erreur de chargement ")</f>
        <v>0</v>
      </c>
      <c r="AA46" s="31">
        <f>COUNTIFS('NC Qualité'!A:A,"&gt;=01/09/2020",'NC Qualité'!A:A,"&lt;=30/09/2020",'NC Qualité'!E:E,"Précontraint",'NC Qualité'!S:S,1)</f>
        <v>0</v>
      </c>
      <c r="AB46" s="31">
        <f>COUNTIFS('NC Qualité'!A:A,"&gt;=01/09/2020",'NC Qualité'!A:A,"&lt;=30/09/2020",'NC Qualité'!E:E,"Précontraint",'NC Qualité'!Q:Q,"A")</f>
        <v>0</v>
      </c>
    </row>
    <row r="47" spans="1:28" ht="21" x14ac:dyDescent="0.35">
      <c r="A47" s="67"/>
      <c r="B47" s="2" t="s">
        <v>1</v>
      </c>
      <c r="C47" s="22"/>
      <c r="D47" s="23">
        <f>COUNTIFS('NC Qualité'!A:A,"&gt;=01/09/2020",'NC Qualité'!A:A,"&lt;=30/09/2020",'NC Qualité'!E:E,"Parc",'NC Qualité'!I:I,"Problème d'étiquetage")</f>
        <v>0</v>
      </c>
      <c r="E47" s="24"/>
      <c r="F47" s="23">
        <f>COUNTIFS('NC Qualité'!A:A,"&gt;=01/09/2020",'NC Qualité'!A:A,"&lt;=30/09/2020",'NC Qualité'!E:E,"Parc",'NC Qualité'!I:I,"Aspect béton (tâches / nid d'abeilles / granuleux / Fissures etc.)")</f>
        <v>0</v>
      </c>
      <c r="G47" s="24"/>
      <c r="H47" s="23">
        <f>COUNTIFS('NC Qualité'!A:A,"&gt;=01/09/2020",'NC Qualité'!A:A,"&lt;=30/09/2020",'NC Qualité'!E:E,"Parc",'NC Qualité'!I:I,"Ancre de levage")</f>
        <v>0</v>
      </c>
      <c r="I47" s="24"/>
      <c r="J47" s="23">
        <f>COUNTIFS('NC Qualité'!A:A,"&gt;=01/09/2020",'NC Qualité'!A:A,"&lt;=30/09/2020",'NC Qualité'!E:E,"Parc",'NC Qualité'!I:I,"Armatures apparentes")</f>
        <v>0</v>
      </c>
      <c r="K47" s="24"/>
      <c r="L47" s="24"/>
      <c r="M47" s="24"/>
      <c r="N47" s="24"/>
      <c r="O47" s="23">
        <f>COUNTIFS('NC Qualité'!A:A,"&gt;=01/09/2020",'NC Qualité'!A:A,"&lt;=30/09/2020",'NC Qualité'!E:E,"Parc",'NC Qualité'!I:I,"Autres :")</f>
        <v>0</v>
      </c>
      <c r="P47" s="23">
        <f>COUNTIFS('NC Qualité'!A:A,"&gt;=01/09/2020",'NC Qualité'!A:A,"&lt;=30/09/2020",'NC Qualité'!E:E,"Parc",'NC Qualité'!I:I,"Accessoires (Mauvais positionnement , manquement, etc.)")</f>
        <v>0</v>
      </c>
      <c r="Q47" s="23">
        <f>COUNTIFS('NC Qualité'!A:A,"&gt;=01/09/2020",'NC Qualité'!A:A,"&lt;=30/09/2020",'NC Qualité'!E:E,"Parc",'NC Qualité'!I:I,"équerrisage")</f>
        <v>0</v>
      </c>
      <c r="R47" s="23">
        <f>COUNTIFS('NC Qualité'!A:A,"&gt;=01/09/2020",'NC Qualité'!A:A,"&lt;=30/09/2020",'NC Qualité'!E:E,"Parc",'NC Qualité'!I:I,"Seuil de porte (réservation)")</f>
        <v>0</v>
      </c>
      <c r="S47" s="23">
        <f>COUNTIFS('NC Qualité'!A:A,"&gt;=01/09/2020",'NC Qualité'!A:A,"&lt;=30/09/2020",'NC Qualité'!E:E,"Parc",'NC Qualité'!I:I,"épaisseur")</f>
        <v>0</v>
      </c>
      <c r="T47" s="23">
        <f>COUNTIFS('NC Qualité'!A:A,"&gt;=01/09/2020",'NC Qualité'!A:A,"&lt;=30/09/2020",'NC Qualité'!E:E,"Parc",'NC Qualité'!I:I,"Chanfrein")</f>
        <v>0</v>
      </c>
      <c r="U47" s="23">
        <f>COUNTIFS('NC Qualité'!A:A,"&gt;=01/09/2020",'NC Qualité'!A:A,"&lt;=30/09/2020",'NC Qualité'!E:E,"Parc",'NC Qualité'!I:I,"Dimensionnement (entraînant un rebut)")</f>
        <v>0</v>
      </c>
      <c r="V47" s="23">
        <f>COUNTIFS('NC Qualité'!A:A,"&gt;=01/09/2020",'NC Qualité'!A:A,"&lt;=30/09/2020",'NC Qualité'!E:E,"Parc",'NC Qualité'!I:I,"Cintrage")</f>
        <v>0</v>
      </c>
      <c r="W47" s="23">
        <f>COUNTIFS('NC Qualité'!A:A,"&gt;=01/09/2020",'NC Qualité'!A:A,"&lt;=30/09/2020",'NC Qualité'!E:E,"Parc",'NC Qualité'!I:I,"Problème de chargement (sanglage, casse etc.)")</f>
        <v>0</v>
      </c>
      <c r="X47" s="28">
        <f>COUNTIFS('NC Qualité'!A:A,"&gt;=01/09/2020",'NC Qualité'!A:A,"&lt;=30/09/2020",'NC Qualité'!E:E,"Parc",'NC Qualité'!I:I,"Erreur de chargement ")</f>
        <v>0</v>
      </c>
      <c r="AA47" s="31">
        <f>COUNTIFS('NC Qualité'!A:A,"&gt;=01/09/2020",'NC Qualité'!A:A,"&lt;=30/09/2020",'NC Qualité'!E:E,"Parc",'NC Qualité'!S:S,1)</f>
        <v>0</v>
      </c>
      <c r="AB47" s="31">
        <f>COUNTIFS('NC Qualité'!A:A,"&gt;=01/09/2020",'NC Qualité'!A:A,"&lt;=30/09/2020",'NC Qualité'!E:E,"Parc",'NC Qualité'!Q:Q,"A")</f>
        <v>0</v>
      </c>
    </row>
    <row r="48" spans="1:28" ht="23.5" x14ac:dyDescent="0.35">
      <c r="AA48" s="34">
        <f>SUM(AA36:AA47)</f>
        <v>0</v>
      </c>
      <c r="AB48" s="34">
        <f>SUM(AB36:AB47)</f>
        <v>0</v>
      </c>
    </row>
    <row r="49" spans="1:28" ht="15" thickBot="1" x14ac:dyDescent="0.4"/>
    <row r="50" spans="1:28" ht="15" thickBot="1" x14ac:dyDescent="0.4">
      <c r="A50" s="42"/>
      <c r="B50" s="43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4"/>
    </row>
    <row r="52" spans="1:28" x14ac:dyDescent="0.35">
      <c r="B52" s="41" t="s">
        <v>65</v>
      </c>
    </row>
    <row r="53" spans="1:28" ht="105" x14ac:dyDescent="0.35">
      <c r="B53" s="14" t="s">
        <v>29</v>
      </c>
      <c r="C53" s="20" t="s">
        <v>25</v>
      </c>
      <c r="D53" s="20" t="s">
        <v>78</v>
      </c>
      <c r="E53" s="20" t="s">
        <v>79</v>
      </c>
      <c r="F53" s="20" t="s">
        <v>77</v>
      </c>
      <c r="G53" s="20"/>
      <c r="H53" s="20"/>
      <c r="I53" s="20"/>
      <c r="J53" s="20" t="s">
        <v>35</v>
      </c>
      <c r="K53" s="20"/>
      <c r="L53" s="20" t="s">
        <v>82</v>
      </c>
      <c r="M53" s="20"/>
      <c r="N53" s="20" t="s">
        <v>39</v>
      </c>
      <c r="O53" s="20" t="s">
        <v>40</v>
      </c>
      <c r="P53" s="20" t="s">
        <v>24</v>
      </c>
      <c r="Q53" s="20" t="s">
        <v>43</v>
      </c>
      <c r="R53" s="20" t="s">
        <v>27</v>
      </c>
      <c r="S53" s="20" t="s">
        <v>44</v>
      </c>
      <c r="T53" s="20" t="s">
        <v>5</v>
      </c>
      <c r="U53" s="20" t="s">
        <v>25</v>
      </c>
      <c r="V53" s="20" t="s">
        <v>7</v>
      </c>
      <c r="W53" s="20" t="s">
        <v>28</v>
      </c>
      <c r="X53" s="20" t="s">
        <v>45</v>
      </c>
      <c r="AA53" s="33" t="s">
        <v>47</v>
      </c>
      <c r="AB53" s="32" t="s">
        <v>46</v>
      </c>
    </row>
    <row r="54" spans="1:28" ht="21" customHeight="1" x14ac:dyDescent="0.35">
      <c r="A54" s="67" t="s">
        <v>42</v>
      </c>
      <c r="B54" s="2" t="s">
        <v>70</v>
      </c>
      <c r="C54">
        <f>COUNTIFS('NC Qualité'!A:A,"&gt;=01/10/2020",'NC Qualité'!A:A,"&lt;=31/10/2020",'NC Qualité'!E:E,"Blocs",'NC Qualité'!I:I,"Dimensionnement (entraînant un rebut)")</f>
        <v>0</v>
      </c>
      <c r="D54">
        <f>COUNTIFS('NC Qualité'!A:A,"&gt;=01/10/2020",'NC Qualité'!A:A,"&lt;=31/10/2020",'NC Qualité'!E:E,"Blocs",'NC Qualité'!I:I,"Perçage du voile de pose")</f>
        <v>0</v>
      </c>
      <c r="E54">
        <f>COUNTIFS('NC Qualité'!A:A,"&gt;=01/10/2020",'NC Qualité'!A:A,"&lt;=31/10/2020",'NC Qualité'!E:E,"Blocs",'NC Qualité'!I:I,"étanchéité")</f>
        <v>0</v>
      </c>
      <c r="F54">
        <f>COUNTIFS('NC Qualité'!A:A,"&gt;=01/10/2020",'NC Qualité'!A:A,"&lt;=31/10/2020",'NC Qualité'!E:E,"Blocs",'NC Qualité'!I:I,"Aspect béton (Fissures, etc.)")</f>
        <v>0</v>
      </c>
      <c r="J54">
        <f>COUNTIFS('NC Qualité'!A:A,"&gt;=01/10/2020",'NC Qualité'!A:A,"&lt;=31/10/2020",'NC Qualité'!E:E,"Blocs",'NC Qualité'!I:I,"Armatures apparentes")</f>
        <v>0</v>
      </c>
      <c r="L54">
        <f>COUNTIFS('NC Qualité'!A:A,"&gt;=01/10/2020",'NC Qualité'!A:A,"&lt;=31/10/2020",'NC Qualité'!E:E,"Blocs",'NC Qualité'!I:I,"Délais de livraison")</f>
        <v>0</v>
      </c>
      <c r="N54">
        <f>COUNTIFS('NC Qualité'!A:A,"&gt;=01/10/2020",'NC Qualité'!A:A,"&lt;=31/10/2020",'NC Qualité'!E:E,"Blocs",'NC Qualité'!I:I,"Casse de l'élément")</f>
        <v>0</v>
      </c>
      <c r="O54">
        <f>COUNTIFS('NC Qualité'!A:A,"&gt;=01/10/2020",'NC Qualité'!A:A,"&lt;=31/10/2020",'NC Qualité'!E:E,"Blocs",'NC Qualité'!I:I,"Autres :")</f>
        <v>0</v>
      </c>
      <c r="P54" s="21"/>
      <c r="Q54" s="21"/>
      <c r="R54" s="21"/>
      <c r="S54" s="21"/>
      <c r="T54" s="21"/>
      <c r="U54" s="21"/>
      <c r="V54" s="21"/>
      <c r="W54" s="21"/>
      <c r="X54" s="25"/>
      <c r="AA54" s="31">
        <f>COUNTIFS('NC Qualité'!A:A,"&gt;=01/10/2020",'NC Qualité'!A:A,"&lt;=31/10/2020",'NC Qualité'!E:E,"Blocs",'NC Qualité'!S:S,1)</f>
        <v>0</v>
      </c>
      <c r="AB54" s="31">
        <f>COUNTIFS('NC Qualité'!A:A,"&gt;=01/10/2020",'NC Qualité'!A:A,"&lt;=31/10/2020",'NC Qualité'!E:E,"Blocs",'NC Qualité'!Q:Q,"A")</f>
        <v>0</v>
      </c>
    </row>
    <row r="55" spans="1:28" ht="21" x14ac:dyDescent="0.35">
      <c r="A55" s="67"/>
      <c r="B55" s="2" t="s">
        <v>71</v>
      </c>
      <c r="C55">
        <f>COUNTIFS('NC Qualité'!A:A,"&gt;=01/10/2020",'NC Qualité'!A:A,"&lt;=31/10/2020",'NC Qualité'!E:E,"Poutrelles",'NC Qualité'!I:I,"Dimensionnement (entraînant un rebut)")</f>
        <v>0</v>
      </c>
      <c r="D55">
        <f>COUNTIFS('NC Qualité'!A:A,"&gt;=01/10/2020",'NC Qualité'!A:A,"&lt;=31/10/2020",'NC Qualité'!E:E,"Poutrelles",'NC Qualité'!I:I,"Perçage du voile de pose")</f>
        <v>0</v>
      </c>
      <c r="E55">
        <f>COUNTIFS('NC Qualité'!A:A,"&gt;=01/10/2020",'NC Qualité'!A:A,"&lt;=31/10/2020",'NC Qualité'!E:E,"Poutrelles",'NC Qualité'!I:I,"Palettisation")</f>
        <v>0</v>
      </c>
      <c r="F55">
        <f>COUNTIFS('NC Qualité'!A:A,"&gt;=01/10/2020",'NC Qualité'!A:A,"&lt;=31/10/2020",'NC Qualité'!E:E,"Poutrelles",'NC Qualité'!I:I,"Aspect béton (Fissures, etc.)")</f>
        <v>0</v>
      </c>
      <c r="J55">
        <f>COUNTIFS('NC Qualité'!A:A,"&gt;=01/10/2020",'NC Qualité'!A:A,"&lt;=31/10/2020",'NC Qualité'!E:E,"Poutrelles",'NC Qualité'!I:I,"Armatures apparentes")</f>
        <v>0</v>
      </c>
      <c r="L55">
        <f>COUNTIFS('NC Qualité'!A:A,"&gt;=01/10/2020",'NC Qualité'!A:A,"&lt;=31/10/2020",'NC Qualité'!E:E,"Poutrelles",'NC Qualité'!I:I,"Délais de livraison")</f>
        <v>0</v>
      </c>
      <c r="N55">
        <f>COUNTIFS('NC Qualité'!A:A,"&gt;=01/10/2020",'NC Qualité'!A:A,"&lt;=31/10/2020",'NC Qualité'!E:E,"Poutrelles",'NC Qualité'!I:I,"Casse de l'élément")</f>
        <v>0</v>
      </c>
      <c r="O55">
        <f>COUNTIFS('NC Qualité'!A:A,"&gt;=01/10/2020",'NC Qualité'!A:A,"&lt;=31/10/2020",'NC Qualité'!E:E,"Poutrelles",'NC Qualité'!I:I,"Autres :")</f>
        <v>0</v>
      </c>
      <c r="P55" s="21"/>
      <c r="Q55" s="21"/>
      <c r="R55" s="21"/>
      <c r="S55" s="21"/>
      <c r="T55" s="21"/>
      <c r="U55" s="21"/>
      <c r="V55" s="21"/>
      <c r="W55" s="21"/>
      <c r="X55" s="26"/>
      <c r="AA55" s="31">
        <f>COUNTIFS('NC Qualité'!A:A,"&gt;=01/10/2020",'NC Qualité'!A:A,"&lt;=31/10/2020",'NC Qualité'!E:E,"Poutrelles",'NC Qualité'!S:S,1)</f>
        <v>0</v>
      </c>
      <c r="AB55" s="31">
        <f>COUNTIFS('NC Qualité'!A:A,"&gt;=01/10/2020",'NC Qualité'!A:A,"&lt;=31/10/2020",'NC Qualité'!E:E,"Poutrelles",'NC Qualité'!Q:Q,"A")</f>
        <v>0</v>
      </c>
    </row>
    <row r="56" spans="1:28" ht="21" x14ac:dyDescent="0.35">
      <c r="A56" s="67"/>
      <c r="B56" s="2" t="s">
        <v>72</v>
      </c>
      <c r="C56">
        <f>COUNTIFS('NC Qualité'!A:A,"&gt;=01/10/2020",'NC Qualité'!A:A,"&lt;=31/10/2020",'NC Qualité'!E:E,"Hourdis",'NC Qualité'!I:I,"Dimensionnement (entraînant un rebut)")</f>
        <v>0</v>
      </c>
      <c r="D56">
        <f>COUNTIFS('NC Qualité'!A:A,"&gt;=01/10/2020",'NC Qualité'!A:A,"&lt;=31/10/2020",'NC Qualité'!E:E,"Hourdis",'NC Qualité'!I:I,"Problème d'étiquetage")</f>
        <v>0</v>
      </c>
      <c r="E56">
        <f>COUNTIFS('NC Qualité'!A:A,"&gt;=01/10/2020",'NC Qualité'!A:A,"&lt;=31/10/2020",'NC Qualité'!E:E,"Hourdis",'NC Qualité'!I:I,"Palettisation")</f>
        <v>0</v>
      </c>
      <c r="F56">
        <f>COUNTIFS('NC Qualité'!A:A,"&gt;=01/10/2020",'NC Qualité'!A:A,"&lt;=31/10/2020",'NC Qualité'!E:E,"Hourdis",'NC Qualité'!I:I,"Aspect béton (Fissures, etc.)")</f>
        <v>0</v>
      </c>
      <c r="J56">
        <f>COUNTIFS('NC Qualité'!A:A,"&gt;=01/10/2020",'NC Qualité'!A:A,"&lt;=31/10/2020",'NC Qualité'!E:E,"Hourdis",'NC Qualité'!I:I,"Armatures apparentes")</f>
        <v>0</v>
      </c>
      <c r="L56">
        <f>COUNTIFS('NC Qualité'!A:A,"&gt;=01/10/2020",'NC Qualité'!A:A,"&lt;=31/10/2020",'NC Qualité'!E:E,"Hourdis",'NC Qualité'!I:I,"Délais de livraison")</f>
        <v>0</v>
      </c>
      <c r="N56">
        <f>COUNTIFS('NC Qualité'!A:A,"&gt;=01/10/2020",'NC Qualité'!A:A,"&lt;=31/10/2020",'NC Qualité'!E:E,"Hourdis",'NC Qualité'!I:I,"Casse de l'élément")</f>
        <v>0</v>
      </c>
      <c r="O56">
        <f>COUNTIFS('NC Qualité'!A:A,"&gt;=01/10/2020",'NC Qualité'!A:A,"&lt;=31/10/2020",'NC Qualité'!E:E,"Hourdis",'NC Qualité'!I:I,"Autres :")</f>
        <v>0</v>
      </c>
      <c r="P56" s="21"/>
      <c r="Q56" s="21"/>
      <c r="R56" s="21"/>
      <c r="S56" s="21"/>
      <c r="T56" s="21"/>
      <c r="U56" s="21"/>
      <c r="V56" s="21"/>
      <c r="W56" s="21"/>
      <c r="X56" s="26"/>
      <c r="AA56" s="31">
        <f>COUNTIFS('NC Qualité'!A:A,"&gt;=01/10/2020",'NC Qualité'!A:A,"&lt;=31/10/2020",'NC Qualité'!E:E,"Hourdis",'NC Qualité'!S:S,1)</f>
        <v>0</v>
      </c>
      <c r="AB56" s="31">
        <f>COUNTIFS('NC Qualité'!A:A,"&gt;=01/10/2020",'NC Qualité'!A:A,"&lt;=31/10/2020",'NC Qualité'!E:E,"Hourdis",'NC Qualité'!Q:Q,"A")</f>
        <v>0</v>
      </c>
    </row>
    <row r="57" spans="1:28" ht="29" x14ac:dyDescent="0.35">
      <c r="A57" s="67"/>
      <c r="B57" s="56" t="s">
        <v>98</v>
      </c>
      <c r="C57">
        <f>COUNTIFS('NC Qualité'!A:A,"&gt;=01/10/2020",'NC Qualité'!A:A,"&lt;=31/10/2020",'NC Qualité'!E:E,"Blocs à bancher",'NC Qualité'!I:I,"Dimensionnement (entraînant un rebut)")</f>
        <v>0</v>
      </c>
      <c r="D57">
        <f>COUNTIFS('NC Qualité'!A:A,"&gt;=01/10/2020",'NC Qualité'!A:A,"&lt;=31/10/2020",'NC Qualité'!E:E,"Blocs à bancher",'NC Qualité'!I:I,"Perçage du voile de pose")</f>
        <v>0</v>
      </c>
      <c r="E57">
        <f>COUNTIFS('NC Qualité'!A:A,"&gt;=01/10/2020",'NC Qualité'!A:A,"&lt;=31/10/2020",'NC Qualité'!E:E,"Blocs à bancher",'NC Qualité'!I:I,"Palettisation")</f>
        <v>0</v>
      </c>
      <c r="F57">
        <f>COUNTIFS('NC Qualité'!A:A,"&gt;=01/10/2020",'NC Qualité'!A:A,"&lt;=31/10/2020",'NC Qualité'!E:E,"Blocs à bancher",'NC Qualité'!I:I,"Aspect béton (Fissures, etc.)")</f>
        <v>0</v>
      </c>
      <c r="J57">
        <f>COUNTIFS('NC Qualité'!A:A,"&gt;=01/10/2020",'NC Qualité'!A:A,"&lt;=31/10/2020",'NC Qualité'!E:E,"Blocs à bancher",'NC Qualité'!I:I,"Armatures apparentes")</f>
        <v>0</v>
      </c>
      <c r="L57">
        <f>COUNTIFS('NC Qualité'!A:A,"&gt;=01/10/2020",'NC Qualité'!A:A,"&lt;=31/10/2020",'NC Qualité'!E:E,"Blocs à bancher",'NC Qualité'!I:I,"Non respect du délais de livraison de 14 jours")</f>
        <v>0</v>
      </c>
      <c r="N57">
        <f>COUNTIFS('NC Qualité'!A:A,"&gt;=01/10/2020",'NC Qualité'!A:A,"&lt;=31/10/2020",'NC Qualité'!E:E,"Blocs à bancher",'NC Qualité'!I:I,"Casse de l'élément")</f>
        <v>0</v>
      </c>
      <c r="O57">
        <f>COUNTIFS('NC Qualité'!A:A,"&gt;=01/10/2020",'NC Qualité'!A:A,"&lt;=31/10/2020",'NC Qualité'!E:E,"Blocs à bancher",'NC Qualité'!I:I,"Autres :")</f>
        <v>0</v>
      </c>
      <c r="P57" s="21"/>
      <c r="Q57" s="21"/>
      <c r="R57" s="21"/>
      <c r="S57" s="21"/>
      <c r="T57" s="21"/>
      <c r="U57" s="21"/>
      <c r="V57" s="21"/>
      <c r="W57" s="21"/>
      <c r="X57" s="26"/>
      <c r="AA57" s="31">
        <f>COUNTIFS('NC Qualité'!A:A,"&gt;=01/10/2020",'NC Qualité'!A:A,"&lt;=31/10/2020",'NC Qualité'!E:E,"Bordures",'NC Qualité'!S:S,1)</f>
        <v>0</v>
      </c>
      <c r="AB57" s="31">
        <f>COUNTIFS('NC Qualité'!A:A,"&gt;=01/10/2020",'NC Qualité'!A:A,"&lt;=31/10/2020",'NC Qualité'!E:E,"Bordures",'NC Qualité'!Q:Q,"A")</f>
        <v>0</v>
      </c>
    </row>
    <row r="58" spans="1:28" ht="21" x14ac:dyDescent="0.35">
      <c r="A58" s="67"/>
      <c r="B58" s="2"/>
      <c r="P58" s="21"/>
      <c r="Q58" s="21"/>
      <c r="R58" s="21"/>
      <c r="S58" s="21"/>
      <c r="T58" s="21"/>
      <c r="U58" s="21"/>
      <c r="V58" s="21"/>
      <c r="W58" s="21"/>
      <c r="X58" s="26"/>
      <c r="AA58" s="31">
        <f>COUNTIFS('NC Qualité'!A:A,"&gt;=01/10/2020",'NC Qualité'!A:A,"&lt;=31/10/2020",'NC Qualité'!E:E,"Caniveaux",'NC Qualité'!S:S,1)</f>
        <v>0</v>
      </c>
      <c r="AB58" s="31">
        <f>COUNTIFS('NC Qualité'!A:A,"&gt;=01/10/2020",'NC Qualité'!A:A,"&lt;=31/10/2020",'NC Qualité'!E:E,"Caniveaux",'NC Qualité'!Q:Q,"A")</f>
        <v>0</v>
      </c>
    </row>
    <row r="59" spans="1:28" ht="21" x14ac:dyDescent="0.35">
      <c r="A59" s="67"/>
      <c r="B59" s="15"/>
      <c r="P59" s="21"/>
      <c r="Q59" s="21"/>
      <c r="R59" s="21"/>
      <c r="S59" s="21"/>
      <c r="T59" s="21"/>
      <c r="U59" s="21"/>
      <c r="V59" s="21"/>
      <c r="W59" s="21"/>
      <c r="X59" s="26"/>
      <c r="AA59" s="31">
        <f>COUNTIFS('NC Qualité'!A:A,"&gt;=01/10/2020",'NC Qualité'!A:A,"&lt;=31/10/2020",'NC Qualité'!E:E,"Fielding : Bordures et Caniveaux",'NC Qualité'!S:S,1)</f>
        <v>0</v>
      </c>
      <c r="AB59" s="31">
        <f>COUNTIFS('NC Qualité'!A:A,"&gt;=01/10/2020",'NC Qualité'!A:A,"&lt;=31/10/2020",'NC Qualité'!E:E,"Fielding : Bordures et Caniveaux",'NC Qualité'!Q:Q,"A")</f>
        <v>0</v>
      </c>
    </row>
    <row r="60" spans="1:28" ht="21" x14ac:dyDescent="0.35">
      <c r="A60" s="67"/>
      <c r="B60" s="2"/>
      <c r="P60" s="21"/>
      <c r="Q60" s="21"/>
      <c r="R60" s="21"/>
      <c r="S60" s="21"/>
      <c r="T60" s="21"/>
      <c r="U60" s="21"/>
      <c r="V60" s="21"/>
      <c r="W60" s="21"/>
      <c r="X60" s="26"/>
      <c r="AA60" s="31">
        <f>COUNTIFS('NC Qualité'!A:A,"&gt;=01/10/2020",'NC Qualité'!A:A,"&lt;=31/10/2020",'NC Qualité'!E:E,"Modul : Tuyaux Dn 1800 à 2630",'NC Qualité'!S:S,1)</f>
        <v>0</v>
      </c>
      <c r="AB60" s="31">
        <f>COUNTIFS('NC Qualité'!A:A,"&gt;=01/10/2020",'NC Qualité'!A:A,"&lt;=31/10/2020",'NC Qualité'!E:E,"Modul : Tuyaux Dn 1800 à 2630",'NC Qualité'!Q:Q,"A")</f>
        <v>0</v>
      </c>
    </row>
    <row r="61" spans="1:28" ht="29" x14ac:dyDescent="0.35">
      <c r="A61" s="67" t="s">
        <v>41</v>
      </c>
      <c r="B61" s="2" t="s">
        <v>6</v>
      </c>
      <c r="C61" s="21"/>
      <c r="D61">
        <f>COUNTIFS('NC Qualité'!A:A,"&gt;=01/10/2020",'NC Qualité'!A:A,"&lt;=31/10/2020",'NC Qualité'!E:E,"Panneau coulé à plat",'NC Qualité'!I:I,"Problème d'étiquetage")</f>
        <v>0</v>
      </c>
      <c r="E61" s="21"/>
      <c r="F61">
        <f>COUNTIFS('NC Qualité'!A:A,"&gt;=01/10/2020",'NC Qualité'!A:A,"&lt;=31/10/2020",'NC Qualité'!E:E,"Panneau coulé à plat",'NC Qualité'!I:I,"Aspect béton (tâches / nid d'abeilles / granuleux / Fissures etc.)")</f>
        <v>0</v>
      </c>
      <c r="G61" s="21"/>
      <c r="H61">
        <f>COUNTIFS('NC Qualité'!A:A,"&gt;=01/10/2020",'NC Qualité'!A:A,"&lt;=31/10/2020",'NC Qualité'!E:E,"Panneau coulé à plat",'NC Qualité'!I:I,"Ancre de levage")</f>
        <v>0</v>
      </c>
      <c r="I61" s="21"/>
      <c r="J61">
        <f>COUNTIFS('NC Qualité'!A:A,"&gt;=01/10/2020",'NC Qualité'!A:A,"&lt;=31/10/2020",'NC Qualité'!E:E,"Modul : Tuyaux Dn 1800 à 2630",'NC Qualité'!I:I,"Armatures apparentes")</f>
        <v>0</v>
      </c>
      <c r="K61" s="21"/>
      <c r="L61" s="21"/>
      <c r="M61" s="21"/>
      <c r="N61" s="21"/>
      <c r="O61">
        <f>COUNTIFS('NC Qualité'!A:A,"&gt;=01/10/2020",'NC Qualité'!A:A,"&lt;=31/10/2020",'NC Qualité'!E:E,"Panneau coulé à plat",'NC Qualité'!I:I,"Autres :")</f>
        <v>0</v>
      </c>
      <c r="P61">
        <f>COUNTIFS('NC Qualité'!A:A,"&gt;=01/10/2020",'NC Qualité'!A:A,"&lt;=31/10/2020",'NC Qualité'!E:E,"Panneau coulé à plat",'NC Qualité'!I:I,"Accessoires (Mauvais positionnement , manquement, etc.)")</f>
        <v>0</v>
      </c>
      <c r="Q61">
        <f>COUNTIFS('NC Qualité'!A:A,"&gt;=01/10/2020",'NC Qualité'!A:A,"&lt;=31/10/2020",'NC Qualité'!E:E,"Panneau coulé à plat",'NC Qualité'!I:I,"équerrisage")</f>
        <v>0</v>
      </c>
      <c r="R61">
        <f>COUNTIFS('NC Qualité'!A:A,"&gt;=01/10/2020",'NC Qualité'!A:A,"&lt;=31/10/2020",'NC Qualité'!E:E,"Panneau coulé à plat",'NC Qualité'!I:I,"Seuil de porte (réservation)")</f>
        <v>0</v>
      </c>
      <c r="S61">
        <f>COUNTIFS('NC Qualité'!A:A,"&gt;=01/10/2020",'NC Qualité'!A:A,"&lt;=31/10/2020",'NC Qualité'!E:E,"Panneau coulé à plat",'NC Qualité'!I:I,"épaisseur")</f>
        <v>0</v>
      </c>
      <c r="T61">
        <f>COUNTIFS('NC Qualité'!A:A,"&gt;=01/10/2020",'NC Qualité'!A:A,"&lt;=31/10/2020",'NC Qualité'!E:E,"Panneau coulé à plat",'NC Qualité'!I:I,"Chanfrein")</f>
        <v>0</v>
      </c>
      <c r="U61">
        <f>COUNTIFS('NC Qualité'!A:A,"&gt;=01/10/2020",'NC Qualité'!A:A,"&lt;=31/10/2020",'NC Qualité'!E:E,"Panneau coulé à plat",'NC Qualité'!I:I,"Dimensionnement (entraînant un rebut)")</f>
        <v>0</v>
      </c>
      <c r="V61">
        <f>COUNTIFS('NC Qualité'!A:A,"&gt;=01/10/2020",'NC Qualité'!A:A,"&lt;=31/10/2020",'NC Qualité'!E:E,"Panneau coulé à plat",'NC Qualité'!I:I,"Cintrage")</f>
        <v>0</v>
      </c>
      <c r="W61">
        <f>COUNTIFS('NC Qualité'!A:A,"&gt;=01/10/2020",'NC Qualité'!A:A,"&lt;=31/10/2020",'NC Qualité'!E:E,"Panneau coulé à plat",'NC Qualité'!I:I,"Problème de chargement (sanglage, casse etc.)")</f>
        <v>0</v>
      </c>
      <c r="X61" s="27">
        <f>COUNTIFS('NC Qualité'!A:A,"&gt;=01/10/2020",'NC Qualité'!A:A,"&lt;=31/10/2020",'NC Qualité'!E:E,"Panneau coulé à plat",'NC Qualité'!I:I,"Erreur de chargement ")</f>
        <v>0</v>
      </c>
      <c r="AA61" s="31">
        <f>COUNTIFS('NC Qualité'!A:A,"&gt;=01/10/2020",'NC Qualité'!A:A,"&lt;=31/10/2020",'NC Qualité'!E:E,"Panneau coulé à plat",'NC Qualité'!S:S,1)</f>
        <v>0</v>
      </c>
      <c r="AB61" s="31">
        <f>COUNTIFS('NC Qualité'!A:A,"&gt;=01/10/2020",'NC Qualité'!A:A,"&lt;=31/10/2020",'NC Qualité'!E:E,"Panneau coulé à plat",'NC Qualité'!Q:Q,"A")</f>
        <v>0</v>
      </c>
    </row>
    <row r="62" spans="1:28" ht="21" x14ac:dyDescent="0.35">
      <c r="A62" s="67"/>
      <c r="B62" s="2" t="s">
        <v>0</v>
      </c>
      <c r="C62" s="21"/>
      <c r="D62">
        <f>COUNTIFS('NC Qualité'!A:A,"&gt;=01/10/2020",'NC Qualité'!A:A,"&lt;=31/10/2020",'NC Qualité'!E:E,"Bianchi",'NC Qualité'!I:I,"Problème d'étiquetage")</f>
        <v>0</v>
      </c>
      <c r="E62" s="21"/>
      <c r="F62">
        <f>COUNTIFS('NC Qualité'!A:A,"&gt;=01/10/2020",'NC Qualité'!A:A,"&lt;=31/10/2020",'NC Qualité'!E:E,"Bianchi",'NC Qualité'!I:I,"Aspect béton (tâches / nid d'abeilles / granuleux / Fissures etc.)")</f>
        <v>0</v>
      </c>
      <c r="G62" s="21"/>
      <c r="H62">
        <f>COUNTIFS('NC Qualité'!A:A,"&gt;=01/10/2020",'NC Qualité'!A:A,"&lt;=31/10/2020",'NC Qualité'!E:E,"Bianchi",'NC Qualité'!I:I,"Ancre de levage")</f>
        <v>0</v>
      </c>
      <c r="I62" s="21"/>
      <c r="J62">
        <f>COUNTIFS('NC Qualité'!A:A,"&gt;=01/10/2020",'NC Qualité'!A:A,"&lt;=31/10/2020",'NC Qualité'!E:E,"Bianchi",'NC Qualité'!I:I,"Armatures apparentes")</f>
        <v>0</v>
      </c>
      <c r="K62" s="21"/>
      <c r="L62" s="21"/>
      <c r="M62" s="21"/>
      <c r="N62" s="21"/>
      <c r="O62">
        <f>COUNTIFS('NC Qualité'!A:A,"&gt;=01/10/2020",'NC Qualité'!A:A,"&lt;=31/10/2020",'NC Qualité'!E:E,"Bianchi",'NC Qualité'!I:I,"Autres :")</f>
        <v>0</v>
      </c>
      <c r="P62">
        <f>COUNTIFS('NC Qualité'!A:A,"&gt;=01/10/2020",'NC Qualité'!A:A,"&lt;=31/10/2020",'NC Qualité'!E:E,"Bianchi",'NC Qualité'!I:I,"Accessoires (Mauvais positionnement , manquement, etc.)")</f>
        <v>0</v>
      </c>
      <c r="Q62">
        <f>COUNTIFS('NC Qualité'!A:A,"&gt;=01/10/2020",'NC Qualité'!A:A,"&lt;=31/10/2020",'NC Qualité'!E:E,"Bianchi",'NC Qualité'!I:I,"équerrisage")</f>
        <v>0</v>
      </c>
      <c r="R62">
        <f>COUNTIFS('NC Qualité'!A:A,"&gt;=01/10/2020",'NC Qualité'!A:A,"&lt;=31/10/2020",'NC Qualité'!E:E,"Bianchi",'NC Qualité'!I:I,"Seuil de porte (réservation)")</f>
        <v>0</v>
      </c>
      <c r="S62">
        <f>COUNTIFS('NC Qualité'!A:A,"&gt;=01/10/2020",'NC Qualité'!A:A,"&lt;=31/10/2020",'NC Qualité'!E:E,"Bianchi",'NC Qualité'!I:I,"épaisseur")</f>
        <v>0</v>
      </c>
      <c r="T62">
        <f>COUNTIFS('NC Qualité'!A:A,"&gt;=01/10/2020",'NC Qualité'!A:A,"&lt;=31/10/2020",'NC Qualité'!E:E,"Bianchi",'NC Qualité'!I:I,"Chanfrein")</f>
        <v>0</v>
      </c>
      <c r="U62">
        <f>COUNTIFS('NC Qualité'!A:A,"&gt;=01/10/2020",'NC Qualité'!A:A,"&lt;=31/10/2020",'NC Qualité'!E:E,"Bianchi",'NC Qualité'!I:I,"Dimensionnement (entraînant un rebut)")</f>
        <v>0</v>
      </c>
      <c r="V62">
        <f>COUNTIFS('NC Qualité'!A:A,"&gt;=01/10/2020",'NC Qualité'!A:A,"&lt;=31/10/2020",'NC Qualité'!E:E,"Bianchi",'NC Qualité'!I:I,"Cintrage")</f>
        <v>0</v>
      </c>
      <c r="W62">
        <f>COUNTIFS('NC Qualité'!A:A,"&gt;=01/10/2020",'NC Qualité'!A:A,"&lt;=31/10/2020",'NC Qualité'!E:E,"Bianchi",'NC Qualité'!I:I,"Problème de chargement (sanglage, casse etc.)")</f>
        <v>0</v>
      </c>
      <c r="X62" s="27">
        <f>COUNTIFS('NC Qualité'!A:A,"&gt;=01/10/2020",'NC Qualité'!A:A,"&lt;=31/10/2020",'NC Qualité'!E:E,"Bianchi",'NC Qualité'!I:I,"Erreur de chargement ")</f>
        <v>0</v>
      </c>
      <c r="AA62" s="31">
        <f>COUNTIFS('NC Qualité'!A:A,"&gt;=01/10/2020",'NC Qualité'!A:A,"&lt;=31/10/2020",'NC Qualité'!E:E,"Bianchi",'NC Qualité'!S:S,1)</f>
        <v>0</v>
      </c>
      <c r="AB62" s="31">
        <f>COUNTIFS('NC Qualité'!A:A,"&gt;=01/10/2020",'NC Qualité'!A:A,"&lt;=31/10/2020",'NC Qualité'!E:E,"Bianchi",'NC Qualité'!Q:Q,"A")</f>
        <v>0</v>
      </c>
    </row>
    <row r="63" spans="1:28" ht="29" x14ac:dyDescent="0.35">
      <c r="A63" s="67"/>
      <c r="B63" s="2" t="s">
        <v>3</v>
      </c>
      <c r="C63" s="21"/>
      <c r="D63">
        <f>COUNTIFS('NC Qualité'!A:A,"&gt;=01/10/2020",'NC Qualité'!A:A,"&lt;=31/10/2020",'NC Qualité'!E:E,"Préfabrication",'NC Qualité'!I:I,"Problème d'étiquetage")</f>
        <v>0</v>
      </c>
      <c r="E63" s="21"/>
      <c r="F63">
        <f>COUNTIFS('NC Qualité'!A:A,"&gt;=01/10/2020",'NC Qualité'!A:A,"&lt;=31/10/2020",'NC Qualité'!E:E,"Préfabrication",'NC Qualité'!I:I,"Aspect béton (tâches / nid d'abeilles / granuleux / Fissures etc.)")</f>
        <v>0</v>
      </c>
      <c r="G63" s="21"/>
      <c r="H63">
        <f>COUNTIFS('NC Qualité'!A:A,"&gt;=01/10/2020",'NC Qualité'!A:A,"&lt;=31/10/2020",'NC Qualité'!E:E,"Préfabrication",'NC Qualité'!I:I,"Ancre de levage")</f>
        <v>0</v>
      </c>
      <c r="I63" s="21"/>
      <c r="J63">
        <f>COUNTIFS('NC Qualité'!A:A,"&gt;=01/10/2020",'NC Qualité'!A:A,"&lt;=31/10/2020",'NC Qualité'!E:E,"Préfabrication",'NC Qualité'!I:I,"Armatures apparentes")</f>
        <v>0</v>
      </c>
      <c r="K63" s="21"/>
      <c r="L63" s="21"/>
      <c r="M63" s="21"/>
      <c r="N63" s="21"/>
      <c r="O63">
        <f>COUNTIFS('NC Qualité'!A:A,"&gt;=01/10/2020",'NC Qualité'!A:A,"&lt;=31/10/2020",'NC Qualité'!E:E,"Préfabrication",'NC Qualité'!I:I,"Autres :")</f>
        <v>0</v>
      </c>
      <c r="P63">
        <f>COUNTIFS('NC Qualité'!A:A,"&gt;=01/10/2020",'NC Qualité'!A:A,"&lt;=31/10/2020",'NC Qualité'!E:E,"Préfabrication",'NC Qualité'!I:I,"Accessoires (Mauvais positionnement , manquement, etc.)")</f>
        <v>0</v>
      </c>
      <c r="Q63">
        <f>COUNTIFS('NC Qualité'!A:A,"&gt;=01/10/2020",'NC Qualité'!A:A,"&lt;=31/10/2020",'NC Qualité'!E:E,"Préfabrication",'NC Qualité'!I:I,"équerrisage")</f>
        <v>0</v>
      </c>
      <c r="R63">
        <f>COUNTIFS('NC Qualité'!A:A,"&gt;=01/10/2020",'NC Qualité'!A:A,"&lt;=31/10/2020",'NC Qualité'!E:E,"Préfabrication",'NC Qualité'!I:I,"Seuil de porte (réservation)")</f>
        <v>0</v>
      </c>
      <c r="S63">
        <f>COUNTIFS('NC Qualité'!A:A,"&gt;=01/10/2020",'NC Qualité'!A:A,"&lt;=31/10/2020",'NC Qualité'!E:E,"Préfabrication",'NC Qualité'!I:I,"épaisseur")</f>
        <v>0</v>
      </c>
      <c r="T63">
        <f>COUNTIFS('NC Qualité'!A:A,"&gt;=01/10/2020",'NC Qualité'!A:A,"&lt;=31/10/2020",'NC Qualité'!E:E,"Préfabrication",'NC Qualité'!I:I,"Chanfrein")</f>
        <v>0</v>
      </c>
      <c r="U63">
        <f>COUNTIFS('NC Qualité'!A:A,"&gt;=01/10/2020",'NC Qualité'!A:A,"&lt;=31/10/2020",'NC Qualité'!E:E,"Préfabrication",'NC Qualité'!I:I,"Dimensionnement (entraînant un rebut)")</f>
        <v>0</v>
      </c>
      <c r="V63">
        <f>COUNTIFS('NC Qualité'!A:A,"&gt;=01/10/2020",'NC Qualité'!A:A,"&lt;=31/10/2020",'NC Qualité'!E:E,"Préfabrication",'NC Qualité'!I:I,"Cintrage")</f>
        <v>0</v>
      </c>
      <c r="W63">
        <f>COUNTIFS('NC Qualité'!A:A,"&gt;=01/10/2020",'NC Qualité'!A:A,"&lt;=31/10/2020",'NC Qualité'!E:E,"Préfabrication",'NC Qualité'!I:I,"Problème de chargement (sanglage, casse etc.)")</f>
        <v>0</v>
      </c>
      <c r="X63" s="27">
        <f>COUNTIFS('NC Qualité'!A:A,"&gt;=01/10/2020",'NC Qualité'!A:A,"&lt;=31/10/2020",'NC Qualité'!E:E,"Préfabrication",'NC Qualité'!I:I,"Erreur de chargement ")</f>
        <v>0</v>
      </c>
      <c r="AA63" s="31">
        <f>COUNTIFS('NC Qualité'!A:A,"&gt;=01/10/2020",'NC Qualité'!A:A,"&lt;=31/10/2020",'NC Qualité'!E:E,"Préfabrication",'NC Qualité'!S:S,1)</f>
        <v>0</v>
      </c>
      <c r="AB63" s="31">
        <f>COUNTIFS('NC Qualité'!A:A,"&gt;=01/10/2020",'NC Qualité'!A:A,"&lt;=31/10/2020",'NC Qualité'!E:E,"Préfabrication",'NC Qualité'!Q:Q,"A")</f>
        <v>0</v>
      </c>
    </row>
    <row r="64" spans="1:28" ht="29" x14ac:dyDescent="0.35">
      <c r="A64" s="67"/>
      <c r="B64" s="16" t="s">
        <v>2</v>
      </c>
      <c r="C64" s="21"/>
      <c r="D64">
        <f>COUNTIFS('NC Qualité'!A:A,"&gt;=01/10/2020",'NC Qualité'!A:A,"&lt;=31/10/2020",'NC Qualité'!E:E,"Précontraint",'NC Qualité'!I:I,"Problème d'étiquetage")</f>
        <v>0</v>
      </c>
      <c r="E64" s="21"/>
      <c r="F64">
        <f>COUNTIFS('NC Qualité'!A:A,"&gt;=01/10/2020",'NC Qualité'!A:A,"&lt;=31/10/2020",'NC Qualité'!E:E,"Précontraint",'NC Qualité'!I:I,"Aspect béton (tâches / nid d'abeilles / granuleux / Fissures etc.)")</f>
        <v>0</v>
      </c>
      <c r="G64" s="21"/>
      <c r="H64">
        <f>COUNTIFS('NC Qualité'!A:A,"&gt;=01/10/2020",'NC Qualité'!A:A,"&lt;=31/10/2020",'NC Qualité'!E:E,"Précontraint",'NC Qualité'!I:I,"Ancre de levage")</f>
        <v>0</v>
      </c>
      <c r="I64" s="21"/>
      <c r="J64">
        <f>COUNTIFS('NC Qualité'!A:A,"&gt;=01/10/2020",'NC Qualité'!A:A,"&lt;=31/10/2020",'NC Qualité'!E:E,"Précontraint",'NC Qualité'!I:I,"Armatures apparentes")</f>
        <v>0</v>
      </c>
      <c r="K64" s="21"/>
      <c r="L64" s="21"/>
      <c r="M64" s="21"/>
      <c r="N64" s="21"/>
      <c r="O64">
        <f>COUNTIFS('NC Qualité'!A:A,"&gt;=01/10/2020",'NC Qualité'!A:A,"&lt;=31/10/2020",'NC Qualité'!E:E,"Précontraint",'NC Qualité'!I:I,"Autres :")</f>
        <v>0</v>
      </c>
      <c r="P64">
        <f>COUNTIFS('NC Qualité'!A:A,"&gt;=01/10/2020",'NC Qualité'!A:A,"&lt;=31/10/2020",'NC Qualité'!E:E,"Précontraint",'NC Qualité'!I:I,"Accessoires (Mauvais positionnement , manquement, etc.)")</f>
        <v>0</v>
      </c>
      <c r="Q64">
        <f>COUNTIFS('NC Qualité'!A:A,"&gt;=01/10/2020",'NC Qualité'!A:A,"&lt;=31/10/2020",'NC Qualité'!E:E,"Précontraint",'NC Qualité'!I:I,"équerrisage")</f>
        <v>0</v>
      </c>
      <c r="R64">
        <f>COUNTIFS('NC Qualité'!A:A,"&gt;=01/10/2020",'NC Qualité'!A:A,"&lt;=31/10/2020",'NC Qualité'!E:E,"Précontraint",'NC Qualité'!I:I,"Seuil de porte (réservation)")</f>
        <v>0</v>
      </c>
      <c r="S64">
        <f>COUNTIFS('NC Qualité'!A:A,"&gt;=01/10/2020",'NC Qualité'!A:A,"&lt;=31/10/2020",'NC Qualité'!E:E,"Précontraint",'NC Qualité'!I:I,"épaisseur")</f>
        <v>0</v>
      </c>
      <c r="T64">
        <f>COUNTIFS('NC Qualité'!A:A,"&gt;=01/10/2020",'NC Qualité'!A:A,"&lt;=31/10/2020",'NC Qualité'!E:E,"Précontraint",'NC Qualité'!I:I,"Chanfrein")</f>
        <v>0</v>
      </c>
      <c r="U64">
        <f>COUNTIFS('NC Qualité'!A:A,"&gt;=01/10/2020",'NC Qualité'!A:A,"&lt;=31/10/2020",'NC Qualité'!E:E,"Précontraint",'NC Qualité'!I:I,"Dimensionnement (entraînant un rebut)")</f>
        <v>0</v>
      </c>
      <c r="V64">
        <f>COUNTIFS('NC Qualité'!A:A,"&gt;=01/10/2020",'NC Qualité'!A:A,"&lt;=31/10/2020",'NC Qualité'!E:E,"Précontraint",'NC Qualité'!I:I,"Cintrage")</f>
        <v>0</v>
      </c>
      <c r="W64">
        <f>COUNTIFS('NC Qualité'!A:A,"&gt;=01/10/2020",'NC Qualité'!A:A,"&lt;=31/10/2020",'NC Qualité'!E:E,"Précontraint",'NC Qualité'!I:I,"Problème de chargement (sanglage, casse etc.)")</f>
        <v>0</v>
      </c>
      <c r="X64" s="27">
        <f>COUNTIFS('NC Qualité'!A:A,"&gt;=01/10/2020",'NC Qualité'!A:A,"&lt;=31/10/2020",'NC Qualité'!E:E,"Précontraint",'NC Qualité'!I:I,"Erreur de chargement ")</f>
        <v>0</v>
      </c>
      <c r="AA64" s="31">
        <f>COUNTIFS('NC Qualité'!A:A,"&gt;=01/10/2020",'NC Qualité'!A:A,"&lt;=31/10/2020",'NC Qualité'!E:E,"Précontraint",'NC Qualité'!S:S,1)</f>
        <v>0</v>
      </c>
      <c r="AB64" s="31">
        <f>COUNTIFS('NC Qualité'!A:A,"&gt;=01/10/2020",'NC Qualité'!A:A,"&lt;=31/10/2020",'NC Qualité'!E:E,"Précontraint",'NC Qualité'!Q:Q,"A")</f>
        <v>0</v>
      </c>
    </row>
    <row r="65" spans="1:28" ht="21" x14ac:dyDescent="0.35">
      <c r="A65" s="67"/>
      <c r="B65" s="2" t="s">
        <v>1</v>
      </c>
      <c r="C65" s="22"/>
      <c r="D65" s="23">
        <f>COUNTIFS('NC Qualité'!A:A,"&gt;=01/10/2020",'NC Qualité'!A:A,"&lt;=31/10/2020",'NC Qualité'!E:E,"Parc",'NC Qualité'!I:I,"Problème d'étiquetage")</f>
        <v>0</v>
      </c>
      <c r="E65" s="24"/>
      <c r="F65" s="23">
        <f>COUNTIFS('NC Qualité'!A:A,"&gt;=01/10/2020",'NC Qualité'!A:A,"&lt;=31/10/2020",'NC Qualité'!E:E,"Parc",'NC Qualité'!I:I,"Aspect béton (tâches / nid d'abeilles / granuleux / Fissures etc.)")</f>
        <v>0</v>
      </c>
      <c r="G65" s="24"/>
      <c r="H65" s="23">
        <f>COUNTIFS('NC Qualité'!A:A,"&gt;=01/10/2020",'NC Qualité'!A:A,"&lt;=31/10/2020",'NC Qualité'!E:E,"Parc",'NC Qualité'!I:I,"Ancre de levage")</f>
        <v>0</v>
      </c>
      <c r="I65" s="24"/>
      <c r="J65" s="23">
        <f>COUNTIFS('NC Qualité'!A:A,"&gt;=01/10/2020",'NC Qualité'!A:A,"&lt;=31/10/2020",'NC Qualité'!E:E,"Parc",'NC Qualité'!I:I,"Armatures apparentes")</f>
        <v>0</v>
      </c>
      <c r="K65" s="24"/>
      <c r="L65" s="24"/>
      <c r="M65" s="24"/>
      <c r="N65" s="24"/>
      <c r="O65" s="23">
        <f>COUNTIFS('NC Qualité'!A:A,"&gt;=01/10/2020",'NC Qualité'!A:A,"&lt;=31/10/2020",'NC Qualité'!E:E,"Parc",'NC Qualité'!I:I,"Autres :")</f>
        <v>0</v>
      </c>
      <c r="P65" s="23">
        <f>COUNTIFS('NC Qualité'!A:A,"&gt;=01/10/2020",'NC Qualité'!A:A,"&lt;=31/10/2020",'NC Qualité'!E:E,"Parc",'NC Qualité'!I:I,"Accessoires (Mauvais positionnement , manquement, etc.)")</f>
        <v>0</v>
      </c>
      <c r="Q65" s="23">
        <f>COUNTIFS('NC Qualité'!A:A,"&gt;=01/10/2020",'NC Qualité'!A:A,"&lt;=31/10/2020",'NC Qualité'!E:E,"Parc",'NC Qualité'!I:I,"équerrisage")</f>
        <v>0</v>
      </c>
      <c r="R65" s="23">
        <f>COUNTIFS('NC Qualité'!A:A,"&gt;=01/10/2020",'NC Qualité'!A:A,"&lt;=31/10/2020",'NC Qualité'!E:E,"Parc",'NC Qualité'!I:I,"Seuil de porte (réservation)")</f>
        <v>0</v>
      </c>
      <c r="S65" s="23">
        <f>COUNTIFS('NC Qualité'!A:A,"&gt;=01/10/2020",'NC Qualité'!A:A,"&lt;=31/10/2020",'NC Qualité'!E:E,"Parc",'NC Qualité'!I:I,"épaisseur")</f>
        <v>0</v>
      </c>
      <c r="T65" s="23">
        <f>COUNTIFS('NC Qualité'!A:A,"&gt;=01/10/2020",'NC Qualité'!A:A,"&lt;=31/10/2020",'NC Qualité'!E:E,"Parc",'NC Qualité'!I:I,"Chanfrein")</f>
        <v>0</v>
      </c>
      <c r="U65" s="23">
        <f>COUNTIFS('NC Qualité'!A:A,"&gt;=01/10/2020",'NC Qualité'!A:A,"&lt;=31/10/2020",'NC Qualité'!E:E,"Parc",'NC Qualité'!I:I,"Dimensionnement (entraînant un rebut)")</f>
        <v>0</v>
      </c>
      <c r="V65" s="23">
        <f>COUNTIFS('NC Qualité'!A:A,"&gt;=01/10/2020",'NC Qualité'!A:A,"&lt;=31/10/2020",'NC Qualité'!E:E,"Parc",'NC Qualité'!I:I,"Cintrage")</f>
        <v>0</v>
      </c>
      <c r="W65" s="23">
        <f>COUNTIFS('NC Qualité'!A:A,"&gt;=01/10/2020",'NC Qualité'!A:A,"&lt;=31/10/2020",'NC Qualité'!E:E,"Parc",'NC Qualité'!I:I,"Problème de chargement (sanglage, casse etc.)")</f>
        <v>0</v>
      </c>
      <c r="X65" s="28">
        <f>COUNTIFS('NC Qualité'!A:A,"&gt;=01/10/2020",'NC Qualité'!A:A,"&lt;=31/10/2020",'NC Qualité'!E:E,"Parc",'NC Qualité'!I:I,"Erreur de chargement ")</f>
        <v>0</v>
      </c>
      <c r="AA65" s="31">
        <f>COUNTIFS('NC Qualité'!A:A,"&gt;=01/10/2020",'NC Qualité'!A:A,"&lt;=31/10/2020",'NC Qualité'!E:E,"Parc",'NC Qualité'!S:S,1)</f>
        <v>0</v>
      </c>
      <c r="AB65" s="31">
        <f>COUNTIFS('NC Qualité'!A:A,"&gt;=01/10/2020",'NC Qualité'!A:A,"&lt;=31/10/2020",'NC Qualité'!E:E,"Parc",'NC Qualité'!Q:Q,"A")</f>
        <v>0</v>
      </c>
    </row>
    <row r="66" spans="1:28" ht="23.5" x14ac:dyDescent="0.35">
      <c r="AA66" s="34">
        <f>SUM(AA54:AA65)</f>
        <v>0</v>
      </c>
      <c r="AB66" s="34">
        <f>SUM(AB54:AB65)</f>
        <v>0</v>
      </c>
    </row>
    <row r="67" spans="1:28" ht="15" thickBot="1" x14ac:dyDescent="0.4"/>
    <row r="68" spans="1:28" ht="15" thickBot="1" x14ac:dyDescent="0.4">
      <c r="A68" s="42"/>
      <c r="B68" s="43"/>
      <c r="C68" s="43"/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3"/>
      <c r="AA68" s="43"/>
      <c r="AB68" s="44"/>
    </row>
    <row r="70" spans="1:28" x14ac:dyDescent="0.35">
      <c r="B70" t="s">
        <v>51</v>
      </c>
    </row>
    <row r="73" spans="1:28" ht="105" x14ac:dyDescent="0.35">
      <c r="B73" s="14" t="s">
        <v>29</v>
      </c>
      <c r="C73" s="20" t="s">
        <v>25</v>
      </c>
      <c r="D73" s="20" t="s">
        <v>78</v>
      </c>
      <c r="E73" s="20" t="s">
        <v>79</v>
      </c>
      <c r="F73" s="20" t="s">
        <v>77</v>
      </c>
      <c r="G73" s="20"/>
      <c r="H73" s="20"/>
      <c r="I73" s="20"/>
      <c r="J73" s="20" t="s">
        <v>35</v>
      </c>
      <c r="K73" s="20"/>
      <c r="L73" s="20" t="s">
        <v>82</v>
      </c>
      <c r="M73" s="20"/>
      <c r="N73" s="20" t="s">
        <v>39</v>
      </c>
      <c r="O73" s="20" t="s">
        <v>40</v>
      </c>
      <c r="P73" s="20" t="s">
        <v>24</v>
      </c>
      <c r="Q73" s="20" t="s">
        <v>43</v>
      </c>
      <c r="R73" s="20" t="s">
        <v>27</v>
      </c>
      <c r="S73" s="20" t="s">
        <v>44</v>
      </c>
      <c r="T73" s="20" t="s">
        <v>5</v>
      </c>
      <c r="U73" s="20" t="s">
        <v>25</v>
      </c>
      <c r="V73" s="20" t="s">
        <v>7</v>
      </c>
      <c r="W73" s="20" t="s">
        <v>28</v>
      </c>
      <c r="X73" s="20" t="s">
        <v>45</v>
      </c>
      <c r="AA73" s="33" t="s">
        <v>47</v>
      </c>
      <c r="AB73" s="32" t="s">
        <v>46</v>
      </c>
    </row>
    <row r="74" spans="1:28" ht="21" customHeight="1" x14ac:dyDescent="0.35">
      <c r="A74" s="67" t="s">
        <v>42</v>
      </c>
      <c r="B74" s="2" t="s">
        <v>70</v>
      </c>
      <c r="C74">
        <f>COUNTIFS('NC Qualité'!A:A,"&gt;=01/11/2020",'NC Qualité'!A:A,"&lt;=31/11/2020",'NC Qualité'!E:E,"Blocs",'NC Qualité'!I:I,"Dimensionnement (entraînant un rebut)")</f>
        <v>0</v>
      </c>
      <c r="D74">
        <f>COUNTIFS('NC Qualité'!A:A,"&gt;=01/11/2020",'NC Qualité'!A:A,"&lt;=31/11/2020",'NC Qualité'!E:E,"Blocs",'NC Qualité'!I:I,"Perçage du voile de pose")</f>
        <v>0</v>
      </c>
      <c r="E74">
        <f>COUNTIFS('NC Qualité'!A:A,"&gt;=01/11/2020",'NC Qualité'!A:A,"&lt;=31/11/2020",'NC Qualité'!E:E,"Blocs",'NC Qualité'!I:I,"étanchéité")</f>
        <v>0</v>
      </c>
      <c r="F74">
        <f>COUNTIFS('NC Qualité'!A:A,"&gt;=01/11/2020",'NC Qualité'!A:A,"&lt;=31/11/2020",'NC Qualité'!E:E,"Blocs",'NC Qualité'!I:I,"Aspect béton (Fissures, etc.)")</f>
        <v>0</v>
      </c>
      <c r="J74">
        <f>COUNTIFS('NC Qualité'!A:A,"&gt;=01/11/2020",'NC Qualité'!A:A,"&lt;=31/11/2020",'NC Qualité'!E:E,"Blocs",'NC Qualité'!I:I,"Armatures apparentes")</f>
        <v>0</v>
      </c>
      <c r="L74">
        <f>COUNTIFS('NC Qualité'!A:A,"&gt;=01/11/2020",'NC Qualité'!A:A,"&lt;=31/11/2020",'NC Qualité'!E:E,"Blocs",'NC Qualité'!I:I,"Délais de livraison")</f>
        <v>0</v>
      </c>
      <c r="N74">
        <f>COUNTIFS('NC Qualité'!A:A,"&gt;=01/11/2020",'NC Qualité'!A:A,"&lt;=31/11/2020",'NC Qualité'!E:E,"Blocs",'NC Qualité'!I:I,"Casse de l'élément")</f>
        <v>0</v>
      </c>
      <c r="O74">
        <f>COUNTIFS('NC Qualité'!A:A,"&gt;=01/11/2020",'NC Qualité'!A:A,"&lt;=31/11/2020",'NC Qualité'!E:E,"Blocs",'NC Qualité'!I:I,"Autres :")</f>
        <v>0</v>
      </c>
      <c r="P74" s="21"/>
      <c r="Q74" s="21"/>
      <c r="R74" s="21"/>
      <c r="S74" s="21"/>
      <c r="T74" s="21"/>
      <c r="U74" s="21"/>
      <c r="V74" s="21"/>
      <c r="W74" s="21"/>
      <c r="X74" s="25"/>
      <c r="AA74" s="31">
        <f>COUNTIFS('NC Qualité'!A:A,"&gt;=01/11/2020",'NC Qualité'!A:A,"&lt;=30/11/2020",'NC Qualité'!E:E,"Blocs",'NC Qualité'!S:S,1)</f>
        <v>0</v>
      </c>
      <c r="AB74" s="31">
        <f>COUNTIFS('NC Qualité'!A:A,"&gt;=01/11/2020",'NC Qualité'!A:A,"&lt;=30/11/2020",'NC Qualité'!E:E,"Blocs",'NC Qualité'!Q:Q,"A")</f>
        <v>0</v>
      </c>
    </row>
    <row r="75" spans="1:28" ht="21" x14ac:dyDescent="0.35">
      <c r="A75" s="67"/>
      <c r="B75" s="2" t="s">
        <v>71</v>
      </c>
      <c r="C75">
        <f>COUNTIFS('NC Qualité'!A:A,"&gt;=01/11/2020",'NC Qualité'!A:A,"&lt;=31/11/2020",'NC Qualité'!E:E,"Poutrelles",'NC Qualité'!I:I,"Dimensionnement (entraînant un rebut)")</f>
        <v>0</v>
      </c>
      <c r="D75">
        <f>COUNTIFS('NC Qualité'!A:A,"&gt;=01/11/2020",'NC Qualité'!A:A,"&lt;=31/11/2020",'NC Qualité'!E:E,"Poutrelles",'NC Qualité'!I:I,"Perçage du voile de pose")</f>
        <v>0</v>
      </c>
      <c r="E75">
        <f>COUNTIFS('NC Qualité'!A:A,"&gt;=01/11/2020",'NC Qualité'!A:A,"&lt;=31/11/2020",'NC Qualité'!E:E,"Poutrelles",'NC Qualité'!I:I,"Palettisation")</f>
        <v>0</v>
      </c>
      <c r="F75">
        <f>COUNTIFS('NC Qualité'!A:A,"&gt;=01/11/2020",'NC Qualité'!A:A,"&lt;=31/11/2020",'NC Qualité'!E:E,"Poutrelles",'NC Qualité'!I:I,"Aspect béton (Fissures, etc.)")</f>
        <v>0</v>
      </c>
      <c r="J75">
        <f>COUNTIFS('NC Qualité'!A:A,"&gt;=01/11/2020",'NC Qualité'!A:A,"&lt;=31/11/2020",'NC Qualité'!E:E,"Poutrelles",'NC Qualité'!I:I,"Armatures apparentes")</f>
        <v>0</v>
      </c>
      <c r="L75">
        <f>COUNTIFS('NC Qualité'!A:A,"&gt;=01/11/2020",'NC Qualité'!A:A,"&lt;=31/11/2020",'NC Qualité'!E:E,"Poutrelles",'NC Qualité'!I:I,"Délais de livraison")</f>
        <v>0</v>
      </c>
      <c r="N75">
        <f>COUNTIFS('NC Qualité'!A:A,"&gt;=01/11/2020",'NC Qualité'!A:A,"&lt;=31/11/2020",'NC Qualité'!E:E,"Poutrelles",'NC Qualité'!I:I,"Casse de l'élément")</f>
        <v>0</v>
      </c>
      <c r="O75">
        <f>COUNTIFS('NC Qualité'!A:A,"&gt;=01/11/2020",'NC Qualité'!A:A,"&lt;=31/11/2020",'NC Qualité'!E:E,"Poutrelles",'NC Qualité'!I:I,"Autres :")</f>
        <v>0</v>
      </c>
      <c r="P75" s="21"/>
      <c r="Q75" s="21"/>
      <c r="R75" s="21"/>
      <c r="S75" s="21"/>
      <c r="T75" s="21"/>
      <c r="U75" s="21"/>
      <c r="V75" s="21"/>
      <c r="W75" s="21"/>
      <c r="X75" s="26"/>
      <c r="AA75" s="31">
        <f>COUNTIFS('NC Qualité'!A:A,"&gt;=01/11/2020",'NC Qualité'!A:A,"&lt;=30/11/2020",'NC Qualité'!E:E,"Poutrelles",'NC Qualité'!S:S,1)</f>
        <v>0</v>
      </c>
      <c r="AB75" s="31">
        <f>COUNTIFS('NC Qualité'!A:A,"&gt;=01/11/2020",'NC Qualité'!A:A,"&lt;=30/11/2020",'NC Qualité'!E:E,"Poutrelles",'NC Qualité'!Q:Q,"A")</f>
        <v>0</v>
      </c>
    </row>
    <row r="76" spans="1:28" ht="21" x14ac:dyDescent="0.35">
      <c r="A76" s="67"/>
      <c r="B76" s="2" t="s">
        <v>72</v>
      </c>
      <c r="C76">
        <f>COUNTIFS('NC Qualité'!A:A,"&gt;=01/11/2020",'NC Qualité'!A:A,"&lt;=31/11/2020",'NC Qualité'!E:E,"Hourdis",'NC Qualité'!I:I,"Dimensionnement (entraînant un rebut)")</f>
        <v>0</v>
      </c>
      <c r="D76">
        <f>COUNTIFS('NC Qualité'!A:A,"&gt;=01/11/2020",'NC Qualité'!A:A,"&lt;=31/11/2020",'NC Qualité'!E:E,"Hourdis",'NC Qualité'!I:I,"Problème d'étiquetage")</f>
        <v>0</v>
      </c>
      <c r="E76">
        <f>COUNTIFS('NC Qualité'!A:A,"&gt;=01/11/2020",'NC Qualité'!A:A,"&lt;=31/11/2020",'NC Qualité'!E:E,"Hourdis",'NC Qualité'!I:I,"Palettisation")</f>
        <v>0</v>
      </c>
      <c r="F76">
        <f>COUNTIFS('NC Qualité'!A:A,"&gt;=01/11/2020",'NC Qualité'!A:A,"&lt;=31/11/2020",'NC Qualité'!E:E,"Hourdis",'NC Qualité'!I:I,"Aspect béton (Fissures, etc.)")</f>
        <v>0</v>
      </c>
      <c r="J76">
        <f>COUNTIFS('NC Qualité'!A:A,"&gt;=01/11/2020",'NC Qualité'!A:A,"&lt;=31/11/2020",'NC Qualité'!E:E,"Hourdis",'NC Qualité'!I:I,"Armatures apparentes")</f>
        <v>0</v>
      </c>
      <c r="L76">
        <f>COUNTIFS('NC Qualité'!A:A,"&gt;=01/11/2020",'NC Qualité'!A:A,"&lt;=31/11/2020",'NC Qualité'!E:E,"Hourdis",'NC Qualité'!I:I,"Délais de livraison")</f>
        <v>0</v>
      </c>
      <c r="N76">
        <f>COUNTIFS('NC Qualité'!A:A,"&gt;=01/11/2020",'NC Qualité'!A:A,"&lt;=31/11/2020",'NC Qualité'!E:E,"Hourdis",'NC Qualité'!I:I,"Casse de l'élément")</f>
        <v>0</v>
      </c>
      <c r="O76">
        <f>COUNTIFS('NC Qualité'!A:A,"&gt;=01/11/2020",'NC Qualité'!A:A,"&lt;=31/11/2020",'NC Qualité'!E:E,"Hourdis",'NC Qualité'!I:I,"Autres :")</f>
        <v>0</v>
      </c>
      <c r="P76" s="21"/>
      <c r="Q76" s="21"/>
      <c r="R76" s="21"/>
      <c r="S76" s="21"/>
      <c r="T76" s="21"/>
      <c r="U76" s="21"/>
      <c r="V76" s="21"/>
      <c r="W76" s="21"/>
      <c r="X76" s="26"/>
      <c r="AA76" s="31">
        <f>COUNTIFS('NC Qualité'!A:A,"&gt;=01/11/2020",'NC Qualité'!A:A,"&lt;=30/11/2020",'NC Qualité'!E:E,"Hourdis",'NC Qualité'!S:S,1)</f>
        <v>0</v>
      </c>
      <c r="AB76" s="31">
        <f>COUNTIFS('NC Qualité'!A:A,"&gt;=01/11/2020",'NC Qualité'!A:A,"&lt;=30/11/2020",'NC Qualité'!E:E,"Hourdis",'NC Qualité'!Q:Q,"A")</f>
        <v>0</v>
      </c>
    </row>
    <row r="77" spans="1:28" ht="29" x14ac:dyDescent="0.35">
      <c r="A77" s="67"/>
      <c r="B77" s="56" t="s">
        <v>98</v>
      </c>
      <c r="C77">
        <f>COUNTIFS('NC Qualité'!A:A,"&gt;=01/11/2020",'NC Qualité'!A:A,"&lt;=31/11/2020",'NC Qualité'!E:E,"Blocs à bancher",'NC Qualité'!I:I,"Dimensionnement (entraînant un rebut)")</f>
        <v>0</v>
      </c>
      <c r="D77">
        <f>COUNTIFS('NC Qualité'!A:A,"&gt;=01/11/2020",'NC Qualité'!A:A,"&lt;=31/11/2020",'NC Qualité'!E:E,"Blocs à bancher",'NC Qualité'!I:I,"Problème d'étiquetage")</f>
        <v>0</v>
      </c>
      <c r="E77">
        <f>COUNTIFS('NC Qualité'!A:A,"&gt;=01/11/2020",'NC Qualité'!A:A,"&lt;=31/11/2020",'NC Qualité'!E:E,"Blocs à bancher",'NC Qualité'!I:I,"Palettisation")</f>
        <v>0</v>
      </c>
      <c r="F77">
        <f>COUNTIFS('NC Qualité'!A:A,"&gt;=01/11/2020",'NC Qualité'!A:A,"&lt;=31/11/2020",'NC Qualité'!E:E,"Blocs à bancher",'NC Qualité'!I:I,"Aspect béton (Fissures, etc.)")</f>
        <v>0</v>
      </c>
      <c r="J77">
        <f>COUNTIFS('NC Qualité'!A:A,"&gt;=01/11/2020",'NC Qualité'!A:A,"&lt;=31/11/2020",'NC Qualité'!E:E,"Blocs à bancher",'NC Qualité'!I:I,"Armatures apparentes")</f>
        <v>0</v>
      </c>
      <c r="L77">
        <f>COUNTIFS('NC Qualité'!A:A,"&gt;=01/11/2020",'NC Qualité'!A:A,"&lt;=31/11/2020",'NC Qualité'!E:E,"Blocs à bancher",'NC Qualité'!I:I,"Délais de livraison")</f>
        <v>0</v>
      </c>
      <c r="N77">
        <f>COUNTIFS('NC Qualité'!A:A,"&gt;=01/11/2020",'NC Qualité'!A:A,"&lt;=31/11/2020",'NC Qualité'!E:E,"Blocs à bancher",'NC Qualité'!I:I,"Casse de l'élément")</f>
        <v>0</v>
      </c>
      <c r="O77">
        <f>COUNTIFS('NC Qualité'!A:A,"&gt;=01/11/2020",'NC Qualité'!A:A,"&lt;=31/11/2020",'NC Qualité'!E:E,"Blocs à bancher",'NC Qualité'!I:I,"Autres :")</f>
        <v>0</v>
      </c>
      <c r="P77" s="21"/>
      <c r="Q77" s="21"/>
      <c r="R77" s="21"/>
      <c r="S77" s="21"/>
      <c r="T77" s="21"/>
      <c r="U77" s="21"/>
      <c r="V77" s="21"/>
      <c r="W77" s="21"/>
      <c r="X77" s="26"/>
      <c r="AA77" s="31">
        <f>COUNTIFS('NC Qualité'!A:A,"&gt;=01/11/2020",'NC Qualité'!A:A,"&lt;=30/11/2020",'NC Qualité'!E:E,"Bordures",'NC Qualité'!S:S,1)</f>
        <v>0</v>
      </c>
      <c r="AB77" s="31">
        <f>COUNTIFS('NC Qualité'!A:A,"&gt;=01/11/2020",'NC Qualité'!A:A,"&lt;=30/11/2020",'NC Qualité'!E:E,"Bordures",'NC Qualité'!Q:Q,"A")</f>
        <v>0</v>
      </c>
    </row>
    <row r="78" spans="1:28" ht="21" x14ac:dyDescent="0.35">
      <c r="A78" s="67"/>
      <c r="B78" s="2"/>
      <c r="P78" s="21"/>
      <c r="Q78" s="21"/>
      <c r="R78" s="21"/>
      <c r="S78" s="21"/>
      <c r="T78" s="21"/>
      <c r="U78" s="21"/>
      <c r="V78" s="21"/>
      <c r="W78" s="21"/>
      <c r="X78" s="26"/>
      <c r="AA78" s="31">
        <f>COUNTIFS('NC Qualité'!A:A,"&gt;=01/11/2020",'NC Qualité'!A:A,"&lt;=30/11/2020",'NC Qualité'!E:E,"Caniveaux",'NC Qualité'!S:S,1)</f>
        <v>0</v>
      </c>
      <c r="AB78" s="31">
        <f>COUNTIFS('NC Qualité'!A:A,"&gt;=01/11/2020",'NC Qualité'!A:A,"&lt;=30/11/2020",'NC Qualité'!E:E,"Caniveaux",'NC Qualité'!Q:Q,"A")</f>
        <v>0</v>
      </c>
    </row>
    <row r="79" spans="1:28" ht="21" x14ac:dyDescent="0.35">
      <c r="A79" s="67"/>
      <c r="B79" s="15"/>
      <c r="P79" s="21"/>
      <c r="Q79" s="21"/>
      <c r="R79" s="21"/>
      <c r="S79" s="21"/>
      <c r="T79" s="21"/>
      <c r="U79" s="21"/>
      <c r="V79" s="21"/>
      <c r="W79" s="21"/>
      <c r="X79" s="26"/>
      <c r="AA79" s="31">
        <f>COUNTIFS('NC Qualité'!A:A,"&gt;=01/11/2020",'NC Qualité'!A:A,"&lt;=30/11/2020",'NC Qualité'!E:E,"Fielding : Bordures et Caniveaux",'NC Qualité'!S:S,1)</f>
        <v>0</v>
      </c>
      <c r="AB79" s="31">
        <f>COUNTIFS('NC Qualité'!A:A,"&gt;=01/11/2020",'NC Qualité'!A:A,"&lt;=30/11/2020",'NC Qualité'!E:E,"Fielding : Bordures et Caniveaux",'NC Qualité'!Q:Q,"A")</f>
        <v>0</v>
      </c>
    </row>
    <row r="80" spans="1:28" ht="21" x14ac:dyDescent="0.35">
      <c r="A80" s="67"/>
      <c r="B80" s="2"/>
      <c r="P80" s="21"/>
      <c r="Q80" s="21"/>
      <c r="R80" s="21"/>
      <c r="S80" s="21"/>
      <c r="T80" s="21"/>
      <c r="U80" s="21"/>
      <c r="V80" s="21"/>
      <c r="W80" s="21"/>
      <c r="X80" s="26"/>
      <c r="AA80" s="31">
        <f>COUNTIFS('NC Qualité'!A:A,"&gt;=01/11/2020",'NC Qualité'!A:A,"&lt;=30/11/2020",'NC Qualité'!E:E,"Modul : Tuyaux Dn 1800 à 2630",'NC Qualité'!S:S,1)</f>
        <v>0</v>
      </c>
      <c r="AB80" s="31">
        <f>COUNTIFS('NC Qualité'!A:A,"&gt;=01/11/2020",'NC Qualité'!A:A,"&lt;=30/11/2020",'NC Qualité'!E:E,"Modul : Tuyaux Dn 1800 à 2630",'NC Qualité'!Q:Q,"A")</f>
        <v>0</v>
      </c>
    </row>
    <row r="81" spans="1:28" ht="29" x14ac:dyDescent="0.35">
      <c r="A81" s="67" t="s">
        <v>41</v>
      </c>
      <c r="B81" s="2" t="s">
        <v>6</v>
      </c>
      <c r="C81" s="21"/>
      <c r="D81">
        <f>COUNTIFS('NC Qualité'!A:A,"&gt;=01/11/2020",'NC Qualité'!A:A,"&lt;=30/11/2020",'NC Qualité'!E:E,"Panneau coulé à plat",'NC Qualité'!I:I,"Problème d'étiquetage")</f>
        <v>0</v>
      </c>
      <c r="E81" s="21"/>
      <c r="F81">
        <f>COUNTIFS('NC Qualité'!A:A,"&gt;=01/11/2020",'NC Qualité'!A:A,"&lt;=30/11/2020",'NC Qualité'!E:E,"Panneau coulé à plat",'NC Qualité'!I:I,"Aspect béton (tâches / nid d'abeilles / granuleux / Fissures etc.)")</f>
        <v>0</v>
      </c>
      <c r="G81" s="21"/>
      <c r="H81">
        <f>COUNTIFS('NC Qualité'!A:A,"&gt;=01/11/2020",'NC Qualité'!A:A,"&lt;=30/11/2020",'NC Qualité'!E:E,"Panneau coulé à plat",'NC Qualité'!I:I,"Ancre de levage")</f>
        <v>0</v>
      </c>
      <c r="I81" s="21"/>
      <c r="J81">
        <f>COUNTIFS('NC Qualité'!A:A,"&gt;=01/11/2020",'NC Qualité'!A:A,"&lt;=30/11/2020",'NC Qualité'!E:E,"Modul : Tuyaux Dn 1800 à 2630",'NC Qualité'!I:I,"Armatures apparentes")</f>
        <v>0</v>
      </c>
      <c r="K81" s="21"/>
      <c r="L81" s="21"/>
      <c r="M81" s="21"/>
      <c r="N81" s="21"/>
      <c r="O81">
        <f>COUNTIFS('NC Qualité'!A:A,"&gt;=01/11/2020",'NC Qualité'!A:A,"&lt;=30/11/2020",'NC Qualité'!E:E,"Panneau coulé à plat",'NC Qualité'!I:I,"Autres :")</f>
        <v>0</v>
      </c>
      <c r="P81">
        <f>COUNTIFS('NC Qualité'!A:A,"&gt;=01/11/2020",'NC Qualité'!A:A,"&lt;=30/11/2020",'NC Qualité'!E:E,"Panneau coulé à plat",'NC Qualité'!I:I,"Accessoires (Mauvais positionnement , manquement, etc.)")</f>
        <v>0</v>
      </c>
      <c r="Q81">
        <f>COUNTIFS('NC Qualité'!A:A,"&gt;=01/11/2020",'NC Qualité'!A:A,"&lt;=30/11/2020",'NC Qualité'!E:E,"Panneau coulé à plat",'NC Qualité'!I:I,"équerrisage")</f>
        <v>0</v>
      </c>
      <c r="R81">
        <f>COUNTIFS('NC Qualité'!A:A,"&gt;=01/11/2020",'NC Qualité'!A:A,"&lt;=30/11/2020",'NC Qualité'!E:E,"Panneau coulé à plat",'NC Qualité'!I:I,"Seuil de porte (réservation)")</f>
        <v>0</v>
      </c>
      <c r="S81">
        <f>COUNTIFS('NC Qualité'!A:A,"&gt;=01/11/2020",'NC Qualité'!A:A,"&lt;=30/11/2020",'NC Qualité'!E:E,"Panneau coulé à plat",'NC Qualité'!I:I,"épaisseur")</f>
        <v>0</v>
      </c>
      <c r="T81">
        <f>COUNTIFS('NC Qualité'!A:A,"&gt;=01/11/2020",'NC Qualité'!A:A,"&lt;=30/11/2020",'NC Qualité'!E:E,"Panneau coulé à plat",'NC Qualité'!I:I,"Chanfrein")</f>
        <v>0</v>
      </c>
      <c r="U81">
        <f>COUNTIFS('NC Qualité'!A:A,"&gt;=01/11/2020",'NC Qualité'!A:A,"&lt;=30/11/2020",'NC Qualité'!E:E,"Panneau coulé à plat",'NC Qualité'!I:I,"Dimensionnement (entraînant un rebut)")</f>
        <v>0</v>
      </c>
      <c r="V81">
        <f>COUNTIFS('NC Qualité'!A:A,"&gt;=01/11/2020",'NC Qualité'!A:A,"&lt;=30/11/2020",'NC Qualité'!E:E,"Panneau coulé à plat",'NC Qualité'!I:I,"Cintrage")</f>
        <v>0</v>
      </c>
      <c r="W81">
        <f>COUNTIFS('NC Qualité'!A:A,"&gt;=01/11/2020",'NC Qualité'!A:A,"&lt;=30/11/2020",'NC Qualité'!E:E,"Panneau coulé à plat",'NC Qualité'!I:I,"Problème de chargement (sanglage, casse etc.)")</f>
        <v>0</v>
      </c>
      <c r="X81" s="27">
        <f>COUNTIFS('NC Qualité'!A:A,"&gt;=01/11/2020",'NC Qualité'!A:A,"&lt;=30/11/2020",'NC Qualité'!E:E,"Panneau coulé à plat",'NC Qualité'!I:I,"Erreur de chargement ")</f>
        <v>0</v>
      </c>
      <c r="AA81" s="31">
        <f>COUNTIFS('NC Qualité'!A:A,"&gt;=01/11/2020",'NC Qualité'!A:A,"&lt;=30/11/2020",'NC Qualité'!E:E,"Panneau coulé à plat",'NC Qualité'!S:S,1)</f>
        <v>0</v>
      </c>
      <c r="AB81" s="31">
        <f>COUNTIFS('NC Qualité'!A:A,"&gt;=01/11/2020",'NC Qualité'!A:A,"&lt;=30/11/2020",'NC Qualité'!E:E,"Panneau coulé à plat",'NC Qualité'!Q:Q,"A")</f>
        <v>0</v>
      </c>
    </row>
    <row r="82" spans="1:28" ht="21" x14ac:dyDescent="0.35">
      <c r="A82" s="67"/>
      <c r="B82" s="2" t="s">
        <v>0</v>
      </c>
      <c r="C82" s="21"/>
      <c r="D82">
        <f>COUNTIFS('NC Qualité'!A:A,"&gt;=01/11/2020",'NC Qualité'!A:A,"&lt;=30/11/2020",'NC Qualité'!E:E,"Bianchi",'NC Qualité'!I:I,"Problème d'étiquetage")</f>
        <v>0</v>
      </c>
      <c r="E82" s="21"/>
      <c r="F82">
        <f>COUNTIFS('NC Qualité'!A:A,"&gt;=01/11/2020",'NC Qualité'!A:A,"&lt;=30/11/2020",'NC Qualité'!E:E,"Bianchi",'NC Qualité'!I:I,"Aspect béton (tâches / nid d'abeilles / granuleux / Fissures etc.)")</f>
        <v>0</v>
      </c>
      <c r="G82" s="21"/>
      <c r="H82">
        <f>COUNTIFS('NC Qualité'!A:A,"&gt;=01/11/2020",'NC Qualité'!A:A,"&lt;=30/11/2020",'NC Qualité'!E:E,"Bianchi",'NC Qualité'!I:I,"Ancre de levage")</f>
        <v>0</v>
      </c>
      <c r="I82" s="21"/>
      <c r="J82">
        <f>COUNTIFS('NC Qualité'!A:A,"&gt;=01/11/2020",'NC Qualité'!A:A,"&lt;=30/11/2020",'NC Qualité'!E:E,"Bianchi",'NC Qualité'!I:I,"Armatures apparentes")</f>
        <v>0</v>
      </c>
      <c r="K82" s="21"/>
      <c r="L82" s="21"/>
      <c r="M82" s="21"/>
      <c r="N82" s="21"/>
      <c r="O82">
        <f>COUNTIFS('NC Qualité'!A:A,"&gt;=01/11/2020",'NC Qualité'!A:A,"&lt;=30/11/2020",'NC Qualité'!E:E,"Bianchi",'NC Qualité'!I:I,"Autres :")</f>
        <v>0</v>
      </c>
      <c r="P82">
        <f>COUNTIFS('NC Qualité'!A:A,"&gt;=01/11/2020",'NC Qualité'!A:A,"&lt;=30/11/2020",'NC Qualité'!E:E,"Bianchi",'NC Qualité'!I:I,"Accessoires (Mauvais positionnement , manquement, etc.)")</f>
        <v>0</v>
      </c>
      <c r="Q82">
        <f>COUNTIFS('NC Qualité'!A:A,"&gt;=01/11/2020",'NC Qualité'!A:A,"&lt;=30/11/2020",'NC Qualité'!E:E,"Bianchi",'NC Qualité'!I:I,"équerrisage")</f>
        <v>0</v>
      </c>
      <c r="R82">
        <f>COUNTIFS('NC Qualité'!A:A,"&gt;=01/11/2020",'NC Qualité'!A:A,"&lt;=30/11/2020",'NC Qualité'!E:E,"Bianchi",'NC Qualité'!I:I,"Seuil de porte (réservation)")</f>
        <v>0</v>
      </c>
      <c r="S82">
        <f>COUNTIFS('NC Qualité'!A:A,"&gt;=01/11/2020",'NC Qualité'!A:A,"&lt;=30/11/2020",'NC Qualité'!E:E,"Bianchi",'NC Qualité'!I:I,"épaisseur")</f>
        <v>0</v>
      </c>
      <c r="T82">
        <f>COUNTIFS('NC Qualité'!A:A,"&gt;=01/11/2020",'NC Qualité'!A:A,"&lt;=30/11/2020",'NC Qualité'!E:E,"Bianchi",'NC Qualité'!I:I,"Chanfrein")</f>
        <v>0</v>
      </c>
      <c r="U82">
        <f>COUNTIFS('NC Qualité'!A:A,"&gt;=01/11/2020",'NC Qualité'!A:A,"&lt;=30/11/2020",'NC Qualité'!E:E,"Bianchi",'NC Qualité'!I:I,"Dimensionnement (entraînant un rebut)")</f>
        <v>0</v>
      </c>
      <c r="V82">
        <f>COUNTIFS('NC Qualité'!A:A,"&gt;=01/11/2020",'NC Qualité'!A:A,"&lt;=30/11/2020",'NC Qualité'!E:E,"Bianchi",'NC Qualité'!I:I,"Cintrage")</f>
        <v>0</v>
      </c>
      <c r="W82">
        <f>COUNTIFS('NC Qualité'!A:A,"&gt;=01/11/2020",'NC Qualité'!A:A,"&lt;=30/11/2020",'NC Qualité'!E:E,"Bianchi",'NC Qualité'!I:I,"Problème de chargement (sanglage, casse etc.)")</f>
        <v>0</v>
      </c>
      <c r="X82" s="27">
        <f>COUNTIFS('NC Qualité'!A:A,"&gt;=01/11/2020",'NC Qualité'!A:A,"&lt;=30/11/2020",'NC Qualité'!E:E,"Bianchi",'NC Qualité'!I:I,"Erreur de chargement ")</f>
        <v>0</v>
      </c>
      <c r="AA82" s="31">
        <f>COUNTIFS('NC Qualité'!A:A,"&gt;=01/11/2020",'NC Qualité'!A:A,"&lt;=30/11/2020",'NC Qualité'!E:E,"Bianchi",'NC Qualité'!S:S,1)</f>
        <v>0</v>
      </c>
      <c r="AB82" s="31">
        <f>COUNTIFS('NC Qualité'!A:A,"&gt;=01/11/2020",'NC Qualité'!A:A,"&lt;=30/11/2020",'NC Qualité'!E:E,"Bianchi",'NC Qualité'!Q:Q,"A")</f>
        <v>0</v>
      </c>
    </row>
    <row r="83" spans="1:28" ht="29" x14ac:dyDescent="0.35">
      <c r="A83" s="67"/>
      <c r="B83" s="2" t="s">
        <v>3</v>
      </c>
      <c r="C83" s="21"/>
      <c r="D83">
        <f>COUNTIFS('NC Qualité'!A:A,"&gt;=01/11/2020",'NC Qualité'!A:A,"&lt;=30/11/2020",'NC Qualité'!E:E,"Préfabrication",'NC Qualité'!I:I,"Problème d'étiquetage")</f>
        <v>0</v>
      </c>
      <c r="E83" s="21"/>
      <c r="F83">
        <f>COUNTIFS('NC Qualité'!A:A,"&gt;=01/11/2020",'NC Qualité'!A:A,"&lt;=30/11/2020",'NC Qualité'!E:E,"Préfabrication",'NC Qualité'!I:I,"Aspect béton (tâches / nid d'abeilles / granuleux / Fissures etc.)")</f>
        <v>0</v>
      </c>
      <c r="G83" s="21"/>
      <c r="H83">
        <f>COUNTIFS('NC Qualité'!A:A,"&gt;=01/11/2020",'NC Qualité'!A:A,"&lt;=30/11/2020",'NC Qualité'!E:E,"Préfabrication",'NC Qualité'!I:I,"Ancre de levage")</f>
        <v>0</v>
      </c>
      <c r="I83" s="21"/>
      <c r="J83">
        <f>COUNTIFS('NC Qualité'!A:A,"&gt;=01/11/2020",'NC Qualité'!A:A,"&lt;=30/11/2020",'NC Qualité'!E:E,"Préfabrication",'NC Qualité'!I:I,"Armatures apparentes")</f>
        <v>0</v>
      </c>
      <c r="K83" s="21"/>
      <c r="L83" s="21"/>
      <c r="M83" s="21"/>
      <c r="N83" s="21"/>
      <c r="O83">
        <f>COUNTIFS('NC Qualité'!A:A,"&gt;=01/11/2020",'NC Qualité'!A:A,"&lt;=30/11/2020",'NC Qualité'!E:E,"Préfabrication",'NC Qualité'!I:I,"Autres :")</f>
        <v>0</v>
      </c>
      <c r="P83">
        <f>COUNTIFS('NC Qualité'!A:A,"&gt;=01/11/2020",'NC Qualité'!A:A,"&lt;=30/11/2020",'NC Qualité'!E:E,"Préfabrication",'NC Qualité'!I:I,"Accessoires (Mauvais positionnement , manquement, etc.)")</f>
        <v>0</v>
      </c>
      <c r="Q83">
        <f>COUNTIFS('NC Qualité'!A:A,"&gt;=01/11/2020",'NC Qualité'!A:A,"&lt;=30/11/2020",'NC Qualité'!E:E,"Préfabrication",'NC Qualité'!I:I,"équerrisage")</f>
        <v>0</v>
      </c>
      <c r="R83">
        <f>COUNTIFS('NC Qualité'!A:A,"&gt;=01/11/2020",'NC Qualité'!A:A,"&lt;=30/11/2020",'NC Qualité'!E:E,"Préfabrication",'NC Qualité'!I:I,"Seuil de porte (réservation)")</f>
        <v>0</v>
      </c>
      <c r="S83">
        <f>COUNTIFS('NC Qualité'!A:A,"&gt;=01/11/2020",'NC Qualité'!A:A,"&lt;=30/11/2020",'NC Qualité'!E:E,"Préfabrication",'NC Qualité'!I:I,"épaisseur")</f>
        <v>0</v>
      </c>
      <c r="T83">
        <f>COUNTIFS('NC Qualité'!A:A,"&gt;=01/11/2020",'NC Qualité'!A:A,"&lt;=30/11/2020",'NC Qualité'!E:E,"Préfabrication",'NC Qualité'!I:I,"Chanfrein")</f>
        <v>0</v>
      </c>
      <c r="U83">
        <f>COUNTIFS('NC Qualité'!A:A,"&gt;=01/11/2020",'NC Qualité'!A:A,"&lt;=30/11/2020",'NC Qualité'!E:E,"Préfabrication",'NC Qualité'!I:I,"Dimensionnement (entraînant un rebut)")</f>
        <v>0</v>
      </c>
      <c r="V83">
        <f>COUNTIFS('NC Qualité'!A:A,"&gt;=01/11/2020",'NC Qualité'!A:A,"&lt;=30/11/2020",'NC Qualité'!E:E,"Préfabrication",'NC Qualité'!I:I,"Cintrage")</f>
        <v>0</v>
      </c>
      <c r="W83">
        <f>COUNTIFS('NC Qualité'!A:A,"&gt;=01/11/2020",'NC Qualité'!A:A,"&lt;=30/11/2020",'NC Qualité'!E:E,"Préfabrication",'NC Qualité'!I:I,"Problème de chargement (sanglage, casse etc.)")</f>
        <v>0</v>
      </c>
      <c r="X83" s="27">
        <f>COUNTIFS('NC Qualité'!A:A,"&gt;=01/11/2020",'NC Qualité'!A:A,"&lt;=30/11/2020",'NC Qualité'!E:E,"Préfabrication",'NC Qualité'!I:I,"Erreur de chargement ")</f>
        <v>0</v>
      </c>
      <c r="AA83" s="31">
        <f>COUNTIFS('NC Qualité'!A:A,"&gt;=01/11/2020",'NC Qualité'!A:A,"&lt;=30/11/2020",'NC Qualité'!E:E,"Préfabrication",'NC Qualité'!S:S,1)</f>
        <v>0</v>
      </c>
      <c r="AB83" s="31">
        <f>COUNTIFS('NC Qualité'!A:A,"&gt;=01/11/2020",'NC Qualité'!A:A,"&lt;=30/11/2020",'NC Qualité'!E:E,"Préfabrication",'NC Qualité'!Q:Q,"A")</f>
        <v>0</v>
      </c>
    </row>
    <row r="84" spans="1:28" ht="29" x14ac:dyDescent="0.35">
      <c r="A84" s="67"/>
      <c r="B84" s="16" t="s">
        <v>2</v>
      </c>
      <c r="C84" s="21"/>
      <c r="D84">
        <f>COUNTIFS('NC Qualité'!A:A,"&gt;=01/11/2020",'NC Qualité'!A:A,"&lt;=30/11/2020",'NC Qualité'!E:E,"Précontraint",'NC Qualité'!I:I,"Problème d'étiquetage")</f>
        <v>0</v>
      </c>
      <c r="E84" s="21"/>
      <c r="F84">
        <f>COUNTIFS('NC Qualité'!A:A,"&gt;=01/11/2020",'NC Qualité'!A:A,"&lt;=30/11/2020",'NC Qualité'!E:E,"Précontraint",'NC Qualité'!I:I,"Aspect béton (tâches / nid d'abeilles / granuleux / Fissures etc.)")</f>
        <v>0</v>
      </c>
      <c r="G84" s="21"/>
      <c r="H84">
        <f>COUNTIFS('NC Qualité'!A:A,"&gt;=01/11/2020",'NC Qualité'!A:A,"&lt;=30/11/2020",'NC Qualité'!E:E,"Précontraint",'NC Qualité'!I:I,"Ancre de levage")</f>
        <v>0</v>
      </c>
      <c r="I84" s="21"/>
      <c r="J84">
        <f>COUNTIFS('NC Qualité'!A:A,"&gt;=01/11/2020",'NC Qualité'!A:A,"&lt;=30/11/2020",'NC Qualité'!E:E,"Précontraint",'NC Qualité'!I:I,"Armatures apparentes")</f>
        <v>0</v>
      </c>
      <c r="K84" s="21"/>
      <c r="L84" s="21"/>
      <c r="M84" s="21"/>
      <c r="N84" s="21"/>
      <c r="O84">
        <f>COUNTIFS('NC Qualité'!A:A,"&gt;=01/11/2020",'NC Qualité'!A:A,"&lt;=30/11/2020",'NC Qualité'!E:E,"Précontraint",'NC Qualité'!I:I,"Autres :")</f>
        <v>0</v>
      </c>
      <c r="P84">
        <f>COUNTIFS('NC Qualité'!A:A,"&gt;=01/11/2020",'NC Qualité'!A:A,"&lt;=30/11/2020",'NC Qualité'!E:E,"Précontraint",'NC Qualité'!I:I,"Accessoires (Mauvais positionnement , manquement, etc.)")</f>
        <v>0</v>
      </c>
      <c r="Q84">
        <f>COUNTIFS('NC Qualité'!A:A,"&gt;=01/11/2020",'NC Qualité'!A:A,"&lt;=30/11/2020",'NC Qualité'!E:E,"Précontraint",'NC Qualité'!I:I,"équerrisage")</f>
        <v>0</v>
      </c>
      <c r="R84">
        <f>COUNTIFS('NC Qualité'!A:A,"&gt;=01/11/2020",'NC Qualité'!A:A,"&lt;=30/11/2020",'NC Qualité'!E:E,"Précontraint",'NC Qualité'!I:I,"Seuil de porte (réservation)")</f>
        <v>0</v>
      </c>
      <c r="S84">
        <f>COUNTIFS('NC Qualité'!A:A,"&gt;=01/11/2020",'NC Qualité'!A:A,"&lt;=30/11/2020",'NC Qualité'!E:E,"Précontraint",'NC Qualité'!I:I,"épaisseur")</f>
        <v>0</v>
      </c>
      <c r="T84">
        <f>COUNTIFS('NC Qualité'!A:A,"&gt;=01/11/2020",'NC Qualité'!A:A,"&lt;=30/11/2020",'NC Qualité'!E:E,"Précontraint",'NC Qualité'!I:I,"Chanfrein")</f>
        <v>0</v>
      </c>
      <c r="U84">
        <f>COUNTIFS('NC Qualité'!A:A,"&gt;=01/11/2020",'NC Qualité'!A:A,"&lt;=30/11/2020",'NC Qualité'!E:E,"Précontraint",'NC Qualité'!I:I,"Dimensionnement (entraînant un rebut)")</f>
        <v>0</v>
      </c>
      <c r="V84">
        <f>COUNTIFS('NC Qualité'!A:A,"&gt;=01/11/2020",'NC Qualité'!A:A,"&lt;=30/11/2020",'NC Qualité'!E:E,"Précontraint",'NC Qualité'!I:I,"Cintrage")</f>
        <v>0</v>
      </c>
      <c r="W84">
        <f>COUNTIFS('NC Qualité'!A:A,"&gt;=01/11/2020",'NC Qualité'!A:A,"&lt;=30/11/2020",'NC Qualité'!E:E,"Précontraint",'NC Qualité'!I:I,"Problème de chargement (sanglage, casse etc.)")</f>
        <v>0</v>
      </c>
      <c r="X84" s="27">
        <f>COUNTIFS('NC Qualité'!A:A,"&gt;=01/11/2020",'NC Qualité'!A:A,"&lt;=30/11/2020",'NC Qualité'!E:E,"Précontraint",'NC Qualité'!I:I,"Erreur de chargement ")</f>
        <v>0</v>
      </c>
      <c r="AA84" s="31">
        <f>COUNTIFS('NC Qualité'!A:A,"&gt;=01/11/2020",'NC Qualité'!A:A,"&lt;=30/11/2020",'NC Qualité'!E:E,"Précontraint",'NC Qualité'!S:S,1)</f>
        <v>0</v>
      </c>
      <c r="AB84" s="31">
        <f>COUNTIFS('NC Qualité'!A:A,"&gt;=01/11/2020",'NC Qualité'!A:A,"&lt;=30/11/2020",'NC Qualité'!E:E,"Précontraint",'NC Qualité'!Q:Q,"A")</f>
        <v>0</v>
      </c>
    </row>
    <row r="85" spans="1:28" ht="21" x14ac:dyDescent="0.35">
      <c r="A85" s="67"/>
      <c r="B85" s="2" t="s">
        <v>1</v>
      </c>
      <c r="C85" s="22"/>
      <c r="D85" s="23">
        <f>COUNTIFS('NC Qualité'!A:A,"&gt;=01/11/2020",'NC Qualité'!A:A,"&lt;=30/11/2020",'NC Qualité'!E:E,"Parc",'NC Qualité'!I:I,"Problème d'étiquetage")</f>
        <v>0</v>
      </c>
      <c r="E85" s="24"/>
      <c r="F85" s="23">
        <f>COUNTIFS('NC Qualité'!A:A,"&gt;=01/11/2020",'NC Qualité'!A:A,"&lt;=30/11/2020",'NC Qualité'!E:E,"Parc",'NC Qualité'!I:I,"Aspect béton (tâches / nid d'abeilles / granuleux / Fissures etc.)")</f>
        <v>0</v>
      </c>
      <c r="G85" s="24"/>
      <c r="H85" s="23">
        <f>COUNTIFS('NC Qualité'!A:A,"&gt;=01/11/2020",'NC Qualité'!A:A,"&lt;=30/11/2020",'NC Qualité'!E:E,"Parc",'NC Qualité'!I:I,"Ancre de levage")</f>
        <v>0</v>
      </c>
      <c r="I85" s="24"/>
      <c r="J85" s="23">
        <f>COUNTIFS('NC Qualité'!A:A,"&gt;=01/11/2020",'NC Qualité'!A:A,"&lt;=30/11/2020",'NC Qualité'!E:E,"Parc",'NC Qualité'!I:I,"Armatures apparentes")</f>
        <v>0</v>
      </c>
      <c r="K85" s="24"/>
      <c r="L85" s="24"/>
      <c r="M85" s="24"/>
      <c r="N85" s="24"/>
      <c r="O85" s="23">
        <f>COUNTIFS('NC Qualité'!A:A,"&gt;=01/11/2020",'NC Qualité'!A:A,"&lt;=30/11/2020",'NC Qualité'!E:E,"Parc",'NC Qualité'!I:I,"Autres :")</f>
        <v>0</v>
      </c>
      <c r="P85" s="23">
        <f>COUNTIFS('NC Qualité'!A:A,"&gt;=01/11/2020",'NC Qualité'!A:A,"&lt;=30/11/2020",'NC Qualité'!E:E,"Parc",'NC Qualité'!I:I,"Accessoires (Mauvais positionnement , manquement, etc.)")</f>
        <v>0</v>
      </c>
      <c r="Q85" s="23">
        <f>COUNTIFS('NC Qualité'!A:A,"&gt;=01/11/2020",'NC Qualité'!A:A,"&lt;=30/11/2020",'NC Qualité'!E:E,"Parc",'NC Qualité'!I:I,"équerrisage")</f>
        <v>0</v>
      </c>
      <c r="R85" s="23">
        <f>COUNTIFS('NC Qualité'!A:A,"&gt;=01/11/2020",'NC Qualité'!A:A,"&lt;=30/11/2020",'NC Qualité'!E:E,"Parc",'NC Qualité'!I:I,"Seuil de porte (réservation)")</f>
        <v>0</v>
      </c>
      <c r="S85" s="23">
        <f>COUNTIFS('NC Qualité'!A:A,"&gt;=01/11/2020",'NC Qualité'!A:A,"&lt;=30/11/2020",'NC Qualité'!E:E,"Parc",'NC Qualité'!I:I,"épaisseur")</f>
        <v>0</v>
      </c>
      <c r="T85" s="23">
        <f>COUNTIFS('NC Qualité'!A:A,"&gt;=01/11/2020",'NC Qualité'!A:A,"&lt;=30/11/2020",'NC Qualité'!E:E,"Parc",'NC Qualité'!I:I,"Chanfrein")</f>
        <v>0</v>
      </c>
      <c r="U85" s="23">
        <f>COUNTIFS('NC Qualité'!A:A,"&gt;=01/11/2020",'NC Qualité'!A:A,"&lt;=30/11/2020",'NC Qualité'!E:E,"Parc",'NC Qualité'!I:I,"Dimensionnement (entraînant un rebut)")</f>
        <v>0</v>
      </c>
      <c r="V85" s="23">
        <f>COUNTIFS('NC Qualité'!A:A,"&gt;=01/11/2020",'NC Qualité'!A:A,"&lt;=30/11/2020",'NC Qualité'!E:E,"Parc",'NC Qualité'!I:I,"Cintrage")</f>
        <v>0</v>
      </c>
      <c r="W85" s="23">
        <f>COUNTIFS('NC Qualité'!A:A,"&gt;=01/11/2020",'NC Qualité'!A:A,"&lt;=30/11/2020",'NC Qualité'!E:E,"Parc",'NC Qualité'!I:I,"Problème de chargement (sanglage, casse etc.)")</f>
        <v>0</v>
      </c>
      <c r="X85" s="28">
        <f>COUNTIFS('NC Qualité'!A:A,"&gt;=01/11/2020",'NC Qualité'!A:A,"&lt;=30/11/2020",'NC Qualité'!E:E,"Parc",'NC Qualité'!I:I,"Erreur de chargement ")</f>
        <v>0</v>
      </c>
      <c r="AA85" s="31">
        <f>COUNTIFS('NC Qualité'!A:A,"&gt;=01/11/2020",'NC Qualité'!A:A,"&lt;=30/11/2020",'NC Qualité'!E:E,"Parc",'NC Qualité'!S:S,1)</f>
        <v>0</v>
      </c>
      <c r="AB85" s="31">
        <f>COUNTIFS('NC Qualité'!A:A,"&gt;=01/11/2020",'NC Qualité'!A:A,"&lt;=30/11/2020",'NC Qualité'!E:E,"Parc",'NC Qualité'!Q:Q,"A")</f>
        <v>0</v>
      </c>
    </row>
    <row r="86" spans="1:28" ht="23.5" x14ac:dyDescent="0.35">
      <c r="AA86" s="34">
        <f>SUM(AA74:AA85)</f>
        <v>0</v>
      </c>
      <c r="AB86" s="34">
        <f>SUM(AB74:AB85)</f>
        <v>0</v>
      </c>
    </row>
    <row r="87" spans="1:28" ht="15" thickBot="1" x14ac:dyDescent="0.4"/>
    <row r="88" spans="1:28" ht="15" thickBot="1" x14ac:dyDescent="0.4">
      <c r="A88" s="42"/>
      <c r="B88" s="43"/>
      <c r="C88" s="43"/>
      <c r="D88" s="43"/>
      <c r="E88" s="43"/>
      <c r="F88" s="43"/>
      <c r="G88" s="43"/>
      <c r="H88" s="43"/>
      <c r="I88" s="43"/>
      <c r="J88" s="43"/>
      <c r="K88" s="43"/>
      <c r="L88" s="43"/>
      <c r="M88" s="43"/>
      <c r="N88" s="43"/>
      <c r="O88" s="43"/>
      <c r="P88" s="43"/>
      <c r="Q88" s="43"/>
      <c r="R88" s="43"/>
      <c r="S88" s="43"/>
      <c r="T88" s="43"/>
      <c r="U88" s="43"/>
      <c r="V88" s="43"/>
      <c r="W88" s="43"/>
      <c r="X88" s="43"/>
      <c r="Y88" s="43"/>
      <c r="Z88" s="43"/>
      <c r="AA88" s="43"/>
      <c r="AB88" s="44"/>
    </row>
    <row r="90" spans="1:28" x14ac:dyDescent="0.35">
      <c r="B90" t="s">
        <v>52</v>
      </c>
    </row>
    <row r="92" spans="1:28" ht="105" x14ac:dyDescent="0.35">
      <c r="B92" s="14" t="s">
        <v>29</v>
      </c>
      <c r="C92" s="20" t="s">
        <v>25</v>
      </c>
      <c r="D92" s="20" t="s">
        <v>78</v>
      </c>
      <c r="E92" s="20" t="s">
        <v>79</v>
      </c>
      <c r="F92" s="20" t="s">
        <v>77</v>
      </c>
      <c r="G92" s="20"/>
      <c r="H92" s="20"/>
      <c r="I92" s="20"/>
      <c r="J92" s="20" t="s">
        <v>35</v>
      </c>
      <c r="K92" s="20"/>
      <c r="L92" s="20" t="s">
        <v>82</v>
      </c>
      <c r="M92" s="20"/>
      <c r="N92" s="20" t="s">
        <v>39</v>
      </c>
      <c r="O92" s="20" t="s">
        <v>40</v>
      </c>
      <c r="P92" s="20"/>
      <c r="Q92" s="20"/>
      <c r="R92" s="20"/>
      <c r="S92" s="20"/>
      <c r="T92" s="20"/>
      <c r="U92" s="20"/>
      <c r="V92" s="20"/>
      <c r="W92" s="20"/>
      <c r="X92" s="20"/>
      <c r="AA92" s="33" t="s">
        <v>47</v>
      </c>
      <c r="AB92" s="32" t="s">
        <v>46</v>
      </c>
    </row>
    <row r="93" spans="1:28" ht="21" x14ac:dyDescent="0.35">
      <c r="A93" s="67" t="s">
        <v>42</v>
      </c>
      <c r="B93" s="2" t="s">
        <v>70</v>
      </c>
      <c r="C93">
        <f>COUNTIFS('NC Qualité'!A:A,"&gt;=01/12/2020",'NC Qualité'!A:A,"&lt;=31/12/2020",'NC Qualité'!E:E,"Blocs",'NC Qualité'!I:I,"Dimensionnement (entraînant un rebut)")</f>
        <v>0</v>
      </c>
      <c r="D93">
        <f>COUNTIFS('NC Qualité'!A:A,"&gt;=01/12/2020",'NC Qualité'!A:A,"&lt;=31/12/2020",'NC Qualité'!E:E,"Blocs",'NC Qualité'!I:I,"Perçage du voile de pose")</f>
        <v>0</v>
      </c>
      <c r="E93">
        <f>COUNTIFS('NC Qualité'!A:A,"&gt;=01/12/2020",'NC Qualité'!A:A,"&lt;=31/12/2020",'NC Qualité'!E:E,"Blocs",'NC Qualité'!I:I,"étanchéité")</f>
        <v>0</v>
      </c>
      <c r="F93">
        <f>COUNTIFS('NC Qualité'!A:A,"&gt;=01/12/2020",'NC Qualité'!A:A,"&lt;=31/12/2020",'NC Qualité'!E:E,"Blocs",'NC Qualité'!I:I,"Aspect béton (Fissures, etc.)")</f>
        <v>0</v>
      </c>
      <c r="J93">
        <f>COUNTIFS('NC Qualité'!A:A,"&gt;=01/12/2020",'NC Qualité'!A:A,"&lt;=31/12/2020",'NC Qualité'!E:E,"Blocs",'NC Qualité'!I:I,"Armatures apparentes")</f>
        <v>0</v>
      </c>
      <c r="L93">
        <f>COUNTIFS('NC Qualité'!A:A,"&gt;=01/12/2020",'NC Qualité'!A:A,"&lt;=31/12/2020",'NC Qualité'!E:E,"Blocs",'NC Qualité'!I:I,"Délais de livraison")</f>
        <v>0</v>
      </c>
      <c r="N93">
        <f>COUNTIFS('NC Qualité'!A:A,"&gt;=01/12/2020",'NC Qualité'!A:A,"&lt;=31/12/2020",'NC Qualité'!E:E,"Blocs",'NC Qualité'!I:I,"Casse de l'élément")</f>
        <v>0</v>
      </c>
      <c r="O93">
        <f>COUNTIFS('NC Qualité'!A:A,"&gt;=01/12/2020",'NC Qualité'!A:A,"&lt;=31/12/2020",'NC Qualité'!E:E,"Blocs",'NC Qualité'!I:I,"Autres :")</f>
        <v>0</v>
      </c>
      <c r="P93" s="21"/>
      <c r="Q93" s="21"/>
      <c r="R93" s="21"/>
      <c r="S93" s="21"/>
      <c r="T93" s="21"/>
      <c r="U93" s="21"/>
      <c r="V93" s="21"/>
      <c r="W93" s="21"/>
      <c r="X93" s="25"/>
      <c r="AA93" s="31">
        <f>COUNTIFS('NC Qualité'!A:A,"&gt;=01/12/2020",'NC Qualité'!A:A,"&lt;=31/12/2020",'NC Qualité'!E:E,"Blocs",'NC Qualité'!S:S,1)</f>
        <v>0</v>
      </c>
      <c r="AB93" s="31">
        <f>COUNTIFS('NC Qualité'!A:A,"&gt;=01/12/2020",'NC Qualité'!A:A,"&lt;=31/12/2020",'NC Qualité'!E:E,"Blocs",'NC Qualité'!Q:Q,"A")</f>
        <v>0</v>
      </c>
    </row>
    <row r="94" spans="1:28" ht="21" x14ac:dyDescent="0.35">
      <c r="A94" s="67"/>
      <c r="B94" s="2" t="s">
        <v>71</v>
      </c>
      <c r="C94">
        <f>COUNTIFS('NC Qualité'!A:A,"&gt;=01/12/2020",'NC Qualité'!A:A,"&lt;=31/12/2020",'NC Qualité'!E:E,"Poutrelles",'NC Qualité'!I:I,"Dimensionnement (entraînant un rebut)")</f>
        <v>0</v>
      </c>
      <c r="D94">
        <f>COUNTIFS('NC Qualité'!A:A,"&gt;=01/12/2020",'NC Qualité'!A:A,"&lt;=31/12/2020",'NC Qualité'!E:E,"Poutrelles",'NC Qualité'!I:I,"Perçage du voile de pose")</f>
        <v>0</v>
      </c>
      <c r="E94">
        <f>COUNTIFS('NC Qualité'!A:A,"&gt;=01/12/2020",'NC Qualité'!A:A,"&lt;=31/12/2020",'NC Qualité'!E:E,"Poutrelles",'NC Qualité'!I:I,"Palettisation")</f>
        <v>0</v>
      </c>
      <c r="F94">
        <f>COUNTIFS('NC Qualité'!A:A,"&gt;=01/12/2020",'NC Qualité'!A:A,"&lt;=31/12/2020",'NC Qualité'!E:E,"Poutrelles",'NC Qualité'!I:I,"Aspect béton (Fissures, etc.)")</f>
        <v>0</v>
      </c>
      <c r="J94">
        <f>COUNTIFS('NC Qualité'!A:A,"&gt;=01/12/2020",'NC Qualité'!A:A,"&lt;=31/12/2020",'NC Qualité'!E:E,"Poutrelles",'NC Qualité'!I:I,"Armatures apparentes")</f>
        <v>0</v>
      </c>
      <c r="L94">
        <f>COUNTIFS('NC Qualité'!A:A,"&gt;=01/12/2020",'NC Qualité'!A:A,"&lt;=31/12/2020",'NC Qualité'!E:E,"Poutrelles",'NC Qualité'!I:I,"Délais de livraison")</f>
        <v>0</v>
      </c>
      <c r="N94">
        <f>COUNTIFS('NC Qualité'!A:A,"&gt;=01/12/2020",'NC Qualité'!A:A,"&lt;=31/12/2020",'NC Qualité'!E:E,"Poutrelles",'NC Qualité'!I:I,"Casse de l'élément")</f>
        <v>0</v>
      </c>
      <c r="O94">
        <f>COUNTIFS('NC Qualité'!A:A,"&gt;=01/12/2020",'NC Qualité'!A:A,"&lt;=31/12/2020",'NC Qualité'!E:E,"Poutrelles",'NC Qualité'!I:I,"Autres :")</f>
        <v>0</v>
      </c>
      <c r="P94" s="21"/>
      <c r="Q94" s="21"/>
      <c r="R94" s="21"/>
      <c r="S94" s="21"/>
      <c r="T94" s="21"/>
      <c r="U94" s="21"/>
      <c r="V94" s="21"/>
      <c r="W94" s="21"/>
      <c r="X94" s="26"/>
      <c r="AA94" s="31">
        <f>COUNTIFS('NC Qualité'!A:A,"&gt;=01/12/2020",'NC Qualité'!A:A,"&lt;=31/12/2020",'NC Qualité'!E:E,"Poutrelles",'NC Qualité'!S:S,1)</f>
        <v>0</v>
      </c>
      <c r="AB94" s="31">
        <f>COUNTIFS('NC Qualité'!A:A,"&gt;=01/12/2020",'NC Qualité'!A:A,"&lt;=31/12/2020",'NC Qualité'!E:E,"Poutrelles",'NC Qualité'!Q:Q,"A")</f>
        <v>0</v>
      </c>
    </row>
    <row r="95" spans="1:28" ht="21" x14ac:dyDescent="0.35">
      <c r="A95" s="67"/>
      <c r="B95" s="2" t="s">
        <v>72</v>
      </c>
      <c r="C95">
        <f>COUNTIFS('NC Qualité'!A:A,"&gt;=01/12/2020",'NC Qualité'!A:A,"&lt;=31/12/2020",'NC Qualité'!E:E,"Hourdis",'NC Qualité'!I:I,"Dimensionnement (entraînant un rebut)")</f>
        <v>0</v>
      </c>
      <c r="D95">
        <f>COUNTIFS('NC Qualité'!A:A,"&gt;=01/12/2020",'NC Qualité'!A:A,"&lt;=31/12/2020",'NC Qualité'!E:E,"Hourdis",'NC Qualité'!I:I,"Problème d'étiquetage")</f>
        <v>0</v>
      </c>
      <c r="E95">
        <f>COUNTIFS('NC Qualité'!A:A,"&gt;=01/12/2020",'NC Qualité'!A:A,"&lt;=31/12/2020",'NC Qualité'!E:E,"Hourdis",'NC Qualité'!I:I,"Palettisation")</f>
        <v>0</v>
      </c>
      <c r="F95">
        <f>COUNTIFS('NC Qualité'!A:A,"&gt;=01/12/2020",'NC Qualité'!A:A,"&lt;=31/12/2020",'NC Qualité'!E:E,"Hourdis",'NC Qualité'!I:I,"Aspect béton (Fissures, etc.)")</f>
        <v>0</v>
      </c>
      <c r="J95">
        <f>COUNTIFS('NC Qualité'!A:A,"&gt;=01/12/2020",'NC Qualité'!A:A,"&lt;=31/12/2020",'NC Qualité'!E:E,"Hourdis",'NC Qualité'!I:I,"Armatures apparentes")</f>
        <v>0</v>
      </c>
      <c r="L95">
        <f>COUNTIFS('NC Qualité'!A:A,"&gt;=01/12/2020",'NC Qualité'!A:A,"&lt;=31/12/2020",'NC Qualité'!E:E,"Hourdis",'NC Qualité'!I:I,"Délais de livraison")</f>
        <v>0</v>
      </c>
      <c r="N95">
        <f>COUNTIFS('NC Qualité'!A:A,"&gt;=01/12/2020",'NC Qualité'!A:A,"&lt;=31/12/2020",'NC Qualité'!E:E,"Hourdis",'NC Qualité'!I:I,"Casse de l'élément")</f>
        <v>0</v>
      </c>
      <c r="O95">
        <f>COUNTIFS('NC Qualité'!A:A,"&gt;=01/12/2020",'NC Qualité'!A:A,"&lt;=31/12/2020",'NC Qualité'!E:E,"Hourdis",'NC Qualité'!I:I,"Autres :")</f>
        <v>0</v>
      </c>
      <c r="P95" s="21"/>
      <c r="Q95" s="21"/>
      <c r="R95" s="21"/>
      <c r="S95" s="21"/>
      <c r="T95" s="21"/>
      <c r="U95" s="21"/>
      <c r="V95" s="21"/>
      <c r="W95" s="21"/>
      <c r="X95" s="26"/>
      <c r="AA95" s="31">
        <f>COUNTIFS('NC Qualité'!A:A,"&gt;=01/12/2020",'NC Qualité'!A:A,"&lt;=31/12/2020",'NC Qualité'!E:E,"Hourdis",'NC Qualité'!S:S,1)</f>
        <v>0</v>
      </c>
      <c r="AB95" s="31">
        <f>COUNTIFS('NC Qualité'!A:A,"&gt;=01/12/2020",'NC Qualité'!A:A,"&lt;=31/12/2020",'NC Qualité'!E:E,"Hourdis",'NC Qualité'!Q:Q,"A")</f>
        <v>0</v>
      </c>
    </row>
    <row r="96" spans="1:28" ht="29" x14ac:dyDescent="0.35">
      <c r="A96" s="67"/>
      <c r="B96" s="56" t="s">
        <v>98</v>
      </c>
      <c r="C96">
        <f>COUNTIFS('NC Qualité'!A:A,"&gt;=01/12/2020",'NC Qualité'!A:A,"&lt;=31/12/2020",'NC Qualité'!E:E,"Blocs à bancher",'NC Qualité'!I:I,"Dimensionnement (entraînant un rebut)")</f>
        <v>0</v>
      </c>
      <c r="D96">
        <f>COUNTIFS('NC Qualité'!A:A,"&gt;=01/12/2020",'NC Qualité'!A:A,"&lt;=31/12/2020",'NC Qualité'!E:E,"Blocs à bancher",'NC Qualité'!I:I,"Problème d'étiquetage")</f>
        <v>0</v>
      </c>
      <c r="E96">
        <f>COUNTIFS('NC Qualité'!A:A,"&gt;=01/12/2020",'NC Qualité'!A:A,"&lt;=31/12/2020",'NC Qualité'!E:E,"Blocs à bancher",'NC Qualité'!I:I,"Palettisation")</f>
        <v>0</v>
      </c>
      <c r="F96">
        <f>COUNTIFS('NC Qualité'!A:A,"&gt;=01/12/2020",'NC Qualité'!A:A,"&lt;=31/12/2020",'NC Qualité'!E:E,"Blocs à bancher",'NC Qualité'!I:I,"Aspect béton (Fissures, etc.)")</f>
        <v>0</v>
      </c>
      <c r="J96">
        <f>COUNTIFS('NC Qualité'!A:A,"&gt;=01/12/2020",'NC Qualité'!A:A,"&lt;=31/12/2020",'NC Qualité'!E:E,"Blocs à bancher",'NC Qualité'!I:I,"Armatures apparentes")</f>
        <v>0</v>
      </c>
      <c r="L96">
        <f>COUNTIFS('NC Qualité'!A:A,"&gt;=01/12/2020",'NC Qualité'!A:A,"&lt;=31/12/2020",'NC Qualité'!E:E,"Blocs à bancher",'NC Qualité'!I:I,"Délais de livraison")</f>
        <v>0</v>
      </c>
      <c r="N96">
        <f>COUNTIFS('NC Qualité'!A:A,"&gt;=01/12/2020",'NC Qualité'!A:A,"&lt;=31/12/2020",'NC Qualité'!E:E,"Blocs à bancher",'NC Qualité'!I:I,"Casse de l'élément")</f>
        <v>0</v>
      </c>
      <c r="O96">
        <f>COUNTIFS('NC Qualité'!A:A,"&gt;=01/12/2020",'NC Qualité'!A:A,"&lt;=31/12/2020",'NC Qualité'!E:E,"Blocs à bancher",'NC Qualité'!I:I,"Autres :")</f>
        <v>0</v>
      </c>
      <c r="P96" s="21"/>
      <c r="Q96" s="21"/>
      <c r="R96" s="21"/>
      <c r="S96" s="21"/>
      <c r="T96" s="21"/>
      <c r="U96" s="21"/>
      <c r="V96" s="21"/>
      <c r="W96" s="21"/>
      <c r="X96" s="26"/>
      <c r="AA96" s="31">
        <f>COUNTIFS('NC Qualité'!A:A,"&gt;=01/12/2020",'NC Qualité'!A:A,"&lt;=31/12/2020",'NC Qualité'!E:E,"Bordures",'NC Qualité'!S:S,1)</f>
        <v>0</v>
      </c>
      <c r="AB96" s="31">
        <f>COUNTIFS('NC Qualité'!A:A,"&gt;=01/12/2020",'NC Qualité'!A:A,"&lt;=31/12/2020",'NC Qualité'!E:E,"Bordures",'NC Qualité'!Q:Q,"A")</f>
        <v>0</v>
      </c>
    </row>
    <row r="97" spans="1:28" ht="21" x14ac:dyDescent="0.35">
      <c r="A97" s="67"/>
      <c r="B97" s="2"/>
      <c r="P97" s="21"/>
      <c r="Q97" s="21"/>
      <c r="R97" s="21"/>
      <c r="S97" s="21"/>
      <c r="T97" s="21"/>
      <c r="U97" s="21"/>
      <c r="V97" s="21"/>
      <c r="W97" s="21"/>
      <c r="X97" s="26"/>
      <c r="AA97" s="31">
        <f>COUNTIFS('NC Qualité'!A:A,"&gt;=01/12/2020",'NC Qualité'!A:A,"&lt;=31/12/2020",'NC Qualité'!E:E,"Caniveaux",'NC Qualité'!S:S,1)</f>
        <v>0</v>
      </c>
      <c r="AB97" s="31">
        <f>COUNTIFS('NC Qualité'!A:A,"&gt;=01/12/2020",'NC Qualité'!A:A,"&lt;=31/12/2020",'NC Qualité'!E:E,"Caniveaux",'NC Qualité'!Q:Q,"A")</f>
        <v>0</v>
      </c>
    </row>
    <row r="98" spans="1:28" ht="21" x14ac:dyDescent="0.35">
      <c r="A98" s="67"/>
      <c r="B98" s="15"/>
      <c r="P98" s="21"/>
      <c r="Q98" s="21"/>
      <c r="R98" s="21"/>
      <c r="S98" s="21"/>
      <c r="T98" s="21"/>
      <c r="U98" s="21"/>
      <c r="V98" s="21"/>
      <c r="W98" s="21"/>
      <c r="X98" s="26"/>
      <c r="AA98" s="31">
        <f>COUNTIFS('NC Qualité'!A:A,"&gt;=01/12/2020",'NC Qualité'!A:A,"&lt;=31/12/2020",'NC Qualité'!E:E,"Fielding : Bordures et Caniveaux",'NC Qualité'!S:S,1)</f>
        <v>0</v>
      </c>
      <c r="AB98" s="31">
        <f>COUNTIFS('NC Qualité'!A:A,"&gt;=01/12/2020",'NC Qualité'!A:A,"&lt;=31/12/2020",'NC Qualité'!E:E,"Fielding : Bordures et Caniveaux",'NC Qualité'!Q:Q,"A")</f>
        <v>0</v>
      </c>
    </row>
    <row r="99" spans="1:28" ht="21" x14ac:dyDescent="0.35">
      <c r="A99" s="67"/>
      <c r="B99" s="2"/>
      <c r="P99" s="21"/>
      <c r="Q99" s="21"/>
      <c r="R99" s="21"/>
      <c r="S99" s="21"/>
      <c r="T99" s="21"/>
      <c r="U99" s="21"/>
      <c r="V99" s="21"/>
      <c r="W99" s="21"/>
      <c r="X99" s="26"/>
      <c r="AA99" s="31">
        <f>COUNTIFS('NC Qualité'!A:A,"&gt;=01/12/2020",'NC Qualité'!A:A,"&lt;=31/12/2020",'NC Qualité'!E:E,"Modul : Tuyaux Dn 1800 à 2630",'NC Qualité'!S:S,1)</f>
        <v>0</v>
      </c>
      <c r="AB99" s="31">
        <f>COUNTIFS('NC Qualité'!A:A,"&gt;=01/12/2020",'NC Qualité'!A:A,"&lt;=31/12/2020",'NC Qualité'!E:E,"Modul : Tuyaux Dn 1800 à 2630",'NC Qualité'!Q:Q,"A")</f>
        <v>0</v>
      </c>
    </row>
    <row r="100" spans="1:28" ht="29" x14ac:dyDescent="0.35">
      <c r="A100" s="67" t="s">
        <v>41</v>
      </c>
      <c r="B100" s="2" t="s">
        <v>6</v>
      </c>
      <c r="C100" s="21"/>
      <c r="D100">
        <f>COUNTIFS('NC Qualité'!A:A,"&gt;=01/12/2020",'NC Qualité'!A:A,"&lt;=31/12/2020",'NC Qualité'!E:E,"Panneau coulé à plat",'NC Qualité'!I:I,"Problème d'étiquetage")</f>
        <v>0</v>
      </c>
      <c r="E100" s="21"/>
      <c r="F100">
        <f>COUNTIFS('NC Qualité'!A:A,"&gt;=01/12/2020",'NC Qualité'!A:A,"&lt;=31/12/2020",'NC Qualité'!E:E,"Panneau coulé à plat",'NC Qualité'!I:I,"Aspect béton (tâches / nid d'abeilles / granuleux / Fissures etc.)")</f>
        <v>0</v>
      </c>
      <c r="G100" s="21"/>
      <c r="H100">
        <f>COUNTIFS('NC Qualité'!A:A,"&gt;=01/12/2020",'NC Qualité'!A:A,"&lt;=31/12/2020",'NC Qualité'!E:E,"Panneau coulé à plat",'NC Qualité'!I:I,"Ancre de levage")</f>
        <v>0</v>
      </c>
      <c r="I100" s="21"/>
      <c r="J100">
        <f>COUNTIFS('NC Qualité'!A:A,"&gt;=01/12/2020",'NC Qualité'!A:A,"&lt;=31/12/2020",'NC Qualité'!E:E,"Modul : Tuyaux Dn 1800 à 2630",'NC Qualité'!I:I,"Armatures apparentes")</f>
        <v>0</v>
      </c>
      <c r="K100" s="21"/>
      <c r="L100" s="21"/>
      <c r="M100" s="21"/>
      <c r="N100" s="21"/>
      <c r="O100">
        <f>COUNTIFS('NC Qualité'!A:A,"&gt;=01/12/2020",'NC Qualité'!A:A,"&lt;=31/12/2020",'NC Qualité'!E:E,"Panneau coulé à plat",'NC Qualité'!I:I,"Autres :")</f>
        <v>0</v>
      </c>
      <c r="P100">
        <f>COUNTIFS('NC Qualité'!A:A,"&gt;=01/12/2020",'NC Qualité'!A:A,"&lt;=31/12/2020",'NC Qualité'!E:E,"Panneau coulé à plat",'NC Qualité'!I:I,"Accessoires (Mauvais positionnement , manquement, etc.)")</f>
        <v>0</v>
      </c>
      <c r="Q100">
        <f>COUNTIFS('NC Qualité'!A:A,"&gt;=01/12/2020",'NC Qualité'!A:A,"&lt;=31/12/2020",'NC Qualité'!E:E,"Panneau coulé à plat",'NC Qualité'!I:I,"équerrisage")</f>
        <v>0</v>
      </c>
      <c r="R100">
        <f>COUNTIFS('NC Qualité'!A:A,"&gt;=01/12/2020",'NC Qualité'!A:A,"&lt;=31/12/2020",'NC Qualité'!E:E,"Panneau coulé à plat",'NC Qualité'!I:I,"Seuil de porte (réservation)")</f>
        <v>0</v>
      </c>
      <c r="S100">
        <f>COUNTIFS('NC Qualité'!A:A,"&gt;=01/12/2020",'NC Qualité'!A:A,"&lt;=31/12/2020",'NC Qualité'!E:E,"Panneau coulé à plat",'NC Qualité'!I:I,"épaisseur")</f>
        <v>0</v>
      </c>
      <c r="T100">
        <f>COUNTIFS('NC Qualité'!A:A,"&gt;=01/12/2020",'NC Qualité'!A:A,"&lt;=31/12/2020",'NC Qualité'!E:E,"Panneau coulé à plat",'NC Qualité'!I:I,"Chanfrein")</f>
        <v>0</v>
      </c>
      <c r="U100">
        <f>COUNTIFS('NC Qualité'!A:A,"&gt;=01/12/2020",'NC Qualité'!A:A,"&lt;=31/12/2020",'NC Qualité'!E:E,"Panneau coulé à plat",'NC Qualité'!I:I,"Dimensionnement (entraînant un rebut)")</f>
        <v>0</v>
      </c>
      <c r="V100">
        <f>COUNTIFS('NC Qualité'!A:A,"&gt;=01/12/2020",'NC Qualité'!A:A,"&lt;=31/12/2020",'NC Qualité'!E:E,"Panneau coulé à plat",'NC Qualité'!I:I,"Cintrage")</f>
        <v>0</v>
      </c>
      <c r="W100">
        <f>COUNTIFS('NC Qualité'!A:A,"&gt;=01/12/2020",'NC Qualité'!A:A,"&lt;=31/12/2020",'NC Qualité'!E:E,"Panneau coulé à plat",'NC Qualité'!I:I,"Problème de chargement (sanglage, casse etc.)")</f>
        <v>0</v>
      </c>
      <c r="X100" s="27">
        <f>COUNTIFS('NC Qualité'!A:A,"&gt;=01/12/2020",'NC Qualité'!A:A,"&lt;=31/12/2020",'NC Qualité'!E:E,"Panneau coulé à plat",'NC Qualité'!I:I,"Erreur de chargement ")</f>
        <v>0</v>
      </c>
      <c r="AA100" s="31">
        <f>COUNTIFS('NC Qualité'!A:A,"&gt;=01/12/2020",'NC Qualité'!A:A,"&lt;=31/12/2020",'NC Qualité'!E:E,"Panneau coulé à plat",'NC Qualité'!S:S,1)</f>
        <v>0</v>
      </c>
      <c r="AB100" s="31">
        <f>COUNTIFS('NC Qualité'!A:A,"&gt;=01/12/2020",'NC Qualité'!A:A,"&lt;=31/12/2020",'NC Qualité'!E:E,"Panneau coulé à plat",'NC Qualité'!Q:Q,"A")</f>
        <v>0</v>
      </c>
    </row>
    <row r="101" spans="1:28" ht="21" x14ac:dyDescent="0.35">
      <c r="A101" s="67"/>
      <c r="B101" s="2" t="s">
        <v>0</v>
      </c>
      <c r="C101" s="21"/>
      <c r="D101">
        <f>COUNTIFS('NC Qualité'!A:A,"&gt;=01/12/2020",'NC Qualité'!A:A,"&lt;=31/12/2020",'NC Qualité'!E:E,"Bianchi",'NC Qualité'!I:I,"Problème d'étiquetage")</f>
        <v>0</v>
      </c>
      <c r="E101" s="21"/>
      <c r="F101">
        <f>COUNTIFS('NC Qualité'!A:A,"&gt;=01/12/2020",'NC Qualité'!A:A,"&lt;=31/12/2020",'NC Qualité'!E:E,"Bianchi",'NC Qualité'!I:I,"Aspect béton (tâches / nid d'abeilles / granuleux / Fissures etc.)")</f>
        <v>0</v>
      </c>
      <c r="G101" s="21"/>
      <c r="H101">
        <f>COUNTIFS('NC Qualité'!A:A,"&gt;=01/12/2020",'NC Qualité'!A:A,"&lt;=31/12/2020",'NC Qualité'!E:E,"Bianchi",'NC Qualité'!I:I,"Ancre de levage")</f>
        <v>0</v>
      </c>
      <c r="I101" s="21"/>
      <c r="J101">
        <f>COUNTIFS('NC Qualité'!A:A,"&gt;=01/12/2020",'NC Qualité'!A:A,"&lt;=31/12/2020",'NC Qualité'!E:E,"Bianchi",'NC Qualité'!I:I,"Armatures apparentes")</f>
        <v>0</v>
      </c>
      <c r="K101" s="21"/>
      <c r="L101" s="21"/>
      <c r="M101" s="21"/>
      <c r="N101" s="21"/>
      <c r="O101">
        <f>COUNTIFS('NC Qualité'!A:A,"&gt;=01/12/2020",'NC Qualité'!A:A,"&lt;=31/12/2020",'NC Qualité'!E:E,"Bianchi",'NC Qualité'!I:I,"Autres :")</f>
        <v>0</v>
      </c>
      <c r="P101">
        <f>COUNTIFS('NC Qualité'!A:A,"&gt;=01/12/2020",'NC Qualité'!A:A,"&lt;=31/12/2020",'NC Qualité'!E:E,"Bianchi",'NC Qualité'!I:I,"Accessoires (Mauvais positionnement , manquement, etc.)")</f>
        <v>0</v>
      </c>
      <c r="Q101">
        <f>COUNTIFS('NC Qualité'!A:A,"&gt;=01/12/2020",'NC Qualité'!A:A,"&lt;=31/12/2020",'NC Qualité'!E:E,"Bianchi",'NC Qualité'!I:I,"équerrisage")</f>
        <v>0</v>
      </c>
      <c r="R101">
        <f>COUNTIFS('NC Qualité'!A:A,"&gt;=01/12/2020",'NC Qualité'!A:A,"&lt;=31/12/2020",'NC Qualité'!E:E,"Bianchi",'NC Qualité'!I:I,"Seuil de porte (réservation)")</f>
        <v>0</v>
      </c>
      <c r="S101">
        <f>COUNTIFS('NC Qualité'!A:A,"&gt;=01/12/2020",'NC Qualité'!A:A,"&lt;=31/12/2020",'NC Qualité'!E:E,"Bianchi",'NC Qualité'!I:I,"épaisseur")</f>
        <v>0</v>
      </c>
      <c r="T101">
        <f>COUNTIFS('NC Qualité'!A:A,"&gt;=01/12/2020",'NC Qualité'!A:A,"&lt;=31/12/2020",'NC Qualité'!E:E,"Bianchi",'NC Qualité'!I:I,"Chanfrein")</f>
        <v>0</v>
      </c>
      <c r="U101">
        <f>COUNTIFS('NC Qualité'!A:A,"&gt;=01/12/2020",'NC Qualité'!A:A,"&lt;=31/12/2020",'NC Qualité'!E:E,"Bianchi",'NC Qualité'!I:I,"Dimensionnement (entraînant un rebut)")</f>
        <v>0</v>
      </c>
      <c r="V101">
        <f>COUNTIFS('NC Qualité'!A:A,"&gt;=01/12/2020",'NC Qualité'!A:A,"&lt;=31/12/2020",'NC Qualité'!E:E,"Bianchi",'NC Qualité'!I:I,"Cintrage")</f>
        <v>0</v>
      </c>
      <c r="W101">
        <f>COUNTIFS('NC Qualité'!A:A,"&gt;=01/12/2020",'NC Qualité'!A:A,"&lt;=31/12/2020",'NC Qualité'!E:E,"Bianchi",'NC Qualité'!I:I,"Problème de chargement (sanglage, casse etc.)")</f>
        <v>0</v>
      </c>
      <c r="X101" s="27">
        <f>COUNTIFS('NC Qualité'!A:A,"&gt;=01/12/2020",'NC Qualité'!A:A,"&lt;=31/12/2020",'NC Qualité'!E:E,"Bianchi",'NC Qualité'!I:I,"Erreur de chargement ")</f>
        <v>0</v>
      </c>
      <c r="AA101" s="31">
        <f>COUNTIFS('NC Qualité'!A:A,"&gt;=01/12/2020",'NC Qualité'!A:A,"&lt;=31/12/2020",'NC Qualité'!E:E,"Bianchi",'NC Qualité'!S:S,1)</f>
        <v>0</v>
      </c>
      <c r="AB101" s="31">
        <f>COUNTIFS('NC Qualité'!A:A,"&gt;=01/12/2020",'NC Qualité'!A:A,"&lt;=31/12/2020",'NC Qualité'!E:E,"Bianchi",'NC Qualité'!Q:Q,"A")</f>
        <v>0</v>
      </c>
    </row>
    <row r="102" spans="1:28" ht="29" x14ac:dyDescent="0.35">
      <c r="A102" s="67"/>
      <c r="B102" s="2" t="s">
        <v>3</v>
      </c>
      <c r="C102" s="21"/>
      <c r="D102">
        <f>COUNTIFS('NC Qualité'!A:A,"&gt;=01/12/2020",'NC Qualité'!A:A,"&lt;=31/12/2020",'NC Qualité'!E:E,"Préfabrication",'NC Qualité'!I:I,"Problème d'étiquetage")</f>
        <v>0</v>
      </c>
      <c r="E102" s="21"/>
      <c r="F102">
        <f>COUNTIFS('NC Qualité'!A:A,"&gt;=01/12/2020",'NC Qualité'!A:A,"&lt;=31/12/2020",'NC Qualité'!E:E,"Préfabrication",'NC Qualité'!I:I,"Aspect béton (tâches / nid d'abeilles / granuleux / Fissures etc.)")</f>
        <v>0</v>
      </c>
      <c r="G102" s="21"/>
      <c r="H102">
        <f>COUNTIFS('NC Qualité'!A:A,"&gt;=01/12/2020",'NC Qualité'!A:A,"&lt;=31/12/2020",'NC Qualité'!E:E,"Préfabrication",'NC Qualité'!I:I,"Ancre de levage")</f>
        <v>0</v>
      </c>
      <c r="I102" s="21"/>
      <c r="J102">
        <f>COUNTIFS('NC Qualité'!A:A,"&gt;=01/12/2020",'NC Qualité'!A:A,"&lt;=31/12/2020",'NC Qualité'!E:E,"Préfabrication",'NC Qualité'!I:I,"Armatures apparentes")</f>
        <v>0</v>
      </c>
      <c r="K102" s="21"/>
      <c r="L102" s="21"/>
      <c r="M102" s="21"/>
      <c r="N102" s="21"/>
      <c r="O102">
        <f>COUNTIFS('NC Qualité'!A:A,"&gt;=01/12/2020",'NC Qualité'!A:A,"&lt;=31/12/2020",'NC Qualité'!E:E,"Préfabrication",'NC Qualité'!I:I,"Autres :")</f>
        <v>0</v>
      </c>
      <c r="P102">
        <f>COUNTIFS('NC Qualité'!A:A,"&gt;=01/12/2020",'NC Qualité'!A:A,"&lt;=31/12/2020",'NC Qualité'!E:E,"Préfabrication",'NC Qualité'!I:I,"Accessoires (Mauvais positionnement , manquement, etc.)")</f>
        <v>0</v>
      </c>
      <c r="Q102">
        <f>COUNTIFS('NC Qualité'!A:A,"&gt;=01/12/2020",'NC Qualité'!A:A,"&lt;=31/12/2020",'NC Qualité'!E:E,"Préfabrication",'NC Qualité'!I:I,"équerrisage")</f>
        <v>0</v>
      </c>
      <c r="R102">
        <f>COUNTIFS('NC Qualité'!A:A,"&gt;=01/12/2020",'NC Qualité'!A:A,"&lt;=31/12/2020",'NC Qualité'!E:E,"Préfabrication",'NC Qualité'!I:I,"Seuil de porte (réservation)")</f>
        <v>0</v>
      </c>
      <c r="S102">
        <f>COUNTIFS('NC Qualité'!A:A,"&gt;=01/12/2020",'NC Qualité'!A:A,"&lt;=31/12/2020",'NC Qualité'!E:E,"Préfabrication",'NC Qualité'!I:I,"épaisseur")</f>
        <v>0</v>
      </c>
      <c r="T102">
        <f>COUNTIFS('NC Qualité'!A:A,"&gt;=01/12/2020",'NC Qualité'!A:A,"&lt;=31/12/2020",'NC Qualité'!E:E,"Préfabrication",'NC Qualité'!I:I,"Chanfrein")</f>
        <v>0</v>
      </c>
      <c r="U102">
        <f>COUNTIFS('NC Qualité'!A:A,"&gt;=01/12/2020",'NC Qualité'!A:A,"&lt;=31/12/2020",'NC Qualité'!E:E,"Préfabrication",'NC Qualité'!I:I,"Dimensionnement (entraînant un rebut)")</f>
        <v>0</v>
      </c>
      <c r="V102">
        <f>COUNTIFS('NC Qualité'!A:A,"&gt;=01/12/2020",'NC Qualité'!A:A,"&lt;=31/12/2020",'NC Qualité'!E:E,"Préfabrication",'NC Qualité'!I:I,"Cintrage")</f>
        <v>0</v>
      </c>
      <c r="W102">
        <f>COUNTIFS('NC Qualité'!A:A,"&gt;=01/12/2020",'NC Qualité'!A:A,"&lt;=31/12/2020",'NC Qualité'!E:E,"Préfabrication",'NC Qualité'!I:I,"Problème de chargement (sanglage, casse etc.)")</f>
        <v>0</v>
      </c>
      <c r="X102" s="27">
        <f>COUNTIFS('NC Qualité'!A:A,"&gt;=01/12/2020",'NC Qualité'!A:A,"&lt;=31/12/2020",'NC Qualité'!E:E,"Préfabrication",'NC Qualité'!I:I,"Erreur de chargement ")</f>
        <v>0</v>
      </c>
      <c r="AA102" s="31">
        <f>COUNTIFS('NC Qualité'!A:A,"&gt;=01/12/2020",'NC Qualité'!A:A,"&lt;=31/12/2020",'NC Qualité'!E:E,"Préfabrication",'NC Qualité'!S:S,1)</f>
        <v>0</v>
      </c>
      <c r="AB102" s="31">
        <f>COUNTIFS('NC Qualité'!A:A,"&gt;=01/12/2020",'NC Qualité'!A:A,"&lt;=31/12/2020",'NC Qualité'!E:E,"Préfabrication",'NC Qualité'!Q:Q,"A")</f>
        <v>0</v>
      </c>
    </row>
    <row r="103" spans="1:28" ht="29" x14ac:dyDescent="0.35">
      <c r="A103" s="67"/>
      <c r="B103" s="16" t="s">
        <v>2</v>
      </c>
      <c r="C103" s="21"/>
      <c r="D103">
        <f>COUNTIFS('NC Qualité'!A:A,"&gt;=01/12/2020",'NC Qualité'!A:A,"&lt;=31/12/2020",'NC Qualité'!E:E,"Précontraint",'NC Qualité'!I:I,"Problème d'étiquetage")</f>
        <v>0</v>
      </c>
      <c r="E103" s="21"/>
      <c r="F103">
        <f>COUNTIFS('NC Qualité'!A:A,"&gt;=01/12/2020",'NC Qualité'!A:A,"&lt;=31/12/2020",'NC Qualité'!E:E,"Précontraint",'NC Qualité'!I:I,"Aspect béton (tâches / nid d'abeilles / granuleux / Fissures etc.)")</f>
        <v>0</v>
      </c>
      <c r="G103" s="21"/>
      <c r="H103">
        <f>COUNTIFS('NC Qualité'!A:A,"&gt;=01/12/2020",'NC Qualité'!A:A,"&lt;=31/12/2020",'NC Qualité'!E:E,"Précontraint",'NC Qualité'!I:I,"Ancre de levage")</f>
        <v>0</v>
      </c>
      <c r="I103" s="21"/>
      <c r="J103">
        <f>COUNTIFS('NC Qualité'!A:A,"&gt;=01/12/2020",'NC Qualité'!A:A,"&lt;=31/12/2020",'NC Qualité'!E:E,"Précontraint",'NC Qualité'!I:I,"Armatures apparentes")</f>
        <v>0</v>
      </c>
      <c r="K103" s="21"/>
      <c r="L103" s="21"/>
      <c r="M103" s="21"/>
      <c r="N103" s="21"/>
      <c r="O103">
        <f>COUNTIFS('NC Qualité'!A:A,"&gt;=01/12/2020",'NC Qualité'!A:A,"&lt;=31/12/2020",'NC Qualité'!E:E,"Précontraint",'NC Qualité'!I:I,"Autres :")</f>
        <v>0</v>
      </c>
      <c r="P103">
        <f>COUNTIFS('NC Qualité'!A:A,"&gt;=01/12/2020",'NC Qualité'!A:A,"&lt;=31/12/2020",'NC Qualité'!E:E,"Précontraint",'NC Qualité'!I:I,"Accessoires (Mauvais positionnement , manquement, etc.)")</f>
        <v>0</v>
      </c>
      <c r="Q103">
        <f>COUNTIFS('NC Qualité'!A:A,"&gt;=01/12/2020",'NC Qualité'!A:A,"&lt;=31/12/2020",'NC Qualité'!E:E,"Précontraint",'NC Qualité'!I:I,"équerrisage")</f>
        <v>0</v>
      </c>
      <c r="R103">
        <f>COUNTIFS('NC Qualité'!A:A,"&gt;=01/12/2020",'NC Qualité'!A:A,"&lt;=31/12/2020",'NC Qualité'!E:E,"Précontraint",'NC Qualité'!I:I,"Seuil de porte (réservation)")</f>
        <v>0</v>
      </c>
      <c r="S103">
        <f>COUNTIFS('NC Qualité'!A:A,"&gt;=01/12/2020",'NC Qualité'!A:A,"&lt;=31/12/2020",'NC Qualité'!E:E,"Précontraint",'NC Qualité'!I:I,"épaisseur")</f>
        <v>0</v>
      </c>
      <c r="T103">
        <f>COUNTIFS('NC Qualité'!A:A,"&gt;=01/12/2020",'NC Qualité'!A:A,"&lt;=31/12/2020",'NC Qualité'!E:E,"Précontraint",'NC Qualité'!I:I,"Chanfrein")</f>
        <v>0</v>
      </c>
      <c r="U103">
        <f>COUNTIFS('NC Qualité'!A:A,"&gt;=01/12/2020",'NC Qualité'!A:A,"&lt;=31/12/2020",'NC Qualité'!E:E,"Précontraint",'NC Qualité'!I:I,"Dimensionnement (entraînant un rebut)")</f>
        <v>0</v>
      </c>
      <c r="V103">
        <f>COUNTIFS('NC Qualité'!A:A,"&gt;=01/12/2020",'NC Qualité'!A:A,"&lt;=31/12/2020",'NC Qualité'!E:E,"Précontraint",'NC Qualité'!I:I,"Cintrage")</f>
        <v>0</v>
      </c>
      <c r="W103">
        <f>COUNTIFS('NC Qualité'!A:A,"&gt;=01/12/2020",'NC Qualité'!A:A,"&lt;=31/12/2020",'NC Qualité'!E:E,"Précontraint",'NC Qualité'!I:I,"Problème de chargement (sanglage, casse etc.)")</f>
        <v>0</v>
      </c>
      <c r="X103" s="27">
        <f>COUNTIFS('NC Qualité'!A:A,"&gt;=01/12/2020",'NC Qualité'!A:A,"&lt;=31/12/2020",'NC Qualité'!E:E,"Précontraint",'NC Qualité'!I:I,"Erreur de chargement ")</f>
        <v>0</v>
      </c>
      <c r="AA103" s="31">
        <f>COUNTIFS('NC Qualité'!A:A,"&gt;=01/12/2020",'NC Qualité'!A:A,"&lt;=31/12/2020",'NC Qualité'!E:E,"Précontraint",'NC Qualité'!S:S,1)</f>
        <v>0</v>
      </c>
      <c r="AB103" s="31">
        <f>COUNTIFS('NC Qualité'!A:A,"&gt;=01/12/2020",'NC Qualité'!A:A,"&lt;=31/12/2020",'NC Qualité'!E:E,"Précontraint",'NC Qualité'!Q:Q,"A")</f>
        <v>0</v>
      </c>
    </row>
    <row r="104" spans="1:28" ht="21" x14ac:dyDescent="0.35">
      <c r="A104" s="67"/>
      <c r="B104" s="2" t="s">
        <v>1</v>
      </c>
      <c r="C104" s="22"/>
      <c r="D104" s="23">
        <f>COUNTIFS('NC Qualité'!A:A,"&gt;=01/12/2020",'NC Qualité'!A:A,"&lt;=31/12/2020",'NC Qualité'!E:E,"Parc",'NC Qualité'!I:I,"Problème d'étiquetage")</f>
        <v>0</v>
      </c>
      <c r="E104" s="24"/>
      <c r="F104" s="23">
        <f>COUNTIFS('NC Qualité'!A:A,"&gt;=01/12/2020",'NC Qualité'!A:A,"&lt;=31/12/2020",'NC Qualité'!E:E,"Parc",'NC Qualité'!I:I,"Aspect béton (tâches / nid d'abeilles / granuleux / Fissures etc.)")</f>
        <v>0</v>
      </c>
      <c r="G104" s="24"/>
      <c r="H104" s="23">
        <f>COUNTIFS('NC Qualité'!A:A,"&gt;=01/12/2020",'NC Qualité'!A:A,"&lt;=31/12/2020",'NC Qualité'!E:E,"Parc",'NC Qualité'!I:I,"Ancre de levage")</f>
        <v>0</v>
      </c>
      <c r="I104" s="24"/>
      <c r="J104" s="23">
        <f>COUNTIFS('NC Qualité'!A:A,"&gt;=01/12/2020",'NC Qualité'!A:A,"&lt;=31/12/2020",'NC Qualité'!E:E,"Parc",'NC Qualité'!I:I,"Armatures apparentes")</f>
        <v>0</v>
      </c>
      <c r="K104" s="24"/>
      <c r="L104" s="24"/>
      <c r="M104" s="24"/>
      <c r="N104" s="24"/>
      <c r="O104" s="23">
        <f>COUNTIFS('NC Qualité'!A:A,"&gt;=01/12/2020",'NC Qualité'!A:A,"&lt;=31/12/2020",'NC Qualité'!E:E,"Parc",'NC Qualité'!I:I,"Autres :")</f>
        <v>0</v>
      </c>
      <c r="P104" s="23">
        <f>COUNTIFS('NC Qualité'!A:A,"&gt;=01/12/2020",'NC Qualité'!A:A,"&lt;=31/12/2020",'NC Qualité'!E:E,"Parc",'NC Qualité'!I:I,"Accessoires (Mauvais positionnement , manquement, etc.)")</f>
        <v>0</v>
      </c>
      <c r="Q104" s="23">
        <f>COUNTIFS('NC Qualité'!A:A,"&gt;=01/12/2020",'NC Qualité'!A:A,"&lt;=31/12/2020",'NC Qualité'!E:E,"Parc",'NC Qualité'!I:I,"équerrisage")</f>
        <v>0</v>
      </c>
      <c r="R104" s="23">
        <f>COUNTIFS('NC Qualité'!A:A,"&gt;=01/12/2020",'NC Qualité'!A:A,"&lt;=31/12/2020",'NC Qualité'!E:E,"Parc",'NC Qualité'!I:I,"Seuil de porte (réservation)")</f>
        <v>0</v>
      </c>
      <c r="S104" s="23">
        <f>COUNTIFS('NC Qualité'!A:A,"&gt;=01/12/2020",'NC Qualité'!A:A,"&lt;=31/12/2020",'NC Qualité'!E:E,"Parc",'NC Qualité'!I:I,"épaisseur")</f>
        <v>0</v>
      </c>
      <c r="T104" s="23">
        <f>COUNTIFS('NC Qualité'!A:A,"&gt;=01/12/2020",'NC Qualité'!A:A,"&lt;=31/12/2020",'NC Qualité'!E:E,"Parc",'NC Qualité'!I:I,"Chanfrein")</f>
        <v>0</v>
      </c>
      <c r="U104" s="23">
        <f>COUNTIFS('NC Qualité'!A:A,"&gt;=01/12/2020",'NC Qualité'!A:A,"&lt;=31/12/2020",'NC Qualité'!E:E,"Parc",'NC Qualité'!I:I,"Dimensionnement (entraînant un rebut)")</f>
        <v>0</v>
      </c>
      <c r="V104" s="23">
        <f>COUNTIFS('NC Qualité'!A:A,"&gt;=01/12/2020",'NC Qualité'!A:A,"&lt;=31/12/2020",'NC Qualité'!E:E,"Parc",'NC Qualité'!I:I,"Cintrage")</f>
        <v>0</v>
      </c>
      <c r="W104" s="23">
        <f>COUNTIFS('NC Qualité'!A:A,"&gt;=01/12/2020",'NC Qualité'!A:A,"&lt;=31/12/2020",'NC Qualité'!E:E,"Parc",'NC Qualité'!I:I,"Problème de chargement (sanglage, casse etc.)")</f>
        <v>0</v>
      </c>
      <c r="X104" s="28">
        <f>COUNTIFS('NC Qualité'!A:A,"&gt;=01/12/2020",'NC Qualité'!A:A,"&lt;=31/12/2020",'NC Qualité'!E:E,"Parc",'NC Qualité'!I:I,"Erreur de chargement ")</f>
        <v>0</v>
      </c>
      <c r="AA104" s="31">
        <f>COUNTIFS('NC Qualité'!A:A,"&gt;=01/12/2020",'NC Qualité'!A:A,"&lt;=31/12/2020",'NC Qualité'!E:E,"Parc",'NC Qualité'!S:S,1)</f>
        <v>0</v>
      </c>
      <c r="AB104" s="31">
        <f>COUNTIFS('NC Qualité'!A:A,"&gt;=01/12/2020",'NC Qualité'!A:A,"&lt;=31/12/2020",'NC Qualité'!E:E,"Parc",'NC Qualité'!Q:Q,"A")</f>
        <v>0</v>
      </c>
    </row>
    <row r="105" spans="1:28" ht="23.5" x14ac:dyDescent="0.35">
      <c r="AA105" s="34">
        <f>SUM(AA93:AA104)</f>
        <v>0</v>
      </c>
      <c r="AB105" s="34">
        <f>SUM(AB93:AB104)</f>
        <v>0</v>
      </c>
    </row>
    <row r="106" spans="1:28" ht="15" thickBot="1" x14ac:dyDescent="0.4"/>
    <row r="107" spans="1:28" ht="15" thickBot="1" x14ac:dyDescent="0.4">
      <c r="A107" s="42"/>
      <c r="B107" s="43"/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  <c r="T107" s="43"/>
      <c r="U107" s="43"/>
      <c r="V107" s="43"/>
      <c r="W107" s="43"/>
      <c r="X107" s="43"/>
      <c r="Y107" s="43"/>
      <c r="Z107" s="43"/>
      <c r="AA107" s="43"/>
      <c r="AB107" s="44"/>
    </row>
    <row r="109" spans="1:28" x14ac:dyDescent="0.35">
      <c r="B109" t="s">
        <v>53</v>
      </c>
    </row>
    <row r="111" spans="1:28" ht="105" x14ac:dyDescent="0.35">
      <c r="B111" s="14" t="s">
        <v>29</v>
      </c>
      <c r="C111" s="20" t="s">
        <v>25</v>
      </c>
      <c r="D111" s="20" t="s">
        <v>78</v>
      </c>
      <c r="E111" s="20" t="s">
        <v>79</v>
      </c>
      <c r="F111" s="20" t="s">
        <v>77</v>
      </c>
      <c r="G111" s="20"/>
      <c r="H111" s="20"/>
      <c r="I111" s="20"/>
      <c r="J111" s="20" t="s">
        <v>35</v>
      </c>
      <c r="K111" s="20"/>
      <c r="L111" s="20" t="s">
        <v>82</v>
      </c>
      <c r="M111" s="20"/>
      <c r="N111" s="20" t="s">
        <v>39</v>
      </c>
      <c r="O111" s="20" t="s">
        <v>40</v>
      </c>
      <c r="P111" s="20" t="s">
        <v>24</v>
      </c>
      <c r="Q111" s="20" t="s">
        <v>43</v>
      </c>
      <c r="R111" s="20" t="s">
        <v>27</v>
      </c>
      <c r="S111" s="20" t="s">
        <v>44</v>
      </c>
      <c r="T111" s="20" t="s">
        <v>5</v>
      </c>
      <c r="U111" s="20" t="s">
        <v>25</v>
      </c>
      <c r="V111" s="20" t="s">
        <v>7</v>
      </c>
      <c r="W111" s="20" t="s">
        <v>28</v>
      </c>
      <c r="X111" s="20" t="s">
        <v>45</v>
      </c>
      <c r="AA111" s="33" t="s">
        <v>47</v>
      </c>
      <c r="AB111" s="32" t="s">
        <v>46</v>
      </c>
    </row>
    <row r="112" spans="1:28" ht="21" customHeight="1" x14ac:dyDescent="0.35">
      <c r="A112" s="67" t="s">
        <v>42</v>
      </c>
      <c r="B112" s="2" t="s">
        <v>70</v>
      </c>
      <c r="C112">
        <f>COUNTIFS('NC Qualité'!A:A,"&gt;=01/01/2020",'NC Qualité'!A:A,"&lt;=31/01/2020",'NC Qualité'!E:E,"Blocs",'NC Qualité'!I:I,"Dimensionnement (entraînant un rebut)")</f>
        <v>0</v>
      </c>
      <c r="D112">
        <f>COUNTIFS('NC Qualité'!A:A,"&gt;=01/01/2020",'NC Qualité'!A:A,"&lt;=31/01/2020",'NC Qualité'!E:E,"Blocs",'NC Qualité'!I:I,"Perçage du voile de pose")</f>
        <v>0</v>
      </c>
      <c r="E112">
        <f>COUNTIFS('NC Qualité'!A:A,"&gt;=01/01/2020",'NC Qualité'!A:A,"&lt;=31/01/2020",'NC Qualité'!E:E,"Blocs",'NC Qualité'!I:I,"étanchéité")</f>
        <v>0</v>
      </c>
      <c r="F112">
        <f>COUNTIFS('NC Qualité'!A:A,"&gt;=01/01/2020",'NC Qualité'!A:A,"&lt;=31/01/2020",'NC Qualité'!E:E,"Blocs",'NC Qualité'!I:I,"Aspect béton (Fissures, etc.)")</f>
        <v>0</v>
      </c>
      <c r="J112">
        <f>COUNTIFS('NC Qualité'!A:A,"&gt;=01/01/2020",'NC Qualité'!A:A,"&lt;=31/01/2020",'NC Qualité'!E:E,"Blocs",'NC Qualité'!I:I,"Armatures apparentes")</f>
        <v>0</v>
      </c>
      <c r="L112">
        <f>COUNTIFS('NC Qualité'!A:A,"&gt;=01/01/2020",'NC Qualité'!A:A,"&lt;=31/01/2020",'NC Qualité'!E:E,"Blocs",'NC Qualité'!I:I,"Délais de livraison")</f>
        <v>0</v>
      </c>
      <c r="N112">
        <f>COUNTIFS('NC Qualité'!A:A,"&gt;=01/01/2020",'NC Qualité'!A:A,"&lt;=31/01/2020",'NC Qualité'!E:E,"Blocs",'NC Qualité'!I:I,"Casse de l'élément")</f>
        <v>0</v>
      </c>
      <c r="O112">
        <f>COUNTIFS('NC Qualité'!A:A,"&gt;=01/01/2020",'NC Qualité'!A:A,"&lt;=31/01/2020",'NC Qualité'!E:E,"Blocs",'NC Qualité'!I:I,"Autres :")</f>
        <v>0</v>
      </c>
      <c r="P112" s="21"/>
      <c r="Q112" s="21"/>
      <c r="R112" s="21"/>
      <c r="S112" s="21"/>
      <c r="T112" s="21"/>
      <c r="U112" s="21"/>
      <c r="V112" s="21"/>
      <c r="W112" s="21"/>
      <c r="X112" s="25"/>
      <c r="AA112" s="31">
        <f>COUNTIFS('NC Qualité'!A:A,"&gt;=01/01/2010",'NC Qualité'!A:A,"&lt;=31/01/2010",'NC Qualité'!E:E,"Blocs",'NC Qualité'!S:S,1)</f>
        <v>0</v>
      </c>
      <c r="AB112" s="31">
        <f>COUNTIFS('NC Qualité'!A:A,"&gt;=01/01/2010",'NC Qualité'!A:A,"&lt;=31/01/2010",'NC Qualité'!E:E,"Blocs",'NC Qualité'!Q:Q,"A")</f>
        <v>0</v>
      </c>
    </row>
    <row r="113" spans="1:28" ht="21" x14ac:dyDescent="0.35">
      <c r="A113" s="67"/>
      <c r="B113" s="2" t="s">
        <v>71</v>
      </c>
      <c r="C113">
        <f>COUNTIFS('NC Qualité'!A:A,"&gt;=01/01/2020",'NC Qualité'!A:A,"&lt;=31/01/2020",'NC Qualité'!E:E,"Poutrelles",'NC Qualité'!I:I,"Dimensionnement (entraînant un rebut)")</f>
        <v>0</v>
      </c>
      <c r="D113">
        <f>COUNTIFS('NC Qualité'!A:A,"&gt;=01/01/2020",'NC Qualité'!A:A,"&lt;=31/01/2020",'NC Qualité'!E:E,"Poutrelles",'NC Qualité'!I:I,"Perçage du voile de pose")</f>
        <v>0</v>
      </c>
      <c r="E113">
        <f>COUNTIFS('NC Qualité'!A:A,"&gt;=01/01/2020",'NC Qualité'!A:A,"&lt;=31/01/2020",'NC Qualité'!E:E,"Poutrelles",'NC Qualité'!I:I,"Palettisation")</f>
        <v>0</v>
      </c>
      <c r="F113">
        <f>COUNTIFS('NC Qualité'!A:A,"&gt;=01/01/2020",'NC Qualité'!A:A,"&lt;=31/01/2020",'NC Qualité'!E:E,"Poutrelles",'NC Qualité'!I:I,"Aspect béton (Fissures, etc.)")</f>
        <v>0</v>
      </c>
      <c r="J113">
        <f>COUNTIFS('NC Qualité'!A:A,"&gt;=01/01/2020",'NC Qualité'!A:A,"&lt;=31/01/2020",'NC Qualité'!E:E,"Poutrelles",'NC Qualité'!I:I,"Armatures apparentes")</f>
        <v>0</v>
      </c>
      <c r="L113">
        <f>COUNTIFS('NC Qualité'!A:A,"&gt;=01/01/2020",'NC Qualité'!A:A,"&lt;=31/01/2020",'NC Qualité'!E:E,"Poutrelles",'NC Qualité'!I:I,"Délais de livraison")</f>
        <v>0</v>
      </c>
      <c r="N113">
        <f>COUNTIFS('NC Qualité'!A:A,"&gt;=01/01/2020",'NC Qualité'!A:A,"&lt;=31/01/2020",'NC Qualité'!E:E,"Poutrelles",'NC Qualité'!I:I,"Casse de l'élément")</f>
        <v>0</v>
      </c>
      <c r="O113">
        <f>COUNTIFS('NC Qualité'!A:A,"&gt;=01/01/2020",'NC Qualité'!A:A,"&lt;=31/01/2020",'NC Qualité'!E:E,"Poutrelles",'NC Qualité'!I:I,"Autres :")</f>
        <v>0</v>
      </c>
      <c r="P113" s="21"/>
      <c r="Q113" s="21"/>
      <c r="R113" s="21"/>
      <c r="S113" s="21"/>
      <c r="T113" s="21"/>
      <c r="U113" s="21"/>
      <c r="V113" s="21"/>
      <c r="W113" s="21"/>
      <c r="X113" s="26"/>
      <c r="AA113" s="31">
        <f>COUNTIFS('NC Qualité'!A:A,"&gt;=01/01/2010",'NC Qualité'!A:A,"&lt;=31/01/2010",'NC Qualité'!E:E,"Poutrelles",'NC Qualité'!S:S,1)</f>
        <v>0</v>
      </c>
      <c r="AB113" s="31">
        <f>COUNTIFS('NC Qualité'!A:A,"&gt;=01/01/2010",'NC Qualité'!A:A,"&lt;=31/01/2010",'NC Qualité'!E:E,"Poutrelles",'NC Qualité'!Q:Q,"A")</f>
        <v>0</v>
      </c>
    </row>
    <row r="114" spans="1:28" ht="21" x14ac:dyDescent="0.35">
      <c r="A114" s="67"/>
      <c r="B114" s="2" t="s">
        <v>72</v>
      </c>
      <c r="C114">
        <f>COUNTIFS('NC Qualité'!A:A,"&gt;=01/01/2020",'NC Qualité'!A:A,"&lt;=31/01/2020",'NC Qualité'!E:E,"Hourdis",'NC Qualité'!I:I,"Dimensionnement (entraînant un rebut)")</f>
        <v>0</v>
      </c>
      <c r="D114">
        <f>COUNTIFS('NC Qualité'!A:A,"&gt;=01/01/2020",'NC Qualité'!A:A,"&lt;=31/01/2020",'NC Qualité'!E:E,"Hourdis",'NC Qualité'!I:I,"Problème d'étiquetage")</f>
        <v>0</v>
      </c>
      <c r="E114">
        <f>COUNTIFS('NC Qualité'!A:A,"&gt;=01/01/2020",'NC Qualité'!A:A,"&lt;=31/01/2020",'NC Qualité'!E:E,"Hourdis",'NC Qualité'!I:I,"Palettisation")</f>
        <v>0</v>
      </c>
      <c r="F114">
        <f>COUNTIFS('NC Qualité'!A:A,"&gt;=01/01/2020",'NC Qualité'!A:A,"&lt;=31/01/2020",'NC Qualité'!E:E,"Hourdis",'NC Qualité'!I:I,"Aspect béton (Fissures, etc.)")</f>
        <v>0</v>
      </c>
      <c r="J114">
        <f>COUNTIFS('NC Qualité'!A:A,"&gt;=01/01/2020",'NC Qualité'!A:A,"&lt;=31/01/2020",'NC Qualité'!E:E,"Hourdis",'NC Qualité'!I:I,"Armatures apparentes")</f>
        <v>0</v>
      </c>
      <c r="L114">
        <f>COUNTIFS('NC Qualité'!A:A,"&gt;=01/01/2020",'NC Qualité'!A:A,"&lt;=31/01/2020",'NC Qualité'!E:E,"Hourdis",'NC Qualité'!I:I,"Délais de livraison")</f>
        <v>0</v>
      </c>
      <c r="N114">
        <f>COUNTIFS('NC Qualité'!A:A,"&gt;=01/01/2020",'NC Qualité'!A:A,"&lt;=31/01/2020",'NC Qualité'!E:E,"Hourdis",'NC Qualité'!I:I,"Casse de l'élément")</f>
        <v>0</v>
      </c>
      <c r="O114">
        <f>COUNTIFS('NC Qualité'!A:A,"&gt;=01/01/2020",'NC Qualité'!A:A,"&lt;=31/01/2020",'NC Qualité'!E:E,"Hourdis",'NC Qualité'!I:I,"Autres :")</f>
        <v>0</v>
      </c>
      <c r="P114" s="21"/>
      <c r="Q114" s="21"/>
      <c r="R114" s="21"/>
      <c r="S114" s="21"/>
      <c r="T114" s="21"/>
      <c r="U114" s="21"/>
      <c r="V114" s="21"/>
      <c r="W114" s="21"/>
      <c r="X114" s="26"/>
      <c r="AA114" s="31">
        <f>COUNTIFS('NC Qualité'!A:A,"&gt;=01/01/2010",'NC Qualité'!A:A,"&lt;=31/01/2010",'NC Qualité'!E:E,"Hourdis",'NC Qualité'!S:S,1)</f>
        <v>0</v>
      </c>
      <c r="AB114" s="31">
        <f>COUNTIFS('NC Qualité'!A:A,"&gt;=01/01/2010",'NC Qualité'!A:A,"&lt;=31/01/2010",'NC Qualité'!E:E,"Hourdis",'NC Qualité'!Q:Q,"A")</f>
        <v>0</v>
      </c>
    </row>
    <row r="115" spans="1:28" ht="29" x14ac:dyDescent="0.35">
      <c r="A115" s="67"/>
      <c r="B115" s="56" t="s">
        <v>98</v>
      </c>
      <c r="C115">
        <f>COUNTIFS('NC Qualité'!A:A,"&gt;=01/01/2020",'NC Qualité'!A:A,"&lt;=31/01/2020",'NC Qualité'!E:E,"Blocs à bancher",'NC Qualité'!I:I,"Dimensionnement (entraînant un rebut)")</f>
        <v>0</v>
      </c>
      <c r="D115">
        <f>COUNTIFS('NC Qualité'!A:A,"&gt;=01/01/2020",'NC Qualité'!A:A,"&lt;=31/01/2020",'NC Qualité'!E:E,"Blocs à bancher",'NC Qualité'!I:I,"Problème d'étiquetage")</f>
        <v>0</v>
      </c>
      <c r="E115">
        <f>COUNTIFS('NC Qualité'!A:A,"&gt;=01/01/2020",'NC Qualité'!A:A,"&lt;=31/01/2020",'NC Qualité'!E:E,"Blocs à bancher",'NC Qualité'!I:I,"Palettisation")</f>
        <v>0</v>
      </c>
      <c r="F115">
        <f>COUNTIFS('NC Qualité'!A:A,"&gt;=01/01/2020",'NC Qualité'!A:A,"&lt;=31/01/2020",'NC Qualité'!E:E,"Blocs à bancher",'NC Qualité'!I:I,"Aspect béton (Fissures, etc.)")</f>
        <v>0</v>
      </c>
      <c r="J115">
        <f>COUNTIFS('NC Qualité'!A:A,"&gt;=01/01/2020",'NC Qualité'!A:A,"&lt;=31/01/2020",'NC Qualité'!E:E,"Blocs à bancher",'NC Qualité'!I:I,"Armatures apparentes")</f>
        <v>0</v>
      </c>
      <c r="L115">
        <f>COUNTIFS('NC Qualité'!A:A,"&gt;=01/01/2020",'NC Qualité'!A:A,"&lt;=31/01/2020",'NC Qualité'!E:E,"Blocs à bancher",'NC Qualité'!I:I,"Délais de livraison")</f>
        <v>0</v>
      </c>
      <c r="N115">
        <f>COUNTIFS('NC Qualité'!A:A,"&gt;=01/01/2020",'NC Qualité'!A:A,"&lt;=31/01/2020",'NC Qualité'!E:E,"Blocs à bancher",'NC Qualité'!I:I,"Casse de l'élément")</f>
        <v>0</v>
      </c>
      <c r="O115">
        <f>COUNTIFS('NC Qualité'!A:A,"&gt;=01/01/2020",'NC Qualité'!A:A,"&lt;=31/01/2020",'NC Qualité'!E:E,"Blocs à bancher",'NC Qualité'!I:I,"Autres :")</f>
        <v>0</v>
      </c>
      <c r="P115" s="21"/>
      <c r="Q115" s="21"/>
      <c r="R115" s="21"/>
      <c r="S115" s="21"/>
      <c r="T115" s="21"/>
      <c r="U115" s="21"/>
      <c r="V115" s="21"/>
      <c r="W115" s="21"/>
      <c r="X115" s="26"/>
      <c r="AA115" s="31">
        <f>COUNTIFS('NC Qualité'!A:A,"&gt;=01/01/2010",'NC Qualité'!A:A,"&lt;=31/01/2010",'NC Qualité'!E:E,"Bordures",'NC Qualité'!S:S,1)</f>
        <v>0</v>
      </c>
      <c r="AB115" s="31">
        <f>COUNTIFS('NC Qualité'!A:A,"&gt;=01/01/2010",'NC Qualité'!A:A,"&lt;=31/01/2010",'NC Qualité'!E:E,"Bordures",'NC Qualité'!Q:Q,"A")</f>
        <v>0</v>
      </c>
    </row>
    <row r="116" spans="1:28" ht="21" x14ac:dyDescent="0.35">
      <c r="A116" s="67"/>
      <c r="B116" s="2"/>
      <c r="P116" s="21"/>
      <c r="Q116" s="21"/>
      <c r="R116" s="21"/>
      <c r="S116" s="21"/>
      <c r="T116" s="21"/>
      <c r="U116" s="21"/>
      <c r="V116" s="21"/>
      <c r="W116" s="21"/>
      <c r="X116" s="26"/>
      <c r="AA116" s="31">
        <f>COUNTIFS('NC Qualité'!A:A,"&gt;=01/01/2010",'NC Qualité'!A:A,"&lt;=31/01/2010",'NC Qualité'!E:E,"Caniveaux",'NC Qualité'!S:S,1)</f>
        <v>0</v>
      </c>
      <c r="AB116" s="31">
        <f>COUNTIFS('NC Qualité'!A:A,"&gt;=01/01/2010",'NC Qualité'!A:A,"&lt;=31/01/2010",'NC Qualité'!E:E,"Caniveaux",'NC Qualité'!Q:Q,"A")</f>
        <v>0</v>
      </c>
    </row>
    <row r="117" spans="1:28" ht="21" x14ac:dyDescent="0.35">
      <c r="A117" s="67"/>
      <c r="B117" s="15"/>
      <c r="P117" s="21"/>
      <c r="Q117" s="21"/>
      <c r="R117" s="21"/>
      <c r="S117" s="21"/>
      <c r="T117" s="21"/>
      <c r="U117" s="21"/>
      <c r="V117" s="21"/>
      <c r="W117" s="21"/>
      <c r="X117" s="26"/>
      <c r="AA117" s="31">
        <f>COUNTIFS('NC Qualité'!A:A,"&gt;=01/01/2020",'NC Qualité'!A:A,"&lt;=31/01/2020",'NC Qualité'!E:E,"Fielding : Bordures et Caniveaux",'NC Qualité'!S:S,1)</f>
        <v>0</v>
      </c>
      <c r="AB117" s="31">
        <f>COUNTIFS('NC Qualité'!A:A,"&gt;=01/01/2020",'NC Qualité'!A:A,"&lt;=31/01/2020",'NC Qualité'!E:E,"Fielding : Bordures et Caniveaux",'NC Qualité'!Q:Q,"A")</f>
        <v>0</v>
      </c>
    </row>
    <row r="118" spans="1:28" ht="21" x14ac:dyDescent="0.35">
      <c r="A118" s="67"/>
      <c r="B118" s="2"/>
      <c r="P118" s="21"/>
      <c r="Q118" s="21"/>
      <c r="R118" s="21"/>
      <c r="S118" s="21"/>
      <c r="T118" s="21"/>
      <c r="U118" s="21"/>
      <c r="V118" s="21"/>
      <c r="W118" s="21"/>
      <c r="X118" s="26"/>
      <c r="AA118" s="31">
        <f>COUNTIFS('NC Qualité'!A:A,"&gt;=01/01/2020",'NC Qualité'!A:A,"&lt;=31/01/2020",'NC Qualité'!E:E,"Modul : Tuyaux Dn 1800 à 2630",'NC Qualité'!S:S,1)</f>
        <v>0</v>
      </c>
      <c r="AB118" s="31">
        <f>COUNTIFS('NC Qualité'!A:A,"&gt;=01/01/2020",'NC Qualité'!A:A,"&lt;=31/01/2020",'NC Qualité'!E:E,"Modul : Tuyaux Dn 1800 à 2630",'NC Qualité'!Q:Q,"A")</f>
        <v>0</v>
      </c>
    </row>
    <row r="119" spans="1:28" ht="29" x14ac:dyDescent="0.35">
      <c r="A119" s="67" t="s">
        <v>41</v>
      </c>
      <c r="B119" s="2" t="s">
        <v>6</v>
      </c>
      <c r="C119" s="21"/>
      <c r="D119">
        <f>COUNTIFS('NC Qualité'!A:A,"&gt;=01/01/2020",'NC Qualité'!A:A,"&lt;=31/01/2020",'NC Qualité'!E:E,"Panneau coulé à plat",'NC Qualité'!I:I,"Problème d'étiquetage")</f>
        <v>0</v>
      </c>
      <c r="E119" s="21"/>
      <c r="F119">
        <f>COUNTIFS('NC Qualité'!A:A,"&gt;=01/01/2020",'NC Qualité'!A:A,"&lt;=31/01/2020",'NC Qualité'!E:E,"Panneau coulé à plat",'NC Qualité'!I:I,"Aspect béton (tâches / nid d'abeilles / granuleux / Fissures etc.)")</f>
        <v>0</v>
      </c>
      <c r="G119" s="21"/>
      <c r="H119">
        <f>COUNTIFS('NC Qualité'!A:A,"&gt;=01/01/2020",'NC Qualité'!A:A,"&lt;=31/01/2020",'NC Qualité'!E:E,"Panneau coulé à plat",'NC Qualité'!I:I,"Ancre de levage")</f>
        <v>0</v>
      </c>
      <c r="I119" s="21"/>
      <c r="J119">
        <f>COUNTIFS('NC Qualité'!A:A,"&gt;=01/01/2020",'NC Qualité'!A:A,"&lt;=31/01/2020",'NC Qualité'!E:E,"Modul : Tuyaux Dn 1800 à 2630",'NC Qualité'!I:I,"Armatures apparentes")</f>
        <v>0</v>
      </c>
      <c r="K119" s="21"/>
      <c r="L119" s="21"/>
      <c r="M119" s="21"/>
      <c r="N119" s="21"/>
      <c r="O119">
        <f>COUNTIFS('NC Qualité'!A:A,"&gt;=01/01/2020",'NC Qualité'!A:A,"&lt;=31/01/2020",'NC Qualité'!E:E,"Panneau coulé à plat",'NC Qualité'!I:I,"Autres :")</f>
        <v>0</v>
      </c>
      <c r="P119">
        <f>COUNTIFS('NC Qualité'!A:A,"&gt;=01/01/2020",'NC Qualité'!A:A,"&lt;=31/01/2020",'NC Qualité'!E:E,"Panneau coulé à plat",'NC Qualité'!I:I,"Accessoires (Mauvais positionnement , manquement, etc.)")</f>
        <v>0</v>
      </c>
      <c r="Q119">
        <f>COUNTIFS('NC Qualité'!A:A,"&gt;=01/01/2020",'NC Qualité'!A:A,"&lt;=31/01/2020",'NC Qualité'!E:E,"Panneau coulé à plat",'NC Qualité'!I:I,"équerrisage")</f>
        <v>0</v>
      </c>
      <c r="R119">
        <f>COUNTIFS('NC Qualité'!A:A,"&gt;=01/01/2020",'NC Qualité'!A:A,"&lt;=31/01/2020",'NC Qualité'!E:E,"Panneau coulé à plat",'NC Qualité'!I:I,"Seuil de porte (réservation)")</f>
        <v>0</v>
      </c>
      <c r="S119">
        <f>COUNTIFS('NC Qualité'!A:A,"&gt;=01/01/2020",'NC Qualité'!A:A,"&lt;=31/01/2020",'NC Qualité'!E:E,"Panneau coulé à plat",'NC Qualité'!I:I,"épaisseur")</f>
        <v>0</v>
      </c>
      <c r="T119">
        <f>COUNTIFS('NC Qualité'!A:A,"&gt;=01/01/2020",'NC Qualité'!A:A,"&lt;=31/01/2020",'NC Qualité'!E:E,"Panneau coulé à plat",'NC Qualité'!I:I,"Chanfrein")</f>
        <v>0</v>
      </c>
      <c r="U119">
        <f>COUNTIFS('NC Qualité'!A:A,"&gt;=01/01/2020",'NC Qualité'!A:A,"&lt;=31/01/2020",'NC Qualité'!E:E,"Panneau coulé à plat",'NC Qualité'!I:I,"Dimensionnement (entraînant un rebut)")</f>
        <v>0</v>
      </c>
      <c r="V119">
        <f>COUNTIFS('NC Qualité'!A:A,"&gt;=01/01/2020",'NC Qualité'!A:A,"&lt;=31/01/2020",'NC Qualité'!E:E,"Panneau coulé à plat",'NC Qualité'!I:I,"Cintrage")</f>
        <v>0</v>
      </c>
      <c r="W119">
        <f>COUNTIFS('NC Qualité'!A:A,"&gt;=01/01/2020",'NC Qualité'!A:A,"&lt;=31/01/2020",'NC Qualité'!E:E,"Panneau coulé à plat",'NC Qualité'!I:I,"Problème de chargement (sanglage, casse etc.)")</f>
        <v>0</v>
      </c>
      <c r="X119" s="27">
        <f>COUNTIFS('NC Qualité'!A:A,"&gt;=01/01/2020",'NC Qualité'!A:A,"&lt;=31/01/2020",'NC Qualité'!E:E,"Panneau coulé à plat",'NC Qualité'!I:I,"Erreur de chargement ")</f>
        <v>0</v>
      </c>
      <c r="AA119" s="31">
        <f>COUNTIFS('NC Qualité'!A:A,"&gt;=01/01/2020",'NC Qualité'!A:A,"&lt;=31/01/2020",'NC Qualité'!E:E,"Panneau coulé à plat",'NC Qualité'!S:S,1)</f>
        <v>0</v>
      </c>
      <c r="AB119" s="31">
        <f>COUNTIFS('NC Qualité'!A:A,"&gt;=01/01/2020",'NC Qualité'!A:A,"&lt;=31/01/2020",'NC Qualité'!E:E,"Panneau coulé à plat",'NC Qualité'!Q:Q,"A")</f>
        <v>0</v>
      </c>
    </row>
    <row r="120" spans="1:28" ht="21" x14ac:dyDescent="0.35">
      <c r="A120" s="67"/>
      <c r="B120" s="2" t="s">
        <v>0</v>
      </c>
      <c r="C120" s="21"/>
      <c r="D120">
        <f>COUNTIFS('NC Qualité'!A:A,"&gt;=01/01/2020",'NC Qualité'!A:A,"&lt;=31/01/2020",'NC Qualité'!E:E,"Bianchi",'NC Qualité'!I:I,"Problème d'étiquetage")</f>
        <v>0</v>
      </c>
      <c r="E120" s="21"/>
      <c r="F120">
        <f>COUNTIFS('NC Qualité'!A:A,"&gt;=01/01/2020",'NC Qualité'!A:A,"&lt;=31/01/2020",'NC Qualité'!E:E,"Bianchi",'NC Qualité'!I:I,"Aspect béton (tâches / nid d'abeilles / granuleux / Fissures etc.)")</f>
        <v>0</v>
      </c>
      <c r="G120" s="21"/>
      <c r="H120">
        <f>COUNTIFS('NC Qualité'!A:A,"&gt;=01/01/2020",'NC Qualité'!A:A,"&lt;=31/01/2020",'NC Qualité'!E:E,"Bianchi",'NC Qualité'!I:I,"Ancre de levage")</f>
        <v>0</v>
      </c>
      <c r="I120" s="21"/>
      <c r="J120">
        <f>COUNTIFS('NC Qualité'!A:A,"&gt;=01/01/2020",'NC Qualité'!A:A,"&lt;=31/01/2020",'NC Qualité'!E:E,"Bianchi",'NC Qualité'!I:I,"Armatures apparentes")</f>
        <v>0</v>
      </c>
      <c r="K120" s="21"/>
      <c r="L120" s="21"/>
      <c r="M120" s="21"/>
      <c r="N120" s="21"/>
      <c r="O120">
        <f>COUNTIFS('NC Qualité'!A:A,"&gt;=01/01/2020",'NC Qualité'!A:A,"&lt;=31/01/2020",'NC Qualité'!E:E,"Bianchi",'NC Qualité'!I:I,"Autres :")</f>
        <v>0</v>
      </c>
      <c r="P120">
        <f>COUNTIFS('NC Qualité'!A:A,"&gt;=01/01/2020",'NC Qualité'!A:A,"&lt;=31/01/2020",'NC Qualité'!E:E,"Bianchi",'NC Qualité'!I:I,"Accessoires (Mauvais positionnement , manquement, etc.)")</f>
        <v>0</v>
      </c>
      <c r="Q120">
        <f>COUNTIFS('NC Qualité'!A:A,"&gt;=01/01/2020",'NC Qualité'!A:A,"&lt;=31/01/2020",'NC Qualité'!E:E,"Bianchi",'NC Qualité'!I:I,"équerrisage")</f>
        <v>0</v>
      </c>
      <c r="R120">
        <f>COUNTIFS('NC Qualité'!A:A,"&gt;=01/01/2020",'NC Qualité'!A:A,"&lt;=31/01/2020",'NC Qualité'!E:E,"Bianchi",'NC Qualité'!I:I,"Seuil de porte (réservation)")</f>
        <v>0</v>
      </c>
      <c r="S120">
        <f>COUNTIFS('NC Qualité'!A:A,"&gt;=01/01/2020",'NC Qualité'!A:A,"&lt;=31/01/2020",'NC Qualité'!E:E,"Bianchi",'NC Qualité'!I:I,"épaisseur")</f>
        <v>0</v>
      </c>
      <c r="T120">
        <f>COUNTIFS('NC Qualité'!A:A,"&gt;=01/01/2020",'NC Qualité'!A:A,"&lt;=31/01/2020",'NC Qualité'!E:E,"Bianchi",'NC Qualité'!I:I,"Chanfrein")</f>
        <v>0</v>
      </c>
      <c r="U120">
        <f>COUNTIFS('NC Qualité'!A:A,"&gt;=01/01/2020",'NC Qualité'!A:A,"&lt;=31/01/2020",'NC Qualité'!E:E,"Bianchi",'NC Qualité'!I:I,"Dimensionnement (entraînant un rebut)")</f>
        <v>0</v>
      </c>
      <c r="V120">
        <f>COUNTIFS('NC Qualité'!A:A,"&gt;=01/01/2020",'NC Qualité'!A:A,"&lt;=31/01/2020",'NC Qualité'!E:E,"Bianchi",'NC Qualité'!I:I,"Cintrage")</f>
        <v>0</v>
      </c>
      <c r="W120">
        <f>COUNTIFS('NC Qualité'!A:A,"&gt;=01/01/2020",'NC Qualité'!A:A,"&lt;=31/01/2020",'NC Qualité'!E:E,"Bianchi",'NC Qualité'!I:I,"Problème de chargement (sanglage, casse etc.)")</f>
        <v>0</v>
      </c>
      <c r="X120" s="27">
        <f>COUNTIFS('NC Qualité'!A:A,"&gt;=01/01/2020",'NC Qualité'!A:A,"&lt;=31/01/2020",'NC Qualité'!E:E,"Bianchi",'NC Qualité'!I:I,"Erreur de chargement ")</f>
        <v>0</v>
      </c>
      <c r="AA120" s="31">
        <f>COUNTIFS('NC Qualité'!A:A,"&gt;=01/01/2020",'NC Qualité'!A:A,"&lt;=31/01/2020",'NC Qualité'!E:E,"Bianchi",'NC Qualité'!S:S,1)</f>
        <v>0</v>
      </c>
      <c r="AB120" s="31">
        <f>COUNTIFS('NC Qualité'!A:A,"&gt;=01/01/2020",'NC Qualité'!A:A,"&lt;=31/01/2020",'NC Qualité'!E:E,"Bianchi",'NC Qualité'!Q:Q,"A")</f>
        <v>0</v>
      </c>
    </row>
    <row r="121" spans="1:28" ht="29" x14ac:dyDescent="0.35">
      <c r="A121" s="67"/>
      <c r="B121" s="2" t="s">
        <v>3</v>
      </c>
      <c r="C121" s="21"/>
      <c r="D121">
        <f>COUNTIFS('NC Qualité'!A:A,"&gt;=01/01/2020",'NC Qualité'!A:A,"&lt;=31/01/2020",'NC Qualité'!E:E,"Préfabrication",'NC Qualité'!I:I,"Problème d'étiquetage")</f>
        <v>0</v>
      </c>
      <c r="E121" s="21"/>
      <c r="F121">
        <f>COUNTIFS('NC Qualité'!A:A,"&gt;=01/01/2020",'NC Qualité'!A:A,"&lt;=31/01/2020",'NC Qualité'!E:E,"Préfabrication",'NC Qualité'!I:I,"Aspect béton (tâches / nid d'abeilles / granuleux / Fissures etc.)")</f>
        <v>0</v>
      </c>
      <c r="G121" s="21"/>
      <c r="H121">
        <f>COUNTIFS('NC Qualité'!A:A,"&gt;=01/01/2020",'NC Qualité'!A:A,"&lt;=31/01/2020",'NC Qualité'!E:E,"Préfabrication",'NC Qualité'!I:I,"Ancre de levage")</f>
        <v>0</v>
      </c>
      <c r="I121" s="21"/>
      <c r="J121">
        <f>COUNTIFS('NC Qualité'!A:A,"&gt;=01/01/2020",'NC Qualité'!A:A,"&lt;=31/01/2020",'NC Qualité'!E:E,"Préfabrication",'NC Qualité'!I:I,"Armatures apparentes")</f>
        <v>0</v>
      </c>
      <c r="K121" s="21"/>
      <c r="L121" s="21"/>
      <c r="M121" s="21"/>
      <c r="N121" s="21"/>
      <c r="O121">
        <f>COUNTIFS('NC Qualité'!A:A,"&gt;=01/01/2020",'NC Qualité'!A:A,"&lt;=31/01/2020",'NC Qualité'!E:E,"Préfabrication",'NC Qualité'!I:I,"Autres :")</f>
        <v>0</v>
      </c>
      <c r="P121">
        <f>COUNTIFS('NC Qualité'!A:A,"&gt;=01/01/2020",'NC Qualité'!A:A,"&lt;=31/01/2020",'NC Qualité'!E:E,"Préfabrication",'NC Qualité'!I:I,"Accessoires (Mauvais positionnement , manquement, etc.)")</f>
        <v>0</v>
      </c>
      <c r="Q121">
        <f>COUNTIFS('NC Qualité'!A:A,"&gt;=01/01/2020",'NC Qualité'!A:A,"&lt;=31/01/2020",'NC Qualité'!E:E,"Préfabrication",'NC Qualité'!I:I,"équerrisage")</f>
        <v>0</v>
      </c>
      <c r="R121">
        <f>COUNTIFS('NC Qualité'!A:A,"&gt;=01/01/2020",'NC Qualité'!A:A,"&lt;=31/01/2020",'NC Qualité'!E:E,"Préfabrication",'NC Qualité'!I:I,"Seuil de porte (réservation)")</f>
        <v>0</v>
      </c>
      <c r="S121">
        <f>COUNTIFS('NC Qualité'!A:A,"&gt;=01/01/2020",'NC Qualité'!A:A,"&lt;=31/01/2020",'NC Qualité'!E:E,"Préfabrication",'NC Qualité'!I:I,"épaisseur")</f>
        <v>0</v>
      </c>
      <c r="T121">
        <f>COUNTIFS('NC Qualité'!A:A,"&gt;=01/01/2020",'NC Qualité'!A:A,"&lt;=31/01/2020",'NC Qualité'!E:E,"Préfabrication",'NC Qualité'!I:I,"Chanfrein")</f>
        <v>0</v>
      </c>
      <c r="U121">
        <f>COUNTIFS('NC Qualité'!A:A,"&gt;=01/01/2020",'NC Qualité'!A:A,"&lt;=31/01/2020",'NC Qualité'!E:E,"Préfabrication",'NC Qualité'!I:I,"Dimensionnement (entraînant un rebut)")</f>
        <v>0</v>
      </c>
      <c r="V121">
        <f>COUNTIFS('NC Qualité'!A:A,"&gt;=01/01/2020",'NC Qualité'!A:A,"&lt;=31/01/2020",'NC Qualité'!E:E,"Préfabrication",'NC Qualité'!I:I,"Cintrage")</f>
        <v>0</v>
      </c>
      <c r="W121">
        <f>COUNTIFS('NC Qualité'!A:A,"&gt;=01/01/2020",'NC Qualité'!A:A,"&lt;=31/01/2020",'NC Qualité'!E:E,"Préfabrication",'NC Qualité'!I:I,"Problème de chargement (sanglage, casse etc.)")</f>
        <v>0</v>
      </c>
      <c r="X121" s="27">
        <f>COUNTIFS('NC Qualité'!A:A,"&gt;=01/01/2020",'NC Qualité'!A:A,"&lt;=31/01/2020",'NC Qualité'!E:E,"Préfabrication",'NC Qualité'!I:I,"Erreur de chargement ")</f>
        <v>0</v>
      </c>
      <c r="AA121" s="31">
        <f>COUNTIFS('NC Qualité'!A:A,"&gt;=01/01/2020",'NC Qualité'!A:A,"&lt;=31/01/2020",'NC Qualité'!E:E,"Préfabrication",'NC Qualité'!S:S,1)</f>
        <v>0</v>
      </c>
      <c r="AB121" s="31">
        <f>COUNTIFS('NC Qualité'!A:A,"&gt;=01/01/2020",'NC Qualité'!A:A,"&lt;=31/01/2020",'NC Qualité'!E:E,"Préfabrication",'NC Qualité'!Q:Q,"A")</f>
        <v>0</v>
      </c>
    </row>
    <row r="122" spans="1:28" ht="29" x14ac:dyDescent="0.35">
      <c r="A122" s="67"/>
      <c r="B122" s="16" t="s">
        <v>2</v>
      </c>
      <c r="C122" s="21"/>
      <c r="D122">
        <f>COUNTIFS('NC Qualité'!A:A,"&gt;=01/01/2020",'NC Qualité'!A:A,"&lt;=31/01/2020",'NC Qualité'!E:E,"Précontraint",'NC Qualité'!I:I,"Problème d'étiquetage")</f>
        <v>0</v>
      </c>
      <c r="E122" s="21"/>
      <c r="F122">
        <f>COUNTIFS('NC Qualité'!A:A,"&gt;=01/01/2020",'NC Qualité'!A:A,"&lt;=31/01/2020",'NC Qualité'!E:E,"Précontraint",'NC Qualité'!I:I,"Aspect béton (tâches / nid d'abeilles / granuleux / Fissures etc.)")</f>
        <v>0</v>
      </c>
      <c r="G122" s="21"/>
      <c r="H122">
        <f>COUNTIFS('NC Qualité'!A:A,"&gt;=01/01/2020",'NC Qualité'!A:A,"&lt;=31/01/2020",'NC Qualité'!E:E,"Précontraint",'NC Qualité'!I:I,"Ancre de levage")</f>
        <v>0</v>
      </c>
      <c r="I122" s="21"/>
      <c r="J122">
        <f>COUNTIFS('NC Qualité'!A:A,"&gt;=01/01/2020",'NC Qualité'!A:A,"&lt;=31/01/2020",'NC Qualité'!E:E,"Précontraint",'NC Qualité'!I:I,"Armatures apparentes")</f>
        <v>0</v>
      </c>
      <c r="K122" s="21"/>
      <c r="L122" s="21"/>
      <c r="M122" s="21"/>
      <c r="N122" s="21"/>
      <c r="O122">
        <f>COUNTIFS('NC Qualité'!A:A,"&gt;=01/01/2020",'NC Qualité'!A:A,"&lt;=31/01/2020",'NC Qualité'!E:E,"Précontraint",'NC Qualité'!I:I,"Autres :")</f>
        <v>0</v>
      </c>
      <c r="P122">
        <f>COUNTIFS('NC Qualité'!A:A,"&gt;=01/01/2020",'NC Qualité'!A:A,"&lt;=31/01/2020",'NC Qualité'!E:E,"Précontraint",'NC Qualité'!I:I,"Accessoires (Mauvais positionnement , manquement, etc.)")</f>
        <v>0</v>
      </c>
      <c r="Q122">
        <f>COUNTIFS('NC Qualité'!A:A,"&gt;=01/01/2020",'NC Qualité'!A:A,"&lt;=31/01/2020",'NC Qualité'!E:E,"Précontraint",'NC Qualité'!I:I,"équerrisage")</f>
        <v>0</v>
      </c>
      <c r="R122">
        <f>COUNTIFS('NC Qualité'!A:A,"&gt;=01/01/2020",'NC Qualité'!A:A,"&lt;=31/01/2020",'NC Qualité'!E:E,"Précontraint",'NC Qualité'!I:I,"Seuil de porte (réservation)")</f>
        <v>0</v>
      </c>
      <c r="S122">
        <f>COUNTIFS('NC Qualité'!A:A,"&gt;=01/01/2020",'NC Qualité'!A:A,"&lt;=31/01/2020",'NC Qualité'!E:E,"Précontraint",'NC Qualité'!I:I,"épaisseur")</f>
        <v>0</v>
      </c>
      <c r="T122">
        <f>COUNTIFS('NC Qualité'!A:A,"&gt;=01/01/2020",'NC Qualité'!A:A,"&lt;=31/01/2020",'NC Qualité'!E:E,"Précontraint",'NC Qualité'!I:I,"Chanfrein")</f>
        <v>0</v>
      </c>
      <c r="U122">
        <f>COUNTIFS('NC Qualité'!A:A,"&gt;=01/01/2020",'NC Qualité'!A:A,"&lt;=31/01/2020",'NC Qualité'!E:E,"Précontraint",'NC Qualité'!I:I,"Dimensionnement (entraînant un rebut)")</f>
        <v>0</v>
      </c>
      <c r="V122">
        <f>COUNTIFS('NC Qualité'!A:A,"&gt;=01/01/2020",'NC Qualité'!A:A,"&lt;=31/01/2020",'NC Qualité'!E:E,"Précontraint",'NC Qualité'!I:I,"Cintrage")</f>
        <v>0</v>
      </c>
      <c r="W122">
        <f>COUNTIFS('NC Qualité'!A:A,"&gt;=01/01/2020",'NC Qualité'!A:A,"&lt;=31/01/2020",'NC Qualité'!E:E,"Précontraint",'NC Qualité'!I:I,"Problème de chargement (sanglage, casse etc.)")</f>
        <v>0</v>
      </c>
      <c r="X122" s="27">
        <f>COUNTIFS('NC Qualité'!A:A,"&gt;=01/01/2020",'NC Qualité'!A:A,"&lt;=31/01/2020",'NC Qualité'!E:E,"Précontraint",'NC Qualité'!I:I,"Erreur de chargement ")</f>
        <v>0</v>
      </c>
      <c r="AA122" s="31">
        <f>COUNTIFS('NC Qualité'!A:A,"&gt;=01/01/2020",'NC Qualité'!A:A,"&lt;=31/01/2020",'NC Qualité'!E:E,"Précontraint",'NC Qualité'!S:S,1)</f>
        <v>0</v>
      </c>
      <c r="AB122" s="31">
        <f>COUNTIFS('NC Qualité'!A:A,"&gt;=01/01/2020",'NC Qualité'!A:A,"&lt;=31/01/2020",'NC Qualité'!E:E,"Précontraint",'NC Qualité'!Q:Q,"A")</f>
        <v>0</v>
      </c>
    </row>
    <row r="123" spans="1:28" ht="21" x14ac:dyDescent="0.35">
      <c r="A123" s="67"/>
      <c r="B123" s="2" t="s">
        <v>1</v>
      </c>
      <c r="C123" s="22"/>
      <c r="D123" s="23">
        <f>COUNTIFS('NC Qualité'!A:A,"&gt;=01/01/2020",'NC Qualité'!A:A,"&lt;=31/01/2020",'NC Qualité'!E:E,"Parc",'NC Qualité'!I:I,"Problème d'étiquetage")</f>
        <v>0</v>
      </c>
      <c r="E123" s="24"/>
      <c r="F123" s="23">
        <f>COUNTIFS('NC Qualité'!A:A,"&gt;=01/01/2020",'NC Qualité'!A:A,"&lt;=31/01/2020",'NC Qualité'!E:E,"Parc",'NC Qualité'!I:I,"Aspect béton (tâches / nid d'abeilles / granuleux / Fissures etc.)")</f>
        <v>0</v>
      </c>
      <c r="G123" s="24"/>
      <c r="H123" s="23">
        <f>COUNTIFS('NC Qualité'!A:A,"&gt;=01/01/2020",'NC Qualité'!A:A,"&lt;=31/01/2020",'NC Qualité'!E:E,"Parc",'NC Qualité'!I:I,"Ancre de levage")</f>
        <v>0</v>
      </c>
      <c r="I123" s="24"/>
      <c r="J123" s="23">
        <f>COUNTIFS('NC Qualité'!A:A,"&gt;=01/01/2020",'NC Qualité'!A:A,"&lt;=31/01/2020",'NC Qualité'!E:E,"Parc",'NC Qualité'!I:I,"Armatures apparentes")</f>
        <v>0</v>
      </c>
      <c r="K123" s="24"/>
      <c r="L123" s="24"/>
      <c r="M123" s="24"/>
      <c r="N123" s="24"/>
      <c r="O123" s="23">
        <f>COUNTIFS('NC Qualité'!A:A,"&gt;=01/01/2020",'NC Qualité'!A:A,"&lt;=31/01/2020",'NC Qualité'!E:E,"Parc",'NC Qualité'!I:I,"Autres :")</f>
        <v>0</v>
      </c>
      <c r="P123" s="23">
        <f>COUNTIFS('NC Qualité'!A:A,"&gt;=01/01/2020",'NC Qualité'!A:A,"&lt;=31/01/2020",'NC Qualité'!E:E,"Parc",'NC Qualité'!I:I,"Accessoires (Mauvais positionnement , manquement, etc.)")</f>
        <v>0</v>
      </c>
      <c r="Q123" s="23">
        <f>COUNTIFS('NC Qualité'!A:A,"&gt;=01/01/2020",'NC Qualité'!A:A,"&lt;=31/01/2020",'NC Qualité'!E:E,"Parc",'NC Qualité'!I:I,"équerrisage")</f>
        <v>0</v>
      </c>
      <c r="R123" s="23">
        <f>COUNTIFS('NC Qualité'!A:A,"&gt;=01/01/2020",'NC Qualité'!A:A,"&lt;=31/01/2020",'NC Qualité'!E:E,"Parc",'NC Qualité'!I:I,"Seuil de porte (réservation)")</f>
        <v>0</v>
      </c>
      <c r="S123" s="23">
        <f>COUNTIFS('NC Qualité'!A:A,"&gt;=01/01/2020",'NC Qualité'!A:A,"&lt;=31/01/2020",'NC Qualité'!E:E,"Parc",'NC Qualité'!I:I,"épaisseur")</f>
        <v>0</v>
      </c>
      <c r="T123" s="23">
        <f>COUNTIFS('NC Qualité'!A:A,"&gt;=01/01/2020",'NC Qualité'!A:A,"&lt;=31/01/2020",'NC Qualité'!E:E,"Parc",'NC Qualité'!I:I,"Chanfrein")</f>
        <v>0</v>
      </c>
      <c r="U123" s="23">
        <f>COUNTIFS('NC Qualité'!A:A,"&gt;=01/01/2020",'NC Qualité'!A:A,"&lt;=31/01/2020",'NC Qualité'!E:E,"Parc",'NC Qualité'!I:I,"Dimensionnement (entraînant un rebut)")</f>
        <v>0</v>
      </c>
      <c r="V123" s="23">
        <f>COUNTIFS('NC Qualité'!A:A,"&gt;=01/01/2020",'NC Qualité'!A:A,"&lt;=31/01/2020",'NC Qualité'!E:E,"Parc",'NC Qualité'!I:I,"Cintrage")</f>
        <v>0</v>
      </c>
      <c r="W123" s="23">
        <f>COUNTIFS('NC Qualité'!A:A,"&gt;=01/01/2020",'NC Qualité'!A:A,"&lt;=31/01/2020",'NC Qualité'!E:E,"Parc",'NC Qualité'!I:I,"Problème de chargement (sanglage, casse etc.)")</f>
        <v>0</v>
      </c>
      <c r="X123" s="28">
        <f>COUNTIFS('NC Qualité'!A:A,"&gt;=01/01/2020",'NC Qualité'!A:A,"&lt;=31/01/2020",'NC Qualité'!E:E,"Parc",'NC Qualité'!I:I,"Erreur de chargement ")</f>
        <v>0</v>
      </c>
      <c r="AA123" s="31">
        <f>COUNTIFS('NC Qualité'!A:A,"&gt;=01/01/2020",'NC Qualité'!A:A,"&lt;=31/01/2020",'NC Qualité'!E:E,"Parc",'NC Qualité'!S:S,1)</f>
        <v>0</v>
      </c>
      <c r="AB123" s="31">
        <f>COUNTIFS('NC Qualité'!A:A,"&gt;=01/01/2020",'NC Qualité'!A:A,"&lt;=31/01/2020",'NC Qualité'!E:E,"Parc",'NC Qualité'!Q:Q,"A")</f>
        <v>0</v>
      </c>
    </row>
    <row r="124" spans="1:28" ht="23.5" x14ac:dyDescent="0.35">
      <c r="AA124" s="34">
        <f>SUM(AA112:AA123)</f>
        <v>0</v>
      </c>
      <c r="AB124" s="34">
        <f>SUM(AB112:AB123)</f>
        <v>0</v>
      </c>
    </row>
    <row r="125" spans="1:28" ht="15" thickBot="1" x14ac:dyDescent="0.4"/>
    <row r="126" spans="1:28" ht="15" thickBot="1" x14ac:dyDescent="0.4">
      <c r="A126" s="42"/>
      <c r="B126" s="43"/>
      <c r="C126" s="43"/>
      <c r="D126" s="43"/>
      <c r="E126" s="43"/>
      <c r="F126" s="43"/>
      <c r="G126" s="43"/>
      <c r="H126" s="43"/>
      <c r="I126" s="43"/>
      <c r="J126" s="43"/>
      <c r="K126" s="43"/>
      <c r="L126" s="43"/>
      <c r="M126" s="43"/>
      <c r="N126" s="43"/>
      <c r="O126" s="43"/>
      <c r="P126" s="43"/>
      <c r="Q126" s="43"/>
      <c r="R126" s="43"/>
      <c r="S126" s="43"/>
      <c r="T126" s="43"/>
      <c r="U126" s="43"/>
      <c r="V126" s="43"/>
      <c r="W126" s="43"/>
      <c r="X126" s="43"/>
      <c r="Y126" s="43"/>
      <c r="Z126" s="43"/>
      <c r="AA126" s="43"/>
      <c r="AB126" s="44"/>
    </row>
    <row r="128" spans="1:28" x14ac:dyDescent="0.35">
      <c r="B128" t="s">
        <v>54</v>
      </c>
    </row>
    <row r="130" spans="1:28" ht="105" x14ac:dyDescent="0.35">
      <c r="B130" s="14" t="s">
        <v>29</v>
      </c>
      <c r="C130" s="20" t="s">
        <v>25</v>
      </c>
      <c r="D130" s="20" t="s">
        <v>78</v>
      </c>
      <c r="E130" s="20" t="s">
        <v>79</v>
      </c>
      <c r="F130" s="20" t="s">
        <v>77</v>
      </c>
      <c r="G130" s="20"/>
      <c r="H130" s="20"/>
      <c r="I130" s="20"/>
      <c r="J130" s="20" t="s">
        <v>35</v>
      </c>
      <c r="K130" s="20"/>
      <c r="L130" s="20" t="s">
        <v>83</v>
      </c>
      <c r="M130" s="20"/>
      <c r="N130" s="20" t="s">
        <v>39</v>
      </c>
      <c r="O130" s="20" t="s">
        <v>40</v>
      </c>
      <c r="P130" s="20" t="s">
        <v>24</v>
      </c>
      <c r="Q130" s="20" t="s">
        <v>43</v>
      </c>
      <c r="R130" s="20" t="s">
        <v>27</v>
      </c>
      <c r="S130" s="20" t="s">
        <v>44</v>
      </c>
      <c r="T130" s="20" t="s">
        <v>5</v>
      </c>
      <c r="U130" s="20" t="s">
        <v>25</v>
      </c>
      <c r="V130" s="20" t="s">
        <v>7</v>
      </c>
      <c r="W130" s="20" t="s">
        <v>28</v>
      </c>
      <c r="X130" s="20" t="s">
        <v>45</v>
      </c>
      <c r="AA130" s="33" t="s">
        <v>47</v>
      </c>
      <c r="AB130" s="32" t="s">
        <v>46</v>
      </c>
    </row>
    <row r="131" spans="1:28" ht="21" customHeight="1" x14ac:dyDescent="0.35">
      <c r="A131" s="69" t="s">
        <v>42</v>
      </c>
      <c r="B131" s="2" t="s">
        <v>70</v>
      </c>
      <c r="C131">
        <f>COUNTIFS('NC Qualité'!A:A,"&gt;=01/02/2020",'NC Qualité'!A:A,"&lt;=28/02/2020",'NC Qualité'!E:E,"Blocs",'NC Qualité'!I:I,"Dimensionnement (entraînant un rebut)")</f>
        <v>0</v>
      </c>
      <c r="D131">
        <f>COUNTIFS('NC Qualité'!A:A,"&gt;=01/02/2020",'NC Qualité'!A:A,"&lt;=28/02/2020",'NC Qualité'!E:E,"Blocs",'NC Qualité'!I:I,"Perçage du voile de pose")</f>
        <v>0</v>
      </c>
      <c r="E131">
        <f>COUNTIFS('NC Qualité'!A:A,"&gt;=01/02/2020",'NC Qualité'!A:A,"&lt;=28/02/2020",'NC Qualité'!E:E,"Blocs",'NC Qualité'!I:I,"étanchéité")</f>
        <v>0</v>
      </c>
      <c r="F131">
        <f>COUNTIFS('NC Qualité'!A:A,"&gt;=01/02/2020",'NC Qualité'!A:A,"&lt;=28/02/2020",'NC Qualité'!E:E,"Blocs",'NC Qualité'!I:I,"Aspect béton (Fissures, etc.)")</f>
        <v>0</v>
      </c>
      <c r="J131">
        <f>COUNTIFS('NC Qualité'!A:A,"&gt;=01/02/2020",'NC Qualité'!A:A,"&lt;=28/02/2020",'NC Qualité'!E:E,"Blocs",'NC Qualité'!I:I,"Armatures apparentes")</f>
        <v>0</v>
      </c>
      <c r="L131">
        <f>COUNTIFS('NC Qualité'!A:A,"&gt;=01/02/2020",'NC Qualité'!A:A,"&lt;=28/02/2020",'NC Qualité'!E:E,"Blocs",'NC Qualité'!I:I,"Délais de livraison")</f>
        <v>0</v>
      </c>
      <c r="N131">
        <f>COUNTIFS('NC Qualité'!A:A,"&gt;=01/02/2020",'NC Qualité'!A:A,"&lt;=28/02/2021",'NC Qualité'!E:E,"Blocs",'NC Qualité'!I:I,"Casse de l'élément")</f>
        <v>1</v>
      </c>
      <c r="O131">
        <f>COUNTIFS('NC Qualité'!A:A,"&gt;=01/02/2020",'NC Qualité'!A:A,"&lt;=28/02/2020",'NC Qualité'!E:E,"Blocs",'NC Qualité'!I:I,"Autres :")</f>
        <v>0</v>
      </c>
      <c r="P131" s="21"/>
      <c r="Q131" s="21"/>
      <c r="R131" s="21"/>
      <c r="S131" s="21"/>
      <c r="T131" s="21"/>
      <c r="U131" s="21"/>
      <c r="V131" s="21"/>
      <c r="W131" s="21"/>
      <c r="X131" s="25"/>
      <c r="AA131" s="31">
        <f>COUNTIFS('NC Qualité'!A:A,"&gt;=01/02/2020",'NC Qualité'!A:A,"&lt;=29/02/2020",'NC Qualité'!E:E,"Blocs",'NC Qualité'!S:S,1)</f>
        <v>0</v>
      </c>
      <c r="AB131" s="31">
        <f>COUNTIFS('NC Qualité'!A:A,"&gt;=01/02/2020",'NC Qualité'!A:A,"&lt;=29/02/2020",'NC Qualité'!E:E,"Blocs",'NC Qualité'!Q:Q,"A")</f>
        <v>0</v>
      </c>
    </row>
    <row r="132" spans="1:28" ht="21" x14ac:dyDescent="0.35">
      <c r="A132" s="70"/>
      <c r="B132" s="2" t="s">
        <v>71</v>
      </c>
      <c r="C132">
        <f>COUNTIFS('NC Qualité'!A:A,"&gt;=01/02/2020",'NC Qualité'!A:A,"&lt;=28/02/2020",'NC Qualité'!E:E,"Poutrelles",'NC Qualité'!I:I,"Dimensionnement (entraînant un rebut)")</f>
        <v>0</v>
      </c>
      <c r="D132">
        <f>COUNTIFS('NC Qualité'!A:A,"&gt;=01/02/2020",'NC Qualité'!A:A,"&lt;=28/02/2020",'NC Qualité'!E:E,"Poutrelles",'NC Qualité'!I:I,"Perçage du voile de pose")</f>
        <v>0</v>
      </c>
      <c r="E132">
        <f>COUNTIFS('NC Qualité'!A:A,"&gt;=01/02/2020",'NC Qualité'!A:A,"&lt;=28/02/2020",'NC Qualité'!E:E,"Poutrelles",'NC Qualité'!I:I,"Palettisation")</f>
        <v>0</v>
      </c>
      <c r="F132">
        <f>COUNTIFS('NC Qualité'!A:A,"&gt;=01/02/2020",'NC Qualité'!A:A,"&lt;=28/02/2020",'NC Qualité'!E:E,"Poutrelles",'NC Qualité'!I:I,"Aspect béton (Fissures, etc.)")</f>
        <v>0</v>
      </c>
      <c r="J132">
        <f>COUNTIFS('NC Qualité'!A:A,"&gt;=01/02/2020",'NC Qualité'!A:A,"&lt;=28/02/2020",'NC Qualité'!E:E,"Poutrelles",'NC Qualité'!I:I,"Armatures apparentes")</f>
        <v>0</v>
      </c>
      <c r="L132">
        <f>COUNTIFS('NC Qualité'!A:A,"&gt;=01/02/2020",'NC Qualité'!A:A,"&lt;=28/02/2020",'NC Qualité'!E:E,"Poutrelles",'NC Qualité'!I:I,"Délais de livraison")</f>
        <v>0</v>
      </c>
      <c r="N132">
        <f>COUNTIFS('NC Qualité'!A:A,"&gt;=01/02/2020",'NC Qualité'!A:A,"&lt;=28/02/2020",'NC Qualité'!E:E,"Poutrelles",'NC Qualité'!I:I,"Casse de l'élément")</f>
        <v>0</v>
      </c>
      <c r="O132">
        <f>COUNTIFS('NC Qualité'!A:A,"&gt;=01/02/2020",'NC Qualité'!A:A,"&lt;=28/02/2020",'NC Qualité'!E:E,"Poutrelles",'NC Qualité'!I:I,"Autres :")</f>
        <v>0</v>
      </c>
      <c r="P132" s="21"/>
      <c r="Q132" s="21"/>
      <c r="R132" s="21"/>
      <c r="S132" s="21"/>
      <c r="T132" s="21"/>
      <c r="U132" s="21"/>
      <c r="V132" s="21"/>
      <c r="W132" s="21"/>
      <c r="X132" s="26"/>
      <c r="AA132" s="31">
        <f>COUNTIFS('NC Qualité'!A:A,"&gt;=01/02/2020",'NC Qualité'!A:A,"&lt;=29/02/2020",'NC Qualité'!E:E,"Poutrelles",'NC Qualité'!S:S,1)</f>
        <v>0</v>
      </c>
      <c r="AB132" s="31">
        <f>COUNTIFS('NC Qualité'!A:A,"&gt;=01/02/2020",'NC Qualité'!A:A,"&lt;=29/02/2020",'NC Qualité'!E:E,"Poutrelles",'NC Qualité'!Q:Q,"A")</f>
        <v>0</v>
      </c>
    </row>
    <row r="133" spans="1:28" ht="21" x14ac:dyDescent="0.35">
      <c r="A133" s="70"/>
      <c r="B133" s="2" t="s">
        <v>72</v>
      </c>
      <c r="C133">
        <f>COUNTIFS('NC Qualité'!A:A,"&gt;=01/02/2020",'NC Qualité'!A:A,"&lt;=28/02/2020",'NC Qualité'!E:E,"Hourdis",'NC Qualité'!I:I,"Dimensionnement (entraînant un rebut)")</f>
        <v>0</v>
      </c>
      <c r="D133">
        <f>COUNTIFS('NC Qualité'!A:A,"&gt;=01/02/2020",'NC Qualité'!A:A,"&lt;=28/02/2020",'NC Qualité'!E:E,"Hourdis",'NC Qualité'!I:I,"Problème d'étiquetage")</f>
        <v>0</v>
      </c>
      <c r="E133">
        <f>COUNTIFS('NC Qualité'!A:A,"&gt;=01/02/2020",'NC Qualité'!A:A,"&lt;=28/02/2020",'NC Qualité'!E:E,"Hourdis",'NC Qualité'!I:I,"Palettisation")</f>
        <v>0</v>
      </c>
      <c r="F133">
        <f>COUNTIFS('NC Qualité'!A:A,"&gt;=01/02/2020",'NC Qualité'!A:A,"&lt;=28/02/2020",'NC Qualité'!E:E,"Hourdis",'NC Qualité'!I:I,"Aspect béton (Fissures, etc.)")</f>
        <v>0</v>
      </c>
      <c r="J133">
        <f>COUNTIFS('NC Qualité'!A:A,"&gt;=01/02/2020",'NC Qualité'!A:A,"&lt;=28/02/2020",'NC Qualité'!E:E,"Hourdis",'NC Qualité'!I:I,"Armatures apparentes")</f>
        <v>0</v>
      </c>
      <c r="L133">
        <f>COUNTIFS('NC Qualité'!A:A,"&gt;=01/02/2020",'NC Qualité'!A:A,"&lt;=28/02/2020",'NC Qualité'!E:E,"Hourdis",'NC Qualité'!I:I,"Délais de livraison")</f>
        <v>0</v>
      </c>
      <c r="N133">
        <f>COUNTIFS('NC Qualité'!A:A,"&gt;=01/02/2020",'NC Qualité'!A:A,"&lt;=28/02/2020",'NC Qualité'!E:E,"Hourdis",'NC Qualité'!I:I,"Casse de l'élément")</f>
        <v>0</v>
      </c>
      <c r="O133">
        <f>COUNTIFS('NC Qualité'!A:A,"&gt;=01/02/2020",'NC Qualité'!A:A,"&lt;=28/02/2020",'NC Qualité'!E:E,"Hourdis",'NC Qualité'!I:I,"Autres :")</f>
        <v>0</v>
      </c>
      <c r="P133" s="21"/>
      <c r="Q133" s="21"/>
      <c r="R133" s="21"/>
      <c r="S133" s="21"/>
      <c r="T133" s="21"/>
      <c r="U133" s="21"/>
      <c r="V133" s="21"/>
      <c r="W133" s="21"/>
      <c r="X133" s="26"/>
      <c r="AA133" s="31">
        <f>COUNTIFS('NC Qualité'!A:A,"&gt;=01/02/2020",'NC Qualité'!A:A,"&lt;=29/02/2020",'NC Qualité'!E:E,"Hourdis",'NC Qualité'!S:S,1)</f>
        <v>0</v>
      </c>
      <c r="AB133" s="31">
        <f>COUNTIFS('NC Qualité'!A:A,"&gt;=01/02/2020",'NC Qualité'!A:A,"&lt;=29/02/2020",'NC Qualité'!E:E,"Hourdis",'NC Qualité'!Q:Q,"A")</f>
        <v>0</v>
      </c>
    </row>
    <row r="134" spans="1:28" ht="29" x14ac:dyDescent="0.35">
      <c r="A134" s="70"/>
      <c r="B134" s="56" t="s">
        <v>98</v>
      </c>
      <c r="C134">
        <f>COUNTIFS('NC Qualité'!A:A,"&gt;=01/02/2020",'NC Qualité'!A:A,"&lt;=28/02/2020",'NC Qualité'!E:E,"Blocs à bancher",'NC Qualité'!I:I,"Dimensionnement (entraînant un rebut)")</f>
        <v>0</v>
      </c>
      <c r="D134">
        <f>COUNTIFS('NC Qualité'!A:A,"&gt;=01/02/2020",'NC Qualité'!A:A,"&lt;=28/02/2020",'NC Qualité'!E:E,"Blocs à bancher",'NC Qualité'!I:I,"Problème d'étiquetage")</f>
        <v>0</v>
      </c>
      <c r="E134">
        <f>COUNTIFS('NC Qualité'!A:A,"&gt;=01/02/2020",'NC Qualité'!A:A,"&lt;=28/02/2020",'NC Qualité'!E:E,"Blocs à bancher",'NC Qualité'!I:I,"Palettisation")</f>
        <v>0</v>
      </c>
      <c r="F134">
        <f>COUNTIFS('NC Qualité'!A:A,"&gt;=01/02/2020",'NC Qualité'!A:A,"&lt;=28/02/2020",'NC Qualité'!E:E,"Blocs à bancher",'NC Qualité'!I:I,"Aspect béton (Fissures, etc.)")</f>
        <v>0</v>
      </c>
      <c r="J134">
        <f>COUNTIFS('NC Qualité'!A:A,"&gt;=01/02/2020",'NC Qualité'!A:A,"&lt;=28/02/2020",'NC Qualité'!E:E,"Blocs à bancher",'NC Qualité'!I:I,"Armatures apparentes")</f>
        <v>0</v>
      </c>
      <c r="L134">
        <f>COUNTIFS('NC Qualité'!A:A,"&gt;=01/02/2020",'NC Qualité'!A:A,"&lt;=28/02/2020",'NC Qualité'!E:E,"Blocs à bancher",'NC Qualité'!I:I,"Délais de livraison")</f>
        <v>0</v>
      </c>
      <c r="N134">
        <f>COUNTIFS('NC Qualité'!A:A,"&gt;=01/02/2020",'NC Qualité'!A:A,"&lt;=28/02/2020",'NC Qualité'!E:E,"Blocs à bancher",'NC Qualité'!I:I,"Casse de l'élément")</f>
        <v>0</v>
      </c>
      <c r="O134">
        <f>COUNTIFS('NC Qualité'!A:A,"&gt;=01/02/2020",'NC Qualité'!A:A,"&lt;=28/02/2020",'NC Qualité'!E:E,"Blocs à bancher",'NC Qualité'!I:I,"Autres :")</f>
        <v>0</v>
      </c>
      <c r="P134" s="21"/>
      <c r="Q134" s="21"/>
      <c r="R134" s="21"/>
      <c r="S134" s="21"/>
      <c r="T134" s="21"/>
      <c r="U134" s="21"/>
      <c r="V134" s="21"/>
      <c r="W134" s="21"/>
      <c r="X134" s="26"/>
      <c r="AA134" s="31">
        <f>COUNTIFS('NC Qualité'!A:A,"&gt;=01/02/2020",'NC Qualité'!A:A,"&lt;=29/02/2020",'NC Qualité'!E:E,"Bordures",'NC Qualité'!S:S,1)</f>
        <v>0</v>
      </c>
      <c r="AB134" s="31">
        <f>COUNTIFS('NC Qualité'!A:A,"&gt;=01/02/2020",'NC Qualité'!A:A,"&lt;=29/02/2020",'NC Qualité'!E:E,"Bordures",'NC Qualité'!Q:Q,"A")</f>
        <v>0</v>
      </c>
    </row>
    <row r="135" spans="1:28" ht="21" x14ac:dyDescent="0.35">
      <c r="A135" s="70"/>
      <c r="B135" s="2"/>
      <c r="P135" s="21"/>
      <c r="Q135" s="21"/>
      <c r="R135" s="21"/>
      <c r="S135" s="21"/>
      <c r="T135" s="21"/>
      <c r="U135" s="21"/>
      <c r="V135" s="21"/>
      <c r="W135" s="21"/>
      <c r="X135" s="26"/>
      <c r="AA135" s="31">
        <f>COUNTIFS('NC Qualité'!A:A,"&gt;=01/02/2020",'NC Qualité'!A:A,"&lt;=29/02/2020",'NC Qualité'!E:E,"Caniveaux",'NC Qualité'!S:S,1)</f>
        <v>0</v>
      </c>
      <c r="AB135" s="31">
        <f>COUNTIFS('NC Qualité'!A:A,"&gt;=01/02/2020",'NC Qualité'!A:A,"&lt;=29/02/2020",'NC Qualité'!E:E,"Caniveaux",'NC Qualité'!Q:Q,"A")</f>
        <v>0</v>
      </c>
    </row>
    <row r="136" spans="1:28" ht="21" x14ac:dyDescent="0.35">
      <c r="A136" s="70"/>
      <c r="B136" s="15"/>
      <c r="P136" s="21"/>
      <c r="Q136" s="21"/>
      <c r="R136" s="21"/>
      <c r="S136" s="21"/>
      <c r="T136" s="21"/>
      <c r="U136" s="21"/>
      <c r="V136" s="21"/>
      <c r="W136" s="21"/>
      <c r="X136" s="26"/>
      <c r="AA136" s="31">
        <f>COUNTIFS('NC Qualité'!A:A,"&gt;=01/02/2020",'NC Qualité'!A:A,"&lt;=29/02/2020",'NC Qualité'!E:E,"Fielding : Bordures et Caniveaux",'NC Qualité'!S:S,1)</f>
        <v>0</v>
      </c>
      <c r="AB136" s="31">
        <f>COUNTIFS('NC Qualité'!A:A,"&gt;=01/02/2020",'NC Qualité'!A:A,"&lt;=29/02/2020",'NC Qualité'!E:E,"Fielding : Bordures et Caniveaux",'NC Qualité'!Q:Q,"A")</f>
        <v>0</v>
      </c>
    </row>
    <row r="137" spans="1:28" ht="21" x14ac:dyDescent="0.35">
      <c r="A137" s="71"/>
      <c r="B137" s="2"/>
      <c r="P137" s="21"/>
      <c r="Q137" s="21"/>
      <c r="R137" s="21"/>
      <c r="S137" s="21"/>
      <c r="T137" s="21"/>
      <c r="U137" s="21"/>
      <c r="V137" s="21"/>
      <c r="W137" s="21"/>
      <c r="X137" s="26"/>
      <c r="AA137" s="31">
        <f>COUNTIFS('NC Qualité'!A:A,"&gt;=01/02/2020",'NC Qualité'!A:A,"&lt;=29/02/2020",'NC Qualité'!E:E,"Modul : Tuyaux Dn 1800 à 2630",'NC Qualité'!S:S,1)</f>
        <v>0</v>
      </c>
      <c r="AB137" s="31">
        <f>COUNTIFS('NC Qualité'!A:A,"&gt;=01/02/2020",'NC Qualité'!A:A,"&lt;=29/02/2020",'NC Qualité'!E:E,"Modul : Tuyaux Dn 1800 à 2630",'NC Qualité'!Q:Q,"A")</f>
        <v>0</v>
      </c>
    </row>
    <row r="138" spans="1:28" ht="29" x14ac:dyDescent="0.35">
      <c r="A138" s="67" t="s">
        <v>41</v>
      </c>
      <c r="B138" s="2" t="s">
        <v>6</v>
      </c>
      <c r="C138" s="21"/>
      <c r="D138">
        <f>COUNTIFS('NC Qualité'!A:A,"&gt;=01/02/2020",'NC Qualité'!A:A,"&lt;=29/02/2020",'NC Qualité'!E:E,"Panneau coulé à plat",'NC Qualité'!I:I,"Problème d'étiquetage")</f>
        <v>0</v>
      </c>
      <c r="E138" s="21"/>
      <c r="F138">
        <f>COUNTIFS('NC Qualité'!A:A,"&gt;=01/02/2020",'NC Qualité'!A:A,"&lt;=29/02/2020",'NC Qualité'!E:E,"Panneau coulé à plat",'NC Qualité'!I:I,"Aspect béton (tâches / nid d'abeilles / granuleux / Fissures etc.)")</f>
        <v>0</v>
      </c>
      <c r="G138" s="21"/>
      <c r="H138">
        <f>COUNTIFS('NC Qualité'!A:A,"&gt;=01/02/2020",'NC Qualité'!A:A,"&lt;=29/02/2020",'NC Qualité'!E:E,"Panneau coulé à plat",'NC Qualité'!I:I,"Ancre de levage")</f>
        <v>0</v>
      </c>
      <c r="I138" s="21"/>
      <c r="J138">
        <f>COUNTIFS('NC Qualité'!A:A,"&gt;=01/02/2020",'NC Qualité'!A:A,"&lt;=29/02/2020",'NC Qualité'!E:E,"Modul : Tuyaux Dn 1800 à 2630",'NC Qualité'!I:I,"Armatures apparentes")</f>
        <v>0</v>
      </c>
      <c r="K138" s="21"/>
      <c r="L138" s="21"/>
      <c r="M138" s="21"/>
      <c r="N138" s="21"/>
      <c r="O138">
        <f>COUNTIFS('NC Qualité'!A:A,"&gt;=01/02/2020",'NC Qualité'!A:A,"&lt;=29/02/2020",'NC Qualité'!E:E,"Panneau coulé à plat",'NC Qualité'!I:I,"Autres :")</f>
        <v>0</v>
      </c>
      <c r="P138">
        <f>COUNTIFS('NC Qualité'!A:A,"&gt;=01/02/2020",'NC Qualité'!A:A,"&lt;=29/02/2020",'NC Qualité'!E:E,"Panneau coulé à plat",'NC Qualité'!I:I,"Accessoires (Mauvais positionnement , manquement, etc.)")</f>
        <v>0</v>
      </c>
      <c r="Q138">
        <f>COUNTIFS('NC Qualité'!A:A,"&gt;=01/02/2020",'NC Qualité'!A:A,"&lt;=29/02/2020",'NC Qualité'!E:E,"Panneau coulé à plat",'NC Qualité'!I:I,"équerrisage")</f>
        <v>0</v>
      </c>
      <c r="R138">
        <f>COUNTIFS('NC Qualité'!A:A,"&gt;=01/02/2020",'NC Qualité'!A:A,"&lt;=29/02/2020",'NC Qualité'!E:E,"Panneau coulé à plat",'NC Qualité'!I:I,"Seuil de porte (réservation)")</f>
        <v>0</v>
      </c>
      <c r="S138">
        <f>COUNTIFS('NC Qualité'!A:A,"&gt;=01/02/2020",'NC Qualité'!A:A,"&lt;=29/02/2020",'NC Qualité'!E:E,"Panneau coulé à plat",'NC Qualité'!I:I,"épaisseur")</f>
        <v>0</v>
      </c>
      <c r="T138">
        <f>COUNTIFS('NC Qualité'!A:A,"&gt;=01/02/2020",'NC Qualité'!A:A,"&lt;=29/02/2020",'NC Qualité'!E:E,"Panneau coulé à plat",'NC Qualité'!I:I,"Chanfrein")</f>
        <v>0</v>
      </c>
      <c r="U138">
        <f>COUNTIFS('NC Qualité'!A:A,"&gt;=01/02/2020",'NC Qualité'!A:A,"&lt;=29/02/2020",'NC Qualité'!E:E,"Panneau coulé à plat",'NC Qualité'!I:I,"Dimensionnement (entraînant un rebut)")</f>
        <v>0</v>
      </c>
      <c r="V138">
        <f>COUNTIFS('NC Qualité'!A:A,"&gt;=01/02/2020",'NC Qualité'!A:A,"&lt;=29/02/2020",'NC Qualité'!E:E,"Panneau coulé à plat",'NC Qualité'!I:I,"Cintrage")</f>
        <v>0</v>
      </c>
      <c r="W138">
        <f>COUNTIFS('NC Qualité'!A:A,"&gt;=01/02/2020",'NC Qualité'!A:A,"&lt;=29/02/2020",'NC Qualité'!E:E,"Panneau coulé à plat",'NC Qualité'!I:I,"Problème de chargement (sanglage, casse etc.)")</f>
        <v>0</v>
      </c>
      <c r="X138" s="27">
        <f>COUNTIFS('NC Qualité'!A:A,"&gt;=01/02/2020",'NC Qualité'!A:A,"&lt;=29/02/2020",'NC Qualité'!E:E,"Panneau coulé à plat",'NC Qualité'!I:I,"Erreur de chargement ")</f>
        <v>0</v>
      </c>
      <c r="AA138" s="31">
        <f>COUNTIFS('NC Qualité'!A:A,"&gt;=01/02/2020",'NC Qualité'!A:A,"&lt;=29/02/2020",'NC Qualité'!E:E,"Panneau coulé à plat",'NC Qualité'!S:S,1)</f>
        <v>0</v>
      </c>
      <c r="AB138" s="31">
        <f>COUNTIFS('NC Qualité'!A:A,"&gt;=01/02/2020",'NC Qualité'!A:A,"&lt;=29/02/2020",'NC Qualité'!E:E,"Panneau coulé à plat",'NC Qualité'!Q:Q,"A")</f>
        <v>0</v>
      </c>
    </row>
    <row r="139" spans="1:28" ht="21" x14ac:dyDescent="0.35">
      <c r="A139" s="67"/>
      <c r="B139" s="2" t="s">
        <v>0</v>
      </c>
      <c r="C139" s="21"/>
      <c r="D139">
        <f>COUNTIFS('NC Qualité'!A:A,"&gt;=01/02/2020",'NC Qualité'!A:A,"&lt;=29/02/2020",'NC Qualité'!E:E,"Bianchi",'NC Qualité'!I:I,"Problème d'étiquetage")</f>
        <v>0</v>
      </c>
      <c r="E139" s="21"/>
      <c r="F139">
        <f>COUNTIFS('NC Qualité'!A:A,"&gt;=01/02/2020",'NC Qualité'!A:A,"&lt;=29/02/2020",'NC Qualité'!E:E,"Bianchi",'NC Qualité'!I:I,"Aspect béton (tâches / nid d'abeilles / granuleux / Fissures etc.)")</f>
        <v>0</v>
      </c>
      <c r="G139" s="21"/>
      <c r="H139">
        <f>COUNTIFS('NC Qualité'!A:A,"&gt;=01/02/2020",'NC Qualité'!A:A,"&lt;=29/02/2020",'NC Qualité'!E:E,"Bianchi",'NC Qualité'!I:I,"Ancre de levage")</f>
        <v>0</v>
      </c>
      <c r="I139" s="21"/>
      <c r="J139">
        <f>COUNTIFS('NC Qualité'!A:A,"&gt;=01/02/2020",'NC Qualité'!A:A,"&lt;=29/02/2020",'NC Qualité'!E:E,"Bianchi",'NC Qualité'!I:I,"Armatures apparentes")</f>
        <v>0</v>
      </c>
      <c r="K139" s="21"/>
      <c r="L139" s="21"/>
      <c r="M139" s="21"/>
      <c r="N139" s="21"/>
      <c r="O139">
        <f>COUNTIFS('NC Qualité'!A:A,"&gt;=01/02/2020",'NC Qualité'!A:A,"&lt;=29/02/2020",'NC Qualité'!E:E,"Bianchi",'NC Qualité'!I:I,"Autres :")</f>
        <v>0</v>
      </c>
      <c r="P139">
        <f>COUNTIFS('NC Qualité'!A:A,"&gt;=01/02/2020",'NC Qualité'!A:A,"&lt;=29/02/2020",'NC Qualité'!E:E,"Bianchi",'NC Qualité'!I:I,"Accessoires (Mauvais positionnement , manquement, etc.)")</f>
        <v>0</v>
      </c>
      <c r="Q139">
        <f>COUNTIFS('NC Qualité'!A:A,"&gt;=01/02/2020",'NC Qualité'!A:A,"&lt;=29/02/2020",'NC Qualité'!E:E,"Bianchi",'NC Qualité'!I:I,"équerrisage")</f>
        <v>0</v>
      </c>
      <c r="R139">
        <f>COUNTIFS('NC Qualité'!A:A,"&gt;=01/02/2020",'NC Qualité'!A:A,"&lt;=29/02/2020",'NC Qualité'!E:E,"Bianchi",'NC Qualité'!I:I,"Seuil de porte (réservation)")</f>
        <v>0</v>
      </c>
      <c r="S139">
        <f>COUNTIFS('NC Qualité'!A:A,"&gt;=01/02/2020",'NC Qualité'!A:A,"&lt;=29/02/2020",'NC Qualité'!E:E,"Bianchi",'NC Qualité'!I:I,"épaisseur")</f>
        <v>0</v>
      </c>
      <c r="T139">
        <f>COUNTIFS('NC Qualité'!A:A,"&gt;=01/02/2020",'NC Qualité'!A:A,"&lt;=29/02/2020",'NC Qualité'!E:E,"Bianchi",'NC Qualité'!I:I,"Chanfrein")</f>
        <v>0</v>
      </c>
      <c r="U139">
        <f>COUNTIFS('NC Qualité'!A:A,"&gt;=01/02/2020",'NC Qualité'!A:A,"&lt;=29/02/2020",'NC Qualité'!E:E,"Bianchi",'NC Qualité'!I:I,"Dimensionnement (entraînant un rebut)")</f>
        <v>0</v>
      </c>
      <c r="V139">
        <f>COUNTIFS('NC Qualité'!A:A,"&gt;=01/02/2020",'NC Qualité'!A:A,"&lt;=29/02/2020",'NC Qualité'!E:E,"Bianchi",'NC Qualité'!I:I,"Cintrage")</f>
        <v>0</v>
      </c>
      <c r="W139">
        <f>COUNTIFS('NC Qualité'!A:A,"&gt;=01/02/2020",'NC Qualité'!A:A,"&lt;=29/02/2020",'NC Qualité'!E:E,"Bianchi",'NC Qualité'!I:I,"Problème de chargement (sanglage, casse etc.)")</f>
        <v>0</v>
      </c>
      <c r="X139" s="27">
        <f>COUNTIFS('NC Qualité'!A:A,"&gt;=01/02/2020",'NC Qualité'!A:A,"&lt;=29/02/2020",'NC Qualité'!E:E,"Bianchi",'NC Qualité'!I:I,"Erreur de chargement ")</f>
        <v>0</v>
      </c>
      <c r="AA139" s="31">
        <f>COUNTIFS('NC Qualité'!A:A,"&gt;=01/02/2020",'NC Qualité'!A:A,"&lt;=29/02/2020",'NC Qualité'!E:E,"Bianchi",'NC Qualité'!S:S,1)</f>
        <v>0</v>
      </c>
      <c r="AB139" s="31">
        <f>COUNTIFS('NC Qualité'!A:A,"&gt;=01/02/2020",'NC Qualité'!A:A,"&lt;=29/02/2020",'NC Qualité'!E:E,"Bianchi",'NC Qualité'!Q:Q,"A")</f>
        <v>0</v>
      </c>
    </row>
    <row r="140" spans="1:28" ht="29" x14ac:dyDescent="0.35">
      <c r="A140" s="67"/>
      <c r="B140" s="2" t="s">
        <v>3</v>
      </c>
      <c r="C140" s="21"/>
      <c r="D140">
        <f>COUNTIFS('NC Qualité'!A:A,"&gt;=01/02/2020",'NC Qualité'!A:A,"&lt;=29/02/2020",'NC Qualité'!E:E,"Préfabrication",'NC Qualité'!I:I,"Problème d'étiquetage")</f>
        <v>0</v>
      </c>
      <c r="E140" s="21"/>
      <c r="F140">
        <f>COUNTIFS('NC Qualité'!A:A,"&gt;=01/02/2020",'NC Qualité'!A:A,"&lt;=29/02/2020",'NC Qualité'!E:E,"Préfabrication",'NC Qualité'!I:I,"Aspect béton (tâches / nid d'abeilles / granuleux / Fissures etc.)")</f>
        <v>0</v>
      </c>
      <c r="G140" s="21"/>
      <c r="H140">
        <f>COUNTIFS('NC Qualité'!A:A,"&gt;=01/02/2020",'NC Qualité'!A:A,"&lt;=29/02/2020",'NC Qualité'!E:E,"Préfabrication",'NC Qualité'!I:I,"Ancre de levage")</f>
        <v>0</v>
      </c>
      <c r="I140" s="21"/>
      <c r="J140">
        <f>COUNTIFS('NC Qualité'!A:A,"&gt;=01/02/2020",'NC Qualité'!A:A,"&lt;=29/02/2020",'NC Qualité'!E:E,"Préfabrication",'NC Qualité'!I:I,"Armatures apparentes")</f>
        <v>0</v>
      </c>
      <c r="K140" s="21"/>
      <c r="L140" s="21"/>
      <c r="M140" s="21"/>
      <c r="N140" s="21"/>
      <c r="O140">
        <f>COUNTIFS('NC Qualité'!A:A,"&gt;=01/02/2020",'NC Qualité'!A:A,"&lt;=29/02/2020",'NC Qualité'!E:E,"Préfabrication",'NC Qualité'!I:I,"Autres :")</f>
        <v>0</v>
      </c>
      <c r="P140">
        <f>COUNTIFS('NC Qualité'!A:A,"&gt;=01/02/2020",'NC Qualité'!A:A,"&lt;=29/02/2020",'NC Qualité'!E:E,"Préfabrication",'NC Qualité'!I:I,"Accessoires (Mauvais positionnement , manquement, etc.)")</f>
        <v>0</v>
      </c>
      <c r="Q140">
        <f>COUNTIFS('NC Qualité'!A:A,"&gt;=01/02/2020",'NC Qualité'!A:A,"&lt;=29/02/2020",'NC Qualité'!E:E,"Préfabrication",'NC Qualité'!I:I,"équerrisage")</f>
        <v>0</v>
      </c>
      <c r="R140">
        <f>COUNTIFS('NC Qualité'!A:A,"&gt;=01/02/2020",'NC Qualité'!A:A,"&lt;=29/02/2020",'NC Qualité'!E:E,"Préfabrication",'NC Qualité'!I:I,"Seuil de porte (réservation)")</f>
        <v>0</v>
      </c>
      <c r="S140">
        <f>COUNTIFS('NC Qualité'!A:A,"&gt;=01/02/2020",'NC Qualité'!A:A,"&lt;=29/02/2020",'NC Qualité'!E:E,"Préfabrication",'NC Qualité'!I:I,"épaisseur")</f>
        <v>0</v>
      </c>
      <c r="T140">
        <f>COUNTIFS('NC Qualité'!A:A,"&gt;=01/02/2020",'NC Qualité'!A:A,"&lt;=29/02/2020",'NC Qualité'!E:E,"Préfabrication",'NC Qualité'!I:I,"Chanfrein")</f>
        <v>0</v>
      </c>
      <c r="U140">
        <f>COUNTIFS('NC Qualité'!A:A,"&gt;=01/02/2020",'NC Qualité'!A:A,"&lt;=29/02/2020",'NC Qualité'!E:E,"Préfabrication",'NC Qualité'!I:I,"Dimensionnement (entraînant un rebut)")</f>
        <v>0</v>
      </c>
      <c r="V140">
        <f>COUNTIFS('NC Qualité'!A:A,"&gt;=01/02/2020",'NC Qualité'!A:A,"&lt;=29/02/2020",'NC Qualité'!E:E,"Préfabrication",'NC Qualité'!I:I,"Cintrage")</f>
        <v>0</v>
      </c>
      <c r="W140">
        <f>COUNTIFS('NC Qualité'!A:A,"&gt;=01/02/2020",'NC Qualité'!A:A,"&lt;=29/02/2020",'NC Qualité'!E:E,"Préfabrication",'NC Qualité'!I:I,"Problème de chargement (sanglage, casse etc.)")</f>
        <v>0</v>
      </c>
      <c r="X140" s="27">
        <f>COUNTIFS('NC Qualité'!A:A,"&gt;=01/02/2020",'NC Qualité'!A:A,"&lt;=29/02/2020",'NC Qualité'!E:E,"Préfabrication",'NC Qualité'!I:I,"Erreur de chargement ")</f>
        <v>0</v>
      </c>
      <c r="AA140" s="31">
        <f>COUNTIFS('NC Qualité'!A:A,"&gt;=01/02/2020",'NC Qualité'!A:A,"&lt;=29/02/2020",'NC Qualité'!E:E,"Préfabrication",'NC Qualité'!S:S,1)</f>
        <v>0</v>
      </c>
      <c r="AB140" s="31">
        <f>COUNTIFS('NC Qualité'!A:A,"&gt;=01/02/2020",'NC Qualité'!A:A,"&lt;=29/02/2020",'NC Qualité'!E:E,"Préfabrication",'NC Qualité'!Q:Q,"A")</f>
        <v>0</v>
      </c>
    </row>
    <row r="141" spans="1:28" ht="29" x14ac:dyDescent="0.35">
      <c r="A141" s="67"/>
      <c r="B141" s="16" t="s">
        <v>2</v>
      </c>
      <c r="C141" s="21"/>
      <c r="D141">
        <f>COUNTIFS('NC Qualité'!A:A,"&gt;=01/02/2020",'NC Qualité'!A:A,"&lt;=29/02/2020",'NC Qualité'!E:E,"Précontraint",'NC Qualité'!I:I,"Problème d'étiquetage")</f>
        <v>0</v>
      </c>
      <c r="E141" s="21"/>
      <c r="F141">
        <f>COUNTIFS('NC Qualité'!A:A,"&gt;=01/02/2020",'NC Qualité'!A:A,"&lt;=29/02/2020",'NC Qualité'!E:E,"Précontraint",'NC Qualité'!I:I,"Aspect béton (tâches / nid d'abeilles / granuleux / Fissures etc.)")</f>
        <v>0</v>
      </c>
      <c r="G141" s="21"/>
      <c r="H141">
        <f>COUNTIFS('NC Qualité'!A:A,"&gt;=01/02/2020",'NC Qualité'!A:A,"&lt;=29/02/2020",'NC Qualité'!E:E,"Précontraint",'NC Qualité'!I:I,"Ancre de levage")</f>
        <v>0</v>
      </c>
      <c r="I141" s="21"/>
      <c r="J141">
        <f>COUNTIFS('NC Qualité'!A:A,"&gt;=01/02/2020",'NC Qualité'!A:A,"&lt;=29/02/2020",'NC Qualité'!E:E,"Précontraint",'NC Qualité'!I:I,"Armatures apparentes")</f>
        <v>0</v>
      </c>
      <c r="K141" s="21"/>
      <c r="L141" s="21"/>
      <c r="M141" s="21"/>
      <c r="N141" s="21"/>
      <c r="O141">
        <f>COUNTIFS('NC Qualité'!A:A,"&gt;=01/02/2020",'NC Qualité'!A:A,"&lt;=29/02/2020",'NC Qualité'!E:E,"Précontraint",'NC Qualité'!I:I,"Autres :")</f>
        <v>0</v>
      </c>
      <c r="P141">
        <f>COUNTIFS('NC Qualité'!A:A,"&gt;=01/02/2020",'NC Qualité'!A:A,"&lt;=29/02/2020",'NC Qualité'!E:E,"Précontraint",'NC Qualité'!I:I,"Accessoires (Mauvais positionnement , manquement, etc.)")</f>
        <v>0</v>
      </c>
      <c r="Q141">
        <f>COUNTIFS('NC Qualité'!A:A,"&gt;=01/02/2020",'NC Qualité'!A:A,"&lt;=29/02/2020",'NC Qualité'!E:E,"Précontraint",'NC Qualité'!I:I,"équerrisage")</f>
        <v>0</v>
      </c>
      <c r="R141">
        <f>COUNTIFS('NC Qualité'!A:A,"&gt;=01/02/2020",'NC Qualité'!A:A,"&lt;=29/02/2020",'NC Qualité'!E:E,"Précontraint",'NC Qualité'!I:I,"Seuil de porte (réservation)")</f>
        <v>0</v>
      </c>
      <c r="S141">
        <f>COUNTIFS('NC Qualité'!A:A,"&gt;=01/02/2020",'NC Qualité'!A:A,"&lt;=29/02/2020",'NC Qualité'!E:E,"Précontraint",'NC Qualité'!I:I,"épaisseur")</f>
        <v>0</v>
      </c>
      <c r="T141">
        <f>COUNTIFS('NC Qualité'!A:A,"&gt;=01/02/2020",'NC Qualité'!A:A,"&lt;=29/02/2020",'NC Qualité'!E:E,"Précontraint",'NC Qualité'!I:I,"Chanfrein")</f>
        <v>0</v>
      </c>
      <c r="U141">
        <f>COUNTIFS('NC Qualité'!A:A,"&gt;=01/02/2020",'NC Qualité'!A:A,"&lt;=29/02/2020",'NC Qualité'!E:E,"Précontraint",'NC Qualité'!I:I,"Dimensionnement (entraînant un rebut)")</f>
        <v>0</v>
      </c>
      <c r="V141">
        <f>COUNTIFS('NC Qualité'!A:A,"&gt;=01/02/2020",'NC Qualité'!A:A,"&lt;=29/02/2020",'NC Qualité'!E:E,"Précontraint",'NC Qualité'!I:I,"Cintrage")</f>
        <v>0</v>
      </c>
      <c r="W141">
        <f>COUNTIFS('NC Qualité'!A:A,"&gt;=01/02/2020",'NC Qualité'!A:A,"&lt;=29/02/2020",'NC Qualité'!E:E,"Précontraint",'NC Qualité'!I:I,"Problème de chargement (sanglage, casse etc.)")</f>
        <v>0</v>
      </c>
      <c r="X141" s="27">
        <f>COUNTIFS('NC Qualité'!A:A,"&gt;=01/02/2020",'NC Qualité'!A:A,"&lt;=29/02/2020",'NC Qualité'!E:E,"Précontraint",'NC Qualité'!I:I,"Erreur de chargement ")</f>
        <v>0</v>
      </c>
      <c r="AA141" s="31">
        <f>COUNTIFS('NC Qualité'!A:A,"&gt;=01/02/2020",'NC Qualité'!A:A,"&lt;=29/02/2020",'NC Qualité'!E:E,"Précontraint",'NC Qualité'!S:S,1)</f>
        <v>0</v>
      </c>
      <c r="AB141" s="31">
        <f>COUNTIFS('NC Qualité'!A:A,"&gt;=01/02/2020",'NC Qualité'!A:A,"&lt;=29/02/2020",'NC Qualité'!E:E,"Précontraint",'NC Qualité'!Q:Q,"A")</f>
        <v>0</v>
      </c>
    </row>
    <row r="142" spans="1:28" ht="21" x14ac:dyDescent="0.35">
      <c r="A142" s="67"/>
      <c r="B142" s="2" t="s">
        <v>1</v>
      </c>
      <c r="C142" s="22"/>
      <c r="D142" s="23">
        <f>COUNTIFS('NC Qualité'!A:A,"&gt;=01/02/2020",'NC Qualité'!A:A,"&lt;=29/02/2020",'NC Qualité'!E:E,"Parc",'NC Qualité'!I:I,"Problème d'étiquetage")</f>
        <v>0</v>
      </c>
      <c r="E142" s="24"/>
      <c r="F142" s="23">
        <f>COUNTIFS('NC Qualité'!A:A,"&gt;=01/02/2020",'NC Qualité'!A:A,"&lt;=29/02/2020",'NC Qualité'!E:E,"Parc",'NC Qualité'!I:I,"Aspect béton (tâches / nid d'abeilles / granuleux / Fissures etc.)")</f>
        <v>0</v>
      </c>
      <c r="G142" s="24"/>
      <c r="H142" s="23">
        <f>COUNTIFS('NC Qualité'!A:A,"&gt;=01/02/2020",'NC Qualité'!A:A,"&lt;=29/02/2020",'NC Qualité'!E:E,"Parc",'NC Qualité'!I:I,"Ancre de levage")</f>
        <v>0</v>
      </c>
      <c r="I142" s="24"/>
      <c r="J142" s="23">
        <f>COUNTIFS('NC Qualité'!A:A,"&gt;=01/02/2020",'NC Qualité'!A:A,"&lt;=29/02/2020",'NC Qualité'!E:E,"Parc",'NC Qualité'!I:I,"Armatures apparentes")</f>
        <v>0</v>
      </c>
      <c r="K142" s="24"/>
      <c r="L142" s="24"/>
      <c r="M142" s="24"/>
      <c r="N142" s="24"/>
      <c r="O142" s="23">
        <f>COUNTIFS('NC Qualité'!A:A,"&gt;=01/02/2020",'NC Qualité'!A:A,"&lt;=29/02/2020",'NC Qualité'!E:E,"Parc",'NC Qualité'!I:I,"Autres :")</f>
        <v>0</v>
      </c>
      <c r="P142" s="23">
        <f>COUNTIFS('NC Qualité'!A:A,"&gt;=01/02/2020",'NC Qualité'!A:A,"&lt;=29/02/2020",'NC Qualité'!E:E,"Parc",'NC Qualité'!I:I,"Accessoires (Mauvais positionnement , manquement, etc.)")</f>
        <v>0</v>
      </c>
      <c r="Q142" s="23">
        <f>COUNTIFS('NC Qualité'!A:A,"&gt;=01/02/2020",'NC Qualité'!A:A,"&lt;=29/02/2020",'NC Qualité'!E:E,"Parc",'NC Qualité'!I:I,"équerrisage")</f>
        <v>0</v>
      </c>
      <c r="R142" s="23">
        <f>COUNTIFS('NC Qualité'!A:A,"&gt;=01/02/2020",'NC Qualité'!A:A,"&lt;=29/02/2020",'NC Qualité'!E:E,"Parc",'NC Qualité'!I:I,"Seuil de porte (réservation)")</f>
        <v>0</v>
      </c>
      <c r="S142" s="23">
        <f>COUNTIFS('NC Qualité'!A:A,"&gt;=01/02/2020",'NC Qualité'!A:A,"&lt;=29/02/2020",'NC Qualité'!E:E,"Parc",'NC Qualité'!I:I,"épaisseur")</f>
        <v>0</v>
      </c>
      <c r="T142" s="23">
        <f>COUNTIFS('NC Qualité'!A:A,"&gt;=01/02/2020",'NC Qualité'!A:A,"&lt;=29/02/2020",'NC Qualité'!E:E,"Parc",'NC Qualité'!I:I,"Chanfrein")</f>
        <v>0</v>
      </c>
      <c r="U142" s="23">
        <f>COUNTIFS('NC Qualité'!A:A,"&gt;=01/02/2020",'NC Qualité'!A:A,"&lt;=29/02/2020",'NC Qualité'!E:E,"Parc",'NC Qualité'!I:I,"Dimensionnement (entraînant un rebut)")</f>
        <v>0</v>
      </c>
      <c r="V142" s="23">
        <f>COUNTIFS('NC Qualité'!A:A,"&gt;=01/02/2020",'NC Qualité'!A:A,"&lt;=29/02/2020",'NC Qualité'!E:E,"Parc",'NC Qualité'!I:I,"Cintrage")</f>
        <v>0</v>
      </c>
      <c r="W142" s="23">
        <f>COUNTIFS('NC Qualité'!A:A,"&gt;=01/02/2020",'NC Qualité'!A:A,"&lt;=29/02/2020",'NC Qualité'!E:E,"Parc",'NC Qualité'!I:I,"Problème de chargement (sanglage, casse etc.)")</f>
        <v>0</v>
      </c>
      <c r="X142" s="28">
        <f>COUNTIFS('NC Qualité'!A:A,"&gt;=01/02/2020",'NC Qualité'!A:A,"&lt;=29/02/2020",'NC Qualité'!E:E,"Parc",'NC Qualité'!I:I,"Erreur de chargement ")</f>
        <v>0</v>
      </c>
      <c r="AA142" s="31">
        <f>COUNTIFS('NC Qualité'!A:A,"&gt;=01/02/2020",'NC Qualité'!A:A,"&lt;=29/02/2020",'NC Qualité'!E:E,"Parc",'NC Qualité'!S:S,1)</f>
        <v>0</v>
      </c>
      <c r="AB142" s="31">
        <f>COUNTIFS('NC Qualité'!A:A,"&gt;=01/02/2020",'NC Qualité'!A:A,"&lt;=29/02/2020",'NC Qualité'!E:E,"Parc",'NC Qualité'!Q:Q,"A")</f>
        <v>0</v>
      </c>
    </row>
    <row r="143" spans="1:28" ht="23.5" x14ac:dyDescent="0.35">
      <c r="AA143" s="34">
        <f>SUM(AA131:AA142)</f>
        <v>0</v>
      </c>
      <c r="AB143" s="34">
        <f>SUM(AB131:AB142)</f>
        <v>0</v>
      </c>
    </row>
    <row r="144" spans="1:28" ht="15" thickBot="1" x14ac:dyDescent="0.4"/>
    <row r="145" spans="1:28" ht="15" thickBot="1" x14ac:dyDescent="0.4">
      <c r="A145" s="42"/>
      <c r="B145" s="43"/>
      <c r="C145" s="43"/>
      <c r="D145" s="43"/>
      <c r="E145" s="43"/>
      <c r="F145" s="43"/>
      <c r="G145" s="43"/>
      <c r="H145" s="43"/>
      <c r="I145" s="43"/>
      <c r="J145" s="43"/>
      <c r="K145" s="43"/>
      <c r="L145" s="43"/>
      <c r="M145" s="43"/>
      <c r="N145" s="43"/>
      <c r="O145" s="43"/>
      <c r="P145" s="43"/>
      <c r="Q145" s="43"/>
      <c r="R145" s="43"/>
      <c r="S145" s="43"/>
      <c r="T145" s="43"/>
      <c r="U145" s="43"/>
      <c r="V145" s="43"/>
      <c r="W145" s="43"/>
      <c r="X145" s="43"/>
      <c r="Y145" s="43"/>
      <c r="Z145" s="43"/>
      <c r="AA145" s="43"/>
      <c r="AB145" s="44"/>
    </row>
    <row r="147" spans="1:28" x14ac:dyDescent="0.35">
      <c r="B147" t="s">
        <v>66</v>
      </c>
    </row>
    <row r="149" spans="1:28" ht="105" x14ac:dyDescent="0.35">
      <c r="B149" s="14" t="s">
        <v>29</v>
      </c>
      <c r="C149" s="20" t="s">
        <v>25</v>
      </c>
      <c r="D149" s="20" t="s">
        <v>78</v>
      </c>
      <c r="E149" s="20" t="s">
        <v>79</v>
      </c>
      <c r="F149" s="20" t="s">
        <v>77</v>
      </c>
      <c r="G149" s="20"/>
      <c r="H149" s="20"/>
      <c r="I149" s="20"/>
      <c r="J149" s="20" t="s">
        <v>35</v>
      </c>
      <c r="K149" s="20"/>
      <c r="L149" s="20" t="s">
        <v>82</v>
      </c>
      <c r="M149" s="20"/>
      <c r="N149" s="20" t="s">
        <v>39</v>
      </c>
      <c r="O149" s="20" t="s">
        <v>40</v>
      </c>
      <c r="P149" s="20" t="s">
        <v>24</v>
      </c>
      <c r="Q149" s="20" t="s">
        <v>43</v>
      </c>
      <c r="R149" s="20" t="s">
        <v>27</v>
      </c>
      <c r="S149" s="20" t="s">
        <v>44</v>
      </c>
      <c r="T149" s="20" t="s">
        <v>5</v>
      </c>
      <c r="U149" s="20" t="s">
        <v>25</v>
      </c>
      <c r="V149" s="20" t="s">
        <v>7</v>
      </c>
      <c r="W149" s="20" t="s">
        <v>28</v>
      </c>
      <c r="X149" s="20" t="s">
        <v>45</v>
      </c>
      <c r="AA149" s="33" t="s">
        <v>47</v>
      </c>
      <c r="AB149" s="32" t="s">
        <v>46</v>
      </c>
    </row>
    <row r="150" spans="1:28" ht="21" customHeight="1" x14ac:dyDescent="0.35">
      <c r="A150" s="67" t="s">
        <v>42</v>
      </c>
      <c r="B150" s="2" t="s">
        <v>70</v>
      </c>
      <c r="C150">
        <f>COUNTIFS('NC Qualité'!A:A,"&gt;=01/03/2020",'NC Qualité'!A:A,"&lt;=31/03/2020",'NC Qualité'!E:E,"Blocs",'NC Qualité'!I:I,"Dimensionnement (entraînant un rebut)")</f>
        <v>0</v>
      </c>
      <c r="D150">
        <f>COUNTIFS('NC Qualité'!A:A,"&gt;=01/03/2020",'NC Qualité'!A:A,"&lt;=31/03/2020",'NC Qualité'!E:E,"Blocs",'NC Qualité'!I:I,"Perçage du voile de pose")</f>
        <v>0</v>
      </c>
      <c r="E150">
        <f>COUNTIFS('NC Qualité'!A:A,"&gt;=01/03/2020",'NC Qualité'!A:A,"&lt;=31/03/2020",'NC Qualité'!E:E,"Blocs",'NC Qualité'!I:I,"étanchéité")</f>
        <v>0</v>
      </c>
      <c r="F150">
        <f>COUNTIFS('NC Qualité'!A:A,"&gt;=01/03/2020",'NC Qualité'!A:A,"&lt;=31/03/2020",'NC Qualité'!E:E,"Blocs",'NC Qualité'!I:I,"Aspect béton (Fissures, etc.)")</f>
        <v>0</v>
      </c>
      <c r="J150">
        <f>COUNTIFS('NC Qualité'!A:A,"&gt;=01/03/2020",'NC Qualité'!A:A,"&lt;=31/03/2020",'NC Qualité'!E:E,"Blocs",'NC Qualité'!I:I,"Armatures apparentes")</f>
        <v>0</v>
      </c>
      <c r="L150">
        <f>COUNTIFS('NC Qualité'!A:A,"&gt;=01/03/2020",'NC Qualité'!A:A,"&lt;=31/03/2020",'NC Qualité'!E:E,"Blocs",'NC Qualité'!I:I,"Délais de livraison")</f>
        <v>0</v>
      </c>
      <c r="N150">
        <f>COUNTIFS('NC Qualité'!A:A,"&gt;=01/03/2020",'NC Qualité'!A:A,"&lt;=31/03/2020",'NC Qualité'!E:E,"Blocs",'NC Qualité'!I:I,"Casse de l'élément")</f>
        <v>0</v>
      </c>
      <c r="O150">
        <f>COUNTIFS('NC Qualité'!A:A,"&gt;=01/03/2020",'NC Qualité'!A:A,"&lt;=31/03/2020",'NC Qualité'!E:E,"Blocs",'NC Qualité'!I:I,"Autres :")</f>
        <v>0</v>
      </c>
      <c r="P150" s="21"/>
      <c r="Q150" s="21"/>
      <c r="R150" s="21"/>
      <c r="S150" s="21"/>
      <c r="T150" s="21"/>
      <c r="U150" s="21"/>
      <c r="V150" s="21"/>
      <c r="W150" s="21"/>
      <c r="X150" s="25"/>
      <c r="AA150" s="31">
        <f>COUNTIFS('NC Qualité'!A:A,"&gt;=01/03/2020",'NC Qualité'!A:A,"&lt;=31/03/2020",'NC Qualité'!E:E,"Blocs",'NC Qualité'!S:S,1)</f>
        <v>0</v>
      </c>
      <c r="AB150" s="31">
        <f>COUNTIFS('NC Qualité'!A:A,"&gt;=01/03/2020",'NC Qualité'!A:A,"&lt;=31/03/2020",'NC Qualité'!E:E,"Blocs",'NC Qualité'!Q:Q,"A")</f>
        <v>0</v>
      </c>
    </row>
    <row r="151" spans="1:28" ht="21" x14ac:dyDescent="0.35">
      <c r="A151" s="67"/>
      <c r="B151" s="2" t="s">
        <v>71</v>
      </c>
      <c r="C151">
        <f>COUNTIFS('NC Qualité'!A:A,"&gt;=01/03/2020",'NC Qualité'!A:A,"&lt;=31/03/2020",'NC Qualité'!E:E,"Poutrelles",'NC Qualité'!I:I,"Dimensionnement (entraînant un rebut)")</f>
        <v>0</v>
      </c>
      <c r="D151">
        <f>COUNTIFS('NC Qualité'!A:A,"&gt;=01/03/2020",'NC Qualité'!A:A,"&lt;=31/03/2020",'NC Qualité'!E:E,"Poutrelles",'NC Qualité'!I:I,"Perçage du voile de pose")</f>
        <v>0</v>
      </c>
      <c r="E151">
        <f>COUNTIFS('NC Qualité'!A:A,"&gt;=01/03/2020",'NC Qualité'!A:A,"&lt;=31/03/2020",'NC Qualité'!E:E,"Poutrelles",'NC Qualité'!I:I,"Palettisation")</f>
        <v>0</v>
      </c>
      <c r="F151">
        <f>COUNTIFS('NC Qualité'!A:A,"&gt;=01/03/2020",'NC Qualité'!A:A,"&lt;=31/03/2020",'NC Qualité'!E:E,"Poutrelles",'NC Qualité'!I:I,"Aspect béton (Fissures, etc.)")</f>
        <v>0</v>
      </c>
      <c r="J151">
        <f>COUNTIFS('NC Qualité'!A:A,"&gt;=01/03/2020",'NC Qualité'!A:A,"&lt;=31/03/2020",'NC Qualité'!E:E,"Poutrelles",'NC Qualité'!I:I,"Armatures apparentes")</f>
        <v>0</v>
      </c>
      <c r="L151">
        <f>COUNTIFS('NC Qualité'!A:A,"&gt;=01/03/2020",'NC Qualité'!A:A,"&lt;=31/03/2020",'NC Qualité'!E:E,"Poutrelles",'NC Qualité'!I:I,"Délais de livraison")</f>
        <v>0</v>
      </c>
      <c r="N151">
        <f>COUNTIFS('NC Qualité'!A:A,"&gt;=01/03/2020",'NC Qualité'!A:A,"&lt;=31/03/2020",'NC Qualité'!E:E,"Poutrelles",'NC Qualité'!I:I,"Casse de l'élément")</f>
        <v>0</v>
      </c>
      <c r="O151">
        <f>COUNTIFS('NC Qualité'!A:A,"&gt;=01/03/2020",'NC Qualité'!A:A,"&lt;=31/03/2020",'NC Qualité'!E:E,"Poutrelles",'NC Qualité'!I:I,"Autres :")</f>
        <v>0</v>
      </c>
      <c r="P151" s="21"/>
      <c r="Q151" s="21"/>
      <c r="R151" s="21"/>
      <c r="S151" s="21"/>
      <c r="T151" s="21"/>
      <c r="U151" s="21"/>
      <c r="V151" s="21"/>
      <c r="W151" s="21"/>
      <c r="X151" s="26"/>
      <c r="AA151" s="31">
        <f>COUNTIFS('NC Qualité'!A:A,"&gt;=01/03/2020",'NC Qualité'!A:A,"&lt;=31/03/2020",'NC Qualité'!E:E,"Poutrelles",'NC Qualité'!S:S,1)</f>
        <v>0</v>
      </c>
      <c r="AB151" s="31">
        <f>COUNTIFS('NC Qualité'!A:A,"&gt;=01/03/2020",'NC Qualité'!A:A,"&lt;=31/03/2020",'NC Qualité'!E:E,"Poutrelles",'NC Qualité'!Q:Q,"A")</f>
        <v>0</v>
      </c>
    </row>
    <row r="152" spans="1:28" ht="21" x14ac:dyDescent="0.35">
      <c r="A152" s="67"/>
      <c r="B152" s="2" t="s">
        <v>72</v>
      </c>
      <c r="C152">
        <f>COUNTIFS('NC Qualité'!A:A,"&gt;=01/03/2020",'NC Qualité'!A:A,"&lt;=31/03/2020",'NC Qualité'!E:E,"Hourdis",'NC Qualité'!I:I,"Dimensionnement (entraînant un rebut)")</f>
        <v>0</v>
      </c>
      <c r="D152">
        <f>COUNTIFS('NC Qualité'!A:A,"&gt;=01/03/2020",'NC Qualité'!A:A,"&lt;=31/03/2020",'NC Qualité'!E:E,"Hourdis",'NC Qualité'!I:I,"Problème d'étiquetage")</f>
        <v>0</v>
      </c>
      <c r="E152">
        <f>COUNTIFS('NC Qualité'!A:A,"&gt;=01/03/2020",'NC Qualité'!A:A,"&lt;=31/03/2020",'NC Qualité'!E:E,"Hourdis",'NC Qualité'!I:I,"Palettisation")</f>
        <v>0</v>
      </c>
      <c r="F152">
        <f>COUNTIFS('NC Qualité'!A:A,"&gt;=01/03/2020",'NC Qualité'!A:A,"&lt;=31/03/2020",'NC Qualité'!E:E,"Hourdis",'NC Qualité'!I:I,"Aspect béton (Fissures, etc.)")</f>
        <v>0</v>
      </c>
      <c r="J152">
        <f>COUNTIFS('NC Qualité'!A:A,"&gt;=01/03/2020",'NC Qualité'!A:A,"&lt;=31/03/2020",'NC Qualité'!E:E,"Hourdis",'NC Qualité'!I:I,"Armatures apparentes")</f>
        <v>0</v>
      </c>
      <c r="L152">
        <f>COUNTIFS('NC Qualité'!A:A,"&gt;=01/03/2020",'NC Qualité'!A:A,"&lt;=31/03/2020",'NC Qualité'!E:E,"Hourdis",'NC Qualité'!I:I,"Délais de livraison")</f>
        <v>0</v>
      </c>
      <c r="N152">
        <f>COUNTIFS('NC Qualité'!A:A,"&gt;=01/03/2020",'NC Qualité'!A:A,"&lt;=31/03/2020",'NC Qualité'!E:E,"Hourdis",'NC Qualité'!I:I,"Casse de l'élément")</f>
        <v>0</v>
      </c>
      <c r="O152">
        <f>COUNTIFS('NC Qualité'!A:A,"&gt;=01/03/2020",'NC Qualité'!A:A,"&lt;=31/03/2020",'NC Qualité'!E:E,"Hourdis",'NC Qualité'!I:I,"Autres :")</f>
        <v>0</v>
      </c>
      <c r="P152" s="21"/>
      <c r="Q152" s="21"/>
      <c r="R152" s="21"/>
      <c r="S152" s="21"/>
      <c r="T152" s="21"/>
      <c r="U152" s="21"/>
      <c r="V152" s="21"/>
      <c r="W152" s="21"/>
      <c r="X152" s="26"/>
      <c r="AA152" s="31">
        <f>COUNTIFS('NC Qualité'!A:A,"&gt;=01/03/2020",'NC Qualité'!A:A,"&lt;=31/03/2020",'NC Qualité'!E:E,"Hourdis",'NC Qualité'!S:S,1)</f>
        <v>0</v>
      </c>
      <c r="AB152" s="31">
        <f>COUNTIFS('NC Qualité'!A:A,"&gt;=01/03/2020",'NC Qualité'!A:A,"&lt;=31/03/2020",'NC Qualité'!E:E,"Hourdis",'NC Qualité'!Q:Q,"A")</f>
        <v>0</v>
      </c>
    </row>
    <row r="153" spans="1:28" ht="29" x14ac:dyDescent="0.35">
      <c r="A153" s="67"/>
      <c r="B153" s="56" t="s">
        <v>98</v>
      </c>
      <c r="C153">
        <f>COUNTIFS('NC Qualité'!A:A,"&gt;=01/03/2020",'NC Qualité'!A:A,"&lt;=31/03/2020",'NC Qualité'!E:E,"Blocs à bancher",'NC Qualité'!I:I,"Dimensionnement (entraînant un rebut)")</f>
        <v>0</v>
      </c>
      <c r="D153">
        <f>COUNTIFS('NC Qualité'!A:A,"&gt;=01/03/2020",'NC Qualité'!A:A,"&lt;=31/03/2020",'NC Qualité'!E:E,"Blocs à bancher",'NC Qualité'!I:I,"Problème d'étiquetage")</f>
        <v>0</v>
      </c>
      <c r="E153">
        <f>COUNTIFS('NC Qualité'!A:A,"&gt;=01/03/2020",'NC Qualité'!A:A,"&lt;=31/03/2020",'NC Qualité'!E:E,"Blocs à bancher",'NC Qualité'!I:I,"Palettisation")</f>
        <v>0</v>
      </c>
      <c r="F153">
        <f>COUNTIFS('NC Qualité'!A:A,"&gt;=01/03/2020",'NC Qualité'!A:A,"&lt;=31/03/2020",'NC Qualité'!E:E,"Blocs à bancher",'NC Qualité'!I:I,"Aspect béton (Fissures, etc.)")</f>
        <v>0</v>
      </c>
      <c r="J153">
        <f>COUNTIFS('NC Qualité'!A:A,"&gt;=01/03/2020",'NC Qualité'!A:A,"&lt;=31/03/2020",'NC Qualité'!E:E,"Blocs à bancher",'NC Qualité'!I:I,"Armatures apparentes")</f>
        <v>0</v>
      </c>
      <c r="L153">
        <f>COUNTIFS('NC Qualité'!A:A,"&gt;=01/03/2020",'NC Qualité'!A:A,"&lt;=31/03/2020",'NC Qualité'!E:E,"Blocs à bancher",'NC Qualité'!I:I,"Délais de livraison")</f>
        <v>0</v>
      </c>
      <c r="N153">
        <f>COUNTIFS('NC Qualité'!A:A,"&gt;=01/03/2020",'NC Qualité'!A:A,"&lt;=31/03/2020",'NC Qualité'!E:E,"Blocs à bancher",'NC Qualité'!I:I,"Casse de l'élément")</f>
        <v>0</v>
      </c>
      <c r="O153">
        <f>COUNTIFS('NC Qualité'!A:A,"&gt;=01/03/2020",'NC Qualité'!A:A,"&lt;=31/03/2020",'NC Qualité'!E:E,"Blocs à bancher",'NC Qualité'!I:I,"Autres :")</f>
        <v>0</v>
      </c>
      <c r="P153" s="21"/>
      <c r="Q153" s="21"/>
      <c r="R153" s="21"/>
      <c r="S153" s="21"/>
      <c r="T153" s="21"/>
      <c r="U153" s="21"/>
      <c r="V153" s="21"/>
      <c r="W153" s="21"/>
      <c r="X153" s="26"/>
      <c r="AA153" s="31">
        <f>COUNTIFS('NC Qualité'!A:A,"&gt;=01/03/2020",'NC Qualité'!A:A,"&lt;=31/03/2020",'NC Qualité'!E:E,"Bordures",'NC Qualité'!S:S,1)</f>
        <v>0</v>
      </c>
      <c r="AB153" s="31">
        <f>COUNTIFS('NC Qualité'!A:A,"&gt;=01/03/2020",'NC Qualité'!A:A,"&lt;=31/03/2020",'NC Qualité'!E:E,"Bordures",'NC Qualité'!Q:Q,"A")</f>
        <v>0</v>
      </c>
    </row>
    <row r="154" spans="1:28" ht="21" x14ac:dyDescent="0.35">
      <c r="A154" s="67"/>
      <c r="B154" s="2"/>
      <c r="P154" s="21"/>
      <c r="Q154" s="21"/>
      <c r="R154" s="21"/>
      <c r="S154" s="21"/>
      <c r="T154" s="21"/>
      <c r="U154" s="21"/>
      <c r="V154" s="21"/>
      <c r="W154" s="21"/>
      <c r="X154" s="26"/>
      <c r="AA154" s="31">
        <f>COUNTIFS('NC Qualité'!A:A,"&gt;=01/03/2020",'NC Qualité'!A:A,"&lt;=31/03/2020",'NC Qualité'!E:E,"Caniveaux",'NC Qualité'!S:S,1)</f>
        <v>0</v>
      </c>
      <c r="AB154" s="31">
        <f>COUNTIFS('NC Qualité'!A:A,"&gt;=01/03/2020",'NC Qualité'!A:A,"&lt;=31/03/2020",'NC Qualité'!E:E,"Caniveaux",'NC Qualité'!Q:Q,"A")</f>
        <v>0</v>
      </c>
    </row>
    <row r="155" spans="1:28" ht="21" x14ac:dyDescent="0.35">
      <c r="A155" s="67"/>
      <c r="B155" s="15"/>
      <c r="P155" s="21"/>
      <c r="Q155" s="21"/>
      <c r="R155" s="21"/>
      <c r="S155" s="21"/>
      <c r="T155" s="21"/>
      <c r="U155" s="21"/>
      <c r="V155" s="21"/>
      <c r="W155" s="21"/>
      <c r="X155" s="26"/>
      <c r="AA155" s="31">
        <f>COUNTIFS('NC Qualité'!A:A,"&gt;=01/03/2020",'NC Qualité'!A:A,"&lt;=31/03/2020",'NC Qualité'!E:E,"Fielding : Bordures et Caniveaux",'NC Qualité'!S:S,1)</f>
        <v>0</v>
      </c>
      <c r="AB155" s="31">
        <f>COUNTIFS('NC Qualité'!A:A,"&gt;=01/03/2020",'NC Qualité'!A:A,"&lt;=31/03/2020",'NC Qualité'!E:E,"Fielding : Bordures et Caniveaux",'NC Qualité'!Q:Q,"A")</f>
        <v>0</v>
      </c>
    </row>
    <row r="156" spans="1:28" ht="21" x14ac:dyDescent="0.35">
      <c r="A156" s="67"/>
      <c r="B156" s="2"/>
      <c r="P156" s="21"/>
      <c r="Q156" s="21"/>
      <c r="R156" s="21"/>
      <c r="S156" s="21"/>
      <c r="T156" s="21"/>
      <c r="U156" s="21"/>
      <c r="V156" s="21"/>
      <c r="W156" s="21"/>
      <c r="X156" s="26"/>
      <c r="AA156" s="31">
        <f>COUNTIFS('NC Qualité'!A:A,"&gt;=01/03/2020",'NC Qualité'!A:A,"&lt;=31/03/2020",'NC Qualité'!E:E,"Modul : Tuyaux Dn 1800 à 2630",'NC Qualité'!S:S,1)</f>
        <v>0</v>
      </c>
      <c r="AB156" s="31">
        <f>COUNTIFS('NC Qualité'!A:A,"&gt;=01/03/2020",'NC Qualité'!A:A,"&lt;=31/03/2020",'NC Qualité'!E:E,"Modul : Tuyaux Dn 1800 à 2630",'NC Qualité'!Q:Q,"A")</f>
        <v>0</v>
      </c>
    </row>
    <row r="157" spans="1:28" ht="29" x14ac:dyDescent="0.35">
      <c r="A157" s="67" t="s">
        <v>41</v>
      </c>
      <c r="B157" s="2" t="s">
        <v>6</v>
      </c>
      <c r="C157" s="21"/>
      <c r="D157">
        <f>COUNTIFS('NC Qualité'!A:A,"&gt;=01/03/2020",'NC Qualité'!A:A,"&lt;=31/03/2020",'NC Qualité'!E:E,"Panneau coulé à plat",'NC Qualité'!I:I,"Problème d'étiquetage")</f>
        <v>0</v>
      </c>
      <c r="E157" s="21"/>
      <c r="F157">
        <f>COUNTIFS('NC Qualité'!A:A,"&gt;=01/03/2020",'NC Qualité'!A:A,"&lt;=31/03/2020",'NC Qualité'!E:E,"Panneau coulé à plat",'NC Qualité'!I:I,"Aspect béton (tâches / nid d'abeilles / granuleux / Fissures etc.)")</f>
        <v>0</v>
      </c>
      <c r="G157" s="21"/>
      <c r="H157">
        <f>COUNTIFS('NC Qualité'!A:A,"&gt;=01/03/2020",'NC Qualité'!A:A,"&lt;=31/03/2020",'NC Qualité'!E:E,"Panneau coulé à plat",'NC Qualité'!I:I,"Ancre de levage")</f>
        <v>0</v>
      </c>
      <c r="I157" s="21"/>
      <c r="J157">
        <f>COUNTIFS('NC Qualité'!A:A,"&gt;=01/03/2020",'NC Qualité'!A:A,"&lt;=31/03/2020",'NC Qualité'!E:E,"Modul : Tuyaux Dn 1800 à 2630",'NC Qualité'!I:I,"Armatures apparentes")</f>
        <v>0</v>
      </c>
      <c r="K157" s="21"/>
      <c r="L157" s="21"/>
      <c r="M157" s="21"/>
      <c r="N157" s="21"/>
      <c r="O157">
        <f>COUNTIFS('NC Qualité'!A:A,"&gt;=01/03/2020",'NC Qualité'!A:A,"&lt;=31/03/2020",'NC Qualité'!E:E,"Panneau coulé à plat",'NC Qualité'!I:I,"Autres :")</f>
        <v>0</v>
      </c>
      <c r="P157">
        <f>COUNTIFS('NC Qualité'!A:A,"&gt;=01/03/2020",'NC Qualité'!A:A,"&lt;=31/03/2020",'NC Qualité'!E:E,"Panneau coulé à plat",'NC Qualité'!I:I,"Accessoires (Mauvais positionnement , manquement, etc.)")</f>
        <v>0</v>
      </c>
      <c r="Q157">
        <f>COUNTIFS('NC Qualité'!A:A,"&gt;=01/03/2020",'NC Qualité'!A:A,"&lt;=31/03/2020",'NC Qualité'!E:E,"Panneau coulé à plat",'NC Qualité'!I:I,"équerrisage")</f>
        <v>0</v>
      </c>
      <c r="R157">
        <f>COUNTIFS('NC Qualité'!A:A,"&gt;=01/03/2020",'NC Qualité'!A:A,"&lt;=31/03/2020",'NC Qualité'!E:E,"Panneau coulé à plat",'NC Qualité'!I:I,"Seuil de porte (réservation)")</f>
        <v>0</v>
      </c>
      <c r="S157">
        <f>COUNTIFS('NC Qualité'!A:A,"&gt;=01/03/2020",'NC Qualité'!A:A,"&lt;=31/03/2020",'NC Qualité'!E:E,"Panneau coulé à plat",'NC Qualité'!I:I,"épaisseur")</f>
        <v>0</v>
      </c>
      <c r="T157">
        <f>COUNTIFS('NC Qualité'!A:A,"&gt;=01/03/2020",'NC Qualité'!A:A,"&lt;=31/03/2020",'NC Qualité'!E:E,"Panneau coulé à plat",'NC Qualité'!I:I,"Chanfrein")</f>
        <v>0</v>
      </c>
      <c r="U157">
        <f>COUNTIFS('NC Qualité'!A:A,"&gt;=01/03/2020",'NC Qualité'!A:A,"&lt;=31/03/2020",'NC Qualité'!E:E,"Panneau coulé à plat",'NC Qualité'!I:I,"Dimensionnement (entraînant un rebut)")</f>
        <v>0</v>
      </c>
      <c r="V157">
        <f>COUNTIFS('NC Qualité'!A:A,"&gt;=01/03/2020",'NC Qualité'!A:A,"&lt;=31/03/2020",'NC Qualité'!E:E,"Panneau coulé à plat",'NC Qualité'!I:I,"Cintrage")</f>
        <v>0</v>
      </c>
      <c r="W157">
        <f>COUNTIFS('NC Qualité'!A:A,"&gt;=01/03/2020",'NC Qualité'!A:A,"&lt;=31/03/2020",'NC Qualité'!E:E,"Panneau coulé à plat",'NC Qualité'!I:I,"Problème de chargement (sanglage, casse etc.)")</f>
        <v>0</v>
      </c>
      <c r="X157" s="27">
        <f>COUNTIFS('NC Qualité'!A:A,"&gt;=01/03/2020",'NC Qualité'!A:A,"&lt;=31/03/2020",'NC Qualité'!E:E,"Panneau coulé à plat",'NC Qualité'!I:I,"Erreur de chargement ")</f>
        <v>0</v>
      </c>
      <c r="AA157" s="31">
        <f>COUNTIFS('NC Qualité'!A:A,"&gt;=01/03/2020",'NC Qualité'!A:A,"&lt;=31/03/2020",'NC Qualité'!E:E,"Panneau coulé à plat",'NC Qualité'!S:S,1)</f>
        <v>0</v>
      </c>
      <c r="AB157" s="31">
        <f>COUNTIFS('NC Qualité'!A:A,"&gt;=01/03/2020",'NC Qualité'!A:A,"&lt;=31/03/2020",'NC Qualité'!E:E,"Panneau coulé à plat",'NC Qualité'!Q:Q,"A")</f>
        <v>0</v>
      </c>
    </row>
    <row r="158" spans="1:28" ht="21" x14ac:dyDescent="0.35">
      <c r="A158" s="67"/>
      <c r="B158" s="2" t="s">
        <v>0</v>
      </c>
      <c r="C158" s="21"/>
      <c r="D158">
        <f>COUNTIFS('NC Qualité'!A:A,"&gt;=01/03/2020",'NC Qualité'!A:A,"&lt;=31/03/2020",'NC Qualité'!E:E,"Bianchi",'NC Qualité'!I:I,"Problème d'étiquetage")</f>
        <v>0</v>
      </c>
      <c r="E158" s="21"/>
      <c r="F158">
        <f>COUNTIFS('NC Qualité'!A:A,"&gt;=01/03/2020",'NC Qualité'!A:A,"&lt;=31/03/2020",'NC Qualité'!E:E,"Bianchi",'NC Qualité'!I:I,"Aspect béton (tâches / nid d'abeilles / granuleux / Fissures etc.)")</f>
        <v>0</v>
      </c>
      <c r="G158" s="21"/>
      <c r="H158">
        <f>COUNTIFS('NC Qualité'!A:A,"&gt;=01/03/2020",'NC Qualité'!A:A,"&lt;=31/03/2020",'NC Qualité'!E:E,"Bianchi",'NC Qualité'!I:I,"Ancre de levage")</f>
        <v>0</v>
      </c>
      <c r="I158" s="21"/>
      <c r="J158">
        <f>COUNTIFS('NC Qualité'!A:A,"&gt;=01/03/2020",'NC Qualité'!A:A,"&lt;=31/03/2020",'NC Qualité'!E:E,"Bianchi",'NC Qualité'!I:I,"Armatures apparentes")</f>
        <v>0</v>
      </c>
      <c r="K158" s="21"/>
      <c r="L158" s="21"/>
      <c r="M158" s="21"/>
      <c r="N158" s="21"/>
      <c r="O158">
        <f>COUNTIFS('NC Qualité'!A:A,"&gt;=01/03/2020",'NC Qualité'!A:A,"&lt;=31/03/2020",'NC Qualité'!E:E,"Bianchi",'NC Qualité'!I:I,"Autres :")</f>
        <v>0</v>
      </c>
      <c r="P158">
        <f>COUNTIFS('NC Qualité'!A:A,"&gt;=01/03/2020",'NC Qualité'!A:A,"&lt;=31/03/2020",'NC Qualité'!E:E,"Bianchi",'NC Qualité'!I:I,"Accessoires (Mauvais positionnement , manquement, etc.)")</f>
        <v>0</v>
      </c>
      <c r="Q158">
        <f>COUNTIFS('NC Qualité'!A:A,"&gt;=01/03/2020",'NC Qualité'!A:A,"&lt;=31/03/2020",'NC Qualité'!E:E,"Bianchi",'NC Qualité'!I:I,"équerrisage")</f>
        <v>0</v>
      </c>
      <c r="R158">
        <f>COUNTIFS('NC Qualité'!A:A,"&gt;=01/03/2020",'NC Qualité'!A:A,"&lt;=31/03/2020",'NC Qualité'!E:E,"Bianchi",'NC Qualité'!I:I,"Seuil de porte (réservation)")</f>
        <v>0</v>
      </c>
      <c r="S158">
        <f>COUNTIFS('NC Qualité'!A:A,"&gt;=01/03/2020",'NC Qualité'!A:A,"&lt;=31/03/2020",'NC Qualité'!E:E,"Bianchi",'NC Qualité'!I:I,"épaisseur")</f>
        <v>0</v>
      </c>
      <c r="T158">
        <f>COUNTIFS('NC Qualité'!A:A,"&gt;=01/03/2020",'NC Qualité'!A:A,"&lt;=31/03/2020",'NC Qualité'!E:E,"Bianchi",'NC Qualité'!I:I,"Chanfrein")</f>
        <v>0</v>
      </c>
      <c r="U158">
        <f>COUNTIFS('NC Qualité'!A:A,"&gt;=01/03/2020",'NC Qualité'!A:A,"&lt;=31/03/2020",'NC Qualité'!E:E,"Bianchi",'NC Qualité'!I:I,"Dimensionnement (entraînant un rebut)")</f>
        <v>0</v>
      </c>
      <c r="V158">
        <f>COUNTIFS('NC Qualité'!A:A,"&gt;=01/03/2020",'NC Qualité'!A:A,"&lt;=31/03/2020",'NC Qualité'!E:E,"Bianchi",'NC Qualité'!I:I,"Cintrage")</f>
        <v>0</v>
      </c>
      <c r="W158">
        <f>COUNTIFS('NC Qualité'!A:A,"&gt;=01/03/2020",'NC Qualité'!A:A,"&lt;=31/03/2020",'NC Qualité'!E:E,"Bianchi",'NC Qualité'!I:I,"Problème de chargement (sanglage, casse etc.)")</f>
        <v>0</v>
      </c>
      <c r="X158" s="27">
        <f>COUNTIFS('NC Qualité'!A:A,"&gt;=01/03/2020",'NC Qualité'!A:A,"&lt;=31/03/2020",'NC Qualité'!E:E,"Bianchi",'NC Qualité'!I:I,"Erreur de chargement ")</f>
        <v>0</v>
      </c>
      <c r="AA158" s="31">
        <f>COUNTIFS('NC Qualité'!A:A,"&gt;=01/03/2020",'NC Qualité'!A:A,"&lt;=31/03/2020",'NC Qualité'!E:E,"Bianchi",'NC Qualité'!S:S,1)</f>
        <v>0</v>
      </c>
      <c r="AB158" s="31">
        <f>COUNTIFS('NC Qualité'!A:A,"&gt;=01/03/2020",'NC Qualité'!A:A,"&lt;=31/03/2020",'NC Qualité'!E:E,"Bianchi",'NC Qualité'!Q:Q,"A")</f>
        <v>0</v>
      </c>
    </row>
    <row r="159" spans="1:28" ht="29" x14ac:dyDescent="0.35">
      <c r="A159" s="67"/>
      <c r="B159" s="2" t="s">
        <v>3</v>
      </c>
      <c r="C159" s="21"/>
      <c r="D159">
        <f>COUNTIFS('NC Qualité'!A:A,"&gt;=01/03/2020",'NC Qualité'!A:A,"&lt;=31/03/2020",'NC Qualité'!E:E,"Préfabrication",'NC Qualité'!I:I,"Problème d'étiquetage")</f>
        <v>0</v>
      </c>
      <c r="E159" s="21"/>
      <c r="F159">
        <f>COUNTIFS('NC Qualité'!A:A,"&gt;=01/03/2020",'NC Qualité'!A:A,"&lt;=31/03/2020",'NC Qualité'!E:E,"Préfabrication",'NC Qualité'!I:I,"Aspect béton (tâches / nid d'abeilles / granuleux / Fissures etc.)")</f>
        <v>0</v>
      </c>
      <c r="G159" s="21"/>
      <c r="H159">
        <f>COUNTIFS('NC Qualité'!A:A,"&gt;=01/03/2020",'NC Qualité'!A:A,"&lt;=31/03/2020",'NC Qualité'!E:E,"Préfabrication",'NC Qualité'!I:I,"Ancre de levage")</f>
        <v>0</v>
      </c>
      <c r="I159" s="21"/>
      <c r="J159">
        <f>COUNTIFS('NC Qualité'!A:A,"&gt;=01/03/2020",'NC Qualité'!A:A,"&lt;=31/03/2020",'NC Qualité'!E:E,"Préfabrication",'NC Qualité'!I:I,"Armatures apparentes")</f>
        <v>0</v>
      </c>
      <c r="K159" s="21"/>
      <c r="L159" s="21"/>
      <c r="M159" s="21"/>
      <c r="N159" s="21"/>
      <c r="O159">
        <f>COUNTIFS('NC Qualité'!A:A,"&gt;=01/03/2020",'NC Qualité'!A:A,"&lt;=31/03/2020",'NC Qualité'!E:E,"Préfabrication",'NC Qualité'!I:I,"Autres :")</f>
        <v>0</v>
      </c>
      <c r="P159">
        <f>COUNTIFS('NC Qualité'!A:A,"&gt;=01/03/2020",'NC Qualité'!A:A,"&lt;=31/03/2020",'NC Qualité'!E:E,"Préfabrication",'NC Qualité'!I:I,"Accessoires (Mauvais positionnement , manquement, etc.)")</f>
        <v>0</v>
      </c>
      <c r="Q159">
        <f>COUNTIFS('NC Qualité'!A:A,"&gt;=01/03/2020",'NC Qualité'!A:A,"&lt;=31/03/2020",'NC Qualité'!E:E,"Préfabrication",'NC Qualité'!I:I,"équerrisage")</f>
        <v>0</v>
      </c>
      <c r="R159">
        <f>COUNTIFS('NC Qualité'!A:A,"&gt;=01/03/2020",'NC Qualité'!A:A,"&lt;=31/03/2020",'NC Qualité'!E:E,"Préfabrication",'NC Qualité'!I:I,"Seuil de porte (réservation)")</f>
        <v>0</v>
      </c>
      <c r="S159">
        <f>COUNTIFS('NC Qualité'!A:A,"&gt;=01/03/2020",'NC Qualité'!A:A,"&lt;=31/03/2020",'NC Qualité'!E:E,"Préfabrication",'NC Qualité'!I:I,"épaisseur")</f>
        <v>0</v>
      </c>
      <c r="T159">
        <f>COUNTIFS('NC Qualité'!A:A,"&gt;=01/03/2020",'NC Qualité'!A:A,"&lt;=31/03/2020",'NC Qualité'!E:E,"Préfabrication",'NC Qualité'!I:I,"Chanfrein")</f>
        <v>0</v>
      </c>
      <c r="U159">
        <f>COUNTIFS('NC Qualité'!A:A,"&gt;=01/03/2020",'NC Qualité'!A:A,"&lt;=31/03/2020",'NC Qualité'!E:E,"Préfabrication",'NC Qualité'!I:I,"Dimensionnement (entraînant un rebut)")</f>
        <v>0</v>
      </c>
      <c r="V159">
        <f>COUNTIFS('NC Qualité'!A:A,"&gt;=01/03/2020",'NC Qualité'!A:A,"&lt;=31/03/2020",'NC Qualité'!E:E,"Préfabrication",'NC Qualité'!I:I,"Cintrage")</f>
        <v>0</v>
      </c>
      <c r="W159">
        <f>COUNTIFS('NC Qualité'!A:A,"&gt;=01/03/2020",'NC Qualité'!A:A,"&lt;=31/03/2020",'NC Qualité'!E:E,"Préfabrication",'NC Qualité'!I:I,"Problème de chargement (sanglage, casse etc.)")</f>
        <v>0</v>
      </c>
      <c r="X159" s="27">
        <f>COUNTIFS('NC Qualité'!A:A,"&gt;=01/03/2020",'NC Qualité'!A:A,"&lt;=31/03/2020",'NC Qualité'!E:E,"Préfabrication",'NC Qualité'!I:I,"Erreur de chargement ")</f>
        <v>0</v>
      </c>
      <c r="AA159" s="31">
        <f>COUNTIFS('NC Qualité'!A:A,"&gt;=01/03/2020",'NC Qualité'!A:A,"&lt;=31/03/2020",'NC Qualité'!E:E,"Préfabrication",'NC Qualité'!S:S,1)</f>
        <v>0</v>
      </c>
      <c r="AB159" s="31">
        <f>COUNTIFS('NC Qualité'!A:A,"&gt;=01/03/2020",'NC Qualité'!A:A,"&lt;=31/03/2020",'NC Qualité'!E:E,"Préfabrication",'NC Qualité'!Q:Q,"A")</f>
        <v>0</v>
      </c>
    </row>
    <row r="160" spans="1:28" ht="29" x14ac:dyDescent="0.35">
      <c r="A160" s="67"/>
      <c r="B160" s="16" t="s">
        <v>2</v>
      </c>
      <c r="C160" s="21"/>
      <c r="D160">
        <f>COUNTIFS('NC Qualité'!A:A,"&gt;=01/03/2020",'NC Qualité'!A:A,"&lt;=31/03/2020",'NC Qualité'!E:E,"Précontraint",'NC Qualité'!I:I,"Problème d'étiquetage")</f>
        <v>0</v>
      </c>
      <c r="E160" s="21"/>
      <c r="F160">
        <f>COUNTIFS('NC Qualité'!A:A,"&gt;=01/03/2020",'NC Qualité'!A:A,"&lt;=31/03/2020",'NC Qualité'!E:E,"Précontraint",'NC Qualité'!I:I,"Aspect béton (tâches / nid d'abeilles / granuleux / Fissures etc.)")</f>
        <v>0</v>
      </c>
      <c r="G160" s="21"/>
      <c r="H160">
        <f>COUNTIFS('NC Qualité'!A:A,"&gt;=01/03/2020",'NC Qualité'!A:A,"&lt;=31/03/2020",'NC Qualité'!E:E,"Précontraint",'NC Qualité'!I:I,"Ancre de levage")</f>
        <v>0</v>
      </c>
      <c r="I160" s="21"/>
      <c r="J160">
        <f>COUNTIFS('NC Qualité'!A:A,"&gt;=01/03/2020",'NC Qualité'!A:A,"&lt;=31/03/2020",'NC Qualité'!E:E,"Précontraint",'NC Qualité'!I:I,"Armatures apparentes")</f>
        <v>0</v>
      </c>
      <c r="K160" s="21"/>
      <c r="L160" s="21"/>
      <c r="M160" s="21"/>
      <c r="N160" s="21"/>
      <c r="O160">
        <f>COUNTIFS('NC Qualité'!A:A,"&gt;=01/03/2020",'NC Qualité'!A:A,"&lt;=31/03/2020",'NC Qualité'!E:E,"Précontraint",'NC Qualité'!I:I,"Autres :")</f>
        <v>0</v>
      </c>
      <c r="P160">
        <f>COUNTIFS('NC Qualité'!A:A,"&gt;=01/03/2020",'NC Qualité'!A:A,"&lt;=31/03/2020",'NC Qualité'!E:E,"Précontraint",'NC Qualité'!I:I,"Accessoires (Mauvais positionnement , manquement, etc.)")</f>
        <v>0</v>
      </c>
      <c r="Q160">
        <f>COUNTIFS('NC Qualité'!A:A,"&gt;=01/03/2020",'NC Qualité'!A:A,"&lt;=31/03/2020",'NC Qualité'!E:E,"Précontraint",'NC Qualité'!I:I,"équerrisage")</f>
        <v>0</v>
      </c>
      <c r="R160">
        <f>COUNTIFS('NC Qualité'!A:A,"&gt;=01/03/2020",'NC Qualité'!A:A,"&lt;=31/03/2020",'NC Qualité'!E:E,"Précontraint",'NC Qualité'!I:I,"Seuil de porte (réservation)")</f>
        <v>0</v>
      </c>
      <c r="S160">
        <f>COUNTIFS('NC Qualité'!A:A,"&gt;=01/03/2020",'NC Qualité'!A:A,"&lt;=31/03/2020",'NC Qualité'!E:E,"Précontraint",'NC Qualité'!I:I,"épaisseur")</f>
        <v>0</v>
      </c>
      <c r="T160">
        <f>COUNTIFS('NC Qualité'!A:A,"&gt;=01/03/2020",'NC Qualité'!A:A,"&lt;=31/03/2020",'NC Qualité'!E:E,"Précontraint",'NC Qualité'!I:I,"Chanfrein")</f>
        <v>0</v>
      </c>
      <c r="U160">
        <f>COUNTIFS('NC Qualité'!A:A,"&gt;=01/03/2020",'NC Qualité'!A:A,"&lt;=31/03/2020",'NC Qualité'!E:E,"Précontraint",'NC Qualité'!I:I,"Dimensionnement (entraînant un rebut)")</f>
        <v>0</v>
      </c>
      <c r="V160">
        <f>COUNTIFS('NC Qualité'!A:A,"&gt;=01/03/2020",'NC Qualité'!A:A,"&lt;=31/03/2020",'NC Qualité'!E:E,"Précontraint",'NC Qualité'!I:I,"Cintrage")</f>
        <v>0</v>
      </c>
      <c r="W160">
        <f>COUNTIFS('NC Qualité'!A:A,"&gt;=01/03/2020",'NC Qualité'!A:A,"&lt;=31/03/2020",'NC Qualité'!E:E,"Précontraint",'NC Qualité'!I:I,"Problème de chargement (sanglage, casse etc.)")</f>
        <v>0</v>
      </c>
      <c r="X160" s="27">
        <f>COUNTIFS('NC Qualité'!A:A,"&gt;=01/03/2020",'NC Qualité'!A:A,"&lt;=31/03/2020",'NC Qualité'!E:E,"Précontraint",'NC Qualité'!I:I,"Erreur de chargement ")</f>
        <v>0</v>
      </c>
      <c r="AA160" s="31">
        <f>COUNTIFS('NC Qualité'!A:A,"&gt;=01/03/2020",'NC Qualité'!A:A,"&lt;=31/03/2020",'NC Qualité'!E:E,"Précontraint",'NC Qualité'!S:S,1)</f>
        <v>0</v>
      </c>
      <c r="AB160" s="31">
        <f>COUNTIFS('NC Qualité'!A:A,"&gt;=01/03/2020",'NC Qualité'!A:A,"&lt;=31/03/2020",'NC Qualité'!E:E,"Précontraint",'NC Qualité'!Q:Q,"A")</f>
        <v>0</v>
      </c>
    </row>
    <row r="161" spans="1:28" ht="21" x14ac:dyDescent="0.35">
      <c r="A161" s="67"/>
      <c r="B161" s="2" t="s">
        <v>1</v>
      </c>
      <c r="C161" s="22"/>
      <c r="D161" s="23">
        <f>COUNTIFS('NC Qualité'!A:A,"&gt;=01/03/2020",'NC Qualité'!A:A,"&lt;=31/03/2020",'NC Qualité'!E:E,"Parc",'NC Qualité'!I:I,"Problème d'étiquetage")</f>
        <v>0</v>
      </c>
      <c r="E161" s="24"/>
      <c r="F161" s="23">
        <f>COUNTIFS('NC Qualité'!A:A,"&gt;=01/03/2020",'NC Qualité'!A:A,"&lt;=31/03/2020",'NC Qualité'!E:E,"Parc",'NC Qualité'!I:I,"Aspect béton (tâches / nid d'abeilles / granuleux / Fissures etc.)")</f>
        <v>0</v>
      </c>
      <c r="G161" s="24"/>
      <c r="H161" s="23">
        <f>COUNTIFS('NC Qualité'!A:A,"&gt;=01/03/2020",'NC Qualité'!A:A,"&lt;=31/03/2020",'NC Qualité'!E:E,"Parc",'NC Qualité'!I:I,"Ancre de levage")</f>
        <v>0</v>
      </c>
      <c r="I161" s="24"/>
      <c r="J161" s="23">
        <f>COUNTIFS('NC Qualité'!A:A,"&gt;=01/03/2020",'NC Qualité'!A:A,"&lt;=31/03/2020",'NC Qualité'!E:E,"Parc",'NC Qualité'!I:I,"Armatures apparentes")</f>
        <v>0</v>
      </c>
      <c r="K161" s="24"/>
      <c r="L161" s="24"/>
      <c r="M161" s="24"/>
      <c r="N161" s="24"/>
      <c r="O161" s="23">
        <f>COUNTIFS('NC Qualité'!A:A,"&gt;=01/03/2020",'NC Qualité'!A:A,"&lt;=31/03/2020",'NC Qualité'!E:E,"Parc",'NC Qualité'!I:I,"Autres :")</f>
        <v>0</v>
      </c>
      <c r="P161" s="23">
        <f>COUNTIFS('NC Qualité'!A:A,"&gt;=01/03/2020",'NC Qualité'!A:A,"&lt;=31/03/2020",'NC Qualité'!E:E,"Parc",'NC Qualité'!I:I,"Accessoires (Mauvais positionnement , manquement, etc.)")</f>
        <v>0</v>
      </c>
      <c r="Q161" s="23">
        <f>COUNTIFS('NC Qualité'!A:A,"&gt;=01/03/2020",'NC Qualité'!A:A,"&lt;=31/03/2020",'NC Qualité'!E:E,"Parc",'NC Qualité'!I:I,"équerrisage")</f>
        <v>0</v>
      </c>
      <c r="R161" s="23">
        <f>COUNTIFS('NC Qualité'!A:A,"&gt;=01/03/2020",'NC Qualité'!A:A,"&lt;=31/03/2020",'NC Qualité'!E:E,"Parc",'NC Qualité'!I:I,"Seuil de porte (réservation)")</f>
        <v>0</v>
      </c>
      <c r="S161" s="23">
        <f>COUNTIFS('NC Qualité'!A:A,"&gt;=01/03/2020",'NC Qualité'!A:A,"&lt;=31/03/2020",'NC Qualité'!E:E,"Parc",'NC Qualité'!I:I,"épaisseur")</f>
        <v>0</v>
      </c>
      <c r="T161" s="23">
        <f>COUNTIFS('NC Qualité'!A:A,"&gt;=01/03/2020",'NC Qualité'!A:A,"&lt;=31/03/2020",'NC Qualité'!E:E,"Parc",'NC Qualité'!I:I,"Chanfrein")</f>
        <v>0</v>
      </c>
      <c r="U161" s="23">
        <f>COUNTIFS('NC Qualité'!A:A,"&gt;=01/03/2020",'NC Qualité'!A:A,"&lt;=31/03/2020",'NC Qualité'!E:E,"Parc",'NC Qualité'!I:I,"Dimensionnement (entraînant un rebut)")</f>
        <v>0</v>
      </c>
      <c r="V161" s="23">
        <f>COUNTIFS('NC Qualité'!A:A,"&gt;=01/03/2020",'NC Qualité'!A:A,"&lt;=31/03/2020",'NC Qualité'!E:E,"Parc",'NC Qualité'!I:I,"Cintrage")</f>
        <v>0</v>
      </c>
      <c r="W161" s="23">
        <f>COUNTIFS('NC Qualité'!A:A,"&gt;=01/03/2020",'NC Qualité'!A:A,"&lt;=31/03/2020",'NC Qualité'!E:E,"Parc",'NC Qualité'!I:I,"Problème de chargement (sanglage, casse etc.)")</f>
        <v>0</v>
      </c>
      <c r="X161" s="28">
        <f>COUNTIFS('NC Qualité'!A:A,"&gt;=01/03/2020",'NC Qualité'!A:A,"&lt;=31/03/2020",'NC Qualité'!E:E,"Parc",'NC Qualité'!I:I,"Erreur de chargement ")</f>
        <v>0</v>
      </c>
      <c r="AA161" s="31">
        <f>COUNTIFS('NC Qualité'!A:A,"&gt;=01/03/2020",'NC Qualité'!A:A,"&lt;=31/03/2020",'NC Qualité'!E:E,"Parc",'NC Qualité'!S:S,1)</f>
        <v>0</v>
      </c>
      <c r="AB161" s="31">
        <f>COUNTIFS('NC Qualité'!A:A,"&gt;=01/03/2020",'NC Qualité'!A:A,"&lt;=31/03/2020",'NC Qualité'!E:E,"Parc",'NC Qualité'!Q:Q,"A")</f>
        <v>0</v>
      </c>
    </row>
    <row r="162" spans="1:28" ht="23.5" x14ac:dyDescent="0.35">
      <c r="AA162" s="34">
        <f>SUM(AA150:AA161)</f>
        <v>0</v>
      </c>
      <c r="AB162" s="34">
        <f>SUM(AB150:AB161)</f>
        <v>0</v>
      </c>
    </row>
    <row r="163" spans="1:28" ht="15" thickBot="1" x14ac:dyDescent="0.4"/>
    <row r="164" spans="1:28" ht="15" thickBot="1" x14ac:dyDescent="0.4">
      <c r="A164" s="42"/>
      <c r="B164" s="43"/>
      <c r="C164" s="43"/>
      <c r="D164" s="43"/>
      <c r="E164" s="43"/>
      <c r="F164" s="43"/>
      <c r="G164" s="43"/>
      <c r="H164" s="43"/>
      <c r="I164" s="43"/>
      <c r="J164" s="43"/>
      <c r="K164" s="43"/>
      <c r="L164" s="43"/>
      <c r="M164" s="43"/>
      <c r="N164" s="43"/>
      <c r="O164" s="43"/>
      <c r="P164" s="43"/>
      <c r="Q164" s="43"/>
      <c r="R164" s="43"/>
      <c r="S164" s="43"/>
      <c r="T164" s="43"/>
      <c r="U164" s="43"/>
      <c r="V164" s="43"/>
      <c r="W164" s="43"/>
      <c r="X164" s="43"/>
      <c r="Y164" s="43"/>
      <c r="Z164" s="43"/>
      <c r="AA164" s="43"/>
      <c r="AB164" s="44"/>
    </row>
    <row r="166" spans="1:28" x14ac:dyDescent="0.35">
      <c r="B166" t="s">
        <v>56</v>
      </c>
    </row>
    <row r="168" spans="1:28" ht="105" x14ac:dyDescent="0.35">
      <c r="B168" s="14" t="s">
        <v>29</v>
      </c>
      <c r="C168" s="20" t="s">
        <v>25</v>
      </c>
      <c r="D168" s="20" t="s">
        <v>78</v>
      </c>
      <c r="E168" s="20" t="s">
        <v>79</v>
      </c>
      <c r="F168" s="20" t="s">
        <v>77</v>
      </c>
      <c r="G168" s="20"/>
      <c r="H168" s="20"/>
      <c r="I168" s="20"/>
      <c r="J168" s="20" t="s">
        <v>35</v>
      </c>
      <c r="K168" s="20"/>
      <c r="L168" s="20" t="s">
        <v>82</v>
      </c>
      <c r="M168" s="20"/>
      <c r="N168" s="20" t="s">
        <v>39</v>
      </c>
      <c r="O168" s="20" t="s">
        <v>40</v>
      </c>
      <c r="P168" s="20" t="s">
        <v>24</v>
      </c>
      <c r="Q168" s="20" t="s">
        <v>43</v>
      </c>
      <c r="R168" s="20" t="s">
        <v>27</v>
      </c>
      <c r="S168" s="20" t="s">
        <v>44</v>
      </c>
      <c r="T168" s="20" t="s">
        <v>5</v>
      </c>
      <c r="U168" s="20" t="s">
        <v>25</v>
      </c>
      <c r="V168" s="20" t="s">
        <v>7</v>
      </c>
      <c r="W168" s="20" t="s">
        <v>28</v>
      </c>
      <c r="X168" s="20" t="s">
        <v>45</v>
      </c>
      <c r="AA168" s="33" t="s">
        <v>47</v>
      </c>
      <c r="AB168" s="32" t="s">
        <v>46</v>
      </c>
    </row>
    <row r="169" spans="1:28" ht="21" customHeight="1" x14ac:dyDescent="0.35">
      <c r="A169" s="67" t="s">
        <v>42</v>
      </c>
      <c r="B169" s="2" t="s">
        <v>70</v>
      </c>
      <c r="C169">
        <f>COUNTIFS('NC Qualité'!A:A,"&gt;=01/04/2020",'NC Qualité'!A:A,"&lt;=31/04/2020",'NC Qualité'!E:E,"Blocs",'NC Qualité'!I:I,"Dimensionnement (entraînant un rebut)")</f>
        <v>0</v>
      </c>
      <c r="D169">
        <f>COUNTIFS('NC Qualité'!A:A,"&gt;=01/04/2020",'NC Qualité'!A:A,"&lt;=31/04/2020",'NC Qualité'!E:E,"Blocs",'NC Qualité'!I:I,"Perçage du voile de pose")</f>
        <v>0</v>
      </c>
      <c r="E169">
        <f>COUNTIFS('NC Qualité'!A:A,"&gt;=01/04/2020",'NC Qualité'!A:A,"&lt;=31/04/2020",'NC Qualité'!E:E,"Blocs",'NC Qualité'!I:I,"Palettisation")</f>
        <v>0</v>
      </c>
      <c r="F169">
        <f>COUNTIFS('NC Qualité'!A:A,"&gt;=01/04/2020",'NC Qualité'!A:A,"&lt;=30/04/2021",'NC Qualité'!E:E,"Blocs",'NC Qualité'!I:I,"Aspect béton (Fissures, etc.)")</f>
        <v>1</v>
      </c>
      <c r="J169">
        <f>COUNTIFS('NC Qualité'!A:A,"&gt;=01/04/2020",'NC Qualité'!A:A,"&lt;=31/04/2020",'NC Qualité'!E:E,"Blocs",'NC Qualité'!I:I,"Armatures apparentes")</f>
        <v>0</v>
      </c>
      <c r="L169">
        <f>COUNTIFS('NC Qualité'!A:A,"&gt;=01/04/2020",'NC Qualité'!A:A,"&lt;=31/04/2020",'NC Qualité'!E:E,"Blocs",'NC Qualité'!I:I,"Délais de livraison")</f>
        <v>0</v>
      </c>
      <c r="N169">
        <f>COUNTIFS('NC Qualité'!A:A,"&gt;=01/04/2020",'NC Qualité'!A:A,"&lt;=31/04/2020",'NC Qualité'!E:E,"Blocs",'NC Qualité'!I:I,"Casse de l'élément")</f>
        <v>0</v>
      </c>
      <c r="O169">
        <f>COUNTIFS('NC Qualité'!A:A,"&gt;=01/04/2020",'NC Qualité'!A:A,"&lt;=31/04/2020",'NC Qualité'!E:E,"Blocs",'NC Qualité'!I:I,"Autres :")</f>
        <v>0</v>
      </c>
      <c r="P169" s="21"/>
      <c r="Q169" s="21"/>
      <c r="R169" s="21"/>
      <c r="S169" s="21"/>
      <c r="T169" s="21"/>
      <c r="U169" s="21"/>
      <c r="V169" s="21"/>
      <c r="W169" s="21"/>
      <c r="X169" s="25"/>
      <c r="AA169" s="31">
        <f>COUNTIFS('NC Qualité'!A:A,"&gt;=01/04/2020",'NC Qualité'!A:A,"&lt;=30/04/2020",'NC Qualité'!E:E,"Blocs",'NC Qualité'!S:S,1)</f>
        <v>0</v>
      </c>
      <c r="AB169" s="31">
        <f>COUNTIFS('NC Qualité'!A:A,"&gt;=01/04/2020",'NC Qualité'!A:A,"&lt;=30/04/2020",'NC Qualité'!E:E,"Blocs",'NC Qualité'!Q:Q,"A")</f>
        <v>0</v>
      </c>
    </row>
    <row r="170" spans="1:28" ht="21" x14ac:dyDescent="0.35">
      <c r="A170" s="67"/>
      <c r="B170" s="2" t="s">
        <v>71</v>
      </c>
      <c r="C170">
        <f>COUNTIFS('NC Qualité'!A:A,"&gt;=01/04/2020",'NC Qualité'!A:A,"&lt;=31/04/2020",'NC Qualité'!E:E,"Poutrelles",'NC Qualité'!I:I,"Dimensionnement (entraînant un rebut)")</f>
        <v>0</v>
      </c>
      <c r="D170">
        <f>COUNTIFS('NC Qualité'!A:A,"&gt;=01/04/2020",'NC Qualité'!A:A,"&lt;=31/04/2020",'NC Qualité'!E:E,"Poutrelles",'NC Qualité'!I:I,"Perçage du voile de pose")</f>
        <v>0</v>
      </c>
      <c r="E170">
        <f>COUNTIFS('NC Qualité'!A:A,"&gt;=01/04/2020",'NC Qualité'!A:A,"&lt;=31/04/2020",'NC Qualité'!E:E,"Poutrelles",'NC Qualité'!I:I,"Palettisation")</f>
        <v>0</v>
      </c>
      <c r="F170">
        <f>COUNTIFS('NC Qualité'!A:A,"&gt;=01/04/2020",'NC Qualité'!A:A,"&lt;=31/04/2020",'NC Qualité'!E:E,"Poutrelles",'NC Qualité'!I:I,"Aspect béton (Fissures, etc.)")</f>
        <v>0</v>
      </c>
      <c r="J170">
        <f>COUNTIFS('NC Qualité'!A:A,"&gt;=01/04/2020",'NC Qualité'!A:A,"&lt;=31/04/2020",'NC Qualité'!E:E,"Poutrelles",'NC Qualité'!I:I,"Armatures apparentes")</f>
        <v>0</v>
      </c>
      <c r="L170">
        <f>COUNTIFS('NC Qualité'!A:A,"&gt;=01/04/2020",'NC Qualité'!A:A,"&lt;=31/04/2020",'NC Qualité'!E:E,"Poutrelles",'NC Qualité'!I:I,"Délais de livraison")</f>
        <v>0</v>
      </c>
      <c r="N170">
        <f>COUNTIFS('NC Qualité'!A:A,"&gt;=01/04/2020",'NC Qualité'!A:A,"&lt;=31/04/2020",'NC Qualité'!E:E,"Poutrelles",'NC Qualité'!I:I,"Casse de l'élément")</f>
        <v>0</v>
      </c>
      <c r="O170">
        <f>COUNTIFS('NC Qualité'!A:A,"&gt;=01/04/2020",'NC Qualité'!A:A,"&lt;=31/04/2020",'NC Qualité'!E:E,"Poutrelles",'NC Qualité'!I:I,"Autres :")</f>
        <v>0</v>
      </c>
      <c r="P170" s="21"/>
      <c r="Q170" s="21"/>
      <c r="R170" s="21"/>
      <c r="S170" s="21"/>
      <c r="T170" s="21"/>
      <c r="U170" s="21"/>
      <c r="V170" s="21"/>
      <c r="W170" s="21"/>
      <c r="X170" s="26"/>
      <c r="AA170" s="31">
        <f>COUNTIFS('NC Qualité'!A:A,"&gt;=01/04/2020",'NC Qualité'!A:A,"&lt;=30/04/2020",'NC Qualité'!E:E,"Poutrelles",'NC Qualité'!S:S,1)</f>
        <v>0</v>
      </c>
      <c r="AB170" s="31">
        <f>COUNTIFS('NC Qualité'!A:A,"&gt;=01/04/2020",'NC Qualité'!A:A,"&lt;=30/04/2020",'NC Qualité'!E:E,"Poutrelles",'NC Qualité'!Q:Q,"A")</f>
        <v>0</v>
      </c>
    </row>
    <row r="171" spans="1:28" ht="21" x14ac:dyDescent="0.35">
      <c r="A171" s="67"/>
      <c r="B171" s="2" t="s">
        <v>72</v>
      </c>
      <c r="C171">
        <f>COUNTIFS('NC Qualité'!A:A,"&gt;=01/04/2020",'NC Qualité'!A:A,"&lt;=31/04/2020",'NC Qualité'!E:E,"Hourdis",'NC Qualité'!I:I,"Dimensionnement (entraînant un rebut)")</f>
        <v>0</v>
      </c>
      <c r="D171">
        <f>COUNTIFS('NC Qualité'!A:A,"&gt;=01/04/2020",'NC Qualité'!A:A,"&lt;=31/04/2020",'NC Qualité'!E:E,"Hourdis",'NC Qualité'!I:I,"Problème d'étiquetage")</f>
        <v>0</v>
      </c>
      <c r="E171">
        <f>COUNTIFS('NC Qualité'!A:A,"&gt;=01/04/2020",'NC Qualité'!A:A,"&lt;=31/04/2020",'NC Qualité'!E:E,"Hourdis",'NC Qualité'!I:I,"Palettisation")</f>
        <v>0</v>
      </c>
      <c r="F171">
        <f>COUNTIFS('NC Qualité'!A:A,"&gt;=01/04/2020",'NC Qualité'!A:A,"&lt;=31/04/2020",'NC Qualité'!E:E,"Hourdis",'NC Qualité'!I:I,"Aspect béton (Fissures, etc.)")</f>
        <v>0</v>
      </c>
      <c r="J171">
        <f>COUNTIFS('NC Qualité'!A:A,"&gt;=01/04/2020",'NC Qualité'!A:A,"&lt;=31/04/2020",'NC Qualité'!E:E,"Hourdis",'NC Qualité'!I:I,"Armatures apparentes")</f>
        <v>0</v>
      </c>
      <c r="L171">
        <f>COUNTIFS('NC Qualité'!A:A,"&gt;=01/04/2020",'NC Qualité'!A:A,"&lt;=31/04/2020",'NC Qualité'!E:E,"Hourdis",'NC Qualité'!I:I,"Délais de livraison")</f>
        <v>0</v>
      </c>
      <c r="N171">
        <f>COUNTIFS('NC Qualité'!A:A,"&gt;=01/04/2020",'NC Qualité'!A:A,"&lt;=31/04/2020",'NC Qualité'!E:E,"Hourdis",'NC Qualité'!I:I,"Casse de l'élément")</f>
        <v>0</v>
      </c>
      <c r="O171">
        <f>COUNTIFS('NC Qualité'!A:A,"&gt;=01/04/2020",'NC Qualité'!A:A,"&lt;=31/04/2020",'NC Qualité'!E:E,"Hourdis",'NC Qualité'!I:I,"Autres :")</f>
        <v>0</v>
      </c>
      <c r="P171" s="21"/>
      <c r="Q171" s="21"/>
      <c r="R171" s="21"/>
      <c r="S171" s="21"/>
      <c r="T171" s="21"/>
      <c r="U171" s="21"/>
      <c r="V171" s="21"/>
      <c r="W171" s="21"/>
      <c r="X171" s="26"/>
      <c r="AA171" s="31">
        <f>COUNTIFS('NC Qualité'!A:A,"&gt;=01/04/2020",'NC Qualité'!A:A,"&lt;=30/04/2020",'NC Qualité'!E:E,"Hourdis",'NC Qualité'!S:S,1)</f>
        <v>0</v>
      </c>
      <c r="AB171" s="31">
        <f>COUNTIFS('NC Qualité'!A:A,"&gt;=01/04/2020",'NC Qualité'!A:A,"&lt;=30/04/2020",'NC Qualité'!E:E,"Hourdis",'NC Qualité'!Q:Q,"A")</f>
        <v>0</v>
      </c>
    </row>
    <row r="172" spans="1:28" ht="29" x14ac:dyDescent="0.35">
      <c r="A172" s="67"/>
      <c r="B172" s="56" t="s">
        <v>98</v>
      </c>
      <c r="C172">
        <f>COUNTIFS('NC Qualité'!A:A,"&gt;=01/04/2020",'NC Qualité'!A:A,"&lt;=31/04/2020",'NC Qualité'!E:E,"Blocs à bancher",'NC Qualité'!I:I,"Dimensionnement (entraînant un rebut)")</f>
        <v>0</v>
      </c>
      <c r="D172">
        <f>COUNTIFS('NC Qualité'!A:A,"&gt;=01/04/2020",'NC Qualité'!A:A,"&lt;=31/04/2020",'NC Qualité'!E:E,"Blocs à bancher",'NC Qualité'!I:I,"Problème d'étiquetage")</f>
        <v>0</v>
      </c>
      <c r="E172">
        <f>COUNTIFS('NC Qualité'!A:A,"&gt;=01/04/2020",'NC Qualité'!A:A,"&lt;=31/04/2020",'NC Qualité'!E:E,"Blocs à bancher",'NC Qualité'!I:I,"Palettisation")</f>
        <v>0</v>
      </c>
      <c r="F172">
        <f>COUNTIFS('NC Qualité'!A:A,"&gt;=01/04/2020",'NC Qualité'!A:A,"&lt;=31/04/2020",'NC Qualité'!E:E,"Blocs à bancher",'NC Qualité'!I:I,"Aspect béton (Fissures, etc.)")</f>
        <v>0</v>
      </c>
      <c r="J172">
        <f>COUNTIFS('NC Qualité'!A:A,"&gt;=01/04/2020",'NC Qualité'!A:A,"&lt;=31/04/2020",'NC Qualité'!E:E,"Blocs à bancher",'NC Qualité'!I:I,"Armatures apparentes")</f>
        <v>0</v>
      </c>
      <c r="L172">
        <f>COUNTIFS('NC Qualité'!A:A,"&gt;=01/04/2020",'NC Qualité'!A:A,"&lt;=31/04/2020",'NC Qualité'!E:E,"Blocs à bancher",'NC Qualité'!I:I,"Délais de livraison")</f>
        <v>0</v>
      </c>
      <c r="N172">
        <f>COUNTIFS('NC Qualité'!A:A,"&gt;=01/04/2020",'NC Qualité'!A:A,"&lt;=31/04/2020",'NC Qualité'!E:E,"Blocs à bancher",'NC Qualité'!I:I,"Casse de l'élément")</f>
        <v>0</v>
      </c>
      <c r="O172">
        <f>COUNTIFS('NC Qualité'!A:A,"&gt;=01/04/2020",'NC Qualité'!A:A,"&lt;=31/04/2020",'NC Qualité'!E:E,"Blocs à bancher",'NC Qualité'!I:I,"Autres :")</f>
        <v>0</v>
      </c>
      <c r="P172" s="21"/>
      <c r="Q172" s="21"/>
      <c r="R172" s="21"/>
      <c r="S172" s="21"/>
      <c r="T172" s="21"/>
      <c r="U172" s="21"/>
      <c r="V172" s="21"/>
      <c r="W172" s="21"/>
      <c r="X172" s="26"/>
      <c r="AA172" s="31">
        <f>COUNTIFS('NC Qualité'!A:A,"&gt;=01/04/2020",'NC Qualité'!A:A,"&lt;=30/04/2020",'NC Qualité'!E:E,"Bordures",'NC Qualité'!S:S,1)</f>
        <v>0</v>
      </c>
      <c r="AB172" s="31">
        <f>COUNTIFS('NC Qualité'!A:A,"&gt;=01/04/2020",'NC Qualité'!A:A,"&lt;=30/04/2020",'NC Qualité'!E:E,"Bordures",'NC Qualité'!Q:Q,"A")</f>
        <v>0</v>
      </c>
    </row>
    <row r="173" spans="1:28" ht="21" x14ac:dyDescent="0.35">
      <c r="A173" s="67"/>
      <c r="B173" s="2"/>
      <c r="P173" s="21"/>
      <c r="Q173" s="21"/>
      <c r="R173" s="21"/>
      <c r="S173" s="21"/>
      <c r="T173" s="21"/>
      <c r="U173" s="21"/>
      <c r="V173" s="21"/>
      <c r="W173" s="21"/>
      <c r="X173" s="26"/>
      <c r="AA173" s="31">
        <f>COUNTIFS('NC Qualité'!A:A,"&gt;=01/04/2020",'NC Qualité'!A:A,"&lt;=30/04/2020",'NC Qualité'!E:E,"Caniveaux",'NC Qualité'!S:S,1)</f>
        <v>0</v>
      </c>
      <c r="AB173" s="31">
        <f>COUNTIFS('NC Qualité'!A:A,"&gt;=01/04/2020",'NC Qualité'!A:A,"&lt;=30/04/2020",'NC Qualité'!E:E,"Caniveaux",'NC Qualité'!Q:Q,"A")</f>
        <v>0</v>
      </c>
    </row>
    <row r="174" spans="1:28" ht="21" x14ac:dyDescent="0.35">
      <c r="A174" s="67"/>
      <c r="B174" s="15"/>
      <c r="P174" s="21"/>
      <c r="Q174" s="21"/>
      <c r="R174" s="21"/>
      <c r="S174" s="21"/>
      <c r="T174" s="21"/>
      <c r="U174" s="21"/>
      <c r="V174" s="21"/>
      <c r="W174" s="21"/>
      <c r="X174" s="26"/>
      <c r="AA174" s="31">
        <f>COUNTIFS('NC Qualité'!A:A,"&gt;=01/04/2020",'NC Qualité'!A:A,"&lt;=30/04/2020",'NC Qualité'!E:E,"Fielding : Bordures et Caniveaux",'NC Qualité'!S:S,1)</f>
        <v>0</v>
      </c>
      <c r="AB174" s="31">
        <f>COUNTIFS('NC Qualité'!A:A,"&gt;=01/04/2020",'NC Qualité'!A:A,"&lt;=30/04/2020",'NC Qualité'!E:E,"Fielding : Bordures et Caniveaux",'NC Qualité'!Q:Q,"A")</f>
        <v>0</v>
      </c>
    </row>
    <row r="175" spans="1:28" ht="21" x14ac:dyDescent="0.35">
      <c r="A175" s="67"/>
      <c r="B175" s="2"/>
      <c r="P175" s="21"/>
      <c r="Q175" s="21"/>
      <c r="R175" s="21"/>
      <c r="S175" s="21"/>
      <c r="T175" s="21"/>
      <c r="U175" s="21"/>
      <c r="V175" s="21"/>
      <c r="W175" s="21"/>
      <c r="X175" s="26"/>
      <c r="AA175" s="31">
        <f>COUNTIFS('NC Qualité'!A:A,"&gt;=01/04/2020",'NC Qualité'!A:A,"&lt;=30/04/2020",'NC Qualité'!E:E,"Modul : Tuyaux Dn 1800 à 2630",'NC Qualité'!S:S,1)</f>
        <v>0</v>
      </c>
      <c r="AB175" s="31">
        <f>COUNTIFS('NC Qualité'!A:A,"&gt;=01/04/2020",'NC Qualité'!A:A,"&lt;=30/04/2020",'NC Qualité'!E:E,"Modul : Tuyaux Dn 1800 à 2630",'NC Qualité'!Q:Q,"A")</f>
        <v>0</v>
      </c>
    </row>
    <row r="176" spans="1:28" ht="29" x14ac:dyDescent="0.35">
      <c r="A176" s="67" t="s">
        <v>41</v>
      </c>
      <c r="B176" s="2" t="s">
        <v>6</v>
      </c>
      <c r="C176" s="21"/>
      <c r="D176">
        <f>COUNTIFS('NC Qualité'!A:A,"&gt;=01/04/2020",'NC Qualité'!A:A,"&lt;=30/04/2020",'NC Qualité'!E:E,"Panneau coulé à plat",'NC Qualité'!I:I,"Problème d'étiquetage")</f>
        <v>0</v>
      </c>
      <c r="E176" s="21"/>
      <c r="F176">
        <f>COUNTIFS('NC Qualité'!A:A,"&gt;=01/04/2020",'NC Qualité'!A:A,"&lt;=30/04/2020",'NC Qualité'!E:E,"Panneau coulé à plat",'NC Qualité'!I:I,"Aspect béton (tâches / nid d'abeilles / granuleux / Fissures etc.)")</f>
        <v>0</v>
      </c>
      <c r="G176" s="21"/>
      <c r="H176">
        <f>COUNTIFS('NC Qualité'!A:A,"&gt;=01/04/2020",'NC Qualité'!A:A,"&lt;=30/04/2020",'NC Qualité'!E:E,"Panneau coulé à plat",'NC Qualité'!I:I,"Ancre de levage")</f>
        <v>0</v>
      </c>
      <c r="I176" s="21"/>
      <c r="J176">
        <f>COUNTIFS('NC Qualité'!A:A,"&gt;=01/04/2020",'NC Qualité'!A:A,"&lt;=30/04/2020",'NC Qualité'!E:E,"Modul : Tuyaux Dn 1800 à 2630",'NC Qualité'!I:I,"Armatures apparentes")</f>
        <v>0</v>
      </c>
      <c r="K176" s="21"/>
      <c r="L176" s="21"/>
      <c r="M176" s="21"/>
      <c r="N176" s="21"/>
      <c r="O176">
        <f>COUNTIFS('NC Qualité'!A:A,"&gt;=01/04/2020",'NC Qualité'!A:A,"&lt;=30/04/2020",'NC Qualité'!E:E,"Panneau coulé à plat",'NC Qualité'!I:I,"Autres :")</f>
        <v>0</v>
      </c>
      <c r="P176">
        <f>COUNTIFS('NC Qualité'!A:A,"&gt;=01/04/2020",'NC Qualité'!A:A,"&lt;=30/04/2020",'NC Qualité'!E:E,"Panneau coulé à plat",'NC Qualité'!I:I,"Accessoires (Mauvais positionnement , manquement, etc.)")</f>
        <v>0</v>
      </c>
      <c r="Q176">
        <f>COUNTIFS('NC Qualité'!A:A,"&gt;=01/04/2020",'NC Qualité'!A:A,"&lt;=30/04/2020",'NC Qualité'!E:E,"Panneau coulé à plat",'NC Qualité'!I:I,"équerrisage")</f>
        <v>0</v>
      </c>
      <c r="R176">
        <f>COUNTIFS('NC Qualité'!A:A,"&gt;=01/04/2020",'NC Qualité'!A:A,"&lt;=30/04/2020",'NC Qualité'!E:E,"Panneau coulé à plat",'NC Qualité'!I:I,"Seuil de porte (réservation)")</f>
        <v>0</v>
      </c>
      <c r="S176">
        <f>COUNTIFS('NC Qualité'!A:A,"&gt;=01/04/2020",'NC Qualité'!A:A,"&lt;=30/04/2020",'NC Qualité'!E:E,"Panneau coulé à plat",'NC Qualité'!I:I,"épaisseur")</f>
        <v>0</v>
      </c>
      <c r="T176">
        <f>COUNTIFS('NC Qualité'!A:A,"&gt;=01/04/2020",'NC Qualité'!A:A,"&lt;=30/04/2020",'NC Qualité'!E:E,"Panneau coulé à plat",'NC Qualité'!I:I,"Chanfrein")</f>
        <v>0</v>
      </c>
      <c r="U176">
        <f>COUNTIFS('NC Qualité'!A:A,"&gt;=01/04/2020",'NC Qualité'!A:A,"&lt;=30/04/2020",'NC Qualité'!E:E,"Panneau coulé à plat",'NC Qualité'!I:I,"Dimensionnement (entraînant un rebut)")</f>
        <v>0</v>
      </c>
      <c r="V176">
        <f>COUNTIFS('NC Qualité'!A:A,"&gt;=01/04/2020",'NC Qualité'!A:A,"&lt;=30/04/2020",'NC Qualité'!E:E,"Panneau coulé à plat",'NC Qualité'!I:I,"Cintrage")</f>
        <v>0</v>
      </c>
      <c r="W176">
        <f>COUNTIFS('NC Qualité'!A:A,"&gt;=01/04/2020",'NC Qualité'!A:A,"&lt;=30/04/2020",'NC Qualité'!E:E,"Panneau coulé à plat",'NC Qualité'!I:I,"Problème de chargement (sanglage, casse etc.)")</f>
        <v>0</v>
      </c>
      <c r="X176" s="27">
        <f>COUNTIFS('NC Qualité'!A:A,"&gt;=01/04/2020",'NC Qualité'!A:A,"&lt;=30/04/2020",'NC Qualité'!E:E,"Panneau coulé à plat",'NC Qualité'!I:I,"Erreur de chargement ")</f>
        <v>0</v>
      </c>
      <c r="AA176" s="31">
        <f>COUNTIFS('NC Qualité'!A:A,"&gt;=01/04/2020",'NC Qualité'!A:A,"&lt;=30/04/2020",'NC Qualité'!E:E,"Panneau coulé à plat",'NC Qualité'!S:S,1)</f>
        <v>0</v>
      </c>
      <c r="AB176" s="31">
        <f>COUNTIFS('NC Qualité'!A:A,"&gt;=01/04/2020",'NC Qualité'!A:A,"&lt;=30/04/2020",'NC Qualité'!E:E,"Panneau coulé à plat",'NC Qualité'!Q:Q,"A")</f>
        <v>0</v>
      </c>
    </row>
    <row r="177" spans="1:28" ht="21" x14ac:dyDescent="0.35">
      <c r="A177" s="67"/>
      <c r="B177" s="2" t="s">
        <v>0</v>
      </c>
      <c r="C177" s="21"/>
      <c r="D177">
        <f>COUNTIFS('NC Qualité'!A:A,"&gt;=01/04/2020",'NC Qualité'!A:A,"&lt;=30/04/2020",'NC Qualité'!E:E,"Bianchi",'NC Qualité'!I:I,"Problème d'étiquetage")</f>
        <v>0</v>
      </c>
      <c r="E177" s="21"/>
      <c r="F177">
        <f>COUNTIFS('NC Qualité'!A:A,"&gt;=01/04/2020",'NC Qualité'!A:A,"&lt;=30/04/2020",'NC Qualité'!E:E,"Bianchi",'NC Qualité'!I:I,"Aspect béton (tâches / nid d'abeilles / granuleux / Fissures etc.)")</f>
        <v>0</v>
      </c>
      <c r="G177" s="21"/>
      <c r="H177">
        <f>COUNTIFS('NC Qualité'!A:A,"&gt;=01/04/2020",'NC Qualité'!A:A,"&lt;=30/04/2020",'NC Qualité'!E:E,"Bianchi",'NC Qualité'!I:I,"Ancre de levage")</f>
        <v>0</v>
      </c>
      <c r="I177" s="21"/>
      <c r="J177">
        <f>COUNTIFS('NC Qualité'!A:A,"&gt;=01/04/2020",'NC Qualité'!A:A,"&lt;=30/04/2020",'NC Qualité'!E:E,"Bianchi",'NC Qualité'!I:I,"Armatures apparentes")</f>
        <v>0</v>
      </c>
      <c r="K177" s="21"/>
      <c r="L177" s="21"/>
      <c r="M177" s="21"/>
      <c r="N177" s="21"/>
      <c r="O177">
        <f>COUNTIFS('NC Qualité'!A:A,"&gt;=01/04/2020",'NC Qualité'!A:A,"&lt;=30/04/2020",'NC Qualité'!E:E,"Bianchi",'NC Qualité'!I:I,"Autres :")</f>
        <v>0</v>
      </c>
      <c r="P177">
        <f>COUNTIFS('NC Qualité'!A:A,"&gt;=01/04/2020",'NC Qualité'!A:A,"&lt;=30/04/2020",'NC Qualité'!E:E,"Bianchi",'NC Qualité'!I:I,"Accessoires (Mauvais positionnement , manquement, etc.)")</f>
        <v>0</v>
      </c>
      <c r="Q177">
        <f>COUNTIFS('NC Qualité'!A:A,"&gt;=01/04/2020",'NC Qualité'!A:A,"&lt;=30/04/2020",'NC Qualité'!E:E,"Bianchi",'NC Qualité'!I:I,"équerrisage")</f>
        <v>0</v>
      </c>
      <c r="R177">
        <f>COUNTIFS('NC Qualité'!A:A,"&gt;=01/04/2020",'NC Qualité'!A:A,"&lt;=30/04/2020",'NC Qualité'!E:E,"Bianchi",'NC Qualité'!I:I,"Seuil de porte (réservation)")</f>
        <v>0</v>
      </c>
      <c r="S177">
        <f>COUNTIFS('NC Qualité'!A:A,"&gt;=01/04/2020",'NC Qualité'!A:A,"&lt;=30/04/2020",'NC Qualité'!E:E,"Bianchi",'NC Qualité'!I:I,"épaisseur")</f>
        <v>0</v>
      </c>
      <c r="T177">
        <f>COUNTIFS('NC Qualité'!A:A,"&gt;=01/04/2020",'NC Qualité'!A:A,"&lt;=30/04/2020",'NC Qualité'!E:E,"Bianchi",'NC Qualité'!I:I,"Chanfrein")</f>
        <v>0</v>
      </c>
      <c r="U177">
        <f>COUNTIFS('NC Qualité'!A:A,"&gt;=01/04/2020",'NC Qualité'!A:A,"&lt;=30/04/2020",'NC Qualité'!E:E,"Bianchi",'NC Qualité'!I:I,"Dimensionnement (entraînant un rebut)")</f>
        <v>0</v>
      </c>
      <c r="V177">
        <f>COUNTIFS('NC Qualité'!A:A,"&gt;=01/04/2020",'NC Qualité'!A:A,"&lt;=30/04/2020",'NC Qualité'!E:E,"Bianchi",'NC Qualité'!I:I,"Cintrage")</f>
        <v>0</v>
      </c>
      <c r="W177">
        <f>COUNTIFS('NC Qualité'!A:A,"&gt;=01/04/2020",'NC Qualité'!A:A,"&lt;=30/04/2020",'NC Qualité'!E:E,"Bianchi",'NC Qualité'!I:I,"Problème de chargement (sanglage, casse etc.)")</f>
        <v>0</v>
      </c>
      <c r="X177" s="27">
        <f>COUNTIFS('NC Qualité'!A:A,"&gt;=01/04/2020",'NC Qualité'!A:A,"&lt;=30/04/2020",'NC Qualité'!E:E,"Bianchi",'NC Qualité'!I:I,"Erreur de chargement ")</f>
        <v>0</v>
      </c>
      <c r="AA177" s="31">
        <f>COUNTIFS('NC Qualité'!A:A,"&gt;=01/04/2020",'NC Qualité'!A:A,"&lt;=30/04/2020",'NC Qualité'!E:E,"Bianchi",'NC Qualité'!S:S,1)</f>
        <v>0</v>
      </c>
      <c r="AB177" s="31">
        <f>COUNTIFS('NC Qualité'!A:A,"&gt;=01/04/2020",'NC Qualité'!A:A,"&lt;=30/04/2020",'NC Qualité'!E:E,"Bianchi",'NC Qualité'!Q:Q,"A")</f>
        <v>0</v>
      </c>
    </row>
    <row r="178" spans="1:28" ht="29" x14ac:dyDescent="0.35">
      <c r="A178" s="67"/>
      <c r="B178" s="2" t="s">
        <v>3</v>
      </c>
      <c r="C178" s="21"/>
      <c r="D178">
        <f>COUNTIFS('NC Qualité'!A:A,"&gt;=01/04/2020",'NC Qualité'!A:A,"&lt;=30/04/2020",'NC Qualité'!E:E,"Préfabrication",'NC Qualité'!I:I,"Problème d'étiquetage")</f>
        <v>0</v>
      </c>
      <c r="E178" s="21"/>
      <c r="F178">
        <f>COUNTIFS('NC Qualité'!A:A,"&gt;=01/04/2020",'NC Qualité'!A:A,"&lt;=30/04/2020",'NC Qualité'!E:E,"Préfabrication",'NC Qualité'!I:I,"Aspect béton (tâches / nid d'abeilles / granuleux / Fissures etc.)")</f>
        <v>0</v>
      </c>
      <c r="G178" s="21"/>
      <c r="H178">
        <f>COUNTIFS('NC Qualité'!A:A,"&gt;=01/04/2020",'NC Qualité'!A:A,"&lt;=30/04/2020",'NC Qualité'!E:E,"Préfabrication",'NC Qualité'!I:I,"Ancre de levage")</f>
        <v>0</v>
      </c>
      <c r="I178" s="21"/>
      <c r="J178">
        <f>COUNTIFS('NC Qualité'!A:A,"&gt;=01/04/2020",'NC Qualité'!A:A,"&lt;=30/04/2020",'NC Qualité'!E:E,"Préfabrication",'NC Qualité'!I:I,"Armatures apparentes")</f>
        <v>0</v>
      </c>
      <c r="K178" s="21"/>
      <c r="L178" s="21"/>
      <c r="M178" s="21"/>
      <c r="N178" s="21"/>
      <c r="O178">
        <f>COUNTIFS('NC Qualité'!A:A,"&gt;=01/04/2020",'NC Qualité'!A:A,"&lt;=30/04/2020",'NC Qualité'!E:E,"Préfabrication",'NC Qualité'!I:I,"Autres :")</f>
        <v>0</v>
      </c>
      <c r="P178">
        <f>COUNTIFS('NC Qualité'!A:A,"&gt;=01/04/2020",'NC Qualité'!A:A,"&lt;=30/04/2020",'NC Qualité'!E:E,"Préfabrication",'NC Qualité'!I:I,"Accessoires (Mauvais positionnement , manquement, etc.)")</f>
        <v>0</v>
      </c>
      <c r="Q178">
        <f>COUNTIFS('NC Qualité'!A:A,"&gt;=01/04/2020",'NC Qualité'!A:A,"&lt;=30/04/2020",'NC Qualité'!E:E,"Préfabrication",'NC Qualité'!I:I,"équerrisage")</f>
        <v>0</v>
      </c>
      <c r="R178">
        <f>COUNTIFS('NC Qualité'!A:A,"&gt;=01/04/2020",'NC Qualité'!A:A,"&lt;=30/04/2020",'NC Qualité'!E:E,"Préfabrication",'NC Qualité'!I:I,"Seuil de porte (réservation)")</f>
        <v>0</v>
      </c>
      <c r="S178">
        <f>COUNTIFS('NC Qualité'!A:A,"&gt;=01/04/2020",'NC Qualité'!A:A,"&lt;=30/04/2020",'NC Qualité'!E:E,"Préfabrication",'NC Qualité'!I:I,"épaisseur")</f>
        <v>0</v>
      </c>
      <c r="T178">
        <f>COUNTIFS('NC Qualité'!A:A,"&gt;=01/04/2020",'NC Qualité'!A:A,"&lt;=30/04/2020",'NC Qualité'!E:E,"Préfabrication",'NC Qualité'!I:I,"Chanfrein")</f>
        <v>0</v>
      </c>
      <c r="U178">
        <f>COUNTIFS('NC Qualité'!A:A,"&gt;=01/04/2020",'NC Qualité'!A:A,"&lt;=30/04/2020",'NC Qualité'!E:E,"Préfabrication",'NC Qualité'!I:I,"Dimensionnement (entraînant un rebut)")</f>
        <v>0</v>
      </c>
      <c r="V178">
        <f>COUNTIFS('NC Qualité'!A:A,"&gt;=01/04/2020",'NC Qualité'!A:A,"&lt;=30/04/2020",'NC Qualité'!E:E,"Préfabrication",'NC Qualité'!I:I,"Cintrage")</f>
        <v>0</v>
      </c>
      <c r="W178">
        <f>COUNTIFS('NC Qualité'!A:A,"&gt;=01/04/2020",'NC Qualité'!A:A,"&lt;=30/04/2020",'NC Qualité'!E:E,"Préfabrication",'NC Qualité'!I:I,"Problème de chargement (sanglage, casse etc.)")</f>
        <v>0</v>
      </c>
      <c r="X178" s="27">
        <f>COUNTIFS('NC Qualité'!A:A,"&gt;=01/04/2020",'NC Qualité'!A:A,"&lt;=30/04/2020",'NC Qualité'!E:E,"Préfabrication",'NC Qualité'!I:I,"Erreur de chargement ")</f>
        <v>0</v>
      </c>
      <c r="AA178" s="31">
        <f>COUNTIFS('NC Qualité'!A:A,"&gt;=01/04/2020",'NC Qualité'!A:A,"&lt;=30/04/2020",'NC Qualité'!E:E,"Préfabrication",'NC Qualité'!S:S,1)</f>
        <v>0</v>
      </c>
      <c r="AB178" s="31">
        <f>COUNTIFS('NC Qualité'!A:A,"&gt;=01/04/2020",'NC Qualité'!A:A,"&lt;=30/04/2020",'NC Qualité'!E:E,"Préfabrication",'NC Qualité'!Q:Q,"A")</f>
        <v>0</v>
      </c>
    </row>
    <row r="179" spans="1:28" ht="29" x14ac:dyDescent="0.35">
      <c r="A179" s="67"/>
      <c r="B179" s="16" t="s">
        <v>2</v>
      </c>
      <c r="C179" s="21"/>
      <c r="D179">
        <f>COUNTIFS('NC Qualité'!A:A,"&gt;=01/04/2020",'NC Qualité'!A:A,"&lt;=30/04/2020",'NC Qualité'!E:E,"Précontraint",'NC Qualité'!I:I,"Problème d'étiquetage")</f>
        <v>0</v>
      </c>
      <c r="E179" s="21"/>
      <c r="F179">
        <f>COUNTIFS('NC Qualité'!A:A,"&gt;=01/04/2020",'NC Qualité'!A:A,"&lt;=30/04/2020",'NC Qualité'!E:E,"Précontraint",'NC Qualité'!I:I,"Aspect béton (tâches / nid d'abeilles / granuleux / Fissures etc.)")</f>
        <v>0</v>
      </c>
      <c r="G179" s="21"/>
      <c r="H179">
        <f>COUNTIFS('NC Qualité'!A:A,"&gt;=01/04/2020",'NC Qualité'!A:A,"&lt;=30/04/2020",'NC Qualité'!E:E,"Précontraint",'NC Qualité'!I:I,"Ancre de levage")</f>
        <v>0</v>
      </c>
      <c r="I179" s="21"/>
      <c r="J179">
        <f>COUNTIFS('NC Qualité'!A:A,"&gt;=01/04/2020",'NC Qualité'!A:A,"&lt;=30/04/2020",'NC Qualité'!E:E,"Précontraint",'NC Qualité'!I:I,"Armatures apparentes")</f>
        <v>0</v>
      </c>
      <c r="K179" s="21"/>
      <c r="L179" s="21"/>
      <c r="M179" s="21"/>
      <c r="N179" s="21"/>
      <c r="O179">
        <f>COUNTIFS('NC Qualité'!A:A,"&gt;=01/04/2020",'NC Qualité'!A:A,"&lt;=30/04/2020",'NC Qualité'!E:E,"Précontraint",'NC Qualité'!I:I,"Autres :")</f>
        <v>0</v>
      </c>
      <c r="P179">
        <f>COUNTIFS('NC Qualité'!A:A,"&gt;=01/04/2020",'NC Qualité'!A:A,"&lt;=30/04/2020",'NC Qualité'!E:E,"Précontraint",'NC Qualité'!I:I,"Accessoires (Mauvais positionnement , manquement, etc.)")</f>
        <v>0</v>
      </c>
      <c r="Q179">
        <f>COUNTIFS('NC Qualité'!A:A,"&gt;=01/04/2020",'NC Qualité'!A:A,"&lt;=30/04/2020",'NC Qualité'!E:E,"Précontraint",'NC Qualité'!I:I,"équerrisage")</f>
        <v>0</v>
      </c>
      <c r="R179">
        <f>COUNTIFS('NC Qualité'!A:A,"&gt;=01/04/2020",'NC Qualité'!A:A,"&lt;=30/04/2020",'NC Qualité'!E:E,"Précontraint",'NC Qualité'!I:I,"Seuil de porte (réservation)")</f>
        <v>0</v>
      </c>
      <c r="S179">
        <f>COUNTIFS('NC Qualité'!A:A,"&gt;=01/04/2020",'NC Qualité'!A:A,"&lt;=30/04/2020",'NC Qualité'!E:E,"Précontraint",'NC Qualité'!I:I,"épaisseur")</f>
        <v>0</v>
      </c>
      <c r="T179">
        <f>COUNTIFS('NC Qualité'!A:A,"&gt;=01/04/2020",'NC Qualité'!A:A,"&lt;=30/04/2020",'NC Qualité'!E:E,"Précontraint",'NC Qualité'!I:I,"Chanfrein")</f>
        <v>0</v>
      </c>
      <c r="U179">
        <f>COUNTIFS('NC Qualité'!A:A,"&gt;=01/04/2020",'NC Qualité'!A:A,"&lt;=30/04/2020",'NC Qualité'!E:E,"Précontraint",'NC Qualité'!I:I,"Dimensionnement (entraînant un rebut)")</f>
        <v>0</v>
      </c>
      <c r="V179">
        <f>COUNTIFS('NC Qualité'!A:A,"&gt;=01/04/2020",'NC Qualité'!A:A,"&lt;=30/04/2020",'NC Qualité'!E:E,"Précontraint",'NC Qualité'!I:I,"Cintrage")</f>
        <v>0</v>
      </c>
      <c r="W179">
        <f>COUNTIFS('NC Qualité'!A:A,"&gt;=01/04/2020",'NC Qualité'!A:A,"&lt;=30/04/2020",'NC Qualité'!E:E,"Précontraint",'NC Qualité'!I:I,"Problème de chargement (sanglage, casse etc.)")</f>
        <v>0</v>
      </c>
      <c r="X179" s="27">
        <f>COUNTIFS('NC Qualité'!A:A,"&gt;=01/04/2020",'NC Qualité'!A:A,"&lt;=30/04/2020",'NC Qualité'!E:E,"Précontraint",'NC Qualité'!I:I,"Erreur de chargement ")</f>
        <v>0</v>
      </c>
      <c r="AA179" s="31">
        <f>COUNTIFS('NC Qualité'!A:A,"&gt;=01/04/2020",'NC Qualité'!A:A,"&lt;=30/04/2020",'NC Qualité'!E:E,"Précontraint",'NC Qualité'!S:S,1)</f>
        <v>0</v>
      </c>
      <c r="AB179" s="31">
        <f>COUNTIFS('NC Qualité'!A:A,"&gt;=01/04/2020",'NC Qualité'!A:A,"&lt;=30/04/2020",'NC Qualité'!E:E,"Précontraint",'NC Qualité'!Q:Q,"A")</f>
        <v>0</v>
      </c>
    </row>
    <row r="180" spans="1:28" ht="21" x14ac:dyDescent="0.35">
      <c r="A180" s="67"/>
      <c r="B180" s="2" t="s">
        <v>1</v>
      </c>
      <c r="C180" s="22"/>
      <c r="D180" s="23">
        <f>COUNTIFS('NC Qualité'!A:A,"&gt;=01/04/2020",'NC Qualité'!A:A,"&lt;=30/04/2020",'NC Qualité'!E:E,"Parc",'NC Qualité'!I:I,"Problème d'étiquetage")</f>
        <v>0</v>
      </c>
      <c r="E180" s="24"/>
      <c r="F180" s="23">
        <f>COUNTIFS('NC Qualité'!A:A,"&gt;=01/04/2020",'NC Qualité'!A:A,"&lt;=30/04/2020",'NC Qualité'!E:E,"Parc",'NC Qualité'!I:I,"Aspect béton (tâches / nid d'abeilles / granuleux / Fissures etc.)")</f>
        <v>0</v>
      </c>
      <c r="G180" s="24"/>
      <c r="H180" s="23">
        <f>COUNTIFS('NC Qualité'!A:A,"&gt;=01/04/2020",'NC Qualité'!A:A,"&lt;=30/04/2020",'NC Qualité'!E:E,"Parc",'NC Qualité'!I:I,"Ancre de levage")</f>
        <v>0</v>
      </c>
      <c r="I180" s="24"/>
      <c r="J180" s="23">
        <f>COUNTIFS('NC Qualité'!A:A,"&gt;=01/04/2020",'NC Qualité'!A:A,"&lt;=30/04/2020",'NC Qualité'!E:E,"Parc",'NC Qualité'!I:I,"Armatures apparentes")</f>
        <v>0</v>
      </c>
      <c r="K180" s="24"/>
      <c r="L180" s="24"/>
      <c r="M180" s="24"/>
      <c r="N180" s="24"/>
      <c r="O180" s="23">
        <f>COUNTIFS('NC Qualité'!A:A,"&gt;=01/04/2020",'NC Qualité'!A:A,"&lt;=30/04/2020",'NC Qualité'!E:E,"Parc",'NC Qualité'!I:I,"Autres :")</f>
        <v>0</v>
      </c>
      <c r="P180" s="23">
        <f>COUNTIFS('NC Qualité'!A:A,"&gt;=01/04/2020",'NC Qualité'!A:A,"&lt;=30/04/2020",'NC Qualité'!E:E,"Parc",'NC Qualité'!I:I,"Accessoires (Mauvais positionnement , manquement, etc.)")</f>
        <v>0</v>
      </c>
      <c r="Q180" s="23">
        <f>COUNTIFS('NC Qualité'!A:A,"&gt;=01/04/2020",'NC Qualité'!A:A,"&lt;=30/04/2020",'NC Qualité'!E:E,"Parc",'NC Qualité'!I:I,"équerrisage")</f>
        <v>0</v>
      </c>
      <c r="R180" s="23">
        <f>COUNTIFS('NC Qualité'!A:A,"&gt;=01/04/2020",'NC Qualité'!A:A,"&lt;=30/04/2020",'NC Qualité'!E:E,"Parc",'NC Qualité'!I:I,"Seuil de porte (réservation)")</f>
        <v>0</v>
      </c>
      <c r="S180" s="23">
        <f>COUNTIFS('NC Qualité'!A:A,"&gt;=01/04/2020",'NC Qualité'!A:A,"&lt;=30/04/2020",'NC Qualité'!E:E,"Parc",'NC Qualité'!I:I,"épaisseur")</f>
        <v>0</v>
      </c>
      <c r="T180" s="23">
        <f>COUNTIFS('NC Qualité'!A:A,"&gt;=01/04/2020",'NC Qualité'!A:A,"&lt;=30/04/2020",'NC Qualité'!E:E,"Parc",'NC Qualité'!I:I,"Chanfrein")</f>
        <v>0</v>
      </c>
      <c r="U180" s="23">
        <f>COUNTIFS('NC Qualité'!A:A,"&gt;=01/04/2020",'NC Qualité'!A:A,"&lt;=30/04/2020",'NC Qualité'!E:E,"Parc",'NC Qualité'!I:I,"Dimensionnement (entraînant un rebut)")</f>
        <v>0</v>
      </c>
      <c r="V180" s="23">
        <f>COUNTIFS('NC Qualité'!A:A,"&gt;=01/04/2020",'NC Qualité'!A:A,"&lt;=30/04/2020",'NC Qualité'!E:E,"Parc",'NC Qualité'!I:I,"Cintrage")</f>
        <v>0</v>
      </c>
      <c r="W180" s="23">
        <f>COUNTIFS('NC Qualité'!A:A,"&gt;=01/04/2020",'NC Qualité'!A:A,"&lt;=30/04/2020",'NC Qualité'!E:E,"Parc",'NC Qualité'!I:I,"Problème de chargement (sanglage, casse etc.)")</f>
        <v>0</v>
      </c>
      <c r="X180" s="28">
        <f>COUNTIFS('NC Qualité'!A:A,"&gt;=01/04/2020",'NC Qualité'!A:A,"&lt;=30/04/2020",'NC Qualité'!E:E,"Parc",'NC Qualité'!I:I,"Erreur de chargement ")</f>
        <v>0</v>
      </c>
      <c r="AA180" s="31">
        <f>COUNTIFS('NC Qualité'!A:A,"&gt;=01/04/2020",'NC Qualité'!A:A,"&lt;=30/04/2020",'NC Qualité'!E:E,"Parc",'NC Qualité'!S:S,1)</f>
        <v>0</v>
      </c>
      <c r="AB180" s="31">
        <f>COUNTIFS('NC Qualité'!A:A,"&gt;=01/04/2020",'NC Qualité'!A:A,"&lt;=30/04/2020",'NC Qualité'!E:E,"Parc",'NC Qualité'!Q:Q,"A")</f>
        <v>0</v>
      </c>
    </row>
    <row r="181" spans="1:28" ht="23.5" x14ac:dyDescent="0.35">
      <c r="AA181" s="34">
        <f>SUM(AA169:AA180)</f>
        <v>0</v>
      </c>
      <c r="AB181" s="34">
        <f>SUM(AB169:AB180)</f>
        <v>0</v>
      </c>
    </row>
    <row r="182" spans="1:28" ht="15" thickBot="1" x14ac:dyDescent="0.4"/>
    <row r="183" spans="1:28" ht="15" thickBot="1" x14ac:dyDescent="0.4">
      <c r="A183" s="42"/>
      <c r="B183" s="43"/>
      <c r="C183" s="43"/>
      <c r="D183" s="43"/>
      <c r="E183" s="43"/>
      <c r="F183" s="43"/>
      <c r="G183" s="43"/>
      <c r="H183" s="43"/>
      <c r="I183" s="43"/>
      <c r="J183" s="43"/>
      <c r="K183" s="43"/>
      <c r="L183" s="43"/>
      <c r="M183" s="43"/>
      <c r="N183" s="43"/>
      <c r="O183" s="43"/>
      <c r="P183" s="43"/>
      <c r="Q183" s="43"/>
      <c r="R183" s="43"/>
      <c r="S183" s="43"/>
      <c r="T183" s="43"/>
      <c r="U183" s="43"/>
      <c r="V183" s="43"/>
      <c r="W183" s="43"/>
      <c r="X183" s="43"/>
      <c r="Y183" s="43"/>
      <c r="Z183" s="43"/>
      <c r="AA183" s="43"/>
      <c r="AB183" s="44"/>
    </row>
    <row r="185" spans="1:28" x14ac:dyDescent="0.35">
      <c r="B185" t="s">
        <v>67</v>
      </c>
    </row>
    <row r="187" spans="1:28" ht="105" x14ac:dyDescent="0.35">
      <c r="B187" s="14" t="s">
        <v>29</v>
      </c>
      <c r="C187" s="20" t="s">
        <v>25</v>
      </c>
      <c r="D187" s="20" t="s">
        <v>78</v>
      </c>
      <c r="E187" s="20" t="s">
        <v>79</v>
      </c>
      <c r="F187" s="20" t="s">
        <v>77</v>
      </c>
      <c r="G187" s="20"/>
      <c r="H187" s="20"/>
      <c r="I187" s="20"/>
      <c r="J187" s="20" t="s">
        <v>35</v>
      </c>
      <c r="K187" s="20"/>
      <c r="L187" s="20" t="s">
        <v>82</v>
      </c>
      <c r="M187" s="20"/>
      <c r="N187" s="20" t="s">
        <v>39</v>
      </c>
      <c r="O187" s="20" t="s">
        <v>40</v>
      </c>
      <c r="P187" s="20" t="s">
        <v>24</v>
      </c>
      <c r="Q187" s="20" t="s">
        <v>43</v>
      </c>
      <c r="R187" s="20" t="s">
        <v>27</v>
      </c>
      <c r="S187" s="20" t="s">
        <v>44</v>
      </c>
      <c r="T187" s="20" t="s">
        <v>5</v>
      </c>
      <c r="U187" s="20" t="s">
        <v>25</v>
      </c>
      <c r="V187" s="20" t="s">
        <v>7</v>
      </c>
      <c r="W187" s="20" t="s">
        <v>28</v>
      </c>
      <c r="X187" s="20" t="s">
        <v>45</v>
      </c>
      <c r="AA187" s="33" t="s">
        <v>47</v>
      </c>
      <c r="AB187" s="32" t="s">
        <v>46</v>
      </c>
    </row>
    <row r="188" spans="1:28" ht="21" customHeight="1" x14ac:dyDescent="0.35">
      <c r="A188" s="67" t="s">
        <v>42</v>
      </c>
      <c r="B188" s="2" t="s">
        <v>70</v>
      </c>
      <c r="C188">
        <f>COUNTIFS('NC Qualité'!A:A,"&gt;=01/05/2020",'NC Qualité'!A:A,"&lt;=31/05/2020",'NC Qualité'!E:E,"Blocs",'NC Qualité'!I:I,"Dimensionnement (entraînant un rebut)")</f>
        <v>0</v>
      </c>
      <c r="D188">
        <f>COUNTIFS('NC Qualité'!A:A,"&gt;=01/05/2020",'NC Qualité'!A:A,"&lt;=31/05/2020",'NC Qualité'!E:E,"Blocs",'NC Qualité'!I:I,"Perçage du voile de pose")</f>
        <v>0</v>
      </c>
      <c r="E188">
        <f>COUNTIFS('NC Qualité'!A:A,"&gt;=01/05/2020",'NC Qualité'!A:A,"&lt;=31/05/2020",'NC Qualité'!E:E,"Blocs",'NC Qualité'!I:I,"étanchéité")</f>
        <v>0</v>
      </c>
      <c r="F188">
        <f>COUNTIFS('NC Qualité'!A:A,"&gt;=01/05/2020",'NC Qualité'!A:A,"&lt;=31/05/2020",'NC Qualité'!E:E,"Blocs",'NC Qualité'!I:I,"Aspect béton (Fissures, etc.)")</f>
        <v>0</v>
      </c>
      <c r="J188">
        <f>COUNTIFS('NC Qualité'!A:A,"&gt;=01/05/2020",'NC Qualité'!A:A,"&lt;=31/05/2020",'NC Qualité'!E:E,"Blocs",'NC Qualité'!I:I,"Armatures apparentes")</f>
        <v>0</v>
      </c>
      <c r="L188">
        <f>COUNTIFS('NC Qualité'!A:A,"&gt;=01/05/2020",'NC Qualité'!A:A,"&lt;=31/05/2020",'NC Qualité'!E:E,"Blocs",'NC Qualité'!I:I,"Délais de livraison")</f>
        <v>0</v>
      </c>
      <c r="N188">
        <f>COUNTIFS('NC Qualité'!A:A,"&gt;=01/05/2020",'NC Qualité'!A:A,"&lt;=31/05/2020",'NC Qualité'!E:E,"Blocs",'NC Qualité'!I:I,"Casse de l'élément")</f>
        <v>0</v>
      </c>
      <c r="O188">
        <f>COUNTIFS('NC Qualité'!A:A,"&gt;=01/05/2020",'NC Qualité'!A:A,"&lt;=31/05/2020",'NC Qualité'!E:E,"Blocs",'NC Qualité'!I:I,"Autres :")</f>
        <v>0</v>
      </c>
      <c r="P188" s="21"/>
      <c r="Q188" s="21"/>
      <c r="R188" s="21"/>
      <c r="S188" s="21"/>
      <c r="T188" s="21"/>
      <c r="U188" s="21"/>
      <c r="V188" s="21"/>
      <c r="W188" s="21"/>
      <c r="X188" s="25"/>
      <c r="AA188" s="31">
        <f>COUNTIFS('NC Qualité'!A:A,"&gt;=01/05/2020",'NC Qualité'!A:A,"&lt;=31/05/2020",'NC Qualité'!E:E,"Blocs",'NC Qualité'!S:S,1)</f>
        <v>0</v>
      </c>
      <c r="AB188" s="31">
        <f>COUNTIFS('NC Qualité'!A:A,"&gt;=01/05/2020",'NC Qualité'!A:A,"&lt;=31/05/2020",'NC Qualité'!E:E,"Blocs",'NC Qualité'!Q:Q,"A")</f>
        <v>0</v>
      </c>
    </row>
    <row r="189" spans="1:28" ht="21" x14ac:dyDescent="0.35">
      <c r="A189" s="67"/>
      <c r="B189" s="2" t="s">
        <v>71</v>
      </c>
      <c r="C189">
        <f>COUNTIFS('NC Qualité'!A:A,"&gt;=01/05/2020",'NC Qualité'!A:A,"&lt;=31/05/2020",'NC Qualité'!E:E,"Poutrelles",'NC Qualité'!I:I,"Dimensionnement (entraînant un rebut)")</f>
        <v>0</v>
      </c>
      <c r="D189">
        <f>COUNTIFS('NC Qualité'!A:A,"&gt;=01/05/2020",'NC Qualité'!A:A,"&lt;=31/05/2020",'NC Qualité'!E:E,"Poutrelles",'NC Qualité'!I:I,"Perçage du voile de pose")</f>
        <v>0</v>
      </c>
      <c r="E189">
        <f>COUNTIFS('NC Qualité'!A:A,"&gt;=01/05/2020",'NC Qualité'!A:A,"&lt;=31/05/2020",'NC Qualité'!E:E,"Poutrelles",'NC Qualité'!I:I,"Palettisation")</f>
        <v>0</v>
      </c>
      <c r="F189">
        <f>COUNTIFS('NC Qualité'!A:A,"&gt;=01/05/2020",'NC Qualité'!A:A,"&lt;=31/05/2020",'NC Qualité'!E:E,"Poutrelles",'NC Qualité'!I:I,"Aspect béton (Fissures, etc.)")</f>
        <v>0</v>
      </c>
      <c r="J189">
        <f>COUNTIFS('NC Qualité'!A:A,"&gt;=01/05/2020",'NC Qualité'!A:A,"&lt;=31/05/2020",'NC Qualité'!E:E,"Poutrelles",'NC Qualité'!I:I,"Armatures apparentes")</f>
        <v>0</v>
      </c>
      <c r="L189">
        <f>COUNTIFS('NC Qualité'!A:A,"&gt;=01/05/2020",'NC Qualité'!A:A,"&lt;=31/05/2020",'NC Qualité'!E:E,"Poutrelles",'NC Qualité'!I:I,"Délais de livraison")</f>
        <v>0</v>
      </c>
      <c r="N189">
        <f>COUNTIFS('NC Qualité'!A:A,"&gt;=01/05/2020",'NC Qualité'!A:A,"&lt;=31/05/2020",'NC Qualité'!E:E,"Poutrelles",'NC Qualité'!I:I,"Casse de l'élément")</f>
        <v>0</v>
      </c>
      <c r="O189">
        <f>COUNTIFS('NC Qualité'!A:A,"&gt;=01/05/2020",'NC Qualité'!A:A,"&lt;=31/05/2020",'NC Qualité'!E:E,"Poutrelles",'NC Qualité'!I:I,"Autres :")</f>
        <v>0</v>
      </c>
      <c r="P189" s="21"/>
      <c r="Q189" s="21"/>
      <c r="R189" s="21"/>
      <c r="S189" s="21"/>
      <c r="T189" s="21"/>
      <c r="U189" s="21"/>
      <c r="V189" s="21"/>
      <c r="W189" s="21"/>
      <c r="X189" s="26"/>
      <c r="AA189" s="31">
        <f>COUNTIFS('NC Qualité'!A:A,"&gt;=01/05/2020",'NC Qualité'!A:A,"&lt;=31/05/2020",'NC Qualité'!E:E,"Poutrelles",'NC Qualité'!S:S,1)</f>
        <v>0</v>
      </c>
      <c r="AB189" s="31">
        <f>COUNTIFS('NC Qualité'!A:A,"&gt;=01/05/2020",'NC Qualité'!A:A,"&lt;=31/05/2020",'NC Qualité'!E:E,"Poutrelles",'NC Qualité'!Q:Q,"A")</f>
        <v>0</v>
      </c>
    </row>
    <row r="190" spans="1:28" ht="21" x14ac:dyDescent="0.35">
      <c r="A190" s="67"/>
      <c r="B190" s="2" t="s">
        <v>72</v>
      </c>
      <c r="C190">
        <f>COUNTIFS('NC Qualité'!A:A,"&gt;=01/05/2020",'NC Qualité'!A:A,"&lt;=31/05/2020",'NC Qualité'!E:E,"Hourdis",'NC Qualité'!I:I,"Dimensionnement (entraînant un rebut)")</f>
        <v>0</v>
      </c>
      <c r="D190">
        <f>COUNTIFS('NC Qualité'!A:A,"&gt;=01/05/2020",'NC Qualité'!A:A,"&lt;=31/05/2020",'NC Qualité'!E:E,"Hourdis",'NC Qualité'!I:I,"Problème d'étiquetage")</f>
        <v>0</v>
      </c>
      <c r="E190">
        <f>COUNTIFS('NC Qualité'!A:A,"&gt;=01/05/2020",'NC Qualité'!A:A,"&lt;=31/05/2020",'NC Qualité'!E:E,"Hourdis",'NC Qualité'!I:I,"Palettisation")</f>
        <v>0</v>
      </c>
      <c r="F190">
        <f>COUNTIFS('NC Qualité'!A:A,"&gt;=01/05/2020",'NC Qualité'!A:A,"&lt;=31/05/2020",'NC Qualité'!E:E,"Hourdis",'NC Qualité'!I:I,"Aspect béton (Fissures, etc.)")</f>
        <v>0</v>
      </c>
      <c r="J190">
        <f>COUNTIFS('NC Qualité'!A:A,"&gt;=01/05/2020",'NC Qualité'!A:A,"&lt;=31/05/2020",'NC Qualité'!E:E,"Hourdis",'NC Qualité'!I:I,"Armatures apparentes")</f>
        <v>0</v>
      </c>
      <c r="L190">
        <f>COUNTIFS('NC Qualité'!A:A,"&gt;=01/05/2020",'NC Qualité'!A:A,"&lt;=31/05/2020",'NC Qualité'!E:E,"Hourdis",'NC Qualité'!I:I,"Délais de livraison")</f>
        <v>0</v>
      </c>
      <c r="N190">
        <f>COUNTIFS('NC Qualité'!A:A,"&gt;=01/05/2020",'NC Qualité'!A:A,"&lt;=31/05/2020",'NC Qualité'!E:E,"Hourdis",'NC Qualité'!I:I,"Casse de l'élément")</f>
        <v>0</v>
      </c>
      <c r="O190">
        <f>COUNTIFS('NC Qualité'!A:A,"&gt;=01/05/2020",'NC Qualité'!A:A,"&lt;=31/05/2020",'NC Qualité'!E:E,"Hourdis",'NC Qualité'!I:I,"Autres :")</f>
        <v>0</v>
      </c>
      <c r="P190" s="21"/>
      <c r="Q190" s="21"/>
      <c r="R190" s="21"/>
      <c r="S190" s="21"/>
      <c r="T190" s="21"/>
      <c r="U190" s="21"/>
      <c r="V190" s="21"/>
      <c r="W190" s="21"/>
      <c r="X190" s="26"/>
      <c r="AA190" s="31">
        <f>COUNTIFS('NC Qualité'!A:A,"&gt;=01/05/2020",'NC Qualité'!A:A,"&lt;=31/05/2020",'NC Qualité'!E:E,"Hourdis",'NC Qualité'!S:S,1)</f>
        <v>0</v>
      </c>
      <c r="AB190" s="31">
        <f>COUNTIFS('NC Qualité'!A:A,"&gt;=01/05/2020",'NC Qualité'!A:A,"&lt;=31/05/2020",'NC Qualité'!E:E,"Hourdis",'NC Qualité'!Q:Q,"A")</f>
        <v>0</v>
      </c>
    </row>
    <row r="191" spans="1:28" ht="29" x14ac:dyDescent="0.35">
      <c r="A191" s="67"/>
      <c r="B191" s="56" t="s">
        <v>98</v>
      </c>
      <c r="C191">
        <f>COUNTIFS('NC Qualité'!A:A,"&gt;=01/05/2020",'NC Qualité'!A:A,"&lt;=31/05/2020",'NC Qualité'!E:E,"Blocs à bancher",'NC Qualité'!I:I,"Dimensionnement (entraînant un rebut)")</f>
        <v>0</v>
      </c>
      <c r="D191">
        <f>COUNTIFS('NC Qualité'!A:A,"&gt;=01/05/2020",'NC Qualité'!A:A,"&lt;=31/05/2020",'NC Qualité'!E:E,"Blocs à bancher",'NC Qualité'!I:I,"Problème d'étiquetage")</f>
        <v>0</v>
      </c>
      <c r="E191">
        <f>COUNTIFS('NC Qualité'!A:A,"&gt;=01/05/2020",'NC Qualité'!A:A,"&lt;=31/05/2020",'NC Qualité'!E:E,"Blocs à bancher",'NC Qualité'!I:I,"Palettisation")</f>
        <v>0</v>
      </c>
      <c r="F191">
        <f>COUNTIFS('NC Qualité'!A:A,"&gt;=01/05/2020",'NC Qualité'!A:A,"&lt;=31/05/2020",'NC Qualité'!E:E,"Blocs à bancher",'NC Qualité'!I:I,"Aspect béton (Fissures, etc.)")</f>
        <v>0</v>
      </c>
      <c r="J191">
        <f>COUNTIFS('NC Qualité'!A:A,"&gt;=01/05/2020",'NC Qualité'!A:A,"&lt;=31/05/2020",'NC Qualité'!E:E,"Blocs à bancher",'NC Qualité'!I:I,"Armatures apparentes")</f>
        <v>0</v>
      </c>
      <c r="L191">
        <f>COUNTIFS('NC Qualité'!A:A,"&gt;=01/05/2020",'NC Qualité'!A:A,"&lt;=31/05/2020",'NC Qualité'!E:E,"Blocs à bancher",'NC Qualité'!I:I,"Délais de livraison")</f>
        <v>0</v>
      </c>
      <c r="N191">
        <f>COUNTIFS('NC Qualité'!A:A,"&gt;=01/05/2020",'NC Qualité'!A:A,"&lt;=31/05/2020",'NC Qualité'!E:E,"Blocs à bancher",'NC Qualité'!I:I,"Casse de l'élément")</f>
        <v>0</v>
      </c>
      <c r="O191">
        <f>COUNTIFS('NC Qualité'!A:A,"&gt;=01/05/2020",'NC Qualité'!A:A,"&lt;=31/05/2020",'NC Qualité'!E:E,"Blocs à bancher",'NC Qualité'!I:I,"Autres :")</f>
        <v>0</v>
      </c>
      <c r="P191" s="21"/>
      <c r="Q191" s="21"/>
      <c r="R191" s="21"/>
      <c r="S191" s="21"/>
      <c r="T191" s="21"/>
      <c r="U191" s="21"/>
      <c r="V191" s="21"/>
      <c r="W191" s="21"/>
      <c r="X191" s="26"/>
      <c r="AA191" s="31">
        <f>COUNTIFS('NC Qualité'!A:A,"&gt;=01/05/2020",'NC Qualité'!A:A,"&lt;=31/05/2020",'NC Qualité'!E:E,"Bordures",'NC Qualité'!S:S,1)</f>
        <v>0</v>
      </c>
      <c r="AB191" s="31">
        <f>COUNTIFS('NC Qualité'!A:A,"&gt;=01/05/2020",'NC Qualité'!A:A,"&lt;=31/05/2020",'NC Qualité'!E:E,"Bordures",'NC Qualité'!Q:Q,"A")</f>
        <v>0</v>
      </c>
    </row>
    <row r="192" spans="1:28" ht="21" x14ac:dyDescent="0.35">
      <c r="A192" s="67"/>
      <c r="B192" s="2"/>
      <c r="P192" s="21"/>
      <c r="Q192" s="21"/>
      <c r="R192" s="21"/>
      <c r="S192" s="21"/>
      <c r="T192" s="21"/>
      <c r="U192" s="21"/>
      <c r="V192" s="21"/>
      <c r="W192" s="21"/>
      <c r="X192" s="26"/>
      <c r="AA192" s="31">
        <f>COUNTIFS('NC Qualité'!A:A,"&gt;=01/05/2020",'NC Qualité'!A:A,"&lt;=31/05/2020",'NC Qualité'!E:E,"Caniveaux",'NC Qualité'!S:S,1)</f>
        <v>0</v>
      </c>
      <c r="AB192" s="31">
        <f>COUNTIFS('NC Qualité'!A:A,"&gt;=01/05/2020",'NC Qualité'!A:A,"&lt;=31/05/2020",'NC Qualité'!E:E,"Caniveaux",'NC Qualité'!Q:Q,"A")</f>
        <v>0</v>
      </c>
    </row>
    <row r="193" spans="1:28" ht="21" x14ac:dyDescent="0.35">
      <c r="A193" s="67"/>
      <c r="B193" s="15"/>
      <c r="P193" s="21"/>
      <c r="Q193" s="21"/>
      <c r="R193" s="21"/>
      <c r="S193" s="21"/>
      <c r="T193" s="21"/>
      <c r="U193" s="21"/>
      <c r="V193" s="21"/>
      <c r="W193" s="21"/>
      <c r="X193" s="26"/>
      <c r="AA193" s="31">
        <f>COUNTIFS('NC Qualité'!A:A,"&gt;=01/05/2020",'NC Qualité'!A:A,"&lt;=31/05/2020",'NC Qualité'!E:E,"Fielding : Bordures et Caniveaux",'NC Qualité'!S:S,1)</f>
        <v>0</v>
      </c>
      <c r="AB193" s="31">
        <f>COUNTIFS('NC Qualité'!A:A,"&gt;=01/05/2020",'NC Qualité'!A:A,"&lt;=31/05/2020",'NC Qualité'!E:E,"Fielding : Bordures et Caniveaux",'NC Qualité'!Q:Q,"A")</f>
        <v>0</v>
      </c>
    </row>
    <row r="194" spans="1:28" ht="21" x14ac:dyDescent="0.35">
      <c r="A194" s="67"/>
      <c r="B194" s="2"/>
      <c r="P194" s="21"/>
      <c r="Q194" s="21"/>
      <c r="R194" s="21"/>
      <c r="S194" s="21"/>
      <c r="T194" s="21"/>
      <c r="U194" s="21"/>
      <c r="V194" s="21"/>
      <c r="W194" s="21"/>
      <c r="X194" s="26"/>
      <c r="AA194" s="31">
        <f>COUNTIFS('NC Qualité'!A:A,"&gt;=01/05/2020",'NC Qualité'!A:A,"&lt;=31/05/2020",'NC Qualité'!E:E,"Modul : Tuyaux Dn 1800 à 2630",'NC Qualité'!S:S,1)</f>
        <v>0</v>
      </c>
      <c r="AB194" s="31">
        <f>COUNTIFS('NC Qualité'!A:A,"&gt;=01/05/2020",'NC Qualité'!A:A,"&lt;=31/05/2020",'NC Qualité'!E:E,"Modul : Tuyaux Dn 1800 à 2630",'NC Qualité'!Q:Q,"A")</f>
        <v>0</v>
      </c>
    </row>
    <row r="195" spans="1:28" ht="29" x14ac:dyDescent="0.35">
      <c r="A195" s="67" t="s">
        <v>41</v>
      </c>
      <c r="B195" s="2" t="s">
        <v>6</v>
      </c>
      <c r="C195" s="21"/>
      <c r="D195">
        <f>COUNTIFS('NC Qualité'!A:A,"&gt;=01/05/2020",'NC Qualité'!A:A,"&lt;=31/05/2020",'NC Qualité'!E:E,"Panneau coulé à plat",'NC Qualité'!I:I,"Problème d'étiquetage")</f>
        <v>0</v>
      </c>
      <c r="E195" s="21"/>
      <c r="F195">
        <f>COUNTIFS('NC Qualité'!A:A,"&gt;=01/05/2020",'NC Qualité'!A:A,"&lt;=31/05/2020",'NC Qualité'!E:E,"Panneau coulé à plat",'NC Qualité'!I:I,"Aspect béton (tâches / nid d'abeilles / granuleux / Fissures etc.)")</f>
        <v>0</v>
      </c>
      <c r="G195" s="21"/>
      <c r="H195">
        <f>COUNTIFS('NC Qualité'!A:A,"&gt;=01/05/2020",'NC Qualité'!A:A,"&lt;=31/05/2020",'NC Qualité'!E:E,"Panneau coulé à plat",'NC Qualité'!I:I,"Ancre de levage")</f>
        <v>0</v>
      </c>
      <c r="I195" s="21"/>
      <c r="J195">
        <f>COUNTIFS('NC Qualité'!A:A,"&gt;=01/05/2020",'NC Qualité'!A:A,"&lt;=31/05/2020",'NC Qualité'!E:E,"Modul : Tuyaux Dn 1800 à 2630",'NC Qualité'!I:I,"Armatures apparentes")</f>
        <v>0</v>
      </c>
      <c r="K195" s="21"/>
      <c r="L195" s="21"/>
      <c r="M195" s="21"/>
      <c r="N195" s="21"/>
      <c r="O195">
        <f>COUNTIFS('NC Qualité'!A:A,"&gt;=01/05/2020",'NC Qualité'!A:A,"&lt;=31/05/2020",'NC Qualité'!E:E,"Panneau coulé à plat",'NC Qualité'!I:I,"Autres :")</f>
        <v>0</v>
      </c>
      <c r="P195">
        <f>COUNTIFS('NC Qualité'!A:A,"&gt;=01/05/2020",'NC Qualité'!A:A,"&lt;=31/05/2020",'NC Qualité'!E:E,"Panneau coulé à plat",'NC Qualité'!I:I,"Accessoires (Mauvais positionnement , manquement, etc.)")</f>
        <v>0</v>
      </c>
      <c r="Q195">
        <f>COUNTIFS('NC Qualité'!A:A,"&gt;=01/05/2020",'NC Qualité'!A:A,"&lt;=31/05/2020",'NC Qualité'!E:E,"Panneau coulé à plat",'NC Qualité'!I:I,"équerrisage")</f>
        <v>0</v>
      </c>
      <c r="R195">
        <f>COUNTIFS('NC Qualité'!A:A,"&gt;=01/05/2020",'NC Qualité'!A:A,"&lt;=31/05/2020",'NC Qualité'!E:E,"Panneau coulé à plat",'NC Qualité'!I:I,"Seuil de porte (réservation)")</f>
        <v>0</v>
      </c>
      <c r="S195">
        <f>COUNTIFS('NC Qualité'!A:A,"&gt;=01/05/2020",'NC Qualité'!A:A,"&lt;=31/05/2020",'NC Qualité'!E:E,"Panneau coulé à plat",'NC Qualité'!I:I,"épaisseur")</f>
        <v>0</v>
      </c>
      <c r="T195">
        <f>COUNTIFS('NC Qualité'!A:A,"&gt;=01/05/2020",'NC Qualité'!A:A,"&lt;=31/05/2020",'NC Qualité'!E:E,"Panneau coulé à plat",'NC Qualité'!I:I,"Chanfrein")</f>
        <v>0</v>
      </c>
      <c r="U195">
        <f>COUNTIFS('NC Qualité'!A:A,"&gt;=01/05/2020",'NC Qualité'!A:A,"&lt;=31/05/2020",'NC Qualité'!E:E,"Panneau coulé à plat",'NC Qualité'!I:I,"Dimensionnement (entraînant un rebut)")</f>
        <v>0</v>
      </c>
      <c r="V195">
        <f>COUNTIFS('NC Qualité'!A:A,"&gt;=01/05/2020",'NC Qualité'!A:A,"&lt;=31/05/2020",'NC Qualité'!E:E,"Panneau coulé à plat",'NC Qualité'!I:I,"Cintrage")</f>
        <v>0</v>
      </c>
      <c r="W195">
        <f>COUNTIFS('NC Qualité'!A:A,"&gt;=01/05/2020",'NC Qualité'!A:A,"&lt;=31/05/2020",'NC Qualité'!E:E,"Panneau coulé à plat",'NC Qualité'!I:I,"Problème de chargement (sanglage, casse etc.)")</f>
        <v>0</v>
      </c>
      <c r="X195" s="27">
        <f>COUNTIFS('NC Qualité'!A:A,"&gt;=01/05/2020",'NC Qualité'!A:A,"&lt;=31/05/2020",'NC Qualité'!E:E,"Panneau coulé à plat",'NC Qualité'!I:I,"Erreur de chargement ")</f>
        <v>0</v>
      </c>
      <c r="AA195" s="31">
        <f>COUNTIFS('NC Qualité'!A:A,"&gt;=01/05/2020",'NC Qualité'!A:A,"&lt;=31/05/2020",'NC Qualité'!E:E,"Panneau coulé à plat",'NC Qualité'!S:S,1)</f>
        <v>0</v>
      </c>
      <c r="AB195" s="31">
        <f>COUNTIFS('NC Qualité'!A:A,"&gt;=01/05/2020",'NC Qualité'!A:A,"&lt;=31/05/2020",'NC Qualité'!E:E,"Panneau coulé à plat",'NC Qualité'!Q:Q,"A")</f>
        <v>0</v>
      </c>
    </row>
    <row r="196" spans="1:28" ht="21" x14ac:dyDescent="0.35">
      <c r="A196" s="67"/>
      <c r="B196" s="2" t="s">
        <v>0</v>
      </c>
      <c r="C196" s="21"/>
      <c r="D196">
        <f>COUNTIFS('NC Qualité'!A:A,"&gt;=01/05/2020",'NC Qualité'!A:A,"&lt;=31/05/2020",'NC Qualité'!E:E,"Bianchi",'NC Qualité'!I:I,"Problème d'étiquetage")</f>
        <v>0</v>
      </c>
      <c r="E196" s="21"/>
      <c r="F196">
        <f>COUNTIFS('NC Qualité'!A:A,"&gt;=01/05/2020",'NC Qualité'!A:A,"&lt;=31/05/2020",'NC Qualité'!E:E,"Bianchi",'NC Qualité'!I:I,"Aspect béton (tâches / nid d'abeilles / granuleux / Fissures etc.)")</f>
        <v>0</v>
      </c>
      <c r="G196" s="21"/>
      <c r="H196">
        <f>COUNTIFS('NC Qualité'!A:A,"&gt;=01/05/2020",'NC Qualité'!A:A,"&lt;=31/05/2020",'NC Qualité'!E:E,"Bianchi",'NC Qualité'!I:I,"Ancre de levage")</f>
        <v>0</v>
      </c>
      <c r="I196" s="21"/>
      <c r="J196">
        <f>COUNTIFS('NC Qualité'!A:A,"&gt;=01/05/2020",'NC Qualité'!A:A,"&lt;=31/05/2020",'NC Qualité'!E:E,"Bianchi",'NC Qualité'!I:I,"Armatures apparentes")</f>
        <v>0</v>
      </c>
      <c r="K196" s="21"/>
      <c r="L196" s="21"/>
      <c r="M196" s="21"/>
      <c r="N196" s="21"/>
      <c r="O196">
        <f>COUNTIFS('NC Qualité'!A:A,"&gt;=01/05/2020",'NC Qualité'!A:A,"&lt;=31/05/2020",'NC Qualité'!E:E,"Bianchi",'NC Qualité'!I:I,"Autres :")</f>
        <v>0</v>
      </c>
      <c r="P196">
        <f>COUNTIFS('NC Qualité'!A:A,"&gt;=01/05/2020",'NC Qualité'!A:A,"&lt;=31/05/2020",'NC Qualité'!E:E,"Bianchi",'NC Qualité'!I:I,"Accessoires (Mauvais positionnement , manquement, etc.)")</f>
        <v>0</v>
      </c>
      <c r="Q196">
        <f>COUNTIFS('NC Qualité'!A:A,"&gt;=01/05/2020",'NC Qualité'!A:A,"&lt;=31/05/2020",'NC Qualité'!E:E,"Bianchi",'NC Qualité'!I:I,"équerrisage")</f>
        <v>0</v>
      </c>
      <c r="R196">
        <f>COUNTIFS('NC Qualité'!A:A,"&gt;=01/05/2020",'NC Qualité'!A:A,"&lt;=31/05/2020",'NC Qualité'!E:E,"Bianchi",'NC Qualité'!I:I,"Seuil de porte (réservation)")</f>
        <v>0</v>
      </c>
      <c r="S196">
        <f>COUNTIFS('NC Qualité'!A:A,"&gt;=01/05/2020",'NC Qualité'!A:A,"&lt;=31/05/2020",'NC Qualité'!E:E,"Bianchi",'NC Qualité'!I:I,"épaisseur")</f>
        <v>0</v>
      </c>
      <c r="T196">
        <f>COUNTIFS('NC Qualité'!A:A,"&gt;=01/05/2020",'NC Qualité'!A:A,"&lt;=31/05/2020",'NC Qualité'!E:E,"Bianchi",'NC Qualité'!I:I,"Chanfrein")</f>
        <v>0</v>
      </c>
      <c r="U196">
        <f>COUNTIFS('NC Qualité'!A:A,"&gt;=01/05/2020",'NC Qualité'!A:A,"&lt;=31/05/2020",'NC Qualité'!E:E,"Bianchi",'NC Qualité'!I:I,"Dimensionnement (entraînant un rebut)")</f>
        <v>0</v>
      </c>
      <c r="V196">
        <f>COUNTIFS('NC Qualité'!A:A,"&gt;=01/05/2020",'NC Qualité'!A:A,"&lt;=31/05/2020",'NC Qualité'!E:E,"Bianchi",'NC Qualité'!I:I,"Cintrage")</f>
        <v>0</v>
      </c>
      <c r="W196">
        <f>COUNTIFS('NC Qualité'!A:A,"&gt;=01/05/2020",'NC Qualité'!A:A,"&lt;=31/05/2020",'NC Qualité'!E:E,"Bianchi",'NC Qualité'!I:I,"Problème de chargement (sanglage, casse etc.)")</f>
        <v>0</v>
      </c>
      <c r="X196" s="27">
        <f>COUNTIFS('NC Qualité'!A:A,"&gt;=01/05/2020",'NC Qualité'!A:A,"&lt;=31/05/2020",'NC Qualité'!E:E,"Bianchi",'NC Qualité'!I:I,"Erreur de chargement ")</f>
        <v>0</v>
      </c>
      <c r="AA196" s="31">
        <f>COUNTIFS('NC Qualité'!A:A,"&gt;=01/05/2020",'NC Qualité'!A:A,"&lt;=31/05/2020",'NC Qualité'!E:E,"Bianchi",'NC Qualité'!S:S,1)</f>
        <v>0</v>
      </c>
      <c r="AB196" s="31">
        <f>COUNTIFS('NC Qualité'!A:A,"&gt;=01/05/2020",'NC Qualité'!A:A,"&lt;=31/05/2020",'NC Qualité'!E:E,"Bianchi",'NC Qualité'!Q:Q,"A")</f>
        <v>0</v>
      </c>
    </row>
    <row r="197" spans="1:28" ht="29" x14ac:dyDescent="0.35">
      <c r="A197" s="67"/>
      <c r="B197" s="2" t="s">
        <v>3</v>
      </c>
      <c r="C197" s="21"/>
      <c r="D197">
        <f>COUNTIFS('NC Qualité'!A:A,"&gt;=01/05/2020",'NC Qualité'!A:A,"&lt;=31/05/2020",'NC Qualité'!E:E,"Préfabrication",'NC Qualité'!I:I,"Problème d'étiquetage")</f>
        <v>0</v>
      </c>
      <c r="E197" s="21"/>
      <c r="F197">
        <f>COUNTIFS('NC Qualité'!A:A,"&gt;=01/05/2020",'NC Qualité'!A:A,"&lt;=31/05/2020",'NC Qualité'!E:E,"Préfabrication",'NC Qualité'!I:I,"Aspect béton (tâches / nid d'abeilles / granuleux / Fissures etc.)")</f>
        <v>0</v>
      </c>
      <c r="G197" s="21"/>
      <c r="H197">
        <f>COUNTIFS('NC Qualité'!A:A,"&gt;=01/05/2020",'NC Qualité'!A:A,"&lt;=31/05/2020",'NC Qualité'!E:E,"Préfabrication",'NC Qualité'!I:I,"Ancre de levage")</f>
        <v>0</v>
      </c>
      <c r="I197" s="21"/>
      <c r="J197">
        <f>COUNTIFS('NC Qualité'!A:A,"&gt;=01/05/2020",'NC Qualité'!A:A,"&lt;=31/05/2020",'NC Qualité'!E:E,"Préfabrication",'NC Qualité'!I:I,"Armatures apparentes")</f>
        <v>0</v>
      </c>
      <c r="K197" s="21"/>
      <c r="L197" s="21"/>
      <c r="M197" s="21"/>
      <c r="N197" s="21"/>
      <c r="O197">
        <f>COUNTIFS('NC Qualité'!A:A,"&gt;=01/05/2020",'NC Qualité'!A:A,"&lt;=31/05/2020",'NC Qualité'!E:E,"Préfabrication",'NC Qualité'!I:I,"Autres :")</f>
        <v>0</v>
      </c>
      <c r="P197">
        <f>COUNTIFS('NC Qualité'!A:A,"&gt;=01/05/2020",'NC Qualité'!A:A,"&lt;=31/05/2020",'NC Qualité'!E:E,"Préfabrication",'NC Qualité'!I:I,"Accessoires (Mauvais positionnement , manquement, etc.)")</f>
        <v>0</v>
      </c>
      <c r="Q197">
        <f>COUNTIFS('NC Qualité'!A:A,"&gt;=01/05/2020",'NC Qualité'!A:A,"&lt;=31/05/2020",'NC Qualité'!E:E,"Préfabrication",'NC Qualité'!I:I,"équerrisage")</f>
        <v>0</v>
      </c>
      <c r="R197">
        <f>COUNTIFS('NC Qualité'!A:A,"&gt;=01/05/2020",'NC Qualité'!A:A,"&lt;=31/05/2020",'NC Qualité'!E:E,"Préfabrication",'NC Qualité'!I:I,"Seuil de porte (réservation)")</f>
        <v>0</v>
      </c>
      <c r="S197">
        <f>COUNTIFS('NC Qualité'!A:A,"&gt;=01/05/2020",'NC Qualité'!A:A,"&lt;=31/05/2020",'NC Qualité'!E:E,"Préfabrication",'NC Qualité'!I:I,"épaisseur")</f>
        <v>0</v>
      </c>
      <c r="T197">
        <f>COUNTIFS('NC Qualité'!A:A,"&gt;=01/05/2020",'NC Qualité'!A:A,"&lt;=31/05/2020",'NC Qualité'!E:E,"Préfabrication",'NC Qualité'!I:I,"Chanfrein")</f>
        <v>0</v>
      </c>
      <c r="U197">
        <f>COUNTIFS('NC Qualité'!A:A,"&gt;=01/05/2020",'NC Qualité'!A:A,"&lt;=31/05/2020",'NC Qualité'!E:E,"Préfabrication",'NC Qualité'!I:I,"Dimensionnement (entraînant un rebut)")</f>
        <v>0</v>
      </c>
      <c r="V197">
        <f>COUNTIFS('NC Qualité'!A:A,"&gt;=01/05/2020",'NC Qualité'!A:A,"&lt;=31/05/2020",'NC Qualité'!E:E,"Préfabrication",'NC Qualité'!I:I,"Cintrage")</f>
        <v>0</v>
      </c>
      <c r="W197">
        <f>COUNTIFS('NC Qualité'!A:A,"&gt;=01/05/2020",'NC Qualité'!A:A,"&lt;=31/05/2020",'NC Qualité'!E:E,"Préfabrication",'NC Qualité'!I:I,"Problème de chargement (sanglage, casse etc.)")</f>
        <v>0</v>
      </c>
      <c r="X197" s="27">
        <f>COUNTIFS('NC Qualité'!A:A,"&gt;=01/05/2020",'NC Qualité'!A:A,"&lt;=31/05/2020",'NC Qualité'!E:E,"Préfabrication",'NC Qualité'!I:I,"Erreur de chargement ")</f>
        <v>0</v>
      </c>
      <c r="AA197" s="31">
        <f>COUNTIFS('NC Qualité'!A:A,"&gt;=01/05/2020",'NC Qualité'!A:A,"&lt;=31/05/2020",'NC Qualité'!E:E,"Préfabrication",'NC Qualité'!S:S,1)</f>
        <v>0</v>
      </c>
      <c r="AB197" s="31">
        <f>COUNTIFS('NC Qualité'!A:A,"&gt;=01/05/2020",'NC Qualité'!A:A,"&lt;=31/05/2020",'NC Qualité'!E:E,"Préfabrication",'NC Qualité'!Q:Q,"A")</f>
        <v>0</v>
      </c>
    </row>
    <row r="198" spans="1:28" ht="29" x14ac:dyDescent="0.35">
      <c r="A198" s="67"/>
      <c r="B198" s="16" t="s">
        <v>2</v>
      </c>
      <c r="C198" s="21"/>
      <c r="D198">
        <f>COUNTIFS('NC Qualité'!A:A,"&gt;=01/05/2020",'NC Qualité'!A:A,"&lt;=31/05/2020",'NC Qualité'!E:E,"Précontraint",'NC Qualité'!I:I,"Problème d'étiquetage")</f>
        <v>0</v>
      </c>
      <c r="E198" s="21"/>
      <c r="F198">
        <f>COUNTIFS('NC Qualité'!A:A,"&gt;=01/05/2020",'NC Qualité'!A:A,"&lt;=31/05/2020",'NC Qualité'!E:E,"Précontraint",'NC Qualité'!I:I,"Aspect béton (tâches / nid d'abeilles / granuleux / Fissures etc.)")</f>
        <v>0</v>
      </c>
      <c r="G198" s="21"/>
      <c r="H198">
        <f>COUNTIFS('NC Qualité'!A:A,"&gt;=01/05/2020",'NC Qualité'!A:A,"&lt;=31/05/2020",'NC Qualité'!E:E,"Précontraint",'NC Qualité'!I:I,"Ancre de levage")</f>
        <v>0</v>
      </c>
      <c r="I198" s="21"/>
      <c r="J198">
        <f>COUNTIFS('NC Qualité'!A:A,"&gt;=01/05/2020",'NC Qualité'!A:A,"&lt;=31/05/2020",'NC Qualité'!E:E,"Précontraint",'NC Qualité'!I:I,"Armatures apparentes")</f>
        <v>0</v>
      </c>
      <c r="K198" s="21"/>
      <c r="L198" s="21"/>
      <c r="M198" s="21"/>
      <c r="N198" s="21"/>
      <c r="O198">
        <f>COUNTIFS('NC Qualité'!A:A,"&gt;=01/05/2020",'NC Qualité'!A:A,"&lt;=31/05/2020",'NC Qualité'!E:E,"Précontraint",'NC Qualité'!I:I,"Autres :")</f>
        <v>0</v>
      </c>
      <c r="P198">
        <f>COUNTIFS('NC Qualité'!A:A,"&gt;=01/05/2020",'NC Qualité'!A:A,"&lt;=31/05/2020",'NC Qualité'!E:E,"Précontraint",'NC Qualité'!I:I,"Accessoires (Mauvais positionnement , manquement, etc.)")</f>
        <v>0</v>
      </c>
      <c r="Q198">
        <f>COUNTIFS('NC Qualité'!A:A,"&gt;=01/05/2020",'NC Qualité'!A:A,"&lt;=31/05/2020",'NC Qualité'!E:E,"Précontraint",'NC Qualité'!I:I,"équerrisage")</f>
        <v>0</v>
      </c>
      <c r="R198">
        <f>COUNTIFS('NC Qualité'!A:A,"&gt;=01/05/2020",'NC Qualité'!A:A,"&lt;=31/05/2020",'NC Qualité'!E:E,"Précontraint",'NC Qualité'!I:I,"Seuil de porte (réservation)")</f>
        <v>0</v>
      </c>
      <c r="S198">
        <f>COUNTIFS('NC Qualité'!A:A,"&gt;=01/05/2020",'NC Qualité'!A:A,"&lt;=31/05/2020",'NC Qualité'!E:E,"Précontraint",'NC Qualité'!I:I,"épaisseur")</f>
        <v>0</v>
      </c>
      <c r="T198">
        <f>COUNTIFS('NC Qualité'!A:A,"&gt;=01/05/2020",'NC Qualité'!A:A,"&lt;=31/05/2020",'NC Qualité'!E:E,"Précontraint",'NC Qualité'!I:I,"Chanfrein")</f>
        <v>0</v>
      </c>
      <c r="U198">
        <f>COUNTIFS('NC Qualité'!A:A,"&gt;=01/05/2020",'NC Qualité'!A:A,"&lt;=31/05/2020",'NC Qualité'!E:E,"Précontraint",'NC Qualité'!I:I,"Dimensionnement (entraînant un rebut)")</f>
        <v>0</v>
      </c>
      <c r="V198">
        <f>COUNTIFS('NC Qualité'!A:A,"&gt;=01/05/2020",'NC Qualité'!A:A,"&lt;=31/05/2020",'NC Qualité'!E:E,"Précontraint",'NC Qualité'!I:I,"Cintrage")</f>
        <v>0</v>
      </c>
      <c r="W198">
        <f>COUNTIFS('NC Qualité'!A:A,"&gt;=01/05/2020",'NC Qualité'!A:A,"&lt;=31/05/2020",'NC Qualité'!E:E,"Précontraint",'NC Qualité'!I:I,"Problème de chargement (sanglage, casse etc.)")</f>
        <v>0</v>
      </c>
      <c r="X198" s="27">
        <f>COUNTIFS('NC Qualité'!A:A,"&gt;=01/05/2020",'NC Qualité'!A:A,"&lt;=31/05/2020",'NC Qualité'!E:E,"Précontraint",'NC Qualité'!I:I,"Erreur de chargement ")</f>
        <v>0</v>
      </c>
      <c r="AA198" s="31">
        <f>COUNTIFS('NC Qualité'!A:A,"&gt;=01/05/2020",'NC Qualité'!A:A,"&lt;=31/05/2020",'NC Qualité'!E:E,"Précontraint",'NC Qualité'!S:S,1)</f>
        <v>0</v>
      </c>
      <c r="AB198" s="31">
        <f>COUNTIFS('NC Qualité'!A:A,"&gt;=01/05/2020",'NC Qualité'!A:A,"&lt;=31/05/2020",'NC Qualité'!E:E,"Précontraint",'NC Qualité'!Q:Q,"A")</f>
        <v>0</v>
      </c>
    </row>
    <row r="199" spans="1:28" ht="21" x14ac:dyDescent="0.35">
      <c r="A199" s="67"/>
      <c r="B199" s="2" t="s">
        <v>1</v>
      </c>
      <c r="C199" s="22"/>
      <c r="D199" s="23">
        <f>COUNTIFS('NC Qualité'!A:A,"&gt;=01/05/2020",'NC Qualité'!A:A,"&lt;=31/05/2020",'NC Qualité'!E:E,"Parc",'NC Qualité'!I:I,"Problème d'étiquetage")</f>
        <v>0</v>
      </c>
      <c r="E199" s="24"/>
      <c r="F199" s="23">
        <f>COUNTIFS('NC Qualité'!A:A,"&gt;=01/05/2020",'NC Qualité'!A:A,"&lt;=31/05/2020",'NC Qualité'!E:E,"Parc",'NC Qualité'!I:I,"Aspect béton (tâches / nid d'abeilles / granuleux / Fissures etc.)")</f>
        <v>0</v>
      </c>
      <c r="G199" s="24"/>
      <c r="H199" s="23">
        <f>COUNTIFS('NC Qualité'!A:A,"&gt;=01/05/2020",'NC Qualité'!A:A,"&lt;=31/05/2020",'NC Qualité'!E:E,"Parc",'NC Qualité'!I:I,"Ancre de levage")</f>
        <v>0</v>
      </c>
      <c r="I199" s="24"/>
      <c r="J199" s="23">
        <f>COUNTIFS('NC Qualité'!A:A,"&gt;=01/05/2020",'NC Qualité'!A:A,"&lt;=31/05/2020",'NC Qualité'!E:E,"Parc",'NC Qualité'!I:I,"Armatures apparentes")</f>
        <v>0</v>
      </c>
      <c r="K199" s="24"/>
      <c r="L199" s="24"/>
      <c r="M199" s="24"/>
      <c r="N199" s="24"/>
      <c r="O199" s="23">
        <f>COUNTIFS('NC Qualité'!A:A,"&gt;=01/05/2020",'NC Qualité'!A:A,"&lt;=31/05/2020",'NC Qualité'!E:E,"Parc",'NC Qualité'!I:I,"Autres :")</f>
        <v>0</v>
      </c>
      <c r="P199" s="23">
        <f>COUNTIFS('NC Qualité'!A:A,"&gt;=01/05/2020",'NC Qualité'!A:A,"&lt;=31/05/2020",'NC Qualité'!E:E,"Parc",'NC Qualité'!I:I,"Accessoires (Mauvais positionnement , manquement, etc.)")</f>
        <v>0</v>
      </c>
      <c r="Q199" s="23">
        <f>COUNTIFS('NC Qualité'!A:A,"&gt;=01/05/2020",'NC Qualité'!A:A,"&lt;=31/05/2020",'NC Qualité'!E:E,"Parc",'NC Qualité'!I:I,"équerrisage")</f>
        <v>0</v>
      </c>
      <c r="R199" s="23">
        <f>COUNTIFS('NC Qualité'!A:A,"&gt;=01/05/2020",'NC Qualité'!A:A,"&lt;=31/05/2020",'NC Qualité'!E:E,"Parc",'NC Qualité'!I:I,"Seuil de porte (réservation)")</f>
        <v>0</v>
      </c>
      <c r="S199" s="23">
        <f>COUNTIFS('NC Qualité'!A:A,"&gt;=01/05/2020",'NC Qualité'!A:A,"&lt;=31/05/2020",'NC Qualité'!E:E,"Parc",'NC Qualité'!I:I,"épaisseur")</f>
        <v>0</v>
      </c>
      <c r="T199" s="23">
        <f>COUNTIFS('NC Qualité'!A:A,"&gt;=01/05/2020",'NC Qualité'!A:A,"&lt;=31/05/2020",'NC Qualité'!E:E,"Parc",'NC Qualité'!I:I,"Chanfrein")</f>
        <v>0</v>
      </c>
      <c r="U199" s="23">
        <f>COUNTIFS('NC Qualité'!A:A,"&gt;=01/05/2020",'NC Qualité'!A:A,"&lt;=31/05/2020",'NC Qualité'!E:E,"Parc",'NC Qualité'!I:I,"Dimensionnement (entraînant un rebut)")</f>
        <v>0</v>
      </c>
      <c r="V199" s="23">
        <f>COUNTIFS('NC Qualité'!A:A,"&gt;=01/05/2020",'NC Qualité'!A:A,"&lt;=31/05/2020",'NC Qualité'!E:E,"Parc",'NC Qualité'!I:I,"Cintrage")</f>
        <v>0</v>
      </c>
      <c r="W199" s="23">
        <f>COUNTIFS('NC Qualité'!A:A,"&gt;=01/05/2020",'NC Qualité'!A:A,"&lt;=31/05/2020",'NC Qualité'!E:E,"Parc",'NC Qualité'!I:I,"Problème de chargement (sanglage, casse etc.)")</f>
        <v>0</v>
      </c>
      <c r="X199" s="28">
        <f>COUNTIFS('NC Qualité'!A:A,"&gt;=01/05/2020",'NC Qualité'!A:A,"&lt;=31/05/2020",'NC Qualité'!E:E,"Parc",'NC Qualité'!I:I,"Erreur de chargement ")</f>
        <v>0</v>
      </c>
      <c r="AA199" s="31">
        <f>COUNTIFS('NC Qualité'!A:A,"&gt;=01/05/2020",'NC Qualité'!A:A,"&lt;=31/05/2020",'NC Qualité'!E:E,"Parc",'NC Qualité'!S:S,1)</f>
        <v>0</v>
      </c>
      <c r="AB199" s="31">
        <f>COUNTIFS('NC Qualité'!A:A,"&gt;=01/05/2020",'NC Qualité'!A:A,"&lt;=31/05/2020",'NC Qualité'!E:E,"Parc",'NC Qualité'!Q:Q,"A")</f>
        <v>0</v>
      </c>
    </row>
    <row r="200" spans="1:28" ht="23.5" x14ac:dyDescent="0.35">
      <c r="AA200" s="34">
        <f>SUM(AA188:AA199)</f>
        <v>0</v>
      </c>
      <c r="AB200" s="34">
        <f>SUM(AB188:AB199)</f>
        <v>0</v>
      </c>
    </row>
    <row r="201" spans="1:28" ht="15" thickBot="1" x14ac:dyDescent="0.4"/>
    <row r="202" spans="1:28" ht="15" thickBot="1" x14ac:dyDescent="0.4">
      <c r="A202" s="42"/>
      <c r="B202" s="43"/>
      <c r="C202" s="43"/>
      <c r="D202" s="43"/>
      <c r="E202" s="43"/>
      <c r="F202" s="43"/>
      <c r="G202" s="43"/>
      <c r="H202" s="43"/>
      <c r="I202" s="43"/>
      <c r="J202" s="43"/>
      <c r="K202" s="43"/>
      <c r="L202" s="43"/>
      <c r="M202" s="43"/>
      <c r="N202" s="43"/>
      <c r="O202" s="43"/>
      <c r="P202" s="43"/>
      <c r="Q202" s="43"/>
      <c r="R202" s="43"/>
      <c r="S202" s="43"/>
      <c r="T202" s="43"/>
      <c r="U202" s="43"/>
      <c r="V202" s="43"/>
      <c r="W202" s="43"/>
      <c r="X202" s="43"/>
      <c r="Y202" s="43"/>
      <c r="Z202" s="43"/>
      <c r="AA202" s="43"/>
      <c r="AB202" s="44"/>
    </row>
    <row r="204" spans="1:28" x14ac:dyDescent="0.35">
      <c r="B204" t="s">
        <v>68</v>
      </c>
    </row>
    <row r="206" spans="1:28" ht="105" x14ac:dyDescent="0.35">
      <c r="B206" s="14" t="s">
        <v>29</v>
      </c>
      <c r="C206" s="20" t="s">
        <v>25</v>
      </c>
      <c r="D206" s="20" t="s">
        <v>78</v>
      </c>
      <c r="E206" s="20" t="s">
        <v>79</v>
      </c>
      <c r="F206" s="20" t="s">
        <v>77</v>
      </c>
      <c r="G206" s="20"/>
      <c r="H206" s="20"/>
      <c r="I206" s="20"/>
      <c r="J206" s="20" t="s">
        <v>35</v>
      </c>
      <c r="K206" s="20"/>
      <c r="L206" s="20" t="s">
        <v>82</v>
      </c>
      <c r="M206" s="20"/>
      <c r="N206" s="20" t="s">
        <v>39</v>
      </c>
      <c r="O206" s="20" t="s">
        <v>40</v>
      </c>
      <c r="P206" s="20" t="s">
        <v>24</v>
      </c>
      <c r="Q206" s="20" t="s">
        <v>43</v>
      </c>
      <c r="R206" s="20" t="s">
        <v>27</v>
      </c>
      <c r="S206" s="20" t="s">
        <v>44</v>
      </c>
      <c r="T206" s="20" t="s">
        <v>5</v>
      </c>
      <c r="U206" s="20" t="s">
        <v>25</v>
      </c>
      <c r="V206" s="20" t="s">
        <v>7</v>
      </c>
      <c r="W206" s="20" t="s">
        <v>28</v>
      </c>
      <c r="X206" s="20" t="s">
        <v>45</v>
      </c>
      <c r="AA206" s="33" t="s">
        <v>47</v>
      </c>
      <c r="AB206" s="32" t="s">
        <v>46</v>
      </c>
    </row>
    <row r="207" spans="1:28" ht="21" customHeight="1" x14ac:dyDescent="0.35">
      <c r="A207" s="67" t="s">
        <v>42</v>
      </c>
      <c r="B207" s="2" t="s">
        <v>70</v>
      </c>
      <c r="C207">
        <f>COUNTIFS('NC Qualité'!A:A,"&gt;=01/06/2020",'NC Qualité'!A:A,"&lt;=31/06/2020",'NC Qualité'!E:E,"Blocs",'NC Qualité'!I:I,"Dimensionnement (entraînant un rebut)")</f>
        <v>0</v>
      </c>
      <c r="D207">
        <f>COUNTIFS('NC Qualité'!A:A,"&gt;=01/06/2020",'NC Qualité'!A:A,"&lt;=31/06/2020",'NC Qualité'!E:E,"Blocs",'NC Qualité'!I:I,"Perçage du voile de pose")</f>
        <v>0</v>
      </c>
      <c r="E207">
        <f>COUNTIFS('NC Qualité'!A:A,"&gt;=01/06/2020",'NC Qualité'!A:A,"&lt;=31/06/2020",'NC Qualité'!E:E,"Blocs",'NC Qualité'!I:I,"étanchéité")</f>
        <v>0</v>
      </c>
      <c r="F207">
        <f>COUNTIFS('NC Qualité'!A:A,"&gt;=01/06/2020",'NC Qualité'!A:A,"&lt;=31/06/2020",'NC Qualité'!E:E,"Blocs",'NC Qualité'!I:I,"Aspect béton (Fissures, etc.)")</f>
        <v>0</v>
      </c>
      <c r="J207">
        <f>COUNTIFS('NC Qualité'!A:A,"&gt;=01/06/2020",'NC Qualité'!A:A,"&lt;=31/06/2020",'NC Qualité'!E:E,"Blocs",'NC Qualité'!I:I,"Armatures apparentes")</f>
        <v>0</v>
      </c>
      <c r="L207">
        <f>COUNTIFS('NC Qualité'!A:A,"&gt;=01/06/2020",'NC Qualité'!A:A,"&lt;=31/06/2020",'NC Qualité'!E:E,"Blocs",'NC Qualité'!I:I,"Délais de livraison")</f>
        <v>0</v>
      </c>
      <c r="N207">
        <f>COUNTIFS('NC Qualité'!A:A,"&gt;=01/06/2020",'NC Qualité'!A:A,"&lt;=31/06/2020",'NC Qualité'!E:E,"Blocs",'NC Qualité'!I:I,"Casse de l'élément")</f>
        <v>0</v>
      </c>
      <c r="O207">
        <f>COUNTIFS('NC Qualité'!A:A,"&gt;=01/06/2020",'NC Qualité'!A:A,"&lt;=31/06/2020",'NC Qualité'!E:E,"Blocs",'NC Qualité'!I:I,"Autres :")</f>
        <v>0</v>
      </c>
      <c r="P207" s="21"/>
      <c r="Q207" s="21"/>
      <c r="R207" s="21"/>
      <c r="S207" s="21"/>
      <c r="T207" s="21"/>
      <c r="U207" s="21"/>
      <c r="V207" s="21"/>
      <c r="W207" s="21"/>
      <c r="X207" s="25"/>
      <c r="AA207" s="31">
        <f>COUNTIFS('NC Qualité'!A:A,"&gt;=01/06/2020",'NC Qualité'!A:A,"&lt;=30/06/2020",'NC Qualité'!E:E,"Blocs",'NC Qualité'!S:S,1)</f>
        <v>0</v>
      </c>
      <c r="AB207" s="31">
        <f>COUNTIFS('NC Qualité'!A:A,"&gt;=01/06/2020",'NC Qualité'!A:A,"&lt;=30/06/2020",'NC Qualité'!E:E,"Blocs",'NC Qualité'!Q:Q,"A")</f>
        <v>0</v>
      </c>
    </row>
    <row r="208" spans="1:28" ht="21" x14ac:dyDescent="0.35">
      <c r="A208" s="67"/>
      <c r="B208" s="2" t="s">
        <v>71</v>
      </c>
      <c r="C208">
        <f>COUNTIFS('NC Qualité'!A:A,"&gt;=01/06/2020",'NC Qualité'!A:A,"&lt;=31/06/2020",'NC Qualité'!E:E,"Poutrelles",'NC Qualité'!I:I,"Dimensionnement (entraînant un rebut)")</f>
        <v>0</v>
      </c>
      <c r="D208">
        <f>COUNTIFS('NC Qualité'!A:A,"&gt;=01/06/2020",'NC Qualité'!A:A,"&lt;=31/06/2020",'NC Qualité'!E:E,"Poutrelles",'NC Qualité'!I:I,"Perçage du voile de pose")</f>
        <v>0</v>
      </c>
      <c r="E208">
        <f>COUNTIFS('NC Qualité'!A:A,"&gt;=01/06/2020",'NC Qualité'!A:A,"&lt;=31/06/2020",'NC Qualité'!E:E,"Poutrelles",'NC Qualité'!I:I,"Palettisation")</f>
        <v>0</v>
      </c>
      <c r="F208">
        <f>COUNTIFS('NC Qualité'!A:A,"&gt;=01/06/2020",'NC Qualité'!A:A,"&lt;=31/06/2020",'NC Qualité'!E:E,"Poutrelles",'NC Qualité'!I:I,"Aspect béton (Fissures, etc.)")</f>
        <v>0</v>
      </c>
      <c r="J208">
        <f>COUNTIFS('NC Qualité'!A:A,"&gt;=01/06/2020",'NC Qualité'!A:A,"&lt;=31/06/2020",'NC Qualité'!E:E,"Poutrelles",'NC Qualité'!I:I,"Armatures apparentes")</f>
        <v>0</v>
      </c>
      <c r="L208">
        <f>COUNTIFS('NC Qualité'!A:A,"&gt;=01/06/2020",'NC Qualité'!A:A,"&lt;=31/06/2020",'NC Qualité'!E:E,"Poutrelles",'NC Qualité'!I:I,"Délais de livraison")</f>
        <v>0</v>
      </c>
      <c r="N208">
        <f>COUNTIFS('NC Qualité'!A:A,"&gt;=01/06/2020",'NC Qualité'!A:A,"&lt;=31/06/2020",'NC Qualité'!E:E,"Poutrelles",'NC Qualité'!I:I,"Casse de l'élément")</f>
        <v>0</v>
      </c>
      <c r="O208">
        <f>COUNTIFS('NC Qualité'!A:A,"&gt;=01/06/2020",'NC Qualité'!A:A,"&lt;=31/06/2020",'NC Qualité'!E:E,"Poutrelles",'NC Qualité'!I:I,"Autres :")</f>
        <v>0</v>
      </c>
      <c r="P208" s="21"/>
      <c r="Q208" s="21"/>
      <c r="R208" s="21"/>
      <c r="S208" s="21"/>
      <c r="T208" s="21"/>
      <c r="U208" s="21"/>
      <c r="V208" s="21"/>
      <c r="W208" s="21"/>
      <c r="X208" s="26"/>
      <c r="AA208" s="31">
        <f>COUNTIFS('NC Qualité'!A:A,"&gt;=01/06/2020",'NC Qualité'!A:A,"&lt;=30/06/2020",'NC Qualité'!E:E,"Poutrelles",'NC Qualité'!S:S,1)</f>
        <v>0</v>
      </c>
      <c r="AB208" s="31">
        <f>COUNTIFS('NC Qualité'!A:A,"&gt;=01/06/2020",'NC Qualité'!A:A,"&lt;=30/06/2020",'NC Qualité'!E:E,"Poutrelles",'NC Qualité'!Q:Q,"A")</f>
        <v>0</v>
      </c>
    </row>
    <row r="209" spans="1:28" ht="21" x14ac:dyDescent="0.35">
      <c r="A209" s="67"/>
      <c r="B209" s="2" t="s">
        <v>72</v>
      </c>
      <c r="C209">
        <f>COUNTIFS('NC Qualité'!A:A,"&gt;=01/06/2020",'NC Qualité'!A:A,"&lt;=31/06/2020",'NC Qualité'!E:E,"Hourdis",'NC Qualité'!I:I,"Dimensionnement (entraînant un rebut)")</f>
        <v>0</v>
      </c>
      <c r="D209">
        <f>COUNTIFS('NC Qualité'!A:A,"&gt;=01/06/2020",'NC Qualité'!A:A,"&lt;=31/06/2020",'NC Qualité'!E:E,"Hourdis",'NC Qualité'!I:I,"Problème d'étiquetage")</f>
        <v>0</v>
      </c>
      <c r="E209">
        <f>COUNTIFS('NC Qualité'!A:A,"&gt;=01/06/2020",'NC Qualité'!A:A,"&lt;=31/06/2020",'NC Qualité'!E:E,"Hourdis",'NC Qualité'!I:I,"Palettisation")</f>
        <v>0</v>
      </c>
      <c r="F209">
        <f>COUNTIFS('NC Qualité'!A:A,"&gt;=01/06/2020",'NC Qualité'!A:A,"&lt;=31/06/2020",'NC Qualité'!E:E,"Hourdis",'NC Qualité'!I:I,"Aspect béton (Fissures, etc.)")</f>
        <v>0</v>
      </c>
      <c r="J209">
        <f>COUNTIFS('NC Qualité'!A:A,"&gt;=01/06/2020",'NC Qualité'!A:A,"&lt;=31/06/2020",'NC Qualité'!E:E,"Hourdis",'NC Qualité'!I:I,"Armatures apparentes")</f>
        <v>0</v>
      </c>
      <c r="L209">
        <f>COUNTIFS('NC Qualité'!A:A,"&gt;=01/06/2020",'NC Qualité'!A:A,"&lt;=31/06/2020",'NC Qualité'!E:E,"Hourdis",'NC Qualité'!I:I,"Délais de livraison")</f>
        <v>0</v>
      </c>
      <c r="N209">
        <f>COUNTIFS('NC Qualité'!A:A,"&gt;=01/06/2020",'NC Qualité'!A:A,"&lt;=31/06/2020",'NC Qualité'!E:E,"Hourdis",'NC Qualité'!I:I,"Casse de l'élément")</f>
        <v>0</v>
      </c>
      <c r="O209">
        <f>COUNTIFS('NC Qualité'!A:A,"&gt;=01/06/2020",'NC Qualité'!A:A,"&lt;=31/06/2020",'NC Qualité'!E:E,"Hourdis",'NC Qualité'!I:I,"Autres :")</f>
        <v>0</v>
      </c>
      <c r="P209" s="21"/>
      <c r="Q209" s="21"/>
      <c r="R209" s="21"/>
      <c r="S209" s="21"/>
      <c r="T209" s="21"/>
      <c r="U209" s="21"/>
      <c r="V209" s="21"/>
      <c r="W209" s="21"/>
      <c r="X209" s="26"/>
      <c r="AA209" s="31">
        <f>COUNTIFS('NC Qualité'!A:A,"&gt;=01/06/2020",'NC Qualité'!A:A,"&lt;=30/06/2020",'NC Qualité'!E:E,"Hourdis",'NC Qualité'!S:S,1)</f>
        <v>0</v>
      </c>
      <c r="AB209" s="31">
        <f>COUNTIFS('NC Qualité'!A:A,"&gt;=01/06/2020",'NC Qualité'!A:A,"&lt;=30/06/2020",'NC Qualité'!E:E,"Hourdis",'NC Qualité'!Q:Q,"A")</f>
        <v>0</v>
      </c>
    </row>
    <row r="210" spans="1:28" ht="29" x14ac:dyDescent="0.35">
      <c r="A210" s="67"/>
      <c r="B210" s="56" t="s">
        <v>98</v>
      </c>
      <c r="C210">
        <f>COUNTIFS('NC Qualité'!A:A,"&gt;=01/06/2020",'NC Qualité'!A:A,"&lt;=31/06/2020",'NC Qualité'!E:E,"Blocs à bancher",'NC Qualité'!I:I,"Dimensionnement (entraînant un rebut)")</f>
        <v>0</v>
      </c>
      <c r="D210">
        <f>COUNTIFS('NC Qualité'!A:A,"&gt;=01/06/2020",'NC Qualité'!A:A,"&lt;=31/06/2020",'NC Qualité'!E:E,"Blocs à bancher",'NC Qualité'!I:I,"Problème d'étiquetage")</f>
        <v>0</v>
      </c>
      <c r="E210">
        <f>COUNTIFS('NC Qualité'!A:A,"&gt;=01/06/2020",'NC Qualité'!A:A,"&lt;=31/06/2020",'NC Qualité'!E:E,"Blocs à bancher",'NC Qualité'!I:I,"Palettisation")</f>
        <v>0</v>
      </c>
      <c r="F210">
        <f>COUNTIFS('NC Qualité'!A:A,"&gt;=01/06/2020",'NC Qualité'!A:A,"&lt;=31/06/2020",'NC Qualité'!E:E,"Blocs à bancher",'NC Qualité'!I:I,"Aspect béton (Fissures, etc.)")</f>
        <v>0</v>
      </c>
      <c r="J210">
        <f>COUNTIFS('NC Qualité'!A:A,"&gt;=01/06/2020",'NC Qualité'!A:A,"&lt;=31/06/2020",'NC Qualité'!E:E,"Blocs à bancher",'NC Qualité'!I:I,"Armatures apparentes")</f>
        <v>0</v>
      </c>
      <c r="L210">
        <f>COUNTIFS('NC Qualité'!A:A,"&gt;=01/06/2020",'NC Qualité'!A:A,"&lt;=31/06/2020",'NC Qualité'!E:E,"Blocs à bancher",'NC Qualité'!I:I,"Délais de livraison")</f>
        <v>0</v>
      </c>
      <c r="N210">
        <f>COUNTIFS('NC Qualité'!A:A,"&gt;=01/06/2020",'NC Qualité'!A:A,"&lt;=31/06/2020",'NC Qualité'!E:E,"Blocs à bancher",'NC Qualité'!I:I,"Casse de l'élément")</f>
        <v>0</v>
      </c>
      <c r="O210">
        <f>COUNTIFS('NC Qualité'!A:A,"&gt;=01/06/2020",'NC Qualité'!A:A,"&lt;=31/06/2020",'NC Qualité'!E:E,"Blocs à bancher",'NC Qualité'!I:I,"Autres :")</f>
        <v>0</v>
      </c>
      <c r="P210" s="21"/>
      <c r="Q210" s="21"/>
      <c r="R210" s="21"/>
      <c r="S210" s="21"/>
      <c r="T210" s="21"/>
      <c r="U210" s="21"/>
      <c r="V210" s="21"/>
      <c r="W210" s="21"/>
      <c r="X210" s="26"/>
      <c r="AA210" s="31">
        <f>COUNTIFS('NC Qualité'!A:A,"&gt;=01/06/2020",'NC Qualité'!A:A,"&lt;=30/06/2020",'NC Qualité'!E:E,"Bordures",'NC Qualité'!S:S,1)</f>
        <v>0</v>
      </c>
      <c r="AB210" s="31">
        <f>COUNTIFS('NC Qualité'!A:A,"&gt;=01/06/2020",'NC Qualité'!A:A,"&lt;=30/06/2020",'NC Qualité'!E:E,"Bordures",'NC Qualité'!Q:Q,"A")</f>
        <v>0</v>
      </c>
    </row>
    <row r="211" spans="1:28" ht="21" x14ac:dyDescent="0.35">
      <c r="A211" s="67"/>
      <c r="B211" s="2"/>
      <c r="P211" s="21"/>
      <c r="Q211" s="21"/>
      <c r="R211" s="21"/>
      <c r="S211" s="21"/>
      <c r="T211" s="21"/>
      <c r="U211" s="21"/>
      <c r="V211" s="21"/>
      <c r="W211" s="21"/>
      <c r="X211" s="26"/>
      <c r="AA211" s="31">
        <f>COUNTIFS('NC Qualité'!A:A,"&gt;=01/06/2020",'NC Qualité'!A:A,"&lt;=30/06/2020",'NC Qualité'!E:E,"Caniveaux",'NC Qualité'!S:S,1)</f>
        <v>0</v>
      </c>
      <c r="AB211" s="31">
        <f>COUNTIFS('NC Qualité'!A:A,"&gt;=01/06/2020",'NC Qualité'!A:A,"&lt;=30/06/2020",'NC Qualité'!E:E,"Caniveaux",'NC Qualité'!Q:Q,"A")</f>
        <v>0</v>
      </c>
    </row>
    <row r="212" spans="1:28" ht="21" x14ac:dyDescent="0.35">
      <c r="A212" s="67"/>
      <c r="B212" s="15"/>
      <c r="P212" s="21"/>
      <c r="Q212" s="21"/>
      <c r="R212" s="21"/>
      <c r="S212" s="21"/>
      <c r="T212" s="21"/>
      <c r="U212" s="21"/>
      <c r="V212" s="21"/>
      <c r="W212" s="21"/>
      <c r="X212" s="26"/>
      <c r="AA212" s="31">
        <f>COUNTIFS('NC Qualité'!A:A,"&gt;=01/06/2020",'NC Qualité'!A:A,"&lt;=30/06/2020",'NC Qualité'!E:E,"Fielding : Bordures et Caniveaux",'NC Qualité'!S:S,1)</f>
        <v>0</v>
      </c>
      <c r="AB212" s="31">
        <f>COUNTIFS('NC Qualité'!A:A,"&gt;=01/06/2020",'NC Qualité'!A:A,"&lt;=30/06/2020",'NC Qualité'!E:E,"Fielding : Bordures et Caniveaux",'NC Qualité'!Q:Q,"A")</f>
        <v>0</v>
      </c>
    </row>
    <row r="213" spans="1:28" ht="21" x14ac:dyDescent="0.35">
      <c r="A213" s="67"/>
      <c r="B213" s="2"/>
      <c r="P213" s="21"/>
      <c r="Q213" s="21"/>
      <c r="R213" s="21"/>
      <c r="S213" s="21"/>
      <c r="T213" s="21"/>
      <c r="U213" s="21"/>
      <c r="V213" s="21"/>
      <c r="W213" s="21"/>
      <c r="X213" s="26"/>
      <c r="AA213" s="31">
        <f>COUNTIFS('NC Qualité'!A:A,"&gt;=01/06/2020",'NC Qualité'!A:A,"&lt;=30/06/2020",'NC Qualité'!E:E,"Modul : Tuyaux Dn 1800 à 2630",'NC Qualité'!S:S,1)</f>
        <v>0</v>
      </c>
      <c r="AB213" s="31">
        <f>COUNTIFS('NC Qualité'!A:A,"&gt;=01/06/2020",'NC Qualité'!A:A,"&lt;=30/06/2020",'NC Qualité'!E:E,"Modul : Tuyaux Dn 1800 à 2630",'NC Qualité'!Q:Q,"A")</f>
        <v>0</v>
      </c>
    </row>
    <row r="214" spans="1:28" ht="29" x14ac:dyDescent="0.35">
      <c r="A214" s="67" t="s">
        <v>41</v>
      </c>
      <c r="B214" s="2" t="s">
        <v>6</v>
      </c>
      <c r="C214" s="21"/>
      <c r="D214">
        <f>COUNTIFS('NC Qualité'!A:A,"&gt;=01/06/2020",'NC Qualité'!A:A,"&lt;=30/06/2020",'NC Qualité'!E:E,"Panneau coulé à plat",'NC Qualité'!I:I,"Problème d'étiquetage")</f>
        <v>0</v>
      </c>
      <c r="E214" s="21"/>
      <c r="F214">
        <f>COUNTIFS('NC Qualité'!A:A,"&gt;=01/06/2020",'NC Qualité'!A:A,"&lt;=30/06/2020",'NC Qualité'!E:E,"Panneau coulé à plat",'NC Qualité'!I:I,"Aspect béton (tâches / nid d'abeilles / granuleux / Fissures etc.)")</f>
        <v>0</v>
      </c>
      <c r="G214" s="21"/>
      <c r="H214">
        <f>COUNTIFS('NC Qualité'!A:A,"&gt;=01/06/2020",'NC Qualité'!A:A,"&lt;=30/06/2020",'NC Qualité'!E:E,"Panneau coulé à plat",'NC Qualité'!I:I,"Ancre de levage")</f>
        <v>0</v>
      </c>
      <c r="I214" s="21"/>
      <c r="J214">
        <f>COUNTIFS('NC Qualité'!A:A,"&gt;=01/06/2020",'NC Qualité'!A:A,"&lt;=30/06/2020",'NC Qualité'!E:E,"Modul : Tuyaux Dn 1800 à 2630",'NC Qualité'!I:I,"Armatures apparentes")</f>
        <v>0</v>
      </c>
      <c r="K214" s="21"/>
      <c r="L214" s="21"/>
      <c r="M214" s="21"/>
      <c r="N214" s="21"/>
      <c r="O214">
        <f>COUNTIFS('NC Qualité'!A:A,"&gt;=01/06/2020",'NC Qualité'!A:A,"&lt;=30/06/2020",'NC Qualité'!E:E,"Panneau coulé à plat",'NC Qualité'!I:I,"Autres :")</f>
        <v>0</v>
      </c>
      <c r="P214">
        <f>COUNTIFS('NC Qualité'!A:A,"&gt;=01/06/2020",'NC Qualité'!A:A,"&lt;=30/06/2020",'NC Qualité'!E:E,"Panneau coulé à plat",'NC Qualité'!I:I,"Accessoires (Mauvais positionnement , manquement, etc.)")</f>
        <v>0</v>
      </c>
      <c r="Q214">
        <f>COUNTIFS('NC Qualité'!A:A,"&gt;=01/06/2020",'NC Qualité'!A:A,"&lt;=30/06/2020",'NC Qualité'!E:E,"Panneau coulé à plat",'NC Qualité'!I:I,"équerrisage")</f>
        <v>0</v>
      </c>
      <c r="R214">
        <f>COUNTIFS('NC Qualité'!A:A,"&gt;=01/06/2020",'NC Qualité'!A:A,"&lt;=30/06/2020",'NC Qualité'!E:E,"Panneau coulé à plat",'NC Qualité'!I:I,"Seuil de porte (réservation)")</f>
        <v>0</v>
      </c>
      <c r="S214">
        <f>COUNTIFS('NC Qualité'!A:A,"&gt;=01/06/2020",'NC Qualité'!A:A,"&lt;=30/06/2020",'NC Qualité'!E:E,"Panneau coulé à plat",'NC Qualité'!I:I,"épaisseur")</f>
        <v>0</v>
      </c>
      <c r="T214">
        <f>COUNTIFS('NC Qualité'!A:A,"&gt;=01/06/2020",'NC Qualité'!A:A,"&lt;=30/06/2020",'NC Qualité'!E:E,"Panneau coulé à plat",'NC Qualité'!I:I,"Chanfrein")</f>
        <v>0</v>
      </c>
      <c r="U214">
        <f>COUNTIFS('NC Qualité'!A:A,"&gt;=01/06/2020",'NC Qualité'!A:A,"&lt;=30/06/2020",'NC Qualité'!E:E,"Panneau coulé à plat",'NC Qualité'!I:I,"Dimensionnement (entraînant un rebut)")</f>
        <v>0</v>
      </c>
      <c r="V214">
        <f>COUNTIFS('NC Qualité'!A:A,"&gt;=01/06/2020",'NC Qualité'!A:A,"&lt;=30/06/2020",'NC Qualité'!E:E,"Panneau coulé à plat",'NC Qualité'!I:I,"Cintrage")</f>
        <v>0</v>
      </c>
      <c r="W214">
        <f>COUNTIFS('NC Qualité'!A:A,"&gt;=01/06/2020",'NC Qualité'!A:A,"&lt;=30/06/2020",'NC Qualité'!E:E,"Panneau coulé à plat",'NC Qualité'!I:I,"Problème de chargement (sanglage, casse etc.)")</f>
        <v>0</v>
      </c>
      <c r="X214" s="27">
        <f>COUNTIFS('NC Qualité'!A:A,"&gt;=01/06/2020",'NC Qualité'!A:A,"&lt;=30/06/2020",'NC Qualité'!E:E,"Panneau coulé à plat",'NC Qualité'!I:I,"Erreur de chargement ")</f>
        <v>0</v>
      </c>
      <c r="AA214" s="31">
        <f>COUNTIFS('NC Qualité'!A:A,"&gt;=01/06/2020",'NC Qualité'!A:A,"&lt;=30/06/2020",'NC Qualité'!E:E,"Panneau coulé à plat",'NC Qualité'!S:S,1)</f>
        <v>0</v>
      </c>
      <c r="AB214" s="31">
        <f>COUNTIFS('NC Qualité'!A:A,"&gt;=01/06/2020",'NC Qualité'!A:A,"&lt;=30/06/2020",'NC Qualité'!E:E,"Panneau coulé à plat",'NC Qualité'!Q:Q,"A")</f>
        <v>0</v>
      </c>
    </row>
    <row r="215" spans="1:28" ht="21" x14ac:dyDescent="0.35">
      <c r="A215" s="67"/>
      <c r="B215" s="2" t="s">
        <v>0</v>
      </c>
      <c r="C215" s="21"/>
      <c r="D215">
        <f>COUNTIFS('NC Qualité'!A:A,"&gt;=01/06/2020",'NC Qualité'!A:A,"&lt;=30/06/2020",'NC Qualité'!E:E,"Bianchi",'NC Qualité'!I:I,"Problème d'étiquetage")</f>
        <v>0</v>
      </c>
      <c r="E215" s="21"/>
      <c r="F215">
        <f>COUNTIFS('NC Qualité'!A:A,"&gt;=01/06/2020",'NC Qualité'!A:A,"&lt;=30/06/2020",'NC Qualité'!E:E,"Bianchi",'NC Qualité'!I:I,"Aspect béton (tâches / nid d'abeilles / granuleux / Fissures etc.)")</f>
        <v>0</v>
      </c>
      <c r="G215" s="21"/>
      <c r="H215">
        <f>COUNTIFS('NC Qualité'!A:A,"&gt;=01/06/2020",'NC Qualité'!A:A,"&lt;=30/06/2020",'NC Qualité'!E:E,"Bianchi",'NC Qualité'!I:I,"Ancre de levage")</f>
        <v>0</v>
      </c>
      <c r="I215" s="21"/>
      <c r="J215">
        <f>COUNTIFS('NC Qualité'!A:A,"&gt;=01/06/2020",'NC Qualité'!A:A,"&lt;=30/06/2020",'NC Qualité'!E:E,"Bianchi",'NC Qualité'!I:I,"Armatures apparentes")</f>
        <v>0</v>
      </c>
      <c r="K215" s="21"/>
      <c r="L215" s="21"/>
      <c r="M215" s="21"/>
      <c r="N215" s="21"/>
      <c r="O215">
        <f>COUNTIFS('NC Qualité'!A:A,"&gt;=01/06/2020",'NC Qualité'!A:A,"&lt;=30/06/2020",'NC Qualité'!E:E,"Bianchi",'NC Qualité'!I:I,"Autres :")</f>
        <v>0</v>
      </c>
      <c r="P215">
        <f>COUNTIFS('NC Qualité'!A:A,"&gt;=01/06/2020",'NC Qualité'!A:A,"&lt;=30/06/2020",'NC Qualité'!E:E,"Bianchi",'NC Qualité'!I:I,"Accessoires (Mauvais positionnement , manquement, etc.)")</f>
        <v>0</v>
      </c>
      <c r="Q215">
        <f>COUNTIFS('NC Qualité'!A:A,"&gt;=01/06/2020",'NC Qualité'!A:A,"&lt;=30/06/2020",'NC Qualité'!E:E,"Bianchi",'NC Qualité'!I:I,"équerrisage")</f>
        <v>0</v>
      </c>
      <c r="R215">
        <f>COUNTIFS('NC Qualité'!A:A,"&gt;=01/06/2020",'NC Qualité'!A:A,"&lt;=30/06/2020",'NC Qualité'!E:E,"Bianchi",'NC Qualité'!I:I,"Seuil de porte (réservation)")</f>
        <v>0</v>
      </c>
      <c r="S215">
        <f>COUNTIFS('NC Qualité'!A:A,"&gt;=01/06/2020",'NC Qualité'!A:A,"&lt;=30/06/2020",'NC Qualité'!E:E,"Bianchi",'NC Qualité'!I:I,"épaisseur")</f>
        <v>0</v>
      </c>
      <c r="T215">
        <f>COUNTIFS('NC Qualité'!A:A,"&gt;=01/06/2020",'NC Qualité'!A:A,"&lt;=30/06/2020",'NC Qualité'!E:E,"Bianchi",'NC Qualité'!I:I,"Chanfrein")</f>
        <v>0</v>
      </c>
      <c r="U215">
        <f>COUNTIFS('NC Qualité'!A:A,"&gt;=01/06/2020",'NC Qualité'!A:A,"&lt;=30/06/2020",'NC Qualité'!E:E,"Bianchi",'NC Qualité'!I:I,"Dimensionnement (entraînant un rebut)")</f>
        <v>0</v>
      </c>
      <c r="V215">
        <f>COUNTIFS('NC Qualité'!A:A,"&gt;=01/06/2020",'NC Qualité'!A:A,"&lt;=30/06/2020",'NC Qualité'!E:E,"Bianchi",'NC Qualité'!I:I,"Cintrage")</f>
        <v>0</v>
      </c>
      <c r="W215">
        <f>COUNTIFS('NC Qualité'!A:A,"&gt;=01/06/2020",'NC Qualité'!A:A,"&lt;=30/06/2020",'NC Qualité'!E:E,"Bianchi",'NC Qualité'!I:I,"Problème de chargement (sanglage, casse etc.)")</f>
        <v>0</v>
      </c>
      <c r="X215" s="27">
        <f>COUNTIFS('NC Qualité'!A:A,"&gt;=01/06/2020",'NC Qualité'!A:A,"&lt;=30/06/2020",'NC Qualité'!E:E,"Bianchi",'NC Qualité'!I:I,"Erreur de chargement ")</f>
        <v>0</v>
      </c>
      <c r="AA215" s="31">
        <f>COUNTIFS('NC Qualité'!A:A,"&gt;=01/06/2020",'NC Qualité'!A:A,"&lt;=30/06/2020",'NC Qualité'!E:E,"Bianchi",'NC Qualité'!S:S,1)</f>
        <v>0</v>
      </c>
      <c r="AB215" s="31">
        <f>COUNTIFS('NC Qualité'!A:A,"&gt;=01/06/2020",'NC Qualité'!A:A,"&lt;=30/06/2020",'NC Qualité'!E:E,"Bianchi",'NC Qualité'!Q:Q,"A")</f>
        <v>0</v>
      </c>
    </row>
    <row r="216" spans="1:28" ht="29" x14ac:dyDescent="0.35">
      <c r="A216" s="67"/>
      <c r="B216" s="2" t="s">
        <v>3</v>
      </c>
      <c r="C216" s="21"/>
      <c r="D216">
        <f>COUNTIFS('NC Qualité'!A:A,"&gt;=01/06/2020",'NC Qualité'!A:A,"&lt;=30/06/2020",'NC Qualité'!E:E,"Préfabrication",'NC Qualité'!I:I,"Problème d'étiquetage")</f>
        <v>0</v>
      </c>
      <c r="E216" s="21"/>
      <c r="F216">
        <f>COUNTIFS('NC Qualité'!A:A,"&gt;=01/06/2020",'NC Qualité'!A:A,"&lt;=30/06/2020",'NC Qualité'!E:E,"Préfabrication",'NC Qualité'!I:I,"Aspect béton (tâches / nid d'abeilles / granuleux / Fissures etc.)")</f>
        <v>0</v>
      </c>
      <c r="G216" s="21"/>
      <c r="H216">
        <f>COUNTIFS('NC Qualité'!A:A,"&gt;=01/06/2020",'NC Qualité'!A:A,"&lt;=30/06/2020",'NC Qualité'!E:E,"Préfabrication",'NC Qualité'!I:I,"Ancre de levage")</f>
        <v>0</v>
      </c>
      <c r="I216" s="21"/>
      <c r="J216">
        <f>COUNTIFS('NC Qualité'!A:A,"&gt;=01/06/2020",'NC Qualité'!A:A,"&lt;=30/06/2020",'NC Qualité'!E:E,"Préfabrication",'NC Qualité'!I:I,"Armatures apparentes")</f>
        <v>0</v>
      </c>
      <c r="K216" s="21"/>
      <c r="L216" s="21"/>
      <c r="M216" s="21"/>
      <c r="N216" s="21"/>
      <c r="O216">
        <f>COUNTIFS('NC Qualité'!A:A,"&gt;=01/06/2020",'NC Qualité'!A:A,"&lt;=30/06/2020",'NC Qualité'!E:E,"Préfabrication",'NC Qualité'!I:I,"Autres :")</f>
        <v>0</v>
      </c>
      <c r="P216">
        <f>COUNTIFS('NC Qualité'!A:A,"&gt;=01/06/2020",'NC Qualité'!A:A,"&lt;=30/06/2020",'NC Qualité'!E:E,"Préfabrication",'NC Qualité'!I:I,"Accessoires (Mauvais positionnement , manquement, etc.)")</f>
        <v>0</v>
      </c>
      <c r="Q216">
        <f>COUNTIFS('NC Qualité'!A:A,"&gt;=01/06/2020",'NC Qualité'!A:A,"&lt;=30/06/2020",'NC Qualité'!E:E,"Préfabrication",'NC Qualité'!I:I,"équerrisage")</f>
        <v>0</v>
      </c>
      <c r="R216">
        <f>COUNTIFS('NC Qualité'!A:A,"&gt;=01/06/2020",'NC Qualité'!A:A,"&lt;=30/06/2020",'NC Qualité'!E:E,"Préfabrication",'NC Qualité'!I:I,"Seuil de porte (réservation)")</f>
        <v>0</v>
      </c>
      <c r="S216">
        <f>COUNTIFS('NC Qualité'!A:A,"&gt;=01/06/2020",'NC Qualité'!A:A,"&lt;=30/06/2020",'NC Qualité'!E:E,"Préfabrication",'NC Qualité'!I:I,"épaisseur")</f>
        <v>0</v>
      </c>
      <c r="T216">
        <f>COUNTIFS('NC Qualité'!A:A,"&gt;=01/06/2020",'NC Qualité'!A:A,"&lt;=30/06/2020",'NC Qualité'!E:E,"Préfabrication",'NC Qualité'!I:I,"Chanfrein")</f>
        <v>0</v>
      </c>
      <c r="U216">
        <f>COUNTIFS('NC Qualité'!A:A,"&gt;=01/06/2020",'NC Qualité'!A:A,"&lt;=30/06/2020",'NC Qualité'!E:E,"Préfabrication",'NC Qualité'!I:I,"Dimensionnement (entraînant un rebut)")</f>
        <v>0</v>
      </c>
      <c r="V216">
        <f>COUNTIFS('NC Qualité'!A:A,"&gt;=01/06/2020",'NC Qualité'!A:A,"&lt;=30/06/2020",'NC Qualité'!E:E,"Préfabrication",'NC Qualité'!I:I,"Cintrage")</f>
        <v>0</v>
      </c>
      <c r="W216">
        <f>COUNTIFS('NC Qualité'!A:A,"&gt;=01/06/2020",'NC Qualité'!A:A,"&lt;=30/06/2020",'NC Qualité'!E:E,"Préfabrication",'NC Qualité'!I:I,"Problème de chargement (sanglage, casse etc.)")</f>
        <v>0</v>
      </c>
      <c r="X216" s="27">
        <f>COUNTIFS('NC Qualité'!A:A,"&gt;=01/06/2020",'NC Qualité'!A:A,"&lt;=30/06/2020",'NC Qualité'!E:E,"Préfabrication",'NC Qualité'!I:I,"Erreur de chargement ")</f>
        <v>0</v>
      </c>
      <c r="AA216" s="31">
        <f>COUNTIFS('NC Qualité'!A:A,"&gt;=01/06/2020",'NC Qualité'!A:A,"&lt;=30/06/2020",'NC Qualité'!E:E,"Préfabrication",'NC Qualité'!S:S,1)</f>
        <v>0</v>
      </c>
      <c r="AB216" s="31">
        <f>COUNTIFS('NC Qualité'!A:A,"&gt;=01/06/2020",'NC Qualité'!A:A,"&lt;=30/06/2020",'NC Qualité'!E:E,"Préfabrication",'NC Qualité'!Q:Q,"A")</f>
        <v>0</v>
      </c>
    </row>
    <row r="217" spans="1:28" ht="29" x14ac:dyDescent="0.35">
      <c r="A217" s="67"/>
      <c r="B217" s="16" t="s">
        <v>2</v>
      </c>
      <c r="C217" s="21"/>
      <c r="D217">
        <f>COUNTIFS('NC Qualité'!A:A,"&gt;=01/06/2020",'NC Qualité'!A:A,"&lt;=30/06/2020",'NC Qualité'!E:E,"Précontraint",'NC Qualité'!I:I,"Problème d'étiquetage")</f>
        <v>0</v>
      </c>
      <c r="E217" s="21"/>
      <c r="F217">
        <f>COUNTIFS('NC Qualité'!A:A,"&gt;=01/06/2020",'NC Qualité'!A:A,"&lt;=30/06/2020",'NC Qualité'!E:E,"Précontraint",'NC Qualité'!I:I,"Aspect béton (tâches / nid d'abeilles / granuleux / Fissures etc.)")</f>
        <v>0</v>
      </c>
      <c r="G217" s="21"/>
      <c r="H217">
        <f>COUNTIFS('NC Qualité'!A:A,"&gt;=01/06/2020",'NC Qualité'!A:A,"&lt;=30/06/2020",'NC Qualité'!E:E,"Précontraint",'NC Qualité'!I:I,"Ancre de levage")</f>
        <v>0</v>
      </c>
      <c r="I217" s="21"/>
      <c r="J217">
        <f>COUNTIFS('NC Qualité'!A:A,"&gt;=01/06/2020",'NC Qualité'!A:A,"&lt;=30/06/2020",'NC Qualité'!E:E,"Précontraint",'NC Qualité'!I:I,"Armatures apparentes")</f>
        <v>0</v>
      </c>
      <c r="K217" s="21"/>
      <c r="L217" s="21"/>
      <c r="M217" s="21"/>
      <c r="N217" s="21"/>
      <c r="O217">
        <f>COUNTIFS('NC Qualité'!A:A,"&gt;=01/06/2020",'NC Qualité'!A:A,"&lt;=30/06/2020",'NC Qualité'!E:E,"Précontraint",'NC Qualité'!I:I,"Autres :")</f>
        <v>0</v>
      </c>
      <c r="P217">
        <f>COUNTIFS('NC Qualité'!A:A,"&gt;=01/06/2020",'NC Qualité'!A:A,"&lt;=30/06/2020",'NC Qualité'!E:E,"Précontraint",'NC Qualité'!I:I,"Accessoires (Mauvais positionnement , manquement, etc.)")</f>
        <v>0</v>
      </c>
      <c r="Q217">
        <f>COUNTIFS('NC Qualité'!A:A,"&gt;=01/06/2020",'NC Qualité'!A:A,"&lt;=30/06/2020",'NC Qualité'!E:E,"Précontraint",'NC Qualité'!I:I,"équerrisage")</f>
        <v>0</v>
      </c>
      <c r="R217">
        <f>COUNTIFS('NC Qualité'!A:A,"&gt;=01/06/2020",'NC Qualité'!A:A,"&lt;=30/06/2020",'NC Qualité'!E:E,"Précontraint",'NC Qualité'!I:I,"Seuil de porte (réservation)")</f>
        <v>0</v>
      </c>
      <c r="S217">
        <f>COUNTIFS('NC Qualité'!A:A,"&gt;=01/06/2020",'NC Qualité'!A:A,"&lt;=30/06/2020",'NC Qualité'!E:E,"Précontraint",'NC Qualité'!I:I,"épaisseur")</f>
        <v>0</v>
      </c>
      <c r="T217">
        <f>COUNTIFS('NC Qualité'!A:A,"&gt;=01/06/2020",'NC Qualité'!A:A,"&lt;=30/06/2020",'NC Qualité'!E:E,"Précontraint",'NC Qualité'!I:I,"Chanfrein")</f>
        <v>0</v>
      </c>
      <c r="U217">
        <f>COUNTIFS('NC Qualité'!A:A,"&gt;=01/06/2020",'NC Qualité'!A:A,"&lt;=30/06/2020",'NC Qualité'!E:E,"Précontraint",'NC Qualité'!I:I,"Dimensionnement (entraînant un rebut)")</f>
        <v>0</v>
      </c>
      <c r="V217">
        <f>COUNTIFS('NC Qualité'!A:A,"&gt;=01/06/2020",'NC Qualité'!A:A,"&lt;=30/06/2020",'NC Qualité'!E:E,"Précontraint",'NC Qualité'!I:I,"Cintrage")</f>
        <v>0</v>
      </c>
      <c r="W217">
        <f>COUNTIFS('NC Qualité'!A:A,"&gt;=01/06/2020",'NC Qualité'!A:A,"&lt;=30/06/2020",'NC Qualité'!E:E,"Précontraint",'NC Qualité'!I:I,"Problème de chargement (sanglage, casse etc.)")</f>
        <v>0</v>
      </c>
      <c r="X217" s="27">
        <f>COUNTIFS('NC Qualité'!A:A,"&gt;=01/06/2020",'NC Qualité'!A:A,"&lt;=30/06/2020",'NC Qualité'!E:E,"Précontraint",'NC Qualité'!I:I,"Erreur de chargement ")</f>
        <v>0</v>
      </c>
      <c r="AA217" s="31">
        <f>COUNTIFS('NC Qualité'!A:A,"&gt;=01/06/2020",'NC Qualité'!A:A,"&lt;=30/06/2020",'NC Qualité'!E:E,"Précontraint",'NC Qualité'!S:S,1)</f>
        <v>0</v>
      </c>
      <c r="AB217" s="31">
        <f>COUNTIFS('NC Qualité'!A:A,"&gt;=01/06/2020",'NC Qualité'!A:A,"&lt;=30/06/2020",'NC Qualité'!E:E,"Précontraint",'NC Qualité'!Q:Q,"A")</f>
        <v>0</v>
      </c>
    </row>
    <row r="218" spans="1:28" ht="21" x14ac:dyDescent="0.35">
      <c r="A218" s="67"/>
      <c r="B218" s="2" t="s">
        <v>1</v>
      </c>
      <c r="C218" s="22"/>
      <c r="D218" s="23">
        <f>COUNTIFS('NC Qualité'!A:A,"&gt;=01/06/2020",'NC Qualité'!A:A,"&lt;=30/06/2020",'NC Qualité'!E:E,"Parc",'NC Qualité'!I:I,"Problème d'étiquetage")</f>
        <v>0</v>
      </c>
      <c r="E218" s="24"/>
      <c r="F218" s="23">
        <f>COUNTIFS('NC Qualité'!A:A,"&gt;=01/06/2020",'NC Qualité'!A:A,"&lt;=30/06/2020",'NC Qualité'!E:E,"Parc",'NC Qualité'!I:I,"Aspect béton (tâches / nid d'abeilles / granuleux / Fissures etc.)")</f>
        <v>0</v>
      </c>
      <c r="G218" s="24"/>
      <c r="H218" s="23">
        <f>COUNTIFS('NC Qualité'!A:A,"&gt;=01/06/2020",'NC Qualité'!A:A,"&lt;=30/06/2020",'NC Qualité'!E:E,"Parc",'NC Qualité'!I:I,"Ancre de levage")</f>
        <v>0</v>
      </c>
      <c r="I218" s="24"/>
      <c r="J218" s="23">
        <f>COUNTIFS('NC Qualité'!A:A,"&gt;=01/06/2020",'NC Qualité'!A:A,"&lt;=30/06/2020",'NC Qualité'!E:E,"Parc",'NC Qualité'!I:I,"Armatures apparentes")</f>
        <v>0</v>
      </c>
      <c r="K218" s="24"/>
      <c r="L218" s="24"/>
      <c r="M218" s="24"/>
      <c r="N218" s="24"/>
      <c r="O218" s="23">
        <f>COUNTIFS('NC Qualité'!A:A,"&gt;=01/06/2020",'NC Qualité'!A:A,"&lt;=30/06/2020",'NC Qualité'!E:E,"Parc",'NC Qualité'!I:I,"Autres :")</f>
        <v>0</v>
      </c>
      <c r="P218" s="23">
        <f>COUNTIFS('NC Qualité'!A:A,"&gt;=01/06/2020",'NC Qualité'!A:A,"&lt;=30/06/2020",'NC Qualité'!E:E,"Parc",'NC Qualité'!I:I,"Accessoires (Mauvais positionnement , manquement, etc.)")</f>
        <v>0</v>
      </c>
      <c r="Q218" s="23">
        <f>COUNTIFS('NC Qualité'!A:A,"&gt;=01/06/2020",'NC Qualité'!A:A,"&lt;=30/06/2020",'NC Qualité'!E:E,"Parc",'NC Qualité'!I:I,"équerrisage")</f>
        <v>0</v>
      </c>
      <c r="R218" s="23">
        <f>COUNTIFS('NC Qualité'!A:A,"&gt;=01/06/2020",'NC Qualité'!A:A,"&lt;=30/06/2020",'NC Qualité'!E:E,"Parc",'NC Qualité'!I:I,"Seuil de porte (réservation)")</f>
        <v>0</v>
      </c>
      <c r="S218" s="23">
        <f>COUNTIFS('NC Qualité'!A:A,"&gt;=01/06/2020",'NC Qualité'!A:A,"&lt;=30/06/2020",'NC Qualité'!E:E,"Parc",'NC Qualité'!I:I,"épaisseur")</f>
        <v>0</v>
      </c>
      <c r="T218" s="23">
        <f>COUNTIFS('NC Qualité'!A:A,"&gt;=01/06/2020",'NC Qualité'!A:A,"&lt;=30/06/2020",'NC Qualité'!E:E,"Parc",'NC Qualité'!I:I,"Chanfrein")</f>
        <v>0</v>
      </c>
      <c r="U218" s="23">
        <f>COUNTIFS('NC Qualité'!A:A,"&gt;=01/06/2020",'NC Qualité'!A:A,"&lt;=30/06/2020",'NC Qualité'!E:E,"Parc",'NC Qualité'!I:I,"Dimensionnement (entraînant un rebut)")</f>
        <v>0</v>
      </c>
      <c r="V218" s="23">
        <f>COUNTIFS('NC Qualité'!A:A,"&gt;=01/06/2020",'NC Qualité'!A:A,"&lt;=30/06/2020",'NC Qualité'!E:E,"Parc",'NC Qualité'!I:I,"Cintrage")</f>
        <v>0</v>
      </c>
      <c r="W218" s="23">
        <f>COUNTIFS('NC Qualité'!A:A,"&gt;=01/06/2020",'NC Qualité'!A:A,"&lt;=30/06/2020",'NC Qualité'!E:E,"Parc",'NC Qualité'!I:I,"Problème de chargement (sanglage, casse etc.)")</f>
        <v>0</v>
      </c>
      <c r="X218" s="28">
        <f>COUNTIFS('NC Qualité'!A:A,"&gt;=01/06/2020",'NC Qualité'!A:A,"&lt;=30/06/2020",'NC Qualité'!E:E,"Parc",'NC Qualité'!I:I,"Erreur de chargement ")</f>
        <v>0</v>
      </c>
      <c r="AA218" s="31">
        <f>COUNTIFS('NC Qualité'!A:A,"&gt;=01/06/2020",'NC Qualité'!A:A,"&lt;=30/06/2020",'NC Qualité'!E:E,"Parc",'NC Qualité'!S:S,1)</f>
        <v>0</v>
      </c>
      <c r="AB218" s="31">
        <f>COUNTIFS('NC Qualité'!A:A,"&gt;=01/06/2020",'NC Qualité'!A:A,"&lt;=30/06/2020",'NC Qualité'!E:E,"Parc",'NC Qualité'!Q:Q,"A")</f>
        <v>0</v>
      </c>
    </row>
    <row r="219" spans="1:28" ht="23.5" x14ac:dyDescent="0.35">
      <c r="AA219" s="34">
        <f>SUM(AA207:AA218)</f>
        <v>0</v>
      </c>
      <c r="AB219" s="34">
        <f>SUM(AB207:AB218)</f>
        <v>0</v>
      </c>
    </row>
    <row r="220" spans="1:28" ht="15" thickBot="1" x14ac:dyDescent="0.4"/>
    <row r="221" spans="1:28" ht="15" thickBot="1" x14ac:dyDescent="0.4">
      <c r="A221" s="42"/>
      <c r="B221" s="43"/>
      <c r="C221" s="43"/>
      <c r="D221" s="43"/>
      <c r="E221" s="43"/>
      <c r="F221" s="43"/>
      <c r="G221" s="43"/>
      <c r="H221" s="43"/>
      <c r="I221" s="43"/>
      <c r="J221" s="43"/>
      <c r="K221" s="43"/>
      <c r="L221" s="43"/>
      <c r="M221" s="43"/>
      <c r="N221" s="43"/>
      <c r="O221" s="43"/>
      <c r="P221" s="43"/>
      <c r="Q221" s="43"/>
      <c r="R221" s="43"/>
      <c r="S221" s="43"/>
      <c r="T221" s="43"/>
      <c r="U221" s="43"/>
      <c r="V221" s="43"/>
      <c r="W221" s="43"/>
      <c r="X221" s="43"/>
      <c r="Y221" s="43"/>
      <c r="Z221" s="43"/>
      <c r="AA221" s="43"/>
      <c r="AB221" s="44"/>
    </row>
    <row r="223" spans="1:28" x14ac:dyDescent="0.35">
      <c r="B223" t="s">
        <v>59</v>
      </c>
    </row>
    <row r="225" spans="1:28" ht="105" x14ac:dyDescent="0.35">
      <c r="B225" s="14" t="s">
        <v>29</v>
      </c>
      <c r="C225" s="20" t="s">
        <v>25</v>
      </c>
      <c r="D225" s="20" t="s">
        <v>78</v>
      </c>
      <c r="E225" s="20" t="s">
        <v>79</v>
      </c>
      <c r="F225" s="20" t="s">
        <v>77</v>
      </c>
      <c r="G225" s="20"/>
      <c r="H225" s="20"/>
      <c r="I225" s="20"/>
      <c r="J225" s="20" t="s">
        <v>35</v>
      </c>
      <c r="K225" s="20"/>
      <c r="L225" s="20" t="s">
        <v>82</v>
      </c>
      <c r="M225" s="20"/>
      <c r="N225" s="20" t="s">
        <v>39</v>
      </c>
      <c r="O225" s="20" t="s">
        <v>40</v>
      </c>
      <c r="P225" s="20" t="s">
        <v>24</v>
      </c>
      <c r="Q225" s="20" t="s">
        <v>43</v>
      </c>
      <c r="R225" s="20" t="s">
        <v>27</v>
      </c>
      <c r="S225" s="20" t="s">
        <v>44</v>
      </c>
      <c r="T225" s="20" t="s">
        <v>5</v>
      </c>
      <c r="U225" s="20" t="s">
        <v>25</v>
      </c>
      <c r="V225" s="20" t="s">
        <v>7</v>
      </c>
      <c r="W225" s="20" t="s">
        <v>28</v>
      </c>
      <c r="X225" s="20" t="s">
        <v>45</v>
      </c>
      <c r="AA225" s="33" t="s">
        <v>47</v>
      </c>
      <c r="AB225" s="32" t="s">
        <v>46</v>
      </c>
    </row>
    <row r="226" spans="1:28" ht="21" customHeight="1" x14ac:dyDescent="0.35">
      <c r="A226" s="67" t="s">
        <v>42</v>
      </c>
      <c r="B226" s="2" t="s">
        <v>70</v>
      </c>
      <c r="C226">
        <f>COUNTIFS('NC Qualité'!A:A,"&gt;=01/07/2020",'NC Qualité'!A:A,"&lt;=31/07/2020",'NC Qualité'!E:E,"Blocs",'NC Qualité'!I:I,"Dimensionnement (entraînant un rebut)")</f>
        <v>0</v>
      </c>
      <c r="D226">
        <f>COUNTIFS('NC Qualité'!A:A,"&gt;=01/07/2020",'NC Qualité'!A:A,"&lt;=31/07/2020",'NC Qualité'!E:E,"Blocs",'NC Qualité'!I:I,"Perçage du voile de pose")</f>
        <v>0</v>
      </c>
      <c r="E226">
        <f>COUNTIFS('NC Qualité'!A:A,"&gt;=01/07/2020",'NC Qualité'!A:A,"&lt;=31/07/2020",'NC Qualité'!E:E,"Blocs",'NC Qualité'!I:I,"étanchéité")</f>
        <v>0</v>
      </c>
      <c r="F226">
        <f>COUNTIFS('NC Qualité'!A:A,"&gt;=01/07/2020",'NC Qualité'!A:A,"&lt;=31/07/2020",'NC Qualité'!E:E,"Blocs",'NC Qualité'!I:I,"Aspect béton (Fissures, etc.)")</f>
        <v>0</v>
      </c>
      <c r="J226">
        <f>COUNTIFS('NC Qualité'!A:A,"&gt;=01/07/2020",'NC Qualité'!A:A,"&lt;=31/07/2020",'NC Qualité'!E:E,"Blocs",'NC Qualité'!I:I,"Armatures apparentes")</f>
        <v>0</v>
      </c>
      <c r="L226">
        <f>COUNTIFS('NC Qualité'!A:A,"&gt;=01/07/2020",'NC Qualité'!A:A,"&lt;=31/07/2020",'NC Qualité'!E:E,"Blocs",'NC Qualité'!I:I,"Délais de livraison")</f>
        <v>0</v>
      </c>
      <c r="N226">
        <f>COUNTIFS('NC Qualité'!A:A,"&gt;=01/07/2020",'NC Qualité'!A:A,"&lt;=31/07/2020",'NC Qualité'!E:E,"Blocs",'NC Qualité'!I:I,"Casse de l'élément")</f>
        <v>0</v>
      </c>
      <c r="O226">
        <f>COUNTIFS('NC Qualité'!A:A,"&gt;=01/07/2020",'NC Qualité'!A:A,"&lt;=31/07/2020",'NC Qualité'!E:E,"Blocs",'NC Qualité'!I:I,"Autres :")</f>
        <v>0</v>
      </c>
      <c r="P226" s="21"/>
      <c r="Q226" s="21"/>
      <c r="R226" s="21"/>
      <c r="S226" s="21"/>
      <c r="T226" s="21"/>
      <c r="U226" s="21"/>
      <c r="V226" s="21"/>
      <c r="W226" s="21"/>
      <c r="X226" s="25"/>
      <c r="AA226" s="31">
        <f>COUNTIFS('NC Qualité'!A:A,"&gt;=01/07/2020",'NC Qualité'!A:A,"&lt;=31/07/2020",'NC Qualité'!E:E,"Blocs",'NC Qualité'!S:S,1)</f>
        <v>0</v>
      </c>
      <c r="AB226" s="31">
        <f>COUNTIFS('NC Qualité'!A:A,"&gt;=01/07/2020",'NC Qualité'!A:A,"&lt;=31/07/2020",'NC Qualité'!E:E,"Blocs",'NC Qualité'!Q:Q,"A")</f>
        <v>0</v>
      </c>
    </row>
    <row r="227" spans="1:28" ht="21" x14ac:dyDescent="0.35">
      <c r="A227" s="67"/>
      <c r="B227" s="2" t="s">
        <v>71</v>
      </c>
      <c r="C227">
        <f>COUNTIFS('NC Qualité'!A:A,"&gt;=01/07/2020",'NC Qualité'!A:A,"&lt;=31/07/2020",'NC Qualité'!E:E,"Poutrelles",'NC Qualité'!I:I,"Dimensionnement (entraînant un rebut)")</f>
        <v>0</v>
      </c>
      <c r="D227">
        <f>COUNTIFS('NC Qualité'!A:A,"&gt;=01/07/2020",'NC Qualité'!A:A,"&lt;=31/07/2020",'NC Qualité'!E:E,"Poutrelles",'NC Qualité'!I:I,"Perçage du voile de pose")</f>
        <v>0</v>
      </c>
      <c r="E227">
        <f>COUNTIFS('NC Qualité'!A:A,"&gt;=01/07/2020",'NC Qualité'!A:A,"&lt;=31/07/2020",'NC Qualité'!E:E,"Poutrelles",'NC Qualité'!I:I,"Palettisation")</f>
        <v>0</v>
      </c>
      <c r="F227">
        <f>COUNTIFS('NC Qualité'!A:A,"&gt;=01/07/2020",'NC Qualité'!A:A,"&lt;=31/07/2020",'NC Qualité'!E:E,"Poutrelles",'NC Qualité'!I:I,"Aspect béton (Fissures, etc.)")</f>
        <v>0</v>
      </c>
      <c r="J227">
        <f>COUNTIFS('NC Qualité'!A:A,"&gt;=01/07/2020",'NC Qualité'!A:A,"&lt;=31/07/2020",'NC Qualité'!E:E,"Poutrelles",'NC Qualité'!I:I,"Armatures apparentes")</f>
        <v>0</v>
      </c>
      <c r="L227">
        <f>COUNTIFS('NC Qualité'!A:A,"&gt;=01/07/2020",'NC Qualité'!A:A,"&lt;=31/07/2020",'NC Qualité'!E:E,"Poutrelles",'NC Qualité'!I:I,"Délais de livraison")</f>
        <v>0</v>
      </c>
      <c r="N227">
        <f>COUNTIFS('NC Qualité'!A:A,"&gt;=01/07/2020",'NC Qualité'!A:A,"&lt;=31/07/2020",'NC Qualité'!E:E,"Poutrelles",'NC Qualité'!I:I,"Casse de l'élément")</f>
        <v>0</v>
      </c>
      <c r="O227">
        <f>COUNTIFS('NC Qualité'!A:A,"&gt;=01/07/2020",'NC Qualité'!A:A,"&lt;=31/07/2020",'NC Qualité'!E:E,"Poutrelles",'NC Qualité'!I:I,"Autres :")</f>
        <v>0</v>
      </c>
      <c r="P227" s="21"/>
      <c r="Q227" s="21"/>
      <c r="R227" s="21"/>
      <c r="S227" s="21"/>
      <c r="T227" s="21"/>
      <c r="U227" s="21"/>
      <c r="V227" s="21"/>
      <c r="W227" s="21"/>
      <c r="X227" s="26"/>
      <c r="AA227" s="31">
        <f>COUNTIFS('NC Qualité'!A:A,"&gt;=01/07/2020",'NC Qualité'!A:A,"&lt;=31/07/2020",'NC Qualité'!E:E,"Poutrelles",'NC Qualité'!S:S,1)</f>
        <v>0</v>
      </c>
      <c r="AB227" s="31">
        <f>COUNTIFS('NC Qualité'!A:A,"&gt;=01/07/2020",'NC Qualité'!A:A,"&lt;=31/07/2020",'NC Qualité'!E:E,"Poutrelles",'NC Qualité'!Q:Q,"A")</f>
        <v>0</v>
      </c>
    </row>
    <row r="228" spans="1:28" ht="21" x14ac:dyDescent="0.35">
      <c r="A228" s="67"/>
      <c r="B228" s="2" t="s">
        <v>72</v>
      </c>
      <c r="C228">
        <f>COUNTIFS('NC Qualité'!A:A,"&gt;=01/07/2020",'NC Qualité'!A:A,"&lt;=31/07/2020",'NC Qualité'!E:E,"Hourdis",'NC Qualité'!I:I,"Dimensionnement (entraînant un rebut)")</f>
        <v>0</v>
      </c>
      <c r="D228">
        <f>COUNTIFS('NC Qualité'!A:A,"&gt;=01/07/2020",'NC Qualité'!A:A,"&lt;=31/07/2020",'NC Qualité'!E:E,"Hourdis",'NC Qualité'!I:I,"Problème d'étiquetage")</f>
        <v>0</v>
      </c>
      <c r="E228">
        <f>COUNTIFS('NC Qualité'!A:A,"&gt;=01/07/2020",'NC Qualité'!A:A,"&lt;=31/07/2020",'NC Qualité'!E:E,"Hourdis",'NC Qualité'!I:I,"Palettisation")</f>
        <v>0</v>
      </c>
      <c r="F228">
        <f>COUNTIFS('NC Qualité'!A:A,"&gt;=01/07/2020",'NC Qualité'!A:A,"&lt;=31/07/2020",'NC Qualité'!E:E,"Hourdis",'NC Qualité'!I:I,"Aspect béton (Fissures, etc.)")</f>
        <v>0</v>
      </c>
      <c r="J228">
        <f>COUNTIFS('NC Qualité'!A:A,"&gt;=01/07/2020",'NC Qualité'!A:A,"&lt;=31/07/2020",'NC Qualité'!E:E,"Hourdis",'NC Qualité'!I:I,"Armatures apparentes")</f>
        <v>0</v>
      </c>
      <c r="L228">
        <f>COUNTIFS('NC Qualité'!A:A,"&gt;=01/07/2020",'NC Qualité'!A:A,"&lt;=31/07/2020",'NC Qualité'!E:E,"Hourdis",'NC Qualité'!I:I,"Délais de livraison")</f>
        <v>0</v>
      </c>
      <c r="N228">
        <f>COUNTIFS('NC Qualité'!A:A,"&gt;=01/07/2020",'NC Qualité'!A:A,"&lt;=31/07/2020",'NC Qualité'!E:E,"Hourdis",'NC Qualité'!I:I,"Casse de l'élément")</f>
        <v>0</v>
      </c>
      <c r="O228">
        <f>COUNTIFS('NC Qualité'!A:A,"&gt;=01/07/2020",'NC Qualité'!A:A,"&lt;=31/07/2020",'NC Qualité'!E:E,"Hourdis",'NC Qualité'!I:I,"Autres :")</f>
        <v>0</v>
      </c>
      <c r="P228" s="21"/>
      <c r="Q228" s="21"/>
      <c r="R228" s="21"/>
      <c r="S228" s="21"/>
      <c r="T228" s="21"/>
      <c r="U228" s="21"/>
      <c r="V228" s="21"/>
      <c r="W228" s="21"/>
      <c r="X228" s="26"/>
      <c r="AA228" s="31">
        <f>COUNTIFS('NC Qualité'!A:A,"&gt;=01/07/2020",'NC Qualité'!A:A,"&lt;=31/07/2020",'NC Qualité'!E:E,"Hourdis",'NC Qualité'!S:S,1)</f>
        <v>0</v>
      </c>
      <c r="AB228" s="31">
        <f>COUNTIFS('NC Qualité'!A:A,"&gt;=01/07/2020",'NC Qualité'!A:A,"&lt;=31/07/2020",'NC Qualité'!E:E,"Hourdis",'NC Qualité'!Q:Q,"A")</f>
        <v>0</v>
      </c>
    </row>
    <row r="229" spans="1:28" ht="29" x14ac:dyDescent="0.35">
      <c r="A229" s="67"/>
      <c r="B229" s="56" t="s">
        <v>98</v>
      </c>
      <c r="C229">
        <f>COUNTIFS('NC Qualité'!A:A,"&gt;=01/07/2020",'NC Qualité'!A:A,"&lt;=31/07/2020",'NC Qualité'!E:E,"Blocs à bancher",'NC Qualité'!I:I,"Dimensionnement (entraînant un rebut)")</f>
        <v>0</v>
      </c>
      <c r="D229">
        <f>COUNTIFS('NC Qualité'!A:A,"&gt;=01/07/2020",'NC Qualité'!A:A,"&lt;=31/07/2020",'NC Qualité'!E:E,"Blocs à bancher",'NC Qualité'!I:I,"Problème d'étiquetage")</f>
        <v>0</v>
      </c>
      <c r="E229">
        <f>COUNTIFS('NC Qualité'!A:A,"&gt;=01/07/2020",'NC Qualité'!A:A,"&lt;=31/07/2020",'NC Qualité'!E:E,"Blocs à bancher",'NC Qualité'!I:I,"Palettisation")</f>
        <v>0</v>
      </c>
      <c r="F229">
        <f>COUNTIFS('NC Qualité'!A:A,"&gt;=01/07/2020",'NC Qualité'!A:A,"&lt;=31/07/2020",'NC Qualité'!E:E,"Blocs à bancher",'NC Qualité'!I:I,"Aspect béton (Fissures, etc.)")</f>
        <v>0</v>
      </c>
      <c r="J229">
        <f>COUNTIFS('NC Qualité'!A:A,"&gt;=01/07/2020",'NC Qualité'!A:A,"&lt;=31/07/2020",'NC Qualité'!E:E,"Blocs à bancher",'NC Qualité'!I:I,"Armatures apparentes")</f>
        <v>0</v>
      </c>
      <c r="L229">
        <f>COUNTIFS('NC Qualité'!A:A,"&gt;=01/07/2020",'NC Qualité'!A:A,"&lt;=31/07/2020",'NC Qualité'!E:E,"Blocs à bancher",'NC Qualité'!I:I,"Délais de livraison")</f>
        <v>0</v>
      </c>
      <c r="N229">
        <f>COUNTIFS('NC Qualité'!A:A,"&gt;=01/07/2020",'NC Qualité'!A:A,"&lt;=31/07/2020",'NC Qualité'!E:E,"Blocs à bancher",'NC Qualité'!I:I,"Casse de l'élément")</f>
        <v>0</v>
      </c>
      <c r="O229">
        <f>COUNTIFS('NC Qualité'!A:A,"&gt;=01/07/2020",'NC Qualité'!A:A,"&lt;=31/07/2020",'NC Qualité'!E:E,"Blocs à bancher",'NC Qualité'!I:I,"Autres :")</f>
        <v>0</v>
      </c>
      <c r="P229" s="21"/>
      <c r="Q229" s="21"/>
      <c r="R229" s="21"/>
      <c r="S229" s="21"/>
      <c r="T229" s="21"/>
      <c r="U229" s="21"/>
      <c r="V229" s="21"/>
      <c r="W229" s="21"/>
      <c r="X229" s="26"/>
      <c r="AA229" s="31">
        <f>COUNTIFS('NC Qualité'!A:A,"&gt;=01/07/2020",'NC Qualité'!A:A,"&lt;=31/07/2020",'NC Qualité'!E:E,"Bordures",'NC Qualité'!S:S,1)</f>
        <v>0</v>
      </c>
      <c r="AB229" s="31">
        <f>COUNTIFS('NC Qualité'!A:A,"&gt;=01/07/2020",'NC Qualité'!A:A,"&lt;=31/07/2020",'NC Qualité'!E:E,"Bordures",'NC Qualité'!Q:Q,"A")</f>
        <v>0</v>
      </c>
    </row>
    <row r="230" spans="1:28" ht="21" x14ac:dyDescent="0.35">
      <c r="A230" s="67"/>
      <c r="B230" s="2"/>
      <c r="P230" s="21"/>
      <c r="Q230" s="21"/>
      <c r="R230" s="21"/>
      <c r="S230" s="21"/>
      <c r="T230" s="21"/>
      <c r="U230" s="21"/>
      <c r="V230" s="21"/>
      <c r="W230" s="21"/>
      <c r="X230" s="26"/>
      <c r="AA230" s="31">
        <f>COUNTIFS('NC Qualité'!A:A,"&gt;=01/07/2020",'NC Qualité'!A:A,"&lt;=31/07/2020",'NC Qualité'!E:E,"Caniveaux",'NC Qualité'!S:S,1)</f>
        <v>0</v>
      </c>
      <c r="AB230" s="31">
        <f>COUNTIFS('NC Qualité'!A:A,"&gt;=01/07/2020",'NC Qualité'!A:A,"&lt;=31/07/2020",'NC Qualité'!E:E,"Caniveaux",'NC Qualité'!Q:Q,"A")</f>
        <v>0</v>
      </c>
    </row>
    <row r="231" spans="1:28" ht="21" x14ac:dyDescent="0.35">
      <c r="A231" s="67"/>
      <c r="B231" s="15"/>
      <c r="P231" s="21"/>
      <c r="Q231" s="21"/>
      <c r="R231" s="21"/>
      <c r="S231" s="21"/>
      <c r="T231" s="21"/>
      <c r="U231" s="21"/>
      <c r="V231" s="21"/>
      <c r="W231" s="21"/>
      <c r="X231" s="26"/>
      <c r="AA231" s="31">
        <f>COUNTIFS('NC Qualité'!A:A,"&gt;=01/07/2020",'NC Qualité'!A:A,"&lt;=31/07/2020",'NC Qualité'!E:E,"Fielding : Bordures et Caniveaux",'NC Qualité'!S:S,1)</f>
        <v>0</v>
      </c>
      <c r="AB231" s="31">
        <f>COUNTIFS('NC Qualité'!A:A,"&gt;=01/07/2020",'NC Qualité'!A:A,"&lt;=31/07/2020",'NC Qualité'!E:E,"Fielding : Bordures et Caniveaux",'NC Qualité'!Q:Q,"A")</f>
        <v>0</v>
      </c>
    </row>
    <row r="232" spans="1:28" ht="21" x14ac:dyDescent="0.35">
      <c r="A232" s="67"/>
      <c r="B232" s="2"/>
      <c r="P232" s="21"/>
      <c r="Q232" s="21"/>
      <c r="R232" s="21"/>
      <c r="S232" s="21"/>
      <c r="T232" s="21"/>
      <c r="U232" s="21"/>
      <c r="V232" s="21"/>
      <c r="W232" s="21"/>
      <c r="X232" s="26"/>
      <c r="AA232" s="31">
        <f>COUNTIFS('NC Qualité'!A:A,"&gt;=01/07/2020",'NC Qualité'!A:A,"&lt;=31/07/2020",'NC Qualité'!E:E,"Modul : Tuyaux Dn 1800 à 2630",'NC Qualité'!S:S,1)</f>
        <v>0</v>
      </c>
      <c r="AB232" s="31">
        <f>COUNTIFS('NC Qualité'!A:A,"&gt;=01/07/2020",'NC Qualité'!A:A,"&lt;=31/07/2020",'NC Qualité'!E:E,"Modul : Tuyaux Dn 1800 à 2630",'NC Qualité'!Q:Q,"A")</f>
        <v>0</v>
      </c>
    </row>
    <row r="233" spans="1:28" ht="29" x14ac:dyDescent="0.35">
      <c r="A233" s="67" t="s">
        <v>41</v>
      </c>
      <c r="B233" s="2" t="s">
        <v>6</v>
      </c>
      <c r="C233" s="21"/>
      <c r="D233">
        <f>COUNTIFS('NC Qualité'!A:A,"&gt;=01/07/2020",'NC Qualité'!A:A,"&lt;=31/07/2020",'NC Qualité'!E:E,"Panneau coulé à plat",'NC Qualité'!I:I,"Problème d'étiquetage")</f>
        <v>0</v>
      </c>
      <c r="E233" s="21"/>
      <c r="F233">
        <f>COUNTIFS('NC Qualité'!A:A,"&gt;=01/07/2020",'NC Qualité'!A:A,"&lt;=31/07/2020",'NC Qualité'!E:E,"Panneau coulé à plat",'NC Qualité'!I:I,"Aspect béton (tâches / nid d'abeilles / granuleux / Fissures etc.)")</f>
        <v>0</v>
      </c>
      <c r="G233" s="21"/>
      <c r="H233">
        <f>COUNTIFS('NC Qualité'!A:A,"&gt;=01/07/2020",'NC Qualité'!A:A,"&lt;=31/07/2020",'NC Qualité'!E:E,"Panneau coulé à plat",'NC Qualité'!I:I,"Ancre de levage")</f>
        <v>0</v>
      </c>
      <c r="I233" s="21"/>
      <c r="J233">
        <f>COUNTIFS('NC Qualité'!A:A,"&gt;=01/07/2020",'NC Qualité'!A:A,"&lt;=31/07/2020",'NC Qualité'!E:E,"Modul : Tuyaux Dn 1800 à 2630",'NC Qualité'!I:I,"Armatures apparentes")</f>
        <v>0</v>
      </c>
      <c r="K233" s="21"/>
      <c r="L233" s="21"/>
      <c r="M233" s="21"/>
      <c r="N233" s="21"/>
      <c r="O233">
        <f>COUNTIFS('NC Qualité'!A:A,"&gt;=01/07/2020",'NC Qualité'!A:A,"&lt;=31/07/2020",'NC Qualité'!E:E,"Panneau coulé à plat",'NC Qualité'!I:I,"Autres :")</f>
        <v>0</v>
      </c>
      <c r="P233">
        <f>COUNTIFS('NC Qualité'!A:A,"&gt;=01/07/2020",'NC Qualité'!A:A,"&lt;=31/07/2020",'NC Qualité'!E:E,"Panneau coulé à plat",'NC Qualité'!I:I,"Accessoires (Mauvais positionnement , manquement, etc.)")</f>
        <v>0</v>
      </c>
      <c r="Q233">
        <f>COUNTIFS('NC Qualité'!A:A,"&gt;=01/07/2020",'NC Qualité'!A:A,"&lt;=31/07/2020",'NC Qualité'!E:E,"Panneau coulé à plat",'NC Qualité'!I:I,"équerrisage")</f>
        <v>0</v>
      </c>
      <c r="R233">
        <f>COUNTIFS('NC Qualité'!A:A,"&gt;=01/07/2020",'NC Qualité'!A:A,"&lt;=31/07/2020",'NC Qualité'!E:E,"Panneau coulé à plat",'NC Qualité'!I:I,"Seuil de porte (réservation)")</f>
        <v>0</v>
      </c>
      <c r="S233">
        <f>COUNTIFS('NC Qualité'!A:A,"&gt;=01/07/2020",'NC Qualité'!A:A,"&lt;=31/07/2020",'NC Qualité'!E:E,"Panneau coulé à plat",'NC Qualité'!I:I,"épaisseur")</f>
        <v>0</v>
      </c>
      <c r="T233">
        <f>COUNTIFS('NC Qualité'!A:A,"&gt;=01/07/2020",'NC Qualité'!A:A,"&lt;=31/07/2020",'NC Qualité'!E:E,"Panneau coulé à plat",'NC Qualité'!I:I,"Chanfrein")</f>
        <v>0</v>
      </c>
      <c r="U233">
        <f>COUNTIFS('NC Qualité'!A:A,"&gt;=01/07/2020",'NC Qualité'!A:A,"&lt;=31/07/2020",'NC Qualité'!E:E,"Panneau coulé à plat",'NC Qualité'!I:I,"Dimensionnement (entraînant un rebut)")</f>
        <v>0</v>
      </c>
      <c r="V233">
        <f>COUNTIFS('NC Qualité'!A:A,"&gt;=01/07/2020",'NC Qualité'!A:A,"&lt;=31/07/2020",'NC Qualité'!E:E,"Panneau coulé à plat",'NC Qualité'!I:I,"Cintrage")</f>
        <v>0</v>
      </c>
      <c r="W233">
        <f>COUNTIFS('NC Qualité'!A:A,"&gt;=01/07/2020",'NC Qualité'!A:A,"&lt;=31/07/2020",'NC Qualité'!E:E,"Panneau coulé à plat",'NC Qualité'!I:I,"Problème de chargement (sanglage, casse etc.)")</f>
        <v>0</v>
      </c>
      <c r="X233" s="27">
        <f>COUNTIFS('NC Qualité'!A:A,"&gt;=01/07/2020",'NC Qualité'!A:A,"&lt;=31/07/2020",'NC Qualité'!E:E,"Panneau coulé à plat",'NC Qualité'!I:I,"Erreur de chargement ")</f>
        <v>0</v>
      </c>
      <c r="AA233" s="31">
        <f>COUNTIFS('NC Qualité'!A:A,"&gt;=01/07/2020",'NC Qualité'!A:A,"&lt;=31/07/2020",'NC Qualité'!E:E,"Panneau coulé à plat",'NC Qualité'!S:S,1)</f>
        <v>0</v>
      </c>
      <c r="AB233" s="31">
        <f>COUNTIFS('NC Qualité'!A:A,"&gt;=01/07/2020",'NC Qualité'!A:A,"&lt;=31/07/2020",'NC Qualité'!E:E,"Panneau coulé à plat",'NC Qualité'!Q:Q,"A")</f>
        <v>0</v>
      </c>
    </row>
    <row r="234" spans="1:28" ht="21" x14ac:dyDescent="0.35">
      <c r="A234" s="67"/>
      <c r="B234" s="2" t="s">
        <v>0</v>
      </c>
      <c r="C234" s="21"/>
      <c r="D234">
        <f>COUNTIFS('NC Qualité'!A:A,"&gt;=01/07/2020",'NC Qualité'!A:A,"&lt;=31/07/2020",'NC Qualité'!E:E,"Bianchi",'NC Qualité'!I:I,"Problème d'étiquetage")</f>
        <v>0</v>
      </c>
      <c r="E234" s="21"/>
      <c r="F234">
        <f>COUNTIFS('NC Qualité'!A:A,"&gt;=01/07/2020",'NC Qualité'!A:A,"&lt;=31/07/2020",'NC Qualité'!E:E,"Bianchi",'NC Qualité'!I:I,"Aspect béton (tâches / nid d'abeilles / granuleux / Fissures etc.)")</f>
        <v>0</v>
      </c>
      <c r="G234" s="21"/>
      <c r="H234">
        <f>COUNTIFS('NC Qualité'!A:A,"&gt;=01/07/2020",'NC Qualité'!A:A,"&lt;=31/07/2020",'NC Qualité'!E:E,"Bianchi",'NC Qualité'!I:I,"Ancre de levage")</f>
        <v>0</v>
      </c>
      <c r="I234" s="21"/>
      <c r="J234">
        <f>COUNTIFS('NC Qualité'!A:A,"&gt;=01/07/2020",'NC Qualité'!A:A,"&lt;=31/07/2020",'NC Qualité'!E:E,"Bianchi",'NC Qualité'!I:I,"Armatures apparentes")</f>
        <v>0</v>
      </c>
      <c r="K234" s="21"/>
      <c r="L234" s="21"/>
      <c r="M234" s="21"/>
      <c r="N234" s="21"/>
      <c r="O234">
        <f>COUNTIFS('NC Qualité'!A:A,"&gt;=01/07/2020",'NC Qualité'!A:A,"&lt;=31/07/2020",'NC Qualité'!E:E,"Bianchi",'NC Qualité'!I:I,"Autres :")</f>
        <v>0</v>
      </c>
      <c r="P234">
        <f>COUNTIFS('NC Qualité'!A:A,"&gt;=01/07/2020",'NC Qualité'!A:A,"&lt;=31/07/2020",'NC Qualité'!E:E,"Bianchi",'NC Qualité'!I:I,"Accessoires (Mauvais positionnement , manquement, etc.)")</f>
        <v>0</v>
      </c>
      <c r="Q234">
        <f>COUNTIFS('NC Qualité'!A:A,"&gt;=01/07/2020",'NC Qualité'!A:A,"&lt;=31/07/2020",'NC Qualité'!E:E,"Bianchi",'NC Qualité'!I:I,"équerrisage")</f>
        <v>0</v>
      </c>
      <c r="R234">
        <f>COUNTIFS('NC Qualité'!A:A,"&gt;=01/07/2020",'NC Qualité'!A:A,"&lt;=31/07/2020",'NC Qualité'!E:E,"Bianchi",'NC Qualité'!I:I,"Seuil de porte (réservation)")</f>
        <v>0</v>
      </c>
      <c r="S234">
        <f>COUNTIFS('NC Qualité'!A:A,"&gt;=01/07/2020",'NC Qualité'!A:A,"&lt;=31/07/2020",'NC Qualité'!E:E,"Bianchi",'NC Qualité'!I:I,"épaisseur")</f>
        <v>0</v>
      </c>
      <c r="T234">
        <f>COUNTIFS('NC Qualité'!A:A,"&gt;=01/07/2020",'NC Qualité'!A:A,"&lt;=31/07/2020",'NC Qualité'!E:E,"Bianchi",'NC Qualité'!I:I,"Chanfrein")</f>
        <v>0</v>
      </c>
      <c r="U234">
        <f>COUNTIFS('NC Qualité'!A:A,"&gt;=01/07/2020",'NC Qualité'!A:A,"&lt;=31/07/2020",'NC Qualité'!E:E,"Bianchi",'NC Qualité'!I:I,"Dimensionnement (entraînant un rebut)")</f>
        <v>0</v>
      </c>
      <c r="V234">
        <f>COUNTIFS('NC Qualité'!A:A,"&gt;=01/07/2020",'NC Qualité'!A:A,"&lt;=31/07/2020",'NC Qualité'!E:E,"Bianchi",'NC Qualité'!I:I,"Cintrage")</f>
        <v>0</v>
      </c>
      <c r="W234">
        <f>COUNTIFS('NC Qualité'!A:A,"&gt;=01/07/2020",'NC Qualité'!A:A,"&lt;=31/07/2020",'NC Qualité'!E:E,"Bianchi",'NC Qualité'!I:I,"Problème de chargement (sanglage, casse etc.)")</f>
        <v>0</v>
      </c>
      <c r="X234" s="27">
        <f>COUNTIFS('NC Qualité'!A:A,"&gt;=01/07/2020",'NC Qualité'!A:A,"&lt;=31/07/2020",'NC Qualité'!E:E,"Bianchi",'NC Qualité'!I:I,"Erreur de chargement ")</f>
        <v>0</v>
      </c>
      <c r="AA234" s="31">
        <f>COUNTIFS('NC Qualité'!A:A,"&gt;=01/07/2020",'NC Qualité'!A:A,"&lt;=31/07/2020",'NC Qualité'!E:E,"Bianchi",'NC Qualité'!S:S,1)</f>
        <v>0</v>
      </c>
      <c r="AB234" s="31">
        <f>COUNTIFS('NC Qualité'!A:A,"&gt;=01/07/2020",'NC Qualité'!A:A,"&lt;=31/07/2020",'NC Qualité'!E:E,"Bianchi",'NC Qualité'!Q:Q,"A")</f>
        <v>0</v>
      </c>
    </row>
    <row r="235" spans="1:28" ht="29" x14ac:dyDescent="0.35">
      <c r="A235" s="67"/>
      <c r="B235" s="2" t="s">
        <v>3</v>
      </c>
      <c r="C235" s="21"/>
      <c r="D235">
        <f>COUNTIFS('NC Qualité'!A:A,"&gt;=01/07/2020",'NC Qualité'!A:A,"&lt;=31/07/2020",'NC Qualité'!E:E,"Préfabrication",'NC Qualité'!I:I,"Problème d'étiquetage")</f>
        <v>0</v>
      </c>
      <c r="E235" s="21"/>
      <c r="F235">
        <f>COUNTIFS('NC Qualité'!A:A,"&gt;=01/07/2020",'NC Qualité'!A:A,"&lt;=31/07/2020",'NC Qualité'!E:E,"Préfabrication",'NC Qualité'!I:I,"Aspect béton (tâches / nid d'abeilles / granuleux / Fissures etc.)")</f>
        <v>0</v>
      </c>
      <c r="G235" s="21"/>
      <c r="H235">
        <f>COUNTIFS('NC Qualité'!A:A,"&gt;=01/07/2020",'NC Qualité'!A:A,"&lt;=31/07/2020",'NC Qualité'!E:E,"Préfabrication",'NC Qualité'!I:I,"Ancre de levage")</f>
        <v>0</v>
      </c>
      <c r="I235" s="21"/>
      <c r="J235">
        <f>COUNTIFS('NC Qualité'!A:A,"&gt;=01/07/2020",'NC Qualité'!A:A,"&lt;=31/07/2020",'NC Qualité'!E:E,"Préfabrication",'NC Qualité'!I:I,"Armatures apparentes")</f>
        <v>0</v>
      </c>
      <c r="K235" s="21"/>
      <c r="L235" s="21"/>
      <c r="M235" s="21"/>
      <c r="N235" s="21"/>
      <c r="O235">
        <f>COUNTIFS('NC Qualité'!A:A,"&gt;=01/07/2020",'NC Qualité'!A:A,"&lt;=31/07/2020",'NC Qualité'!E:E,"Préfabrication",'NC Qualité'!I:I,"Autres :")</f>
        <v>0</v>
      </c>
      <c r="P235">
        <f>COUNTIFS('NC Qualité'!A:A,"&gt;=01/07/2020",'NC Qualité'!A:A,"&lt;=31/07/2020",'NC Qualité'!E:E,"Préfabrication",'NC Qualité'!I:I,"Accessoires (Mauvais positionnement , manquement, etc.)")</f>
        <v>0</v>
      </c>
      <c r="Q235">
        <f>COUNTIFS('NC Qualité'!A:A,"&gt;=01/07/2020",'NC Qualité'!A:A,"&lt;=31/07/2020",'NC Qualité'!E:E,"Préfabrication",'NC Qualité'!I:I,"équerrisage")</f>
        <v>0</v>
      </c>
      <c r="R235">
        <f>COUNTIFS('NC Qualité'!A:A,"&gt;=01/07/2020",'NC Qualité'!A:A,"&lt;=31/07/2020",'NC Qualité'!E:E,"Préfabrication",'NC Qualité'!I:I,"Seuil de porte (réservation)")</f>
        <v>0</v>
      </c>
      <c r="S235">
        <f>COUNTIFS('NC Qualité'!A:A,"&gt;=01/07/2020",'NC Qualité'!A:A,"&lt;=31/07/2020",'NC Qualité'!E:E,"Préfabrication",'NC Qualité'!I:I,"épaisseur")</f>
        <v>0</v>
      </c>
      <c r="T235">
        <f>COUNTIFS('NC Qualité'!A:A,"&gt;=01/07/2020",'NC Qualité'!A:A,"&lt;=31/07/2020",'NC Qualité'!E:E,"Préfabrication",'NC Qualité'!I:I,"Chanfrein")</f>
        <v>0</v>
      </c>
      <c r="U235">
        <f>COUNTIFS('NC Qualité'!A:A,"&gt;=01/07/2020",'NC Qualité'!A:A,"&lt;=31/07/2020",'NC Qualité'!E:E,"Préfabrication",'NC Qualité'!I:I,"Dimensionnement (entraînant un rebut)")</f>
        <v>0</v>
      </c>
      <c r="V235">
        <f>COUNTIFS('NC Qualité'!A:A,"&gt;=01/07/2020",'NC Qualité'!A:A,"&lt;=31/07/2020",'NC Qualité'!E:E,"Préfabrication",'NC Qualité'!I:I,"Cintrage")</f>
        <v>0</v>
      </c>
      <c r="W235">
        <f>COUNTIFS('NC Qualité'!A:A,"&gt;=01/07/2020",'NC Qualité'!A:A,"&lt;=31/07/2020",'NC Qualité'!E:E,"Préfabrication",'NC Qualité'!I:I,"Problème de chargement (sanglage, casse etc.)")</f>
        <v>0</v>
      </c>
      <c r="X235" s="27">
        <f>COUNTIFS('NC Qualité'!A:A,"&gt;=01/07/2020",'NC Qualité'!A:A,"&lt;=31/07/2020",'NC Qualité'!E:E,"Préfabrication",'NC Qualité'!I:I,"Erreur de chargement ")</f>
        <v>0</v>
      </c>
      <c r="AA235" s="31">
        <f>COUNTIFS('NC Qualité'!A:A,"&gt;=01/07/2020",'NC Qualité'!A:A,"&lt;=31/07/2020",'NC Qualité'!E:E,"Préfabrication",'NC Qualité'!S:S,1)</f>
        <v>0</v>
      </c>
      <c r="AB235" s="31">
        <f>COUNTIFS('NC Qualité'!A:A,"&gt;=01/07/2020",'NC Qualité'!A:A,"&lt;=31/07/2020",'NC Qualité'!E:E,"Préfabrication",'NC Qualité'!Q:Q,"A")</f>
        <v>0</v>
      </c>
    </row>
    <row r="236" spans="1:28" ht="29" x14ac:dyDescent="0.35">
      <c r="A236" s="67"/>
      <c r="B236" s="16" t="s">
        <v>2</v>
      </c>
      <c r="C236" s="21"/>
      <c r="D236">
        <f>COUNTIFS('NC Qualité'!A:A,"&gt;=01/07/2020",'NC Qualité'!A:A,"&lt;=31/07/2020",'NC Qualité'!E:E,"Précontraint",'NC Qualité'!I:I,"Problème d'étiquetage")</f>
        <v>0</v>
      </c>
      <c r="E236" s="21"/>
      <c r="F236">
        <f>COUNTIFS('NC Qualité'!A:A,"&gt;=01/07/2020",'NC Qualité'!A:A,"&lt;=31/07/2020",'NC Qualité'!E:E,"Précontraint",'NC Qualité'!I:I,"Aspect béton (tâches / nid d'abeilles / granuleux / Fissures etc.)")</f>
        <v>0</v>
      </c>
      <c r="G236" s="21"/>
      <c r="H236">
        <f>COUNTIFS('NC Qualité'!A:A,"&gt;=01/07/2020",'NC Qualité'!A:A,"&lt;=31/07/2020",'NC Qualité'!E:E,"Précontraint",'NC Qualité'!I:I,"Ancre de levage")</f>
        <v>0</v>
      </c>
      <c r="I236" s="21"/>
      <c r="J236">
        <f>COUNTIFS('NC Qualité'!A:A,"&gt;=01/07/2020",'NC Qualité'!A:A,"&lt;=31/07/2020",'NC Qualité'!E:E,"Précontraint",'NC Qualité'!I:I,"Armatures apparentes")</f>
        <v>0</v>
      </c>
      <c r="K236" s="21"/>
      <c r="L236" s="21"/>
      <c r="M236" s="21"/>
      <c r="N236" s="21"/>
      <c r="O236">
        <f>COUNTIFS('NC Qualité'!A:A,"&gt;=01/07/2020",'NC Qualité'!A:A,"&lt;=31/07/2020",'NC Qualité'!E:E,"Précontraint",'NC Qualité'!I:I,"Autres :")</f>
        <v>0</v>
      </c>
      <c r="P236">
        <f>COUNTIFS('NC Qualité'!A:A,"&gt;=01/07/2020",'NC Qualité'!A:A,"&lt;=31/07/2020",'NC Qualité'!E:E,"Précontraint",'NC Qualité'!I:I,"Accessoires (Mauvais positionnement , manquement, etc.)")</f>
        <v>0</v>
      </c>
      <c r="Q236">
        <f>COUNTIFS('NC Qualité'!A:A,"&gt;=01/07/2020",'NC Qualité'!A:A,"&lt;=31/07/2020",'NC Qualité'!E:E,"Précontraint",'NC Qualité'!I:I,"équerrisage")</f>
        <v>0</v>
      </c>
      <c r="R236">
        <f>COUNTIFS('NC Qualité'!A:A,"&gt;=01/07/2020",'NC Qualité'!A:A,"&lt;=31/07/2020",'NC Qualité'!E:E,"Précontraint",'NC Qualité'!I:I,"Seuil de porte (réservation)")</f>
        <v>0</v>
      </c>
      <c r="S236">
        <f>COUNTIFS('NC Qualité'!A:A,"&gt;=01/07/2020",'NC Qualité'!A:A,"&lt;=31/07/2020",'NC Qualité'!E:E,"Précontraint",'NC Qualité'!I:I,"épaisseur")</f>
        <v>0</v>
      </c>
      <c r="T236">
        <f>COUNTIFS('NC Qualité'!A:A,"&gt;=01/07/2020",'NC Qualité'!A:A,"&lt;=31/07/2020",'NC Qualité'!E:E,"Précontraint",'NC Qualité'!I:I,"Chanfrein")</f>
        <v>0</v>
      </c>
      <c r="U236">
        <f>COUNTIFS('NC Qualité'!A:A,"&gt;=01/07/2020",'NC Qualité'!A:A,"&lt;=31/07/2020",'NC Qualité'!E:E,"Précontraint",'NC Qualité'!I:I,"Dimensionnement (entraînant un rebut)")</f>
        <v>0</v>
      </c>
      <c r="V236">
        <f>COUNTIFS('NC Qualité'!A:A,"&gt;=01/07/2020",'NC Qualité'!A:A,"&lt;=31/07/2020",'NC Qualité'!E:E,"Précontraint",'NC Qualité'!I:I,"Cintrage")</f>
        <v>0</v>
      </c>
      <c r="W236">
        <f>COUNTIFS('NC Qualité'!A:A,"&gt;=01/07/2020",'NC Qualité'!A:A,"&lt;=31/07/2020",'NC Qualité'!E:E,"Précontraint",'NC Qualité'!I:I,"Problème de chargement (sanglage, casse etc.)")</f>
        <v>0</v>
      </c>
      <c r="X236" s="27">
        <f>COUNTIFS('NC Qualité'!A:A,"&gt;=01/07/2020",'NC Qualité'!A:A,"&lt;=31/07/2020",'NC Qualité'!E:E,"Précontraint",'NC Qualité'!I:I,"Erreur de chargement ")</f>
        <v>0</v>
      </c>
      <c r="AA236" s="31">
        <f>COUNTIFS('NC Qualité'!A:A,"&gt;=01/07/2020",'NC Qualité'!A:A,"&lt;=31/07/2020",'NC Qualité'!E:E,"Précontraint",'NC Qualité'!S:S,1)</f>
        <v>0</v>
      </c>
      <c r="AB236" s="31">
        <f>COUNTIFS('NC Qualité'!A:A,"&gt;=01/07/2020",'NC Qualité'!A:A,"&lt;=31/07/2020",'NC Qualité'!E:E,"Précontraint",'NC Qualité'!Q:Q,"A")</f>
        <v>0</v>
      </c>
    </row>
    <row r="237" spans="1:28" ht="21" x14ac:dyDescent="0.35">
      <c r="A237" s="67"/>
      <c r="B237" s="2" t="s">
        <v>1</v>
      </c>
      <c r="C237" s="22"/>
      <c r="D237" s="23">
        <f>COUNTIFS('NC Qualité'!A:A,"&gt;=01/07/2020",'NC Qualité'!A:A,"&lt;=31/07/2020",'NC Qualité'!E:E,"Parc",'NC Qualité'!I:I,"Problème d'étiquetage")</f>
        <v>0</v>
      </c>
      <c r="E237" s="24"/>
      <c r="F237" s="23">
        <f>COUNTIFS('NC Qualité'!A:A,"&gt;=01/07/2020",'NC Qualité'!A:A,"&lt;=31/07/2020",'NC Qualité'!E:E,"Parc",'NC Qualité'!I:I,"Aspect béton (tâches / nid d'abeilles / granuleux / Fissures etc.)")</f>
        <v>0</v>
      </c>
      <c r="G237" s="24"/>
      <c r="H237" s="23">
        <f>COUNTIFS('NC Qualité'!A:A,"&gt;=01/07/2020",'NC Qualité'!A:A,"&lt;=31/07/2020",'NC Qualité'!E:E,"Parc",'NC Qualité'!I:I,"Ancre de levage")</f>
        <v>0</v>
      </c>
      <c r="I237" s="24"/>
      <c r="J237" s="23">
        <f>COUNTIFS('NC Qualité'!A:A,"&gt;=01/07/2020",'NC Qualité'!A:A,"&lt;=31/07/2020",'NC Qualité'!E:E,"Parc",'NC Qualité'!I:I,"Armatures apparentes")</f>
        <v>0</v>
      </c>
      <c r="K237" s="24"/>
      <c r="L237" s="24"/>
      <c r="M237" s="24"/>
      <c r="N237" s="24"/>
      <c r="O237" s="23">
        <f>COUNTIFS('NC Qualité'!A:A,"&gt;=01/07/2020",'NC Qualité'!A:A,"&lt;=31/07/2020",'NC Qualité'!E:E,"Parc",'NC Qualité'!I:I,"Autres :")</f>
        <v>0</v>
      </c>
      <c r="P237" s="23">
        <f>COUNTIFS('NC Qualité'!A:A,"&gt;=01/07/2020",'NC Qualité'!A:A,"&lt;=31/07/2020",'NC Qualité'!E:E,"Parc",'NC Qualité'!I:I,"Accessoires (Mauvais positionnement , manquement, etc.)")</f>
        <v>0</v>
      </c>
      <c r="Q237" s="23">
        <f>COUNTIFS('NC Qualité'!A:A,"&gt;=01/07/2020",'NC Qualité'!A:A,"&lt;=31/07/2020",'NC Qualité'!E:E,"Parc",'NC Qualité'!I:I,"équerrisage")</f>
        <v>0</v>
      </c>
      <c r="R237" s="23">
        <f>COUNTIFS('NC Qualité'!A:A,"&gt;=01/07/2020",'NC Qualité'!A:A,"&lt;=31/07/2020",'NC Qualité'!E:E,"Parc",'NC Qualité'!I:I,"Seuil de porte (réservation)")</f>
        <v>0</v>
      </c>
      <c r="S237" s="23">
        <f>COUNTIFS('NC Qualité'!A:A,"&gt;=01/07/2020",'NC Qualité'!A:A,"&lt;=31/07/2020",'NC Qualité'!E:E,"Parc",'NC Qualité'!I:I,"épaisseur")</f>
        <v>0</v>
      </c>
      <c r="T237" s="23">
        <f>COUNTIFS('NC Qualité'!A:A,"&gt;=01/07/2020",'NC Qualité'!A:A,"&lt;=31/07/2020",'NC Qualité'!E:E,"Parc",'NC Qualité'!I:I,"Chanfrein")</f>
        <v>0</v>
      </c>
      <c r="U237" s="23">
        <f>COUNTIFS('NC Qualité'!A:A,"&gt;=01/07/2020",'NC Qualité'!A:A,"&lt;=31/07/2020",'NC Qualité'!E:E,"Parc",'NC Qualité'!I:I,"Dimensionnement (entraînant un rebut)")</f>
        <v>0</v>
      </c>
      <c r="V237" s="23">
        <f>COUNTIFS('NC Qualité'!A:A,"&gt;=01/07/2020",'NC Qualité'!A:A,"&lt;=31/07/2020",'NC Qualité'!E:E,"Parc",'NC Qualité'!I:I,"Cintrage")</f>
        <v>0</v>
      </c>
      <c r="W237" s="23">
        <f>COUNTIFS('NC Qualité'!A:A,"&gt;=01/07/2020",'NC Qualité'!A:A,"&lt;=31/07/2020",'NC Qualité'!E:E,"Parc",'NC Qualité'!I:I,"Problème de chargement (sanglage, casse etc.)")</f>
        <v>0</v>
      </c>
      <c r="X237" s="28">
        <f>COUNTIFS('NC Qualité'!A:A,"&gt;=01/07/2020",'NC Qualité'!A:A,"&lt;=31/07/2020",'NC Qualité'!E:E,"Parc",'NC Qualité'!I:I,"Erreur de chargement ")</f>
        <v>0</v>
      </c>
      <c r="AA237" s="31">
        <f>COUNTIFS('NC Qualité'!A:A,"&gt;=01/07/2020",'NC Qualité'!A:A,"&lt;=31/07/2020",'NC Qualité'!E:E,"Parc",'NC Qualité'!S:S,1)</f>
        <v>0</v>
      </c>
      <c r="AB237" s="31">
        <f>COUNTIFS('NC Qualité'!A:A,"&gt;=01/07/2020",'NC Qualité'!A:A,"&lt;=31/07/2020",'NC Qualité'!E:E,"Parc",'NC Qualité'!Q:Q,"A")</f>
        <v>0</v>
      </c>
    </row>
    <row r="238" spans="1:28" ht="23.5" x14ac:dyDescent="0.35">
      <c r="AA238" s="34">
        <f>SUM(AA226:AA237)</f>
        <v>0</v>
      </c>
      <c r="AB238" s="34">
        <f>SUM(AB226:AB237)</f>
        <v>0</v>
      </c>
    </row>
    <row r="241" spans="2:3" ht="46" x14ac:dyDescent="1">
      <c r="B241" s="51" t="s">
        <v>86</v>
      </c>
      <c r="C241" s="41"/>
    </row>
    <row r="242" spans="2:3" ht="46" x14ac:dyDescent="1">
      <c r="B242" s="51" t="s">
        <v>87</v>
      </c>
      <c r="C242" s="41"/>
    </row>
    <row r="243" spans="2:3" ht="46" x14ac:dyDescent="1">
      <c r="B243" s="51" t="s">
        <v>88</v>
      </c>
      <c r="C243" s="41"/>
    </row>
    <row r="244" spans="2:3" ht="46" x14ac:dyDescent="1">
      <c r="B244" s="51" t="s">
        <v>89</v>
      </c>
      <c r="C244" s="41"/>
    </row>
    <row r="245" spans="2:3" ht="46" x14ac:dyDescent="1">
      <c r="B245" s="51" t="s">
        <v>90</v>
      </c>
      <c r="C245" s="41"/>
    </row>
    <row r="246" spans="2:3" ht="46" x14ac:dyDescent="1">
      <c r="B246" s="51" t="s">
        <v>91</v>
      </c>
      <c r="C246" s="41"/>
    </row>
    <row r="247" spans="2:3" ht="46" x14ac:dyDescent="1">
      <c r="B247" s="51" t="s">
        <v>92</v>
      </c>
      <c r="C247" s="41"/>
    </row>
    <row r="248" spans="2:3" ht="46" x14ac:dyDescent="1">
      <c r="B248" s="51" t="s">
        <v>93</v>
      </c>
      <c r="C248" s="41"/>
    </row>
    <row r="249" spans="2:3" ht="46" x14ac:dyDescent="1">
      <c r="B249" s="51" t="s">
        <v>94</v>
      </c>
      <c r="C249" s="41"/>
    </row>
    <row r="250" spans="2:3" ht="46" x14ac:dyDescent="1">
      <c r="B250" s="51" t="s">
        <v>95</v>
      </c>
      <c r="C250" s="41"/>
    </row>
    <row r="251" spans="2:3" ht="46" x14ac:dyDescent="1">
      <c r="B251" s="51" t="s">
        <v>96</v>
      </c>
      <c r="C251" s="41"/>
    </row>
    <row r="252" spans="2:3" ht="46" x14ac:dyDescent="1">
      <c r="B252" s="51" t="s">
        <v>97</v>
      </c>
      <c r="C252" s="41"/>
    </row>
  </sheetData>
  <mergeCells count="25">
    <mergeCell ref="A226:A232"/>
    <mergeCell ref="A233:A237"/>
    <mergeCell ref="A169:A175"/>
    <mergeCell ref="A176:A180"/>
    <mergeCell ref="A188:A194"/>
    <mergeCell ref="A195:A199"/>
    <mergeCell ref="A207:A213"/>
    <mergeCell ref="A214:A218"/>
    <mergeCell ref="A157:A161"/>
    <mergeCell ref="A54:A60"/>
    <mergeCell ref="A61:A65"/>
    <mergeCell ref="A74:A80"/>
    <mergeCell ref="A81:A85"/>
    <mergeCell ref="A93:A99"/>
    <mergeCell ref="A100:A104"/>
    <mergeCell ref="A112:A118"/>
    <mergeCell ref="A119:A123"/>
    <mergeCell ref="A131:A137"/>
    <mergeCell ref="A138:A142"/>
    <mergeCell ref="A150:A156"/>
    <mergeCell ref="A19:A25"/>
    <mergeCell ref="A26:A30"/>
    <mergeCell ref="A36:A42"/>
    <mergeCell ref="A43:A47"/>
    <mergeCell ref="C1:Y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NC Qualité</vt:lpstr>
      <vt:lpstr>Feuille calcul</vt:lpstr>
      <vt:lpstr>Code 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2020-05-11T09:46:39Z</dcterms:modified>
</cp:coreProperties>
</file>